
<file path=[Content_Types].xml><?xml version="1.0" encoding="utf-8"?>
<Types xmlns="http://schemas.openxmlformats.org/package/2006/content-types">
  <Override PartName="/xl/queryTables/queryTable186.xml" ContentType="application/vnd.openxmlformats-officedocument.spreadsheetml.queryTable+xml"/>
  <Override PartName="/xl/queryTables/queryTable864.xml" ContentType="application/vnd.openxmlformats-officedocument.spreadsheetml.queryTable+xml"/>
  <Override PartName="/xl/queryTables/queryTable1019.xml" ContentType="application/vnd.openxmlformats-officedocument.spreadsheetml.queryTable+xml"/>
  <Override PartName="/xl/queryTables/queryTable1205.xml" ContentType="application/vnd.openxmlformats-officedocument.spreadsheetml.queryTable+xml"/>
  <Override PartName="/xl/queryTables/queryTable372.xml" ContentType="application/vnd.openxmlformats-officedocument.spreadsheetml.queryTable+xml"/>
  <Override PartName="/xl/queryTables/queryTable609.xml" ContentType="application/vnd.openxmlformats-officedocument.spreadsheetml.queryTable+xml"/>
  <Override PartName="/xl/queryTables/queryTable1189.xml" ContentType="application/vnd.openxmlformats-officedocument.spreadsheetml.queryTable+xml"/>
  <Override PartName="/xl/queryTables/queryTable1867.xml" ContentType="application/vnd.openxmlformats-officedocument.spreadsheetml.queryTable+xml"/>
  <Override PartName="/xl/queryTables/queryTable117.xml" ContentType="application/vnd.openxmlformats-officedocument.spreadsheetml.queryTable+xml"/>
  <Override PartName="/xl/queryTables/queryTable303.xml" ContentType="application/vnd.openxmlformats-officedocument.spreadsheetml.queryTable+xml"/>
  <Override PartName="/xl/queryTables/queryTable779.xml" ContentType="application/vnd.openxmlformats-officedocument.spreadsheetml.queryTable+xml"/>
  <Override PartName="/xl/queryTables/queryTable965.xml" ContentType="application/vnd.openxmlformats-officedocument.spreadsheetml.queryTable+xml"/>
  <Override PartName="/xl/queryTables/queryTable1375.xml" ContentType="application/vnd.openxmlformats-officedocument.spreadsheetml.queryTable+xml"/>
  <Override PartName="/xl/queryTables/queryTable1561.xml" ContentType="application/vnd.openxmlformats-officedocument.spreadsheetml.queryTable+xml"/>
  <Default Extension="xml" ContentType="application/xml"/>
  <Override PartName="/xl/queryTables/queryTable287.xml" ContentType="application/vnd.openxmlformats-officedocument.spreadsheetml.queryTable+xml"/>
  <Override PartName="/xl/queryTables/queryTable473.xml" ContentType="application/vnd.openxmlformats-officedocument.spreadsheetml.queryTable+xml"/>
  <Override PartName="/xl/queryTables/queryTable1306.xml" ContentType="application/vnd.openxmlformats-officedocument.spreadsheetml.queryTable+xml"/>
  <Override PartName="/xl/queryTables/queryTable1968.xml" ContentType="application/vnd.openxmlformats-officedocument.spreadsheetml.queryTable+xml"/>
  <Override PartName="/xl/queryTables/queryTable51.xml" ContentType="application/vnd.openxmlformats-officedocument.spreadsheetml.queryTable+xml"/>
  <Override PartName="/xl/queryTables/queryTable218.xml" ContentType="application/vnd.openxmlformats-officedocument.spreadsheetml.queryTable+xml"/>
  <Override PartName="/xl/queryTables/queryTable1000.xml" ContentType="application/vnd.openxmlformats-officedocument.spreadsheetml.queryTable+xml"/>
  <Override PartName="/xl/queryTables/queryTable1476.xml" ContentType="application/vnd.openxmlformats-officedocument.spreadsheetml.queryTable+xml"/>
  <Override PartName="/xl/queryTables/queryTable2041.xml" ContentType="application/vnd.openxmlformats-officedocument.spreadsheetml.queryTable+xml"/>
  <Override PartName="/xl/queryTables/queryTable388.xml" ContentType="application/vnd.openxmlformats-officedocument.spreadsheetml.queryTable+xml"/>
  <Override PartName="/xl/queryTables/queryTable404.xml" ContentType="application/vnd.openxmlformats-officedocument.spreadsheetml.queryTable+xml"/>
  <Override PartName="/xl/queryTables/queryTable1662.xml" ContentType="application/vnd.openxmlformats-officedocument.spreadsheetml.queryTable+xml"/>
  <Override PartName="/xl/queryTables/queryTable574.xml" ContentType="application/vnd.openxmlformats-officedocument.spreadsheetml.queryTable+xml"/>
  <Override PartName="/xl/queryTables/queryTable760.xml" ContentType="application/vnd.openxmlformats-officedocument.spreadsheetml.queryTable+xml"/>
  <Override PartName="/xl/queryTables/queryTable1170.xml" ContentType="application/vnd.openxmlformats-officedocument.spreadsheetml.queryTable+xml"/>
  <Override PartName="/xl/queryTables/queryTable1407.xml" ContentType="application/vnd.openxmlformats-officedocument.spreadsheetml.queryTable+xml"/>
  <Override PartName="/xl/queryTables/queryTable319.xml" ContentType="application/vnd.openxmlformats-officedocument.spreadsheetml.queryTable+xml"/>
  <Override PartName="/xl/queryTables/queryTable505.xml" ContentType="application/vnd.openxmlformats-officedocument.spreadsheetml.queryTable+xml"/>
  <Override PartName="/xl/tables/table5.xml" ContentType="application/vnd.openxmlformats-officedocument.spreadsheetml.table+xml"/>
  <Override PartName="/xl/queryTables/queryTable1101.xml" ContentType="application/vnd.openxmlformats-officedocument.spreadsheetml.queryTable+xml"/>
  <Override PartName="/xl/queryTables/queryTable1577.xml" ContentType="application/vnd.openxmlformats-officedocument.spreadsheetml.queryTable+xml"/>
  <Override PartName="/xl/queryTables/queryTable1763.xml" ContentType="application/vnd.openxmlformats-officedocument.spreadsheetml.queryTable+xml"/>
  <Override PartName="/xl/queryTables/queryTable67.xml" ContentType="application/vnd.openxmlformats-officedocument.spreadsheetml.queryTable+xml"/>
  <Override PartName="/xl/queryTables/queryTable489.xml" ContentType="application/vnd.openxmlformats-officedocument.spreadsheetml.queryTable+xml"/>
  <Override PartName="/xl/queryTables/queryTable1085.xml" ContentType="application/vnd.openxmlformats-officedocument.spreadsheetml.queryTable+xml"/>
  <Override PartName="/xl/queryTables/queryTable1271.xml" ContentType="application/vnd.openxmlformats-officedocument.spreadsheetml.queryTable+xml"/>
  <Override PartName="/xl/queryTables/queryTable1508.xml" ContentType="application/vnd.openxmlformats-officedocument.spreadsheetml.queryTable+xml"/>
  <Override PartName="/xl/queryTables/queryTable2057.xml" ContentType="application/vnd.openxmlformats-officedocument.spreadsheetml.queryTable+xml"/>
  <Override PartName="/xl/queryTables/queryTable183.xml" ContentType="application/vnd.openxmlformats-officedocument.spreadsheetml.queryTable+xml"/>
  <Override PartName="/xl/queryTables/queryTable675.xml" ContentType="application/vnd.openxmlformats-officedocument.spreadsheetml.queryTable+xml"/>
  <Override PartName="/xl/queryTables/queryTable861.xml" ContentType="application/vnd.openxmlformats-officedocument.spreadsheetml.queryTable+xml"/>
  <Override PartName="/xl/queryTables/queryTable1016.xml" ContentType="application/vnd.openxmlformats-officedocument.spreadsheetml.queryTable+xml"/>
  <Override PartName="/xl/queryTables/queryTable606.xml" ContentType="application/vnd.openxmlformats-officedocument.spreadsheetml.queryTable+xml"/>
  <Override PartName="/xl/queryTables/queryTable1186.xml" ContentType="application/vnd.openxmlformats-officedocument.spreadsheetml.queryTable+xml"/>
  <Override PartName="/xl/queryTables/queryTable1202.xml" ContentType="application/vnd.openxmlformats-officedocument.spreadsheetml.queryTable+xml"/>
  <Override PartName="/xl/queryTables/queryTable1678.xml" ContentType="application/vnd.openxmlformats-officedocument.spreadsheetml.queryTable+xml"/>
  <Override PartName="/xl/queryTables/queryTable1864.xml" ContentType="application/vnd.openxmlformats-officedocument.spreadsheetml.queryTable+xml"/>
  <Override PartName="/xl/queryTables/queryTable114.xml" ContentType="application/vnd.openxmlformats-officedocument.spreadsheetml.queryTable+xml"/>
  <Override PartName="/xl/queryTables/queryTable300.xml" ContentType="application/vnd.openxmlformats-officedocument.spreadsheetml.queryTable+xml"/>
  <Override PartName="/xl/queryTables/queryTable776.xml" ContentType="application/vnd.openxmlformats-officedocument.spreadsheetml.queryTable+xml"/>
  <Override PartName="/xl/queryTables/queryTable1372.xml" ContentType="application/vnd.openxmlformats-officedocument.spreadsheetml.queryTable+xml"/>
  <Override PartName="/xl/queryTables/queryTable1609.xml" ContentType="application/vnd.openxmlformats-officedocument.spreadsheetml.queryTable+xml"/>
  <Override PartName="/xl/queryTables/queryTable284.xml" ContentType="application/vnd.openxmlformats-officedocument.spreadsheetml.queryTable+xml"/>
  <Override PartName="/xl/queryTables/queryTable962.xml" ContentType="application/vnd.openxmlformats-officedocument.spreadsheetml.queryTable+xml"/>
  <Override PartName="/xl/queryTables/queryTable1117.xml" ContentType="application/vnd.openxmlformats-officedocument.spreadsheetml.queryTable+xml"/>
  <Override PartName="/xl/queryTables/queryTable1303.xml" ContentType="application/vnd.openxmlformats-officedocument.spreadsheetml.queryTable+xml"/>
  <Override PartName="/xl/queryTables/queryTable1779.xml" ContentType="application/vnd.openxmlformats-officedocument.spreadsheetml.queryTable+xml"/>
  <Override PartName="/xl/queryTables/queryTable470.xml" ContentType="application/vnd.openxmlformats-officedocument.spreadsheetml.queryTable+xml"/>
  <Override PartName="/xl/queryTables/queryTable707.xml" ContentType="application/vnd.openxmlformats-officedocument.spreadsheetml.queryTable+xml"/>
  <Override PartName="/xl/queryTables/queryTable1287.xml" ContentType="application/vnd.openxmlformats-officedocument.spreadsheetml.queryTable+xml"/>
  <Override PartName="/xl/queryTables/queryTable1965.xml" ContentType="application/vnd.openxmlformats-officedocument.spreadsheetml.queryTable+xml"/>
  <Override PartName="/xl/queryTables/queryTable199.xml" ContentType="application/vnd.openxmlformats-officedocument.spreadsheetml.queryTable+xml"/>
  <Override PartName="/xl/queryTables/queryTable215.xml" ContentType="application/vnd.openxmlformats-officedocument.spreadsheetml.queryTable+xml"/>
  <Override PartName="/xl/queryTables/queryTable401.xml" ContentType="application/vnd.openxmlformats-officedocument.spreadsheetml.queryTable+xml"/>
  <Override PartName="/xl/queryTables/queryTable877.xml" ContentType="application/vnd.openxmlformats-officedocument.spreadsheetml.queryTable+xml"/>
  <Override PartName="/xl/queryTables/queryTable1473.xml" ContentType="application/vnd.openxmlformats-officedocument.spreadsheetml.queryTable+xml"/>
  <Override PartName="/xl/queryTables/queryTable385.xml" ContentType="application/vnd.openxmlformats-officedocument.spreadsheetml.queryTable+xml"/>
  <Override PartName="/xl/queryTables/queryTable571.xml" ContentType="application/vnd.openxmlformats-officedocument.spreadsheetml.queryTable+xml"/>
  <Override PartName="/xl/queryTables/queryTable1218.xml" ContentType="application/vnd.openxmlformats-officedocument.spreadsheetml.queryTable+xml"/>
  <Override PartName="/xl/queryTables/queryTable1404.xml" ContentType="application/vnd.openxmlformats-officedocument.spreadsheetml.queryTable+xml"/>
  <Override PartName="/xl/queryTables/queryTable316.xml" ContentType="application/vnd.openxmlformats-officedocument.spreadsheetml.queryTable+xml"/>
  <Override PartName="/xl/queryTables/queryTable808.xml" ContentType="application/vnd.openxmlformats-officedocument.spreadsheetml.queryTable+xml"/>
  <Override PartName="/xl/queryTables/queryTable1388.xml" ContentType="application/vnd.openxmlformats-officedocument.spreadsheetml.queryTable+xml"/>
  <Override PartName="/xl/queryTables/queryTable1574.xml" ContentType="application/vnd.openxmlformats-officedocument.spreadsheetml.queryTable+xml"/>
  <Override PartName="/xl/tables/table2.xml" ContentType="application/vnd.openxmlformats-officedocument.spreadsheetml.table+xml"/>
  <Override PartName="/xl/queryTables/queryTable502.xml" ContentType="application/vnd.openxmlformats-officedocument.spreadsheetml.queryTable+xml"/>
  <Override PartName="/xl/queryTables/queryTable978.xml" ContentType="application/vnd.openxmlformats-officedocument.spreadsheetml.queryTable+xml"/>
  <Override PartName="/xl/queryTables/queryTable1082.xml" ContentType="application/vnd.openxmlformats-officedocument.spreadsheetml.queryTable+xml"/>
  <Override PartName="/xl/queryTables/queryTable1319.xml" ContentType="application/vnd.openxmlformats-officedocument.spreadsheetml.queryTable+xml"/>
  <Override PartName="/xl/queryTables/queryTable1760.xml" ContentType="application/vnd.openxmlformats-officedocument.spreadsheetml.queryTable+xml"/>
  <Override PartName="/xl/queryTables/queryTable64.xml" ContentType="application/vnd.openxmlformats-officedocument.spreadsheetml.queryTable+xml"/>
  <Override PartName="/xl/queryTables/queryTable486.xml" ContentType="application/vnd.openxmlformats-officedocument.spreadsheetml.queryTable+xml"/>
  <Override PartName="/xl/queryTables/queryTable672.xml" ContentType="application/vnd.openxmlformats-officedocument.spreadsheetml.queryTable+xml"/>
  <Override PartName="/xl/queryTables/queryTable909.xml" ContentType="application/vnd.openxmlformats-officedocument.spreadsheetml.queryTable+xml"/>
  <Override PartName="/xl/queryTables/queryTable1505.xml" ContentType="application/vnd.openxmlformats-officedocument.spreadsheetml.queryTable+xml"/>
  <Override PartName="/xl/queryTables/queryTable2054.xml" ContentType="application/vnd.openxmlformats-officedocument.spreadsheetml.queryTable+xml"/>
  <Override PartName="/xl/queryTables/queryTable180.xml" ContentType="application/vnd.openxmlformats-officedocument.spreadsheetml.queryTable+xml"/>
  <Override PartName="/xl/queryTables/queryTable417.xml" ContentType="application/vnd.openxmlformats-officedocument.spreadsheetml.queryTable+xml"/>
  <Override PartName="/xl/queryTables/queryTable1013.xml" ContentType="application/vnd.openxmlformats-officedocument.spreadsheetml.queryTable+xml"/>
  <Override PartName="/xl/queryTables/queryTable1489.xml" ContentType="application/vnd.openxmlformats-officedocument.spreadsheetml.queryTable+xml"/>
  <Override PartName="/xl/queryTables/queryTable1675.xml" ContentType="application/vnd.openxmlformats-officedocument.spreadsheetml.queryTable+xml"/>
  <Override PartName="/xl/queryTables/queryTable111.xml" ContentType="application/vnd.openxmlformats-officedocument.spreadsheetml.queryTable+xml"/>
  <Override PartName="/xl/queryTables/queryTable587.xml" ContentType="application/vnd.openxmlformats-officedocument.spreadsheetml.queryTable+xml"/>
  <Override PartName="/xl/queryTables/queryTable603.xml" ContentType="application/vnd.openxmlformats-officedocument.spreadsheetml.queryTable+xml"/>
  <Override PartName="/xl/queryTables/queryTable1183.xml" ContentType="application/vnd.openxmlformats-officedocument.spreadsheetml.queryTable+xml"/>
  <Override PartName="/xl/queryTables/queryTable1861.xml" ContentType="application/vnd.openxmlformats-officedocument.spreadsheetml.queryTable+xml"/>
  <Override PartName="/xl/queryTables/queryTable773.xml" ContentType="application/vnd.openxmlformats-officedocument.spreadsheetml.queryTable+xml"/>
  <Override PartName="/xl/queryTables/queryTable1114.xml" ContentType="application/vnd.openxmlformats-officedocument.spreadsheetml.queryTable+xml"/>
  <Override PartName="/xl/queryTables/queryTable1606.xml" ContentType="application/vnd.openxmlformats-officedocument.spreadsheetml.queryTable+xml"/>
  <Override PartName="/xl/queryTables/queryTable281.xml" ContentType="application/vnd.openxmlformats-officedocument.spreadsheetml.queryTable+xml"/>
  <Override PartName="/xl/queryTables/queryTable518.xml" ContentType="application/vnd.openxmlformats-officedocument.spreadsheetml.queryTable+xml"/>
  <Override PartName="/xl/queryTables/queryTable704.xml" ContentType="application/vnd.openxmlformats-officedocument.spreadsheetml.queryTable+xml"/>
  <Override PartName="/xl/queryTables/queryTable1098.xml" ContentType="application/vnd.openxmlformats-officedocument.spreadsheetml.queryTable+xml"/>
  <Override PartName="/xl/queryTables/queryTable1300.xml" ContentType="application/vnd.openxmlformats-officedocument.spreadsheetml.queryTable+xml"/>
  <Override PartName="/xl/queryTables/queryTable1776.xml" ContentType="application/vnd.openxmlformats-officedocument.spreadsheetml.queryTable+xml"/>
  <Override PartName="/xl/queryTables/queryTable1962.xml" ContentType="application/vnd.openxmlformats-officedocument.spreadsheetml.queryTable+xml"/>
  <Override PartName="/xl/queryTables/queryTable212.xml" ContentType="application/vnd.openxmlformats-officedocument.spreadsheetml.queryTable+xml"/>
  <Override PartName="/xl/queryTables/queryTable688.xml" ContentType="application/vnd.openxmlformats-officedocument.spreadsheetml.queryTable+xml"/>
  <Override PartName="/xl/queryTables/queryTable874.xml" ContentType="application/vnd.openxmlformats-officedocument.spreadsheetml.queryTable+xml"/>
  <Override PartName="/xl/queryTables/queryTable1284.xml" ContentType="application/vnd.openxmlformats-officedocument.spreadsheetml.queryTable+xml"/>
  <Override PartName="/xl/queryTables/queryTable1470.xml" ContentType="application/vnd.openxmlformats-officedocument.spreadsheetml.queryTable+xml"/>
  <Override PartName="/xl/queryTables/queryTable1707.xml" ContentType="application/vnd.openxmlformats-officedocument.spreadsheetml.queryTable+xml"/>
  <Override PartName="/xl/queryTables/queryTable196.xml" ContentType="application/vnd.openxmlformats-officedocument.spreadsheetml.queryTable+xml"/>
  <Override PartName="/xl/queryTables/queryTable382.xml" ContentType="application/vnd.openxmlformats-officedocument.spreadsheetml.queryTable+xml"/>
  <Override PartName="/xl/queryTables/queryTable619.xml" ContentType="application/vnd.openxmlformats-officedocument.spreadsheetml.queryTable+xml"/>
  <Override PartName="/xl/queryTables/queryTable1029.xml" ContentType="application/vnd.openxmlformats-officedocument.spreadsheetml.queryTable+xml"/>
  <Override PartName="/xl/queryTables/queryTable1215.xml" ContentType="application/vnd.openxmlformats-officedocument.spreadsheetml.queryTable+xml"/>
  <Override PartName="/xl/queryTables/queryTable1877.xml" ContentType="application/vnd.openxmlformats-officedocument.spreadsheetml.queryTable+xml"/>
  <Override PartName="/xl/queryTables/queryTable127.xml" ContentType="application/vnd.openxmlformats-officedocument.spreadsheetml.queryTable+xml"/>
  <Override PartName="/xl/queryTables/queryTable805.xml" ContentType="application/vnd.openxmlformats-officedocument.spreadsheetml.queryTable+xml"/>
  <Override PartName="/xl/queryTables/queryTable1199.xml" ContentType="application/vnd.openxmlformats-officedocument.spreadsheetml.queryTable+xml"/>
  <Override PartName="/xl/queryTables/queryTable1385.xml" ContentType="application/vnd.openxmlformats-officedocument.spreadsheetml.queryTable+xml"/>
  <Override PartName="/xl/queryTables/queryTable1401.xml" ContentType="application/vnd.openxmlformats-officedocument.spreadsheetml.queryTable+xml"/>
  <Override PartName="/xl/queryTables/queryTable297.xml" ContentType="application/vnd.openxmlformats-officedocument.spreadsheetml.queryTable+xml"/>
  <Override PartName="/xl/queryTables/queryTable313.xml" ContentType="application/vnd.openxmlformats-officedocument.spreadsheetml.queryTable+xml"/>
  <Override PartName="/xl/queryTables/queryTable789.xml" ContentType="application/vnd.openxmlformats-officedocument.spreadsheetml.queryTable+xml"/>
  <Override PartName="/xl/queryTables/queryTable975.xml" ContentType="application/vnd.openxmlformats-officedocument.spreadsheetml.queryTable+xml"/>
  <Override PartName="/xl/queryTables/queryTable1571.xml" ContentType="application/vnd.openxmlformats-officedocument.spreadsheetml.queryTable+xml"/>
  <Override PartName="/xl/queryTables/queryTable1808.xml" ContentType="application/vnd.openxmlformats-officedocument.spreadsheetml.queryTable+xml"/>
  <Override PartName="/xl/queryTables/queryTable61.xml" ContentType="application/vnd.openxmlformats-officedocument.spreadsheetml.queryTable+xml"/>
  <Override PartName="/xl/queryTables/queryTable483.xml" ContentType="application/vnd.openxmlformats-officedocument.spreadsheetml.queryTable+xml"/>
  <Override PartName="/xl/queryTables/queryTable1316.xml" ContentType="application/vnd.openxmlformats-officedocument.spreadsheetml.queryTable+xml"/>
  <Override PartName="/xl/queryTables/queryTable1502.xml" ContentType="application/vnd.openxmlformats-officedocument.spreadsheetml.queryTable+xml"/>
  <Override PartName="/xl/queryTables/queryTable1978.xml" ContentType="application/vnd.openxmlformats-officedocument.spreadsheetml.queryTable+xml"/>
  <Override PartName="/xl/queryTables/queryTable2051.xml" ContentType="application/vnd.openxmlformats-officedocument.spreadsheetml.queryTable+xml"/>
  <Override PartName="/xl/queryTables/queryTable228.xml" ContentType="application/vnd.openxmlformats-officedocument.spreadsheetml.queryTable+xml"/>
  <Override PartName="/xl/queryTables/queryTable414.xml" ContentType="application/vnd.openxmlformats-officedocument.spreadsheetml.queryTable+xml"/>
  <Override PartName="/xl/queryTables/queryTable906.xml" ContentType="application/vnd.openxmlformats-officedocument.spreadsheetml.queryTable+xml"/>
  <Override PartName="/xl/queryTables/queryTable1010.xml" ContentType="application/vnd.openxmlformats-officedocument.spreadsheetml.queryTable+xml"/>
  <Override PartName="/xl/queryTables/queryTable1486.xml" ContentType="application/vnd.openxmlformats-officedocument.spreadsheetml.queryTable+xml"/>
  <Override PartName="/xl/queryTables/queryTable1672.xml" ContentType="application/vnd.openxmlformats-officedocument.spreadsheetml.queryTable+xml"/>
  <Override PartName="/xl/queryTables/queryTable398.xml" ContentType="application/vnd.openxmlformats-officedocument.spreadsheetml.queryTable+xml"/>
  <Override PartName="/xl/queryTables/queryTable600.xml" ContentType="application/vnd.openxmlformats-officedocument.spreadsheetml.queryTable+xml"/>
  <Override PartName="/xl/queryTables/queryTable1180.xml" ContentType="application/vnd.openxmlformats-officedocument.spreadsheetml.queryTable+xml"/>
  <Override PartName="/xl/queryTables/queryTable1417.xml" ContentType="application/vnd.openxmlformats-officedocument.spreadsheetml.queryTable+xml"/>
  <Override PartName="/xl/queryTables/queryTable1909.xml" ContentType="application/vnd.openxmlformats-officedocument.spreadsheetml.queryTable+xml"/>
  <Override PartName="/xl/queryTables/queryTable584.xml" ContentType="application/vnd.openxmlformats-officedocument.spreadsheetml.queryTable+xml"/>
  <Override PartName="/xl/queryTables/queryTable770.xml" ContentType="application/vnd.openxmlformats-officedocument.spreadsheetml.queryTable+xml"/>
  <Override PartName="/xl/queryTables/queryTable1603.xml" ContentType="application/vnd.openxmlformats-officedocument.spreadsheetml.queryTable+xml"/>
  <Override PartName="/xl/queryTables/queryTable329.xml" ContentType="application/vnd.openxmlformats-officedocument.spreadsheetml.queryTable+xml"/>
  <Override PartName="/xl/queryTables/queryTable515.xml" ContentType="application/vnd.openxmlformats-officedocument.spreadsheetml.queryTable+xml"/>
  <Override PartName="/xl/queryTables/queryTable1095.xml" ContentType="application/vnd.openxmlformats-officedocument.spreadsheetml.queryTable+xml"/>
  <Override PartName="/xl/queryTables/queryTable1111.xml" ContentType="application/vnd.openxmlformats-officedocument.spreadsheetml.queryTable+xml"/>
  <Override PartName="/xl/queryTables/queryTable1587.xml" ContentType="application/vnd.openxmlformats-officedocument.spreadsheetml.queryTable+xml"/>
  <Override PartName="/xl/queryTables/queryTable1773.xml" ContentType="application/vnd.openxmlformats-officedocument.spreadsheetml.queryTable+xml"/>
  <Override PartName="/xl/queryTables/queryTable77.xml" ContentType="application/vnd.openxmlformats-officedocument.spreadsheetml.queryTable+xml"/>
  <Override PartName="/xl/queryTables/queryTable499.xml" ContentType="application/vnd.openxmlformats-officedocument.spreadsheetml.queryTable+xml"/>
  <Override PartName="/xl/queryTables/queryTable685.xml" ContentType="application/vnd.openxmlformats-officedocument.spreadsheetml.queryTable+xml"/>
  <Override PartName="/xl/queryTables/queryTable701.xml" ContentType="application/vnd.openxmlformats-officedocument.spreadsheetml.queryTable+xml"/>
  <Override PartName="/xl/queryTables/queryTable1281.xml" ContentType="application/vnd.openxmlformats-officedocument.spreadsheetml.queryTable+xml"/>
  <Override PartName="/xl/queryTables/queryTable1518.xml" ContentType="application/vnd.openxmlformats-officedocument.spreadsheetml.queryTable+xml"/>
  <Override PartName="/xl/queryTables/queryTable2067.xml" ContentType="application/vnd.openxmlformats-officedocument.spreadsheetml.queryTable+xml"/>
  <Override PartName="/xl/queryTables/queryTable193.xml" ContentType="application/vnd.openxmlformats-officedocument.spreadsheetml.queryTable+xml"/>
  <Override PartName="/xl/queryTables/queryTable871.xml" ContentType="application/vnd.openxmlformats-officedocument.spreadsheetml.queryTable+xml"/>
  <Override PartName="/xl/queryTables/queryTable1026.xml" ContentType="application/vnd.openxmlformats-officedocument.spreadsheetml.queryTable+xml"/>
  <Override PartName="/xl/queryTables/queryTable1688.xml" ContentType="application/vnd.openxmlformats-officedocument.spreadsheetml.queryTable+xml"/>
  <Override PartName="/xl/queryTables/queryTable1704.xml" ContentType="application/vnd.openxmlformats-officedocument.spreadsheetml.queryTable+xml"/>
  <Override PartName="/xl/queryTables/queryTable616.xml" ContentType="application/vnd.openxmlformats-officedocument.spreadsheetml.queryTable+xml"/>
  <Override PartName="/xl/queryTables/queryTable802.xml" ContentType="application/vnd.openxmlformats-officedocument.spreadsheetml.queryTable+xml"/>
  <Override PartName="/xl/queryTables/queryTable1196.xml" ContentType="application/vnd.openxmlformats-officedocument.spreadsheetml.queryTable+xml"/>
  <Override PartName="/xl/queryTables/queryTable1212.xml" ContentType="application/vnd.openxmlformats-officedocument.spreadsheetml.queryTable+xml"/>
  <Override PartName="/xl/queryTables/queryTable1874.xml" ContentType="application/vnd.openxmlformats-officedocument.spreadsheetml.queryTable+xml"/>
  <Override PartName="/xl/queryTables/queryTable124.xml" ContentType="application/vnd.openxmlformats-officedocument.spreadsheetml.queryTable+xml"/>
  <Override PartName="/xl/queryTables/queryTable310.xml" ContentType="application/vnd.openxmlformats-officedocument.spreadsheetml.queryTable+xml"/>
  <Override PartName="/xl/queryTables/queryTable786.xml" ContentType="application/vnd.openxmlformats-officedocument.spreadsheetml.queryTable+xml"/>
  <Override PartName="/xl/queryTables/queryTable1382.xml" ContentType="application/vnd.openxmlformats-officedocument.spreadsheetml.queryTable+xml"/>
  <Override PartName="/xl/queryTables/queryTable1619.xml" ContentType="application/vnd.openxmlformats-officedocument.spreadsheetml.queryTable+xml"/>
  <Override PartName="/xl/queryTables/queryTable1805.xml" ContentType="application/vnd.openxmlformats-officedocument.spreadsheetml.queryTable+xml"/>
  <Override PartName="/xl/queryTables/queryTable294.xml" ContentType="application/vnd.openxmlformats-officedocument.spreadsheetml.queryTable+xml"/>
  <Override PartName="/xl/queryTables/queryTable480.xml" ContentType="application/vnd.openxmlformats-officedocument.spreadsheetml.queryTable+xml"/>
  <Override PartName="/xl/queryTables/queryTable972.xml" ContentType="application/vnd.openxmlformats-officedocument.spreadsheetml.queryTable+xml"/>
  <Override PartName="/xl/queryTables/queryTable1127.xml" ContentType="application/vnd.openxmlformats-officedocument.spreadsheetml.queryTable+xml"/>
  <Override PartName="/xl/queryTables/queryTable1313.xml" ContentType="application/vnd.openxmlformats-officedocument.spreadsheetml.queryTable+xml"/>
  <Override PartName="/xl/queryTables/queryTable1789.xml" ContentType="application/vnd.openxmlformats-officedocument.spreadsheetml.queryTable+xml"/>
  <Override PartName="/xl/queryTables/queryTable225.xml" ContentType="application/vnd.openxmlformats-officedocument.spreadsheetml.queryTable+xml"/>
  <Override PartName="/xl/queryTables/queryTable717.xml" ContentType="application/vnd.openxmlformats-officedocument.spreadsheetml.queryTable+xml"/>
  <Override PartName="/xl/queryTables/queryTable903.xml" ContentType="application/vnd.openxmlformats-officedocument.spreadsheetml.queryTable+xml"/>
  <Override PartName="/xl/queryTables/queryTable1297.xml" ContentType="application/vnd.openxmlformats-officedocument.spreadsheetml.queryTable+xml"/>
  <Override PartName="/xl/queryTables/queryTable1483.xml" ContentType="application/vnd.openxmlformats-officedocument.spreadsheetml.queryTable+xml"/>
  <Override PartName="/xl/queryTables/queryTable1975.xml" ContentType="application/vnd.openxmlformats-officedocument.spreadsheetml.queryTable+xml"/>
  <Override PartName="/xl/queryTables/queryTable411.xml" ContentType="application/vnd.openxmlformats-officedocument.spreadsheetml.queryTable+xml"/>
  <Override PartName="/xl/queryTables/queryTable887.xml" ContentType="application/vnd.openxmlformats-officedocument.spreadsheetml.queryTable+xml"/>
  <Override PartName="/xl/queryTables/queryTable1228.xml" ContentType="application/vnd.openxmlformats-officedocument.spreadsheetml.queryTable+xml"/>
  <Override PartName="/xl/queryTables/queryTable1906.xml" ContentType="application/vnd.openxmlformats-officedocument.spreadsheetml.queryTable+xml"/>
  <Override PartName="/xl/queryTables/queryTable395.xml" ContentType="application/vnd.openxmlformats-officedocument.spreadsheetml.queryTable+xml"/>
  <Override PartName="/xl/queryTables/queryTable581.xml" ContentType="application/vnd.openxmlformats-officedocument.spreadsheetml.queryTable+xml"/>
  <Override PartName="/xl/queryTables/queryTable818.xml" ContentType="application/vnd.openxmlformats-officedocument.spreadsheetml.queryTable+xml"/>
  <Override PartName="/xl/queryTables/queryTable1414.xml" ContentType="application/vnd.openxmlformats-officedocument.spreadsheetml.queryTable+xml"/>
  <Override PartName="/xl/queryTables/queryTable1600.xml" ContentType="application/vnd.openxmlformats-officedocument.spreadsheetml.queryTable+xml"/>
  <Override PartName="/xl/queryTables/queryTable326.xml" ContentType="application/vnd.openxmlformats-officedocument.spreadsheetml.queryTable+xml"/>
  <Override PartName="/xl/queryTables/queryTable988.xml" ContentType="application/vnd.openxmlformats-officedocument.spreadsheetml.queryTable+xml"/>
  <Override PartName="/xl/queryTables/queryTable1398.xml" ContentType="application/vnd.openxmlformats-officedocument.spreadsheetml.queryTable+xml"/>
  <Override PartName="/xl/queryTables/queryTable1584.xml" ContentType="application/vnd.openxmlformats-officedocument.spreadsheetml.queryTable+xml"/>
  <Override PartName="/xl/queryTables/queryTable496.xml" ContentType="application/vnd.openxmlformats-officedocument.spreadsheetml.queryTable+xml"/>
  <Override PartName="/xl/queryTables/queryTable512.xml" ContentType="application/vnd.openxmlformats-officedocument.spreadsheetml.queryTable+xml"/>
  <Override PartName="/xl/queryTables/queryTable1092.xml" ContentType="application/vnd.openxmlformats-officedocument.spreadsheetml.queryTable+xml"/>
  <Override PartName="/xl/queryTables/queryTable1329.xml" ContentType="application/vnd.openxmlformats-officedocument.spreadsheetml.queryTable+xml"/>
  <Override PartName="/xl/queryTables/queryTable1770.xml" ContentType="application/vnd.openxmlformats-officedocument.spreadsheetml.queryTable+xml"/>
  <Override PartName="/xl/queryTables/queryTable74.xml" ContentType="application/vnd.openxmlformats-officedocument.spreadsheetml.queryTable+xml"/>
  <Override PartName="/xl/queryTables/queryTable682.xml" ContentType="application/vnd.openxmlformats-officedocument.spreadsheetml.queryTable+xml"/>
  <Override PartName="/xl/queryTables/queryTable919.xml" ContentType="application/vnd.openxmlformats-officedocument.spreadsheetml.queryTable+xml"/>
  <Override PartName="/xl/queryTables/queryTable1023.xml" ContentType="application/vnd.openxmlformats-officedocument.spreadsheetml.queryTable+xml"/>
  <Override PartName="/xl/queryTables/queryTable1499.xml" ContentType="application/vnd.openxmlformats-officedocument.spreadsheetml.queryTable+xml"/>
  <Override PartName="/xl/queryTables/queryTable1515.xml" ContentType="application/vnd.openxmlformats-officedocument.spreadsheetml.queryTable+xml"/>
  <Override PartName="/xl/queryTables/queryTable1701.xml" ContentType="application/vnd.openxmlformats-officedocument.spreadsheetml.queryTable+xml"/>
  <Override PartName="/xl/queryTables/queryTable2064.xml" ContentType="application/vnd.openxmlformats-officedocument.spreadsheetml.queryTable+xml"/>
  <Override PartName="/xl/queryTables/queryTable190.xml" ContentType="application/vnd.openxmlformats-officedocument.spreadsheetml.queryTable+xml"/>
  <Override PartName="/xl/queryTables/queryTable427.xml" ContentType="application/vnd.openxmlformats-officedocument.spreadsheetml.queryTable+xml"/>
  <Override PartName="/xl/queryTables/queryTable613.xml" ContentType="application/vnd.openxmlformats-officedocument.spreadsheetml.queryTable+xml"/>
  <Override PartName="/xl/queryTables/queryTable1685.xml" ContentType="application/vnd.openxmlformats-officedocument.spreadsheetml.queryTable+xml"/>
  <Override PartName="/xl/queryTables/queryTable1871.xml" ContentType="application/vnd.openxmlformats-officedocument.spreadsheetml.queryTable+xml"/>
  <Override PartName="/xl/queryTables/queryTable121.xml" ContentType="application/vnd.openxmlformats-officedocument.spreadsheetml.queryTable+xml"/>
  <Override PartName="/xl/queryTables/queryTable597.xml" ContentType="application/vnd.openxmlformats-officedocument.spreadsheetml.queryTable+xml"/>
  <Override PartName="/xl/queryTables/queryTable783.xml" ContentType="application/vnd.openxmlformats-officedocument.spreadsheetml.queryTable+xml"/>
  <Override PartName="/xl/queryTables/queryTable1193.xml" ContentType="application/vnd.openxmlformats-officedocument.spreadsheetml.queryTable+xml"/>
  <Override PartName="/xl/queryTables/queryTable1616.xml" ContentType="application/vnd.openxmlformats-officedocument.spreadsheetml.queryTable+xml"/>
  <Override PartName="/xl/queryTables/queryTable291.xml" ContentType="application/vnd.openxmlformats-officedocument.spreadsheetml.queryTable+xml"/>
  <Override PartName="/xl/queryTables/queryTable528.xml" ContentType="application/vnd.openxmlformats-officedocument.spreadsheetml.queryTable+xml"/>
  <Override PartName="/xl/queryTables/queryTable1124.xml" ContentType="application/vnd.openxmlformats-officedocument.spreadsheetml.queryTable+xml"/>
  <Override PartName="/xl/queryTables/queryTable1786.xml" ContentType="application/vnd.openxmlformats-officedocument.spreadsheetml.queryTable+xml"/>
  <Override PartName="/xl/queryTables/queryTable1802.xml" ContentType="application/vnd.openxmlformats-officedocument.spreadsheetml.queryTable+xml"/>
  <Override PartName="/xl/queryTables/queryTable714.xml" ContentType="application/vnd.openxmlformats-officedocument.spreadsheetml.queryTable+xml"/>
  <Override PartName="/xl/queryTables/queryTable1294.xml" ContentType="application/vnd.openxmlformats-officedocument.spreadsheetml.queryTable+xml"/>
  <Override PartName="/xl/queryTables/queryTable1310.xml" ContentType="application/vnd.openxmlformats-officedocument.spreadsheetml.queryTable+xml"/>
  <Override PartName="/xl/queryTables/queryTable1972.xml" ContentType="application/vnd.openxmlformats-officedocument.spreadsheetml.queryTable+xml"/>
  <Override PartName="/xl/queryTables/queryTable222.xml" ContentType="application/vnd.openxmlformats-officedocument.spreadsheetml.queryTable+xml"/>
  <Override PartName="/xl/queryTables/queryTable698.xml" ContentType="application/vnd.openxmlformats-officedocument.spreadsheetml.queryTable+xml"/>
  <Override PartName="/xl/queryTables/queryTable884.xml" ContentType="application/vnd.openxmlformats-officedocument.spreadsheetml.queryTable+xml"/>
  <Override PartName="/xl/queryTables/queryTable900.xml" ContentType="application/vnd.openxmlformats-officedocument.spreadsheetml.queryTable+xml"/>
  <Override PartName="/xl/queryTables/queryTable1039.xml" ContentType="application/vnd.openxmlformats-officedocument.spreadsheetml.queryTable+xml"/>
  <Override PartName="/xl/queryTables/queryTable1480.xml" ContentType="application/vnd.openxmlformats-officedocument.spreadsheetml.queryTable+xml"/>
  <Override PartName="/xl/queryTables/queryTable1717.xml" ContentType="application/vnd.openxmlformats-officedocument.spreadsheetml.queryTable+xml"/>
  <Override PartName="/xl/queryTables/queryTable392.xml" ContentType="application/vnd.openxmlformats-officedocument.spreadsheetml.queryTable+xml"/>
  <Override PartName="/xl/queryTables/queryTable629.xml" ContentType="application/vnd.openxmlformats-officedocument.spreadsheetml.queryTable+xml"/>
  <Override PartName="/xl/queryTables/queryTable1225.xml" ContentType="application/vnd.openxmlformats-officedocument.spreadsheetml.queryTable+xml"/>
  <Override PartName="/xl/queryTables/queryTable1411.xml" ContentType="application/vnd.openxmlformats-officedocument.spreadsheetml.queryTable+xml"/>
  <Override PartName="/xl/queryTables/queryTable1887.xml" ContentType="application/vnd.openxmlformats-officedocument.spreadsheetml.queryTable+xml"/>
  <Override PartName="/xl/queryTables/queryTable1903.xml" ContentType="application/vnd.openxmlformats-officedocument.spreadsheetml.queryTable+xml"/>
  <Override PartName="/xl/queryTables/queryTable137.xml" ContentType="application/vnd.openxmlformats-officedocument.spreadsheetml.queryTable+xml"/>
  <Override PartName="/xl/queryTables/queryTable323.xml" ContentType="application/vnd.openxmlformats-officedocument.spreadsheetml.queryTable+xml"/>
  <Override PartName="/xl/queryTables/queryTable799.xml" ContentType="application/vnd.openxmlformats-officedocument.spreadsheetml.queryTable+xml"/>
  <Override PartName="/xl/queryTables/queryTable815.xml" ContentType="application/vnd.openxmlformats-officedocument.spreadsheetml.queryTable+xml"/>
  <Override PartName="/xl/queryTables/queryTable1395.xml" ContentType="application/vnd.openxmlformats-officedocument.spreadsheetml.queryTable+xml"/>
  <Override PartName="/xl/queryTables/queryTable985.xml" ContentType="application/vnd.openxmlformats-officedocument.spreadsheetml.queryTable+xml"/>
  <Override PartName="/xl/queryTables/queryTable1326.xml" ContentType="application/vnd.openxmlformats-officedocument.spreadsheetml.queryTable+xml"/>
  <Override PartName="/xl/queryTables/queryTable1581.xml" ContentType="application/vnd.openxmlformats-officedocument.spreadsheetml.queryTable+xml"/>
  <Override PartName="/xl/queryTables/queryTable1818.xml" ContentType="application/vnd.openxmlformats-officedocument.spreadsheetml.queryTable+xml"/>
  <Override PartName="/xl/queryTables/queryTable71.xml" ContentType="application/vnd.openxmlformats-officedocument.spreadsheetml.queryTable+xml"/>
  <Override PartName="/xl/queryTables/queryTable493.xml" ContentType="application/vnd.openxmlformats-officedocument.spreadsheetml.queryTable+xml"/>
  <Override PartName="/xl/queryTables/queryTable916.xml" ContentType="application/vnd.openxmlformats-officedocument.spreadsheetml.queryTable+xml"/>
  <Override PartName="/xl/queryTables/queryTable1512.xml" ContentType="application/vnd.openxmlformats-officedocument.spreadsheetml.queryTable+xml"/>
  <Override PartName="/xl/queryTables/queryTable1988.xml" ContentType="application/vnd.openxmlformats-officedocument.spreadsheetml.queryTable+xml"/>
  <Override PartName="/xl/queryTables/queryTable2061.xml" ContentType="application/vnd.openxmlformats-officedocument.spreadsheetml.queryTable+xml"/>
  <Override PartName="/xl/queryTables/queryTable238.xml" ContentType="application/vnd.openxmlformats-officedocument.spreadsheetml.queryTable+xml"/>
  <Override PartName="/xl/queryTables/queryTable424.xml" ContentType="application/vnd.openxmlformats-officedocument.spreadsheetml.queryTable+xml"/>
  <Override PartName="/xl/queryTables/queryTable1020.xml" ContentType="application/vnd.openxmlformats-officedocument.spreadsheetml.queryTable+xml"/>
  <Override PartName="/xl/queryTables/queryTable1496.xml" ContentType="application/vnd.openxmlformats-officedocument.spreadsheetml.queryTable+xml"/>
  <Override PartName="/xl/queryTables/queryTable1682.xml" ContentType="application/vnd.openxmlformats-officedocument.spreadsheetml.queryTable+xml"/>
  <Override PartName="/xl/queryTables/queryTable1919.xml" ContentType="application/vnd.openxmlformats-officedocument.spreadsheetml.queryTable+xml"/>
  <Override PartName="/xl/queryTables/queryTable594.xml" ContentType="application/vnd.openxmlformats-officedocument.spreadsheetml.queryTable+xml"/>
  <Override PartName="/xl/queryTables/queryTable610.xml" ContentType="application/vnd.openxmlformats-officedocument.spreadsheetml.queryTable+xml"/>
  <Override PartName="/xl/queryTables/queryTable1190.xml" ContentType="application/vnd.openxmlformats-officedocument.spreadsheetml.queryTable+xml"/>
  <Override PartName="/xl/queryTables/queryTable1427.xml" ContentType="application/vnd.openxmlformats-officedocument.spreadsheetml.queryTable+xml"/>
  <Override PartName="/xl/queryTables/queryTable339.xml" ContentType="application/vnd.openxmlformats-officedocument.spreadsheetml.queryTable+xml"/>
  <Override PartName="/xl/queryTables/queryTable780.xml" ContentType="application/vnd.openxmlformats-officedocument.spreadsheetml.queryTable+xml"/>
  <Override PartName="/xl/queryTables/queryTable1597.xml" ContentType="application/vnd.openxmlformats-officedocument.spreadsheetml.queryTable+xml"/>
  <Override PartName="/xl/queryTables/queryTable1613.xml" ContentType="application/vnd.openxmlformats-officedocument.spreadsheetml.queryTable+xml"/>
  <Override PartName="/xl/queryTables/queryTable525.xml" ContentType="application/vnd.openxmlformats-officedocument.spreadsheetml.queryTable+xml"/>
  <Override PartName="/xl/queryTables/queryTable711.xml" ContentType="application/vnd.openxmlformats-officedocument.spreadsheetml.queryTable+xml"/>
  <Override PartName="/xl/queryTables/queryTable1121.xml" ContentType="application/vnd.openxmlformats-officedocument.spreadsheetml.queryTable+xml"/>
  <Override PartName="/xl/queryTables/queryTable1783.xml" ContentType="application/vnd.openxmlformats-officedocument.spreadsheetml.queryTable+xml"/>
  <Override PartName="/xl/queryTables/queryTable87.xml" ContentType="application/vnd.openxmlformats-officedocument.spreadsheetml.queryTable+xml"/>
  <Override PartName="/xl/queryTables/queryTable695.xml" ContentType="application/vnd.openxmlformats-officedocument.spreadsheetml.queryTable+xml"/>
  <Override PartName="/xl/queryTables/queryTable1291.xml" ContentType="application/vnd.openxmlformats-officedocument.spreadsheetml.queryTable+xml"/>
  <Override PartName="/xl/queryTables/queryTable1528.xml" ContentType="application/vnd.openxmlformats-officedocument.spreadsheetml.queryTable+xml"/>
  <Override PartName="/xl/queryTables/queryTable1714.xml" ContentType="application/vnd.openxmlformats-officedocument.spreadsheetml.queryTable+xml"/>
  <Override PartName="/xl/queryTables/queryTable18.xml" ContentType="application/vnd.openxmlformats-officedocument.spreadsheetml.queryTable+xml"/>
  <Override PartName="/xl/queryTables/queryTable881.xml" ContentType="application/vnd.openxmlformats-officedocument.spreadsheetml.queryTable+xml"/>
  <Override PartName="/xl/queryTables/queryTable1036.xml" ContentType="application/vnd.openxmlformats-officedocument.spreadsheetml.queryTable+xml"/>
  <Override PartName="/xl/queryTables/queryTable1222.xml" ContentType="application/vnd.openxmlformats-officedocument.spreadsheetml.queryTable+xml"/>
  <Override PartName="/xl/queryTables/queryTable1698.xml" ContentType="application/vnd.openxmlformats-officedocument.spreadsheetml.queryTable+xml"/>
  <Override PartName="/xl/queryTables/queryTable1900.xml" ContentType="application/vnd.openxmlformats-officedocument.spreadsheetml.queryTable+xml"/>
  <Override PartName="/xl/queryTables/queryTable2008.xml" ContentType="application/vnd.openxmlformats-officedocument.spreadsheetml.queryTable+xml"/>
  <Override PartName="/xl/queryTables/queryTable134.xml" ContentType="application/vnd.openxmlformats-officedocument.spreadsheetml.queryTable+xml"/>
  <Override PartName="/xl/queryTables/queryTable626.xml" ContentType="application/vnd.openxmlformats-officedocument.spreadsheetml.queryTable+xml"/>
  <Override PartName="/xl/queryTables/queryTable812.xml" ContentType="application/vnd.openxmlformats-officedocument.spreadsheetml.queryTable+xml"/>
  <Override PartName="/xl/queryTables/queryTable1392.xml" ContentType="application/vnd.openxmlformats-officedocument.spreadsheetml.queryTable+xml"/>
  <Override PartName="/xl/queryTables/queryTable1884.xml" ContentType="application/vnd.openxmlformats-officedocument.spreadsheetml.queryTable+xml"/>
  <Override PartName="/xl/queryTables/queryTable320.xml" ContentType="application/vnd.openxmlformats-officedocument.spreadsheetml.queryTable+xml"/>
  <Override PartName="/xl/queryTables/queryTable796.xml" ContentType="application/vnd.openxmlformats-officedocument.spreadsheetml.queryTable+xml"/>
  <Override PartName="/xl/queryTables/queryTable982.xml" ContentType="application/vnd.openxmlformats-officedocument.spreadsheetml.queryTable+xml"/>
  <Override PartName="/xl/queryTables/queryTable1137.xml" ContentType="application/vnd.openxmlformats-officedocument.spreadsheetml.queryTable+xml"/>
  <Override PartName="/xl/queryTables/queryTable1629.xml" ContentType="application/vnd.openxmlformats-officedocument.spreadsheetml.queryTable+xml"/>
  <Override PartName="/xl/queryTables/queryTable1815.xml" ContentType="application/vnd.openxmlformats-officedocument.spreadsheetml.queryTable+xml"/>
  <Override PartName="/xl/queryTables/queryTable490.xml" ContentType="application/vnd.openxmlformats-officedocument.spreadsheetml.queryTable+xml"/>
  <Override PartName="/xl/queryTables/queryTable727.xml" ContentType="application/vnd.openxmlformats-officedocument.spreadsheetml.queryTable+xml"/>
  <Override PartName="/xl/queryTables/queryTable1323.xml" ContentType="application/vnd.openxmlformats-officedocument.spreadsheetml.queryTable+xml"/>
  <Override PartName="/xl/queryTables/queryTable1799.xml" ContentType="application/vnd.openxmlformats-officedocument.spreadsheetml.queryTable+xml"/>
  <Override PartName="/xl/queryTables/queryTable1985.xml" ContentType="application/vnd.openxmlformats-officedocument.spreadsheetml.queryTable+xml"/>
  <Override PartName="/xl/queryTables/queryTable235.xml" ContentType="application/vnd.openxmlformats-officedocument.spreadsheetml.queryTable+xml"/>
  <Override PartName="/xl/queryTables/queryTable897.xml" ContentType="application/vnd.openxmlformats-officedocument.spreadsheetml.queryTable+xml"/>
  <Override PartName="/xl/queryTables/queryTable913.xml" ContentType="application/vnd.openxmlformats-officedocument.spreadsheetml.queryTable+xml"/>
  <Override PartName="/xl/queryTables/queryTable1493.xml" ContentType="application/vnd.openxmlformats-officedocument.spreadsheetml.queryTable+xml"/>
  <Override PartName="/xl/queryTables/queryTable421.xml" ContentType="application/vnd.openxmlformats-officedocument.spreadsheetml.queryTable+xml"/>
  <Override PartName="/xl/queryTables/queryTable1238.xml" ContentType="application/vnd.openxmlformats-officedocument.spreadsheetml.queryTable+xml"/>
  <Override PartName="/xl/queryTables/queryTable1916.xml" ContentType="application/vnd.openxmlformats-officedocument.spreadsheetml.queryTable+xml"/>
  <Override PartName="/xl/queryTables/queryTable591.xml" ContentType="application/vnd.openxmlformats-officedocument.spreadsheetml.queryTable+xml"/>
  <Override PartName="/xl/queryTables/queryTable828.xml" ContentType="application/vnd.openxmlformats-officedocument.spreadsheetml.queryTable+xml"/>
  <Override PartName="/xl/queryTables/queryTable1424.xml" ContentType="application/vnd.openxmlformats-officedocument.spreadsheetml.queryTable+xml"/>
  <Override PartName="/xl/queryTables/queryTable1610.xml" ContentType="application/vnd.openxmlformats-officedocument.spreadsheetml.queryTable+xml"/>
  <Override PartName="/xl/queryTables/queryTable336.xml" ContentType="application/vnd.openxmlformats-officedocument.spreadsheetml.queryTable+xml"/>
  <Override PartName="/xl/queryTables/queryTable522.xml" ContentType="application/vnd.openxmlformats-officedocument.spreadsheetml.queryTable+xml"/>
  <Override PartName="/xl/queryTables/queryTable998.xml" ContentType="application/vnd.openxmlformats-officedocument.spreadsheetml.queryTable+xml"/>
  <Override PartName="/xl/queryTables/queryTable1594.xml" ContentType="application/vnd.openxmlformats-officedocument.spreadsheetml.queryTable+xml"/>
  <Override PartName="/xl/queryTables/queryTable1780.xml" ContentType="application/vnd.openxmlformats-officedocument.spreadsheetml.queryTable+xml"/>
  <Override PartName="/xl/queryTables/queryTable84.xml" ContentType="application/vnd.openxmlformats-officedocument.spreadsheetml.queryTable+xml"/>
  <Override PartName="/xl/queryTables/queryTable692.xml" ContentType="application/vnd.openxmlformats-officedocument.spreadsheetml.queryTable+xml"/>
  <Override PartName="/xl/queryTables/queryTable1339.xml" ContentType="application/vnd.openxmlformats-officedocument.spreadsheetml.queryTable+xml"/>
  <Override PartName="/xl/queryTables/queryTable1525.xml" ContentType="application/vnd.openxmlformats-officedocument.spreadsheetml.queryTable+xml"/>
  <Override PartName="/xl/queryTables/queryTable437.xml" ContentType="application/vnd.openxmlformats-officedocument.spreadsheetml.queryTable+xml"/>
  <Override PartName="/xl/queryTables/queryTable929.xml" ContentType="application/vnd.openxmlformats-officedocument.spreadsheetml.queryTable+xml"/>
  <Override PartName="/xl/queryTables/queryTable1033.xml" ContentType="application/vnd.openxmlformats-officedocument.spreadsheetml.queryTable+xml"/>
  <Override PartName="/xl/queryTables/queryTable1695.xml" ContentType="application/vnd.openxmlformats-officedocument.spreadsheetml.queryTable+xml"/>
  <Override PartName="/xl/queryTables/queryTable1711.xml" ContentType="application/vnd.openxmlformats-officedocument.spreadsheetml.queryTable+xml"/>
  <Override PartName="/xl/queryTables/queryTable15.xml" ContentType="application/vnd.openxmlformats-officedocument.spreadsheetml.queryTable+xml"/>
  <Override PartName="/xl/queryTables/queryTable623.xml" ContentType="application/vnd.openxmlformats-officedocument.spreadsheetml.queryTable+xml"/>
  <Override PartName="/xl/queryTables/queryTable1881.xml" ContentType="application/vnd.openxmlformats-officedocument.spreadsheetml.queryTable+xml"/>
  <Override PartName="/xl/queryTables/queryTable2005.xml" ContentType="application/vnd.openxmlformats-officedocument.spreadsheetml.queryTable+xml"/>
  <Override PartName="/xl/queryTables/queryTable131.xml" ContentType="application/vnd.openxmlformats-officedocument.spreadsheetml.queryTable+xml"/>
  <Override PartName="/xl/queryTables/queryTable793.xml" ContentType="application/vnd.openxmlformats-officedocument.spreadsheetml.queryTable+xml"/>
  <Override PartName="/xl/queryTables/queryTable1626.xml" ContentType="application/vnd.openxmlformats-officedocument.spreadsheetml.queryTable+xml"/>
  <Override PartName="/xl/queryTables/queryTable538.xml" ContentType="application/vnd.openxmlformats-officedocument.spreadsheetml.queryTable+xml"/>
  <Override PartName="/xl/queryTables/queryTable1134.xml" ContentType="application/vnd.openxmlformats-officedocument.spreadsheetml.queryTable+xml"/>
  <Override PartName="/xl/queryTables/queryTable1320.xml" ContentType="application/vnd.openxmlformats-officedocument.spreadsheetml.queryTable+xml"/>
  <Override PartName="/xl/queryTables/queryTable1796.xml" ContentType="application/vnd.openxmlformats-officedocument.spreadsheetml.queryTable+xml"/>
  <Override PartName="/xl/queryTables/queryTable1812.xml" ContentType="application/vnd.openxmlformats-officedocument.spreadsheetml.queryTable+xml"/>
  <Override PartName="/xl/queryTables/queryTable232.xml" ContentType="application/vnd.openxmlformats-officedocument.spreadsheetml.queryTable+xml"/>
  <Override PartName="/xl/queryTables/queryTable724.xml" ContentType="application/vnd.openxmlformats-officedocument.spreadsheetml.queryTable+xml"/>
  <Override PartName="/xl/queryTables/queryTable910.xml" ContentType="application/vnd.openxmlformats-officedocument.spreadsheetml.queryTable+xml"/>
  <Override PartName="/xl/queryTables/queryTable1982.xml" ContentType="application/vnd.openxmlformats-officedocument.spreadsheetml.queryTable+xml"/>
  <Override PartName="/xl/queryTables/queryTable894.xml" ContentType="application/vnd.openxmlformats-officedocument.spreadsheetml.queryTable+xml"/>
  <Override PartName="/xl/queryTables/queryTable1049.xml" ContentType="application/vnd.openxmlformats-officedocument.spreadsheetml.queryTable+xml"/>
  <Override PartName="/xl/queryTables/queryTable1235.xml" ContentType="application/vnd.openxmlformats-officedocument.spreadsheetml.queryTable+xml"/>
  <Override PartName="/xl/queryTables/queryTable1490.xml" ContentType="application/vnd.openxmlformats-officedocument.spreadsheetml.queryTable+xml"/>
  <Override PartName="/xl/queryTables/queryTable1727.xml" ContentType="application/vnd.openxmlformats-officedocument.spreadsheetml.queryTable+xml"/>
  <Override PartName="/xl/queryTables/queryTable1913.xml" ContentType="application/vnd.openxmlformats-officedocument.spreadsheetml.queryTable+xml"/>
  <Override PartName="/xl/queryTables/queryTable639.xml" ContentType="application/vnd.openxmlformats-officedocument.spreadsheetml.queryTable+xml"/>
  <Override PartName="/xl/queryTables/queryTable825.xml" ContentType="application/vnd.openxmlformats-officedocument.spreadsheetml.queryTable+xml"/>
  <Override PartName="/xl/queryTables/queryTable1421.xml" ContentType="application/vnd.openxmlformats-officedocument.spreadsheetml.queryTable+xml"/>
  <Override PartName="/xl/queryTables/queryTable1897.xml" ContentType="application/vnd.openxmlformats-officedocument.spreadsheetml.queryTable+xml"/>
  <Override PartName="/xl/queryTables/queryTable147.xml" ContentType="application/vnd.openxmlformats-officedocument.spreadsheetml.queryTable+xml"/>
  <Override PartName="/xl/queryTables/queryTable333.xml" ContentType="application/vnd.openxmlformats-officedocument.spreadsheetml.queryTable+xml"/>
  <Override PartName="/xl/queryTables/queryTable1591.xml" ContentType="application/vnd.openxmlformats-officedocument.spreadsheetml.queryTable+xml"/>
  <Override PartName="/xl/queryTables/queryTable1828.xml" ContentType="application/vnd.openxmlformats-officedocument.spreadsheetml.queryTable+xml"/>
  <Override PartName="/xl/queryTables/queryTable995.xml" ContentType="application/vnd.openxmlformats-officedocument.spreadsheetml.queryTable+xml"/>
  <Override PartName="/xl/queryTables/queryTable1336.xml" ContentType="application/vnd.openxmlformats-officedocument.spreadsheetml.queryTable+xml"/>
  <Override PartName="/xl/queryTables/queryTable81.xml" ContentType="application/vnd.openxmlformats-officedocument.spreadsheetml.queryTable+xml"/>
  <Override PartName="/xl/queryTables/queryTable248.xml" ContentType="application/vnd.openxmlformats-officedocument.spreadsheetml.queryTable+xml"/>
  <Override PartName="/xl/queryTables/queryTable926.xml" ContentType="application/vnd.openxmlformats-officedocument.spreadsheetml.queryTable+xml"/>
  <Override PartName="/xl/queryTables/queryTable1522.xml" ContentType="application/vnd.openxmlformats-officedocument.spreadsheetml.queryTable+xml"/>
  <Override PartName="/xl/queryTables/queryTable1998.xml" ContentType="application/vnd.openxmlformats-officedocument.spreadsheetml.queryTable+xml"/>
  <Override PartName="/docProps/app.xml" ContentType="application/vnd.openxmlformats-officedocument.extended-properties+xml"/>
  <Override PartName="/xl/queryTables/queryTable12.xml" ContentType="application/vnd.openxmlformats-officedocument.spreadsheetml.queryTable+xml"/>
  <Override PartName="/xl/queryTables/queryTable434.xml" ContentType="application/vnd.openxmlformats-officedocument.spreadsheetml.queryTable+xml"/>
  <Override PartName="/xl/queryTables/queryTable620.xml" ContentType="application/vnd.openxmlformats-officedocument.spreadsheetml.queryTable+xml"/>
  <Override PartName="/xl/queryTables/queryTable1030.xml" ContentType="application/vnd.openxmlformats-officedocument.spreadsheetml.queryTable+xml"/>
  <Override PartName="/xl/queryTables/queryTable1692.xml" ContentType="application/vnd.openxmlformats-officedocument.spreadsheetml.queryTable+xml"/>
  <Override PartName="/xl/queryTables/queryTable1929.xml" ContentType="application/vnd.openxmlformats-officedocument.spreadsheetml.queryTable+xml"/>
  <Override PartName="/xl/queryTables/queryTable2002.xml" ContentType="application/vnd.openxmlformats-officedocument.spreadsheetml.queryTable+xml"/>
  <Override PartName="/xl/queryTables/queryTable1437.xml" ContentType="application/vnd.openxmlformats-officedocument.spreadsheetml.queryTable+xml"/>
  <Override PartName="/xl/queryTables/queryTable1623.xml" ContentType="application/vnd.openxmlformats-officedocument.spreadsheetml.queryTable+xml"/>
  <Override PartName="/xl/queryTables/queryTable349.xml" ContentType="application/vnd.openxmlformats-officedocument.spreadsheetml.queryTable+xml"/>
  <Override PartName="/xl/queryTables/queryTable790.xml" ContentType="application/vnd.openxmlformats-officedocument.spreadsheetml.queryTable+xml"/>
  <Override PartName="/xl/queryTables/queryTable1131.xml" ContentType="application/vnd.openxmlformats-officedocument.spreadsheetml.queryTable+xml"/>
  <Override PartName="/xl/queryTables/queryTable535.xml" ContentType="application/vnd.openxmlformats-officedocument.spreadsheetml.queryTable+xml"/>
  <Override PartName="/xl/queryTables/queryTable721.xml" ContentType="application/vnd.openxmlformats-officedocument.spreadsheetml.queryTable+xml"/>
  <Override PartName="/xl/queryTables/queryTable1793.xml" ContentType="application/vnd.openxmlformats-officedocument.spreadsheetml.queryTable+xml"/>
  <Override PartName="/xl/queryTables/queryTable97.xml" ContentType="application/vnd.openxmlformats-officedocument.spreadsheetml.queryTable+xml"/>
  <Override PartName="/xl/queryTables/queryTable891.xml" ContentType="application/vnd.openxmlformats-officedocument.spreadsheetml.queryTable+xml"/>
  <Override PartName="/xl/queryTables/queryTable1046.xml" ContentType="application/vnd.openxmlformats-officedocument.spreadsheetml.queryTable+xml"/>
  <Override PartName="/xl/queryTables/queryTable1538.xml" ContentType="application/vnd.openxmlformats-officedocument.spreadsheetml.queryTable+xml"/>
  <Override PartName="/xl/queryTables/queryTable1724.xml" ContentType="application/vnd.openxmlformats-officedocument.spreadsheetml.queryTable+xml"/>
  <Override PartName="/xl/queryTables/queryTable28.xml" ContentType="application/vnd.openxmlformats-officedocument.spreadsheetml.queryTable+xml"/>
  <Override PartName="/xl/queryTables/queryTable636.xml" ContentType="application/vnd.openxmlformats-officedocument.spreadsheetml.queryTable+xml"/>
  <Override PartName="/xl/queryTables/queryTable1232.xml" ContentType="application/vnd.openxmlformats-officedocument.spreadsheetml.queryTable+xml"/>
  <Override PartName="/xl/queryTables/queryTable1894.xml" ContentType="application/vnd.openxmlformats-officedocument.spreadsheetml.queryTable+xml"/>
  <Override PartName="/xl/queryTables/queryTable1910.xml" ContentType="application/vnd.openxmlformats-officedocument.spreadsheetml.queryTable+xml"/>
  <Override PartName="/xl/queryTables/queryTable2018.xml" ContentType="application/vnd.openxmlformats-officedocument.spreadsheetml.queryTable+xml"/>
  <Override PartName="/xl/queryTables/queryTable144.xml" ContentType="application/vnd.openxmlformats-officedocument.spreadsheetml.queryTable+xml"/>
  <Override PartName="/xl/queryTables/queryTable822.xml" ContentType="application/vnd.openxmlformats-officedocument.spreadsheetml.queryTable+xml"/>
  <Override PartName="/xl/queryTables/queryTable1639.xml" ContentType="application/vnd.openxmlformats-officedocument.spreadsheetml.queryTable+xml"/>
  <Override PartName="/xl/queryTables/queryTable330.xml" ContentType="application/vnd.openxmlformats-officedocument.spreadsheetml.queryTable+xml"/>
  <Override PartName="/xl/queryTables/queryTable992.xml" ContentType="application/vnd.openxmlformats-officedocument.spreadsheetml.queryTable+xml"/>
  <Override PartName="/xl/queryTables/queryTable1147.xml" ContentType="application/vnd.openxmlformats-officedocument.spreadsheetml.queryTable+xml"/>
  <Override PartName="/xl/queryTables/queryTable1825.xml" ContentType="application/vnd.openxmlformats-officedocument.spreadsheetml.queryTable+xml"/>
  <Override PartName="/xl/queryTables/queryTable737.xml" ContentType="application/vnd.openxmlformats-officedocument.spreadsheetml.queryTable+xml"/>
  <Override PartName="/xl/queryTables/queryTable1333.xml" ContentType="application/vnd.openxmlformats-officedocument.spreadsheetml.queryTable+xml"/>
  <Override PartName="/xl/queryTables/queryTable1995.xml" ContentType="application/vnd.openxmlformats-officedocument.spreadsheetml.queryTable+xml"/>
  <Override PartName="/xl/queryTables/queryTable245.xml" ContentType="application/vnd.openxmlformats-officedocument.spreadsheetml.queryTable+xml"/>
  <Override PartName="/xl/queryTables/queryTable431.xml" ContentType="application/vnd.openxmlformats-officedocument.spreadsheetml.queryTable+xml"/>
  <Override PartName="/xl/queryTables/queryTable923.xml" ContentType="application/vnd.openxmlformats-officedocument.spreadsheetml.queryTable+xml"/>
  <Override PartName="/xl/queryTables/queryTable1248.xml" ContentType="application/vnd.openxmlformats-officedocument.spreadsheetml.queryTable+xml"/>
  <Override PartName="/xl/queryTables/queryTable1434.xml" ContentType="application/vnd.openxmlformats-officedocument.spreadsheetml.queryTable+xml"/>
  <Override PartName="/xl/queryTables/queryTable1926.xml" ContentType="application/vnd.openxmlformats-officedocument.spreadsheetml.queryTable+xml"/>
  <Override PartName="/xl/queryTables/queryTable346.xml" ContentType="application/vnd.openxmlformats-officedocument.spreadsheetml.queryTable+xml"/>
  <Override PartName="/xl/queryTables/queryTable838.xml" ContentType="application/vnd.openxmlformats-officedocument.spreadsheetml.queryTable+xml"/>
  <Override PartName="/xl/queryTables/queryTable1620.xml" ContentType="application/vnd.openxmlformats-officedocument.spreadsheetml.queryTable+xml"/>
  <Override PartName="/xl/queryTables/queryTable532.xml" ContentType="application/vnd.openxmlformats-officedocument.spreadsheetml.queryTable+xml"/>
  <Override PartName="/xl/queryTables/queryTable1349.xml" ContentType="application/vnd.openxmlformats-officedocument.spreadsheetml.queryTable+xml"/>
  <Override PartName="/xl/queryTables/queryTable1790.xml" ContentType="application/vnd.openxmlformats-officedocument.spreadsheetml.queryTable+xml"/>
  <Override PartName="/xl/queryTables/queryTable94.xml" ContentType="application/vnd.openxmlformats-officedocument.spreadsheetml.queryTable+xml"/>
  <Override PartName="/xl/queryTables/queryTable939.xml" ContentType="application/vnd.openxmlformats-officedocument.spreadsheetml.queryTable+xml"/>
  <Override PartName="/xl/queryTables/queryTable1535.xml" ContentType="application/vnd.openxmlformats-officedocument.spreadsheetml.queryTable+xml"/>
  <Override PartName="/xl/queryTables/queryTable447.xml" ContentType="application/vnd.openxmlformats-officedocument.spreadsheetml.queryTable+xml"/>
  <Override PartName="/xl/queryTables/queryTable1043.xml" ContentType="application/vnd.openxmlformats-officedocument.spreadsheetml.queryTable+xml"/>
  <Override PartName="/xl/queryTables/queryTable1721.xml" ContentType="application/vnd.openxmlformats-officedocument.spreadsheetml.queryTable+xml"/>
  <Override PartName="/xl/queryTables/queryTable25.xml" ContentType="application/vnd.openxmlformats-officedocument.spreadsheetml.queryTable+xml"/>
  <Override PartName="/xl/queryTables/queryTable633.xml" ContentType="application/vnd.openxmlformats-officedocument.spreadsheetml.queryTable+xml"/>
  <Override PartName="/xl/queryTables/queryTable1891.xml" ContentType="application/vnd.openxmlformats-officedocument.spreadsheetml.queryTable+xml"/>
  <Override PartName="/xl/queryTables/queryTable2015.xml" ContentType="application/vnd.openxmlformats-officedocument.spreadsheetml.queryTable+xml"/>
  <Override PartName="/xl/queryTables/queryTable141.xml" ContentType="application/vnd.openxmlformats-officedocument.spreadsheetml.queryTable+xml"/>
  <Override PartName="/xl/queryTables/queryTable1636.xml" ContentType="application/vnd.openxmlformats-officedocument.spreadsheetml.queryTable+xml"/>
  <Override PartName="/xl/queryTables/queryTable1822.xml" ContentType="application/vnd.openxmlformats-officedocument.spreadsheetml.queryTable+xml"/>
  <Override PartName="/xl/queryTables/queryTable548.xml" ContentType="application/vnd.openxmlformats-officedocument.spreadsheetml.queryTable+xml"/>
  <Override PartName="/xl/queryTables/queryTable734.xml" ContentType="application/vnd.openxmlformats-officedocument.spreadsheetml.queryTable+xml"/>
  <Override PartName="/xl/queryTables/queryTable1144.xml" ContentType="application/vnd.openxmlformats-officedocument.spreadsheetml.queryTable+xml"/>
  <Override PartName="/xl/queryTables/queryTable1330.xml" ContentType="application/vnd.openxmlformats-officedocument.spreadsheetml.queryTable+xml"/>
  <Override PartName="/xl/queryTables/queryTable1992.xml" ContentType="application/vnd.openxmlformats-officedocument.spreadsheetml.queryTable+xml"/>
  <Override PartName="/xl/queryTables/queryTable242.xml" ContentType="application/vnd.openxmlformats-officedocument.spreadsheetml.queryTable+xml"/>
  <Override PartName="/xl/queryTables/queryTable920.xml" ContentType="application/vnd.openxmlformats-officedocument.spreadsheetml.queryTable+xml"/>
  <Override PartName="/xl/queryTables/queryTable1737.xml" ContentType="application/vnd.openxmlformats-officedocument.spreadsheetml.queryTable+xml"/>
  <Override PartName="/xl/queryTables/queryTable318.xml" ContentType="application/vnd.openxmlformats-officedocument.spreadsheetml.queryTable+xml"/>
  <Override PartName="/xl/queryTables/queryTable1059.xml" ContentType="application/vnd.openxmlformats-officedocument.spreadsheetml.queryTable+xml"/>
  <Override PartName="/xl/queryTables/queryTable1245.xml" ContentType="application/vnd.openxmlformats-officedocument.spreadsheetml.queryTable+xml"/>
  <Override PartName="/xl/queryTables/queryTable1576.xml" ContentType="application/vnd.openxmlformats-officedocument.spreadsheetml.queryTable+xml"/>
  <Override PartName="/xl/queryTables/queryTable1923.xml" ContentType="application/vnd.openxmlformats-officedocument.spreadsheetml.queryTable+xml"/>
  <Override PartName="/xl/queryTables/queryTable157.xml" ContentType="application/vnd.openxmlformats-officedocument.spreadsheetml.queryTable+xml"/>
  <Override PartName="/xl/queryTables/queryTable504.xml" ContentType="application/vnd.openxmlformats-officedocument.spreadsheetml.queryTable+xml"/>
  <Override PartName="/xl/tables/table4.xml" ContentType="application/vnd.openxmlformats-officedocument.spreadsheetml.table+xml"/>
  <Override PartName="/xl/queryTables/queryTable649.xml" ContentType="application/vnd.openxmlformats-officedocument.spreadsheetml.queryTable+xml"/>
  <Override PartName="/xl/queryTables/queryTable835.xml" ContentType="application/vnd.openxmlformats-officedocument.spreadsheetml.queryTable+xml"/>
  <Override PartName="/xl/queryTables/queryTable1084.xml" ContentType="application/vnd.openxmlformats-officedocument.spreadsheetml.queryTable+xml"/>
  <Override PartName="/xl/queryTables/queryTable1100.xml" ContentType="application/vnd.openxmlformats-officedocument.spreadsheetml.queryTable+xml"/>
  <Override PartName="/xl/queryTables/queryTable1431.xml" ContentType="application/vnd.openxmlformats-officedocument.spreadsheetml.queryTable+xml"/>
  <Override PartName="/xl/queryTables/queryTable1762.xml" ContentType="application/vnd.openxmlformats-officedocument.spreadsheetml.queryTable+xml"/>
  <Override PartName="/xl/queryTables/queryTable66.xml" ContentType="application/vnd.openxmlformats-officedocument.spreadsheetml.queryTable+xml"/>
  <Override PartName="/xl/queryTables/queryTable343.xml" ContentType="application/vnd.openxmlformats-officedocument.spreadsheetml.queryTable+xml"/>
  <Override PartName="/xl/queryTables/queryTable488.xml" ContentType="application/vnd.openxmlformats-officedocument.spreadsheetml.queryTable+xml"/>
  <Override PartName="/xl/queryTables/queryTable674.xml" ContentType="application/vnd.openxmlformats-officedocument.spreadsheetml.queryTable+xml"/>
  <Override PartName="/xl/queryTables/queryTable1270.xml" ContentType="application/vnd.openxmlformats-officedocument.spreadsheetml.queryTable+xml"/>
  <Override PartName="/xl/queryTables/queryTable1507.xml" ContentType="application/vnd.openxmlformats-officedocument.spreadsheetml.queryTable+xml"/>
  <Override PartName="/xl/queryTables/queryTable1838.xml" ContentType="application/vnd.openxmlformats-officedocument.spreadsheetml.queryTable+xml"/>
  <Override PartName="/xl/queryTables/queryTable2056.xml" ContentType="application/vnd.openxmlformats-officedocument.spreadsheetml.queryTable+xml"/>
  <Override PartName="/xl/queryTables/queryTable91.xml" ContentType="application/vnd.openxmlformats-officedocument.spreadsheetml.queryTable+xml"/>
  <Override PartName="/xl/queryTables/queryTable182.xml" ContentType="application/vnd.openxmlformats-officedocument.spreadsheetml.queryTable+xml"/>
  <Override PartName="/xl/queryTables/queryTable419.xml" ContentType="application/vnd.openxmlformats-officedocument.spreadsheetml.queryTable+xml"/>
  <Override PartName="/xl/queryTables/queryTable860.xml" ContentType="application/vnd.openxmlformats-officedocument.spreadsheetml.queryTable+xml"/>
  <Override PartName="/xl/queryTables/queryTable1015.xml" ContentType="application/vnd.openxmlformats-officedocument.spreadsheetml.queryTable+xml"/>
  <Override PartName="/xl/queryTables/queryTable1201.xml" ContentType="application/vnd.openxmlformats-officedocument.spreadsheetml.queryTable+xml"/>
  <Override PartName="/xl/queryTables/queryTable1346.xml" ContentType="application/vnd.openxmlformats-officedocument.spreadsheetml.queryTable+xml"/>
  <Override PartName="/xl/queryTables/queryTable1532.xml" ContentType="application/vnd.openxmlformats-officedocument.spreadsheetml.queryTable+xml"/>
  <Override PartName="/xl/queryTables/queryTable1677.xml" ContentType="application/vnd.openxmlformats-officedocument.spreadsheetml.queryTable+xml"/>
  <Override PartName="/xl/queryTables/queryTable113.xml" ContentType="application/vnd.openxmlformats-officedocument.spreadsheetml.queryTable+xml"/>
  <Override PartName="/xl/queryTables/queryTable258.xml" ContentType="application/vnd.openxmlformats-officedocument.spreadsheetml.queryTable+xml"/>
  <Override PartName="/xl/queryTables/queryTable589.xml" ContentType="application/vnd.openxmlformats-officedocument.spreadsheetml.queryTable+xml"/>
  <Override PartName="/xl/queryTables/queryTable605.xml" ContentType="application/vnd.openxmlformats-officedocument.spreadsheetml.queryTable+xml"/>
  <Override PartName="/xl/queryTables/queryTable936.xml" ContentType="application/vnd.openxmlformats-officedocument.spreadsheetml.queryTable+xml"/>
  <Override PartName="/xl/queryTables/queryTable1040.xml" ContentType="application/vnd.openxmlformats-officedocument.spreadsheetml.queryTable+xml"/>
  <Override PartName="/xl/queryTables/queryTable1185.xml" ContentType="application/vnd.openxmlformats-officedocument.spreadsheetml.queryTable+xml"/>
  <Override PartName="/xl/queryTables/queryTable1371.xml" ContentType="application/vnd.openxmlformats-officedocument.spreadsheetml.queryTable+xml"/>
  <Override PartName="/xl/queryTables/queryTable1863.xml" ContentType="application/vnd.openxmlformats-officedocument.spreadsheetml.queryTable+xml"/>
  <Override PartName="/xl/queryTables/queryTable22.xml" ContentType="application/vnd.openxmlformats-officedocument.spreadsheetml.queryTable+xml"/>
  <Override PartName="/xl/queryTables/queryTable444.xml" ContentType="application/vnd.openxmlformats-officedocument.spreadsheetml.queryTable+xml"/>
  <Override PartName="/xl/queryTables/queryTable630.xml" ContentType="application/vnd.openxmlformats-officedocument.spreadsheetml.queryTable+xml"/>
  <Override PartName="/xl/queryTables/queryTable775.xml" ContentType="application/vnd.openxmlformats-officedocument.spreadsheetml.queryTable+xml"/>
  <Override PartName="/xl/queryTables/queryTable961.xml" ContentType="application/vnd.openxmlformats-officedocument.spreadsheetml.queryTable+xml"/>
  <Override PartName="/xl/queryTables/queryTable1116.xml" ContentType="application/vnd.openxmlformats-officedocument.spreadsheetml.queryTable+xml"/>
  <Override PartName="/xl/queryTables/queryTable1608.xml" ContentType="application/vnd.openxmlformats-officedocument.spreadsheetml.queryTable+xml"/>
  <Override PartName="/xl/queryTables/queryTable1939.xml" ContentType="application/vnd.openxmlformats-officedocument.spreadsheetml.queryTable+xml"/>
  <Override PartName="/xl/queryTables/queryTable2012.xml" ContentType="application/vnd.openxmlformats-officedocument.spreadsheetml.queryTable+xml"/>
  <Override PartName="/xl/queryTables/queryTable283.xml" ContentType="application/vnd.openxmlformats-officedocument.spreadsheetml.queryTable+xml"/>
  <Override PartName="/xl/queryTables/queryTable706.xml" ContentType="application/vnd.openxmlformats-officedocument.spreadsheetml.queryTable+xml"/>
  <Override PartName="/xl/queryTables/queryTable1302.xml" ContentType="application/vnd.openxmlformats-officedocument.spreadsheetml.queryTable+xml"/>
  <Override PartName="/xl/queryTables/queryTable1447.xml" ContentType="application/vnd.openxmlformats-officedocument.spreadsheetml.queryTable+xml"/>
  <Override PartName="/xl/queryTables/queryTable1633.xml" ContentType="application/vnd.openxmlformats-officedocument.spreadsheetml.queryTable+xml"/>
  <Override PartName="/xl/queryTables/queryTable1778.xml" ContentType="application/vnd.openxmlformats-officedocument.spreadsheetml.queryTable+xml"/>
  <Override PartName="/xl/queryTables/queryTable1964.xml" ContentType="application/vnd.openxmlformats-officedocument.spreadsheetml.queryTable+xml"/>
  <Override PartName="/xl/sharedStrings.xml" ContentType="application/vnd.openxmlformats-officedocument.spreadsheetml.sharedStrings+xml"/>
  <Override PartName="/xl/queryTables/queryTable214.xml" ContentType="application/vnd.openxmlformats-officedocument.spreadsheetml.queryTable+xml"/>
  <Override PartName="/xl/queryTables/queryTable359.xml" ContentType="application/vnd.openxmlformats-officedocument.spreadsheetml.queryTable+xml"/>
  <Override PartName="/xl/queryTables/queryTable545.xml" ContentType="application/vnd.openxmlformats-officedocument.spreadsheetml.queryTable+xml"/>
  <Override PartName="/xl/queryTables/queryTable1141.xml" ContentType="application/vnd.openxmlformats-officedocument.spreadsheetml.queryTable+xml"/>
  <Override PartName="/xl/queryTables/queryTable1286.xml" ContentType="application/vnd.openxmlformats-officedocument.spreadsheetml.queryTable+xml"/>
  <Override PartName="/xl/queryTables/queryTable1472.xml" ContentType="application/vnd.openxmlformats-officedocument.spreadsheetml.queryTable+xml"/>
  <Override PartName="/xl/queryTables/queryTable1709.xml" ContentType="application/vnd.openxmlformats-officedocument.spreadsheetml.queryTable+xml"/>
  <Override PartName="/xl/queryTables/queryTable198.xml" ContentType="application/vnd.openxmlformats-officedocument.spreadsheetml.queryTable+xml"/>
  <Override PartName="/xl/queryTables/queryTable384.xml" ContentType="application/vnd.openxmlformats-officedocument.spreadsheetml.queryTable+xml"/>
  <Override PartName="/xl/queryTables/queryTable400.xml" ContentType="application/vnd.openxmlformats-officedocument.spreadsheetml.queryTable+xml"/>
  <Override PartName="/xl/queryTables/queryTable731.xml" ContentType="application/vnd.openxmlformats-officedocument.spreadsheetml.queryTable+xml"/>
  <Override PartName="/xl/queryTables/queryTable876.xml" ContentType="application/vnd.openxmlformats-officedocument.spreadsheetml.queryTable+xml"/>
  <Override PartName="/xl/queryTables/queryTable1217.xml" ContentType="application/vnd.openxmlformats-officedocument.spreadsheetml.queryTable+xml"/>
  <Override PartName="/xl/queryTables/queryTable1548.xml" ContentType="application/vnd.openxmlformats-officedocument.spreadsheetml.queryTable+xml"/>
  <Override PartName="/xl/queryTables/queryTable129.xml" ContentType="application/vnd.openxmlformats-officedocument.spreadsheetml.queryTable+xml"/>
  <Override PartName="/xl/queryTables/queryTable570.xml" ContentType="application/vnd.openxmlformats-officedocument.spreadsheetml.queryTable+xml"/>
  <Override PartName="/xl/queryTables/queryTable807.xml" ContentType="application/vnd.openxmlformats-officedocument.spreadsheetml.queryTable+xml"/>
  <Override PartName="/xl/queryTables/queryTable1056.xml" ContentType="application/vnd.openxmlformats-officedocument.spreadsheetml.queryTable+xml"/>
  <Override PartName="/xl/queryTables/queryTable1387.xml" ContentType="application/vnd.openxmlformats-officedocument.spreadsheetml.queryTable+xml"/>
  <Override PartName="/xl/queryTables/queryTable1403.xml" ContentType="application/vnd.openxmlformats-officedocument.spreadsheetml.queryTable+xml"/>
  <Override PartName="/xl/queryTables/queryTable1734.xml" ContentType="application/vnd.openxmlformats-officedocument.spreadsheetml.queryTable+xml"/>
  <Override PartName="/xl/queryTables/queryTable1879.xml" ContentType="application/vnd.openxmlformats-officedocument.spreadsheetml.queryTable+xml"/>
  <Override PartName="/xl/queryTables/queryTable1920.xml" ContentType="application/vnd.openxmlformats-officedocument.spreadsheetml.queryTable+xml"/>
  <Override PartName="/xl/tables/table1.xml" ContentType="application/vnd.openxmlformats-officedocument.spreadsheetml.table+xml"/>
  <Override PartName="/xl/queryTables/queryTable38.xml" ContentType="application/vnd.openxmlformats-officedocument.spreadsheetml.queryTable+xml"/>
  <Override PartName="/xl/queryTables/queryTable299.xml" ContentType="application/vnd.openxmlformats-officedocument.spreadsheetml.queryTable+xml"/>
  <Override PartName="/xl/queryTables/queryTable315.xml" ContentType="application/vnd.openxmlformats-officedocument.spreadsheetml.queryTable+xml"/>
  <Override PartName="/xl/queryTables/queryTable501.xml" ContentType="application/vnd.openxmlformats-officedocument.spreadsheetml.queryTable+xml"/>
  <Override PartName="/xl/queryTables/queryTable646.xml" ContentType="application/vnd.openxmlformats-officedocument.spreadsheetml.queryTable+xml"/>
  <Override PartName="/xl/queryTables/queryTable977.xml" ContentType="application/vnd.openxmlformats-officedocument.spreadsheetml.queryTable+xml"/>
  <Override PartName="/xl/queryTables/queryTable1242.xml" ContentType="application/vnd.openxmlformats-officedocument.spreadsheetml.queryTable+xml"/>
  <Override PartName="/xl/queryTables/queryTable1573.xml" ContentType="application/vnd.openxmlformats-officedocument.spreadsheetml.queryTable+xml"/>
  <Override PartName="/xl/queryTables/queryTable2028.xml" ContentType="application/vnd.openxmlformats-officedocument.spreadsheetml.queryTable+xml"/>
  <Override PartName="/xl/queryTables/queryTable63.xml" ContentType="application/vnd.openxmlformats-officedocument.spreadsheetml.queryTable+xml"/>
  <Override PartName="/xl/queryTables/queryTable154.xml" ContentType="application/vnd.openxmlformats-officedocument.spreadsheetml.queryTable+xml"/>
  <Override PartName="/xl/queryTables/queryTable340.xml" ContentType="application/vnd.openxmlformats-officedocument.spreadsheetml.queryTable+xml"/>
  <Override PartName="/xl/queryTables/queryTable485.xml" ContentType="application/vnd.openxmlformats-officedocument.spreadsheetml.queryTable+xml"/>
  <Override PartName="/xl/queryTables/queryTable832.xml" ContentType="application/vnd.openxmlformats-officedocument.spreadsheetml.queryTable+xml"/>
  <Override PartName="/xl/queryTables/queryTable1081.xml" ContentType="application/vnd.openxmlformats-officedocument.spreadsheetml.queryTable+xml"/>
  <Override PartName="/xl/queryTables/queryTable1318.xml" ContentType="application/vnd.openxmlformats-officedocument.spreadsheetml.queryTable+xml"/>
  <Override PartName="/xl/queryTables/queryTable1504.xml" ContentType="application/vnd.openxmlformats-officedocument.spreadsheetml.queryTable+xml"/>
  <Override PartName="/xl/queryTables/queryTable1649.xml" ContentType="application/vnd.openxmlformats-officedocument.spreadsheetml.queryTable+xml"/>
  <Override PartName="/xl/queryTables/queryTable2053.xml" ContentType="application/vnd.openxmlformats-officedocument.spreadsheetml.queryTable+xml"/>
  <Override PartName="/xl/queryTables/queryTable671.xml" ContentType="application/vnd.openxmlformats-officedocument.spreadsheetml.queryTable+xml"/>
  <Override PartName="/xl/queryTables/queryTable908.xml" ContentType="application/vnd.openxmlformats-officedocument.spreadsheetml.queryTable+xml"/>
  <Override PartName="/xl/queryTables/queryTable1012.xml" ContentType="application/vnd.openxmlformats-officedocument.spreadsheetml.queryTable+xml"/>
  <Override PartName="/xl/queryTables/queryTable1157.xml" ContentType="application/vnd.openxmlformats-officedocument.spreadsheetml.queryTable+xml"/>
  <Override PartName="/xl/queryTables/queryTable1343.xml" ContentType="application/vnd.openxmlformats-officedocument.spreadsheetml.queryTable+xml"/>
  <Override PartName="/xl/queryTables/queryTable1488.xml" ContentType="application/vnd.openxmlformats-officedocument.spreadsheetml.queryTable+xml"/>
  <Override PartName="/xl/queryTables/queryTable1835.xml" ContentType="application/vnd.openxmlformats-officedocument.spreadsheetml.queryTable+xml"/>
  <Override PartName="/xl/queryTables/queryTable255.xml" ContentType="application/vnd.openxmlformats-officedocument.spreadsheetml.queryTable+xml"/>
  <Override PartName="/xl/queryTables/queryTable416.xml" ContentType="application/vnd.openxmlformats-officedocument.spreadsheetml.queryTable+xml"/>
  <Override PartName="/xl/queryTables/queryTable602.xml" ContentType="application/vnd.openxmlformats-officedocument.spreadsheetml.queryTable+xml"/>
  <Override PartName="/xl/queryTables/queryTable747.xml" ContentType="application/vnd.openxmlformats-officedocument.spreadsheetml.queryTable+xml"/>
  <Override PartName="/xl/queryTables/queryTable933.xml" ContentType="application/vnd.openxmlformats-officedocument.spreadsheetml.queryTable+xml"/>
  <Override PartName="/xl/queryTables/queryTable1182.xml" ContentType="application/vnd.openxmlformats-officedocument.spreadsheetml.queryTable+xml"/>
  <Override PartName="/xl/queryTables/queryTable1674.xml" ContentType="application/vnd.openxmlformats-officedocument.spreadsheetml.queryTable+xml"/>
  <Override PartName="/xl/queryTables/queryTable1860.xml" ContentType="application/vnd.openxmlformats-officedocument.spreadsheetml.queryTable+xml"/>
  <Override PartName="/xl/queryTables/queryTable110.xml" ContentType="application/vnd.openxmlformats-officedocument.spreadsheetml.queryTable+xml"/>
  <Override PartName="/xl/queryTables/queryTable441.xml" ContentType="application/vnd.openxmlformats-officedocument.spreadsheetml.queryTable+xml"/>
  <Override PartName="/xl/queryTables/queryTable586.xml" ContentType="application/vnd.openxmlformats-officedocument.spreadsheetml.queryTable+xml"/>
  <Override PartName="/xl/queryTables/queryTable772.xml" ContentType="application/vnd.openxmlformats-officedocument.spreadsheetml.queryTable+xml"/>
  <Override PartName="/xl/queryTables/queryTable1258.xml" ContentType="application/vnd.openxmlformats-officedocument.spreadsheetml.queryTable+xml"/>
  <Override PartName="/xl/queryTables/queryTable1419.xml" ContentType="application/vnd.openxmlformats-officedocument.spreadsheetml.queryTable+xml"/>
  <Override PartName="/xl/queryTables/queryTable1605.xml" ContentType="application/vnd.openxmlformats-officedocument.spreadsheetml.queryTable+xml"/>
  <Override PartName="/xl/queryTables/queryTable1936.xml" ContentType="application/vnd.openxmlformats-officedocument.spreadsheetml.queryTable+xml"/>
  <Override PartName="/xl/queryTables/queryTable280.xml" ContentType="application/vnd.openxmlformats-officedocument.spreadsheetml.queryTable+xml"/>
  <Override PartName="/xl/queryTables/queryTable517.xml" ContentType="application/vnd.openxmlformats-officedocument.spreadsheetml.queryTable+xml"/>
  <Override PartName="/xl/queryTables/queryTable848.xml" ContentType="application/vnd.openxmlformats-officedocument.spreadsheetml.queryTable+xml"/>
  <Override PartName="/xl/queryTables/queryTable1097.xml" ContentType="application/vnd.openxmlformats-officedocument.spreadsheetml.queryTable+xml"/>
  <Override PartName="/xl/queryTables/queryTable1113.xml" ContentType="application/vnd.openxmlformats-officedocument.spreadsheetml.queryTable+xml"/>
  <Override PartName="/xl/queryTables/queryTable1444.xml" ContentType="application/vnd.openxmlformats-officedocument.spreadsheetml.queryTable+xml"/>
  <Override PartName="/xl/queryTables/queryTable1589.xml" ContentType="application/vnd.openxmlformats-officedocument.spreadsheetml.queryTable+xml"/>
  <Override PartName="/xl/queryTables/queryTable1775.xml" ContentType="application/vnd.openxmlformats-officedocument.spreadsheetml.queryTable+xml"/>
  <Override PartName="/xl/queryTables/queryTable79.xml" ContentType="application/vnd.openxmlformats-officedocument.spreadsheetml.queryTable+xml"/>
  <Override PartName="/xl/queryTables/queryTable356.xml" ContentType="application/vnd.openxmlformats-officedocument.spreadsheetml.queryTable+xml"/>
  <Override PartName="/xl/queryTables/queryTable687.xml" ContentType="application/vnd.openxmlformats-officedocument.spreadsheetml.queryTable+xml"/>
  <Override PartName="/xl/queryTables/queryTable703.xml" ContentType="application/vnd.openxmlformats-officedocument.spreadsheetml.queryTable+xml"/>
  <Override PartName="/xl/queryTables/queryTable1283.xml" ContentType="application/vnd.openxmlformats-officedocument.spreadsheetml.queryTable+xml"/>
  <Override PartName="/xl/queryTables/queryTable1630.xml" ContentType="application/vnd.openxmlformats-officedocument.spreadsheetml.queryTable+xml"/>
  <Override PartName="/xl/queryTables/queryTable1961.xml" ContentType="application/vnd.openxmlformats-officedocument.spreadsheetml.queryTable+xml"/>
  <Override PartName="/xl/queryTables/queryTable2069.xml" ContentType="application/vnd.openxmlformats-officedocument.spreadsheetml.queryTable+xml"/>
  <Override PartName="/docProps/core.xml" ContentType="application/vnd.openxmlformats-package.core-properties+xml"/>
  <Override PartName="/xl/queryTables/queryTable195.xml" ContentType="application/vnd.openxmlformats-officedocument.spreadsheetml.queryTable+xml"/>
  <Override PartName="/xl/queryTables/queryTable211.xml" ContentType="application/vnd.openxmlformats-officedocument.spreadsheetml.queryTable+xml"/>
  <Override PartName="/xl/queryTables/queryTable542.xml" ContentType="application/vnd.openxmlformats-officedocument.spreadsheetml.queryTable+xml"/>
  <Override PartName="/xl/queryTables/queryTable873.xml" ContentType="application/vnd.openxmlformats-officedocument.spreadsheetml.queryTable+xml"/>
  <Override PartName="/xl/queryTables/queryTable1028.xml" ContentType="application/vnd.openxmlformats-officedocument.spreadsheetml.queryTable+xml"/>
  <Override PartName="/xl/queryTables/queryTable1359.xml" ContentType="application/vnd.openxmlformats-officedocument.spreadsheetml.queryTable+xml"/>
  <Override PartName="/xl/queryTables/queryTable1706.xml" ContentType="application/vnd.openxmlformats-officedocument.spreadsheetml.queryTable+xml"/>
  <Override PartName="/xl/queryTables/queryTable381.xml" ContentType="application/vnd.openxmlformats-officedocument.spreadsheetml.queryTable+xml"/>
  <Override PartName="/xl/queryTables/queryTable618.xml" ContentType="application/vnd.openxmlformats-officedocument.spreadsheetml.queryTable+xml"/>
  <Override PartName="/xl/queryTables/queryTable804.xml" ContentType="application/vnd.openxmlformats-officedocument.spreadsheetml.queryTable+xml"/>
  <Override PartName="/xl/queryTables/queryTable949.xml" ContentType="application/vnd.openxmlformats-officedocument.spreadsheetml.queryTable+xml"/>
  <Override PartName="/xl/queryTables/queryTable1198.xml" ContentType="application/vnd.openxmlformats-officedocument.spreadsheetml.queryTable+xml"/>
  <Override PartName="/xl/queryTables/queryTable1214.xml" ContentType="application/vnd.openxmlformats-officedocument.spreadsheetml.queryTable+xml"/>
  <Override PartName="/xl/queryTables/queryTable1400.xml" ContentType="application/vnd.openxmlformats-officedocument.spreadsheetml.queryTable+xml"/>
  <Override PartName="/xl/queryTables/queryTable1545.xml" ContentType="application/vnd.openxmlformats-officedocument.spreadsheetml.queryTable+xml"/>
  <Override PartName="/xl/queryTables/queryTable1731.xml" ContentType="application/vnd.openxmlformats-officedocument.spreadsheetml.queryTable+xml"/>
  <Override PartName="/xl/queryTables/queryTable1876.xml" ContentType="application/vnd.openxmlformats-officedocument.spreadsheetml.queryTable+xml"/>
  <Override PartName="/xl/queryTables/queryTable35.xml" ContentType="application/vnd.openxmlformats-officedocument.spreadsheetml.queryTable+xml"/>
  <Override PartName="/xl/queryTables/queryTable126.xml" ContentType="application/vnd.openxmlformats-officedocument.spreadsheetml.queryTable+xml"/>
  <Override PartName="/xl/queryTables/queryTable312.xml" ContentType="application/vnd.openxmlformats-officedocument.spreadsheetml.queryTable+xml"/>
  <Override PartName="/xl/queryTables/queryTable457.xml" ContentType="application/vnd.openxmlformats-officedocument.spreadsheetml.queryTable+xml"/>
  <Override PartName="/xl/queryTables/queryTable643.xml" ContentType="application/vnd.openxmlformats-officedocument.spreadsheetml.queryTable+xml"/>
  <Override PartName="/xl/queryTables/queryTable788.xml" ContentType="application/vnd.openxmlformats-officedocument.spreadsheetml.queryTable+xml"/>
  <Override PartName="/xl/queryTables/queryTable1053.xml" ContentType="application/vnd.openxmlformats-officedocument.spreadsheetml.queryTable+xml"/>
  <Override PartName="/xl/queryTables/queryTable1384.xml" ContentType="application/vnd.openxmlformats-officedocument.spreadsheetml.queryTable+xml"/>
  <Override PartName="/xl/queryTables/queryTable1570.xml" ContentType="application/vnd.openxmlformats-officedocument.spreadsheetml.queryTable+xml"/>
  <Override PartName="/xl/queryTables/queryTable1807.xml" ContentType="application/vnd.openxmlformats-officedocument.spreadsheetml.queryTable+xml"/>
  <Override PartName="/xl/queryTables/queryTable2025.xml" ContentType="application/vnd.openxmlformats-officedocument.spreadsheetml.queryTable+xml"/>
  <Override PartName="/xl/queryTables/queryTable151.xml" ContentType="application/vnd.openxmlformats-officedocument.spreadsheetml.queryTable+xml"/>
  <Override PartName="/xl/queryTables/queryTable296.xml" ContentType="application/vnd.openxmlformats-officedocument.spreadsheetml.queryTable+xml"/>
  <Override PartName="/xl/queryTables/queryTable482.xml" ContentType="application/vnd.openxmlformats-officedocument.spreadsheetml.queryTable+xml"/>
  <Override PartName="/xl/queryTables/queryTable974.xml" ContentType="application/vnd.openxmlformats-officedocument.spreadsheetml.queryTable+xml"/>
  <Override PartName="/xl/queryTables/queryTable1129.xml" ContentType="application/vnd.openxmlformats-officedocument.spreadsheetml.queryTable+xml"/>
  <Override PartName="/xl/queryTables/queryTable1315.xml" ContentType="application/vnd.openxmlformats-officedocument.spreadsheetml.queryTable+xml"/>
  <Override PartName="/xl/queryTables/queryTable1646.xml" ContentType="application/vnd.openxmlformats-officedocument.spreadsheetml.queryTable+xml"/>
  <Override PartName="/xl/queryTables/queryTable60.xml" ContentType="application/vnd.openxmlformats-officedocument.spreadsheetml.queryTable+xml"/>
  <Override PartName="/xl/queryTables/queryTable227.xml" ContentType="application/vnd.openxmlformats-officedocument.spreadsheetml.queryTable+xml"/>
  <Override PartName="/xl/queryTables/queryTable719.xml" ContentType="application/vnd.openxmlformats-officedocument.spreadsheetml.queryTable+xml"/>
  <Override PartName="/xl/queryTables/queryTable905.xml" ContentType="application/vnd.openxmlformats-officedocument.spreadsheetml.queryTable+xml"/>
  <Override PartName="/xl/queryTables/queryTable1154.xml" ContentType="application/vnd.openxmlformats-officedocument.spreadsheetml.queryTable+xml"/>
  <Override PartName="/xl/queryTables/queryTable1299.xml" ContentType="application/vnd.openxmlformats-officedocument.spreadsheetml.queryTable+xml"/>
  <Override PartName="/xl/queryTables/queryTable1485.xml" ContentType="application/vnd.openxmlformats-officedocument.spreadsheetml.queryTable+xml"/>
  <Override PartName="/xl/queryTables/queryTable1501.xml" ContentType="application/vnd.openxmlformats-officedocument.spreadsheetml.queryTable+xml"/>
  <Override PartName="/xl/queryTables/queryTable1832.xml" ContentType="application/vnd.openxmlformats-officedocument.spreadsheetml.queryTable+xml"/>
  <Override PartName="/xl/queryTables/queryTable1977.xml" ContentType="application/vnd.openxmlformats-officedocument.spreadsheetml.queryTable+xml"/>
  <Override PartName="/xl/queryTables/queryTable2050.xml" ContentType="application/vnd.openxmlformats-officedocument.spreadsheetml.queryTable+xml"/>
  <Override PartName="/xl/queryTables/queryTable413.xml" ContentType="application/vnd.openxmlformats-officedocument.spreadsheetml.queryTable+xml"/>
  <Override PartName="/xl/queryTables/queryTable558.xml" ContentType="application/vnd.openxmlformats-officedocument.spreadsheetml.queryTable+xml"/>
  <Override PartName="/xl/queryTables/queryTable744.xml" ContentType="application/vnd.openxmlformats-officedocument.spreadsheetml.queryTable+xml"/>
  <Override PartName="/xl/queryTables/queryTable889.xml" ContentType="application/vnd.openxmlformats-officedocument.spreadsheetml.queryTable+xml"/>
  <Override PartName="/xl/queryTables/queryTable1340.xml" ContentType="application/vnd.openxmlformats-officedocument.spreadsheetml.queryTable+xml"/>
  <Override PartName="/xl/queryTables/queryTable1671.xml" ContentType="application/vnd.openxmlformats-officedocument.spreadsheetml.queryTable+xml"/>
  <Override PartName="/xl/queryTables/queryTable1908.xml" ContentType="application/vnd.openxmlformats-officedocument.spreadsheetml.queryTable+xml"/>
  <Override PartName="/xl/queryTables/queryTable252.xml" ContentType="application/vnd.openxmlformats-officedocument.spreadsheetml.queryTable+xml"/>
  <Override PartName="/xl/queryTables/queryTable397.xml" ContentType="application/vnd.openxmlformats-officedocument.spreadsheetml.queryTable+xml"/>
  <Override PartName="/xl/queryTables/queryTable583.xml" ContentType="application/vnd.openxmlformats-officedocument.spreadsheetml.queryTable+xml"/>
  <Override PartName="/xl/queryTables/queryTable930.xml" ContentType="application/vnd.openxmlformats-officedocument.spreadsheetml.queryTable+xml"/>
  <Override PartName="/xl/queryTables/queryTable1069.xml" ContentType="application/vnd.openxmlformats-officedocument.spreadsheetml.queryTable+xml"/>
  <Override PartName="/xl/queryTables/queryTable1416.xml" ContentType="application/vnd.openxmlformats-officedocument.spreadsheetml.queryTable+xml"/>
  <Override PartName="/xl/queryTables/queryTable1602.xml" ContentType="application/vnd.openxmlformats-officedocument.spreadsheetml.queryTable+xml"/>
  <Override PartName="/xl/queryTables/queryTable1747.xml" ContentType="application/vnd.openxmlformats-officedocument.spreadsheetml.queryTable+xml"/>
  <Override PartName="/xl/queryTables/queryTable328.xml" ContentType="application/vnd.openxmlformats-officedocument.spreadsheetml.queryTable+xml"/>
  <Override PartName="/xl/queryTables/queryTable659.xml" ContentType="application/vnd.openxmlformats-officedocument.spreadsheetml.queryTable+xml"/>
  <Override PartName="/xl/queryTables/queryTable1110.xml" ContentType="application/vnd.openxmlformats-officedocument.spreadsheetml.queryTable+xml"/>
  <Override PartName="/xl/queryTables/queryTable1255.xml" ContentType="application/vnd.openxmlformats-officedocument.spreadsheetml.queryTable+xml"/>
  <Override PartName="/xl/queryTables/queryTable1441.xml" ContentType="application/vnd.openxmlformats-officedocument.spreadsheetml.queryTable+xml"/>
  <Override PartName="/xl/queryTables/queryTable1586.xml" ContentType="application/vnd.openxmlformats-officedocument.spreadsheetml.queryTable+xml"/>
  <Override PartName="/xl/queryTables/queryTable1933.xml" ContentType="application/vnd.openxmlformats-officedocument.spreadsheetml.queryTable+xml"/>
  <Override PartName="/xl/queryTables/queryTable167.xml" ContentType="application/vnd.openxmlformats-officedocument.spreadsheetml.queryTable+xml"/>
  <Override PartName="/xl/queryTables/queryTable498.xml" ContentType="application/vnd.openxmlformats-officedocument.spreadsheetml.queryTable+xml"/>
  <Override PartName="/xl/queryTables/queryTable514.xml" ContentType="application/vnd.openxmlformats-officedocument.spreadsheetml.queryTable+xml"/>
  <Override PartName="/xl/queryTables/queryTable700.xml" ContentType="application/vnd.openxmlformats-officedocument.spreadsheetml.queryTable+xml"/>
  <Override PartName="/xl/queryTables/queryTable845.xml" ContentType="application/vnd.openxmlformats-officedocument.spreadsheetml.queryTable+xml"/>
  <Override PartName="/xl/queryTables/queryTable1094.xml" ContentType="application/vnd.openxmlformats-officedocument.spreadsheetml.queryTable+xml"/>
  <Override PartName="/xl/queryTables/queryTable1280.xml" ContentType="application/vnd.openxmlformats-officedocument.spreadsheetml.queryTable+xml"/>
  <Override PartName="/xl/queryTables/queryTable1772.xml" ContentType="application/vnd.openxmlformats-officedocument.spreadsheetml.queryTable+xml"/>
  <Override PartName="/xl/queryTables/queryTable76.xml" ContentType="application/vnd.openxmlformats-officedocument.spreadsheetml.queryTable+xml"/>
  <Override PartName="/xl/queryTables/queryTable353.xml" ContentType="application/vnd.openxmlformats-officedocument.spreadsheetml.queryTable+xml"/>
  <Override PartName="/xl/queryTables/queryTable684.xml" ContentType="application/vnd.openxmlformats-officedocument.spreadsheetml.queryTable+xml"/>
  <Override PartName="/xl/queryTables/queryTable870.xml" ContentType="application/vnd.openxmlformats-officedocument.spreadsheetml.queryTable+xml"/>
  <Override PartName="/xl/queryTables/queryTable1025.xml" ContentType="application/vnd.openxmlformats-officedocument.spreadsheetml.queryTable+xml"/>
  <Override PartName="/xl/queryTables/queryTable1517.xml" ContentType="application/vnd.openxmlformats-officedocument.spreadsheetml.queryTable+xml"/>
  <Override PartName="/xl/queryTables/queryTable1703.xml" ContentType="application/vnd.openxmlformats-officedocument.spreadsheetml.queryTable+xml"/>
  <Override PartName="/xl/queryTables/queryTable1848.xml" ContentType="application/vnd.openxmlformats-officedocument.spreadsheetml.queryTable+xml"/>
  <Override PartName="/xl/queryTables/queryTable2066.xml" ContentType="application/vnd.openxmlformats-officedocument.spreadsheetml.queryTable+xml"/>
  <Override PartName="/xl/queryTables/queryTable192.xml" ContentType="application/vnd.openxmlformats-officedocument.spreadsheetml.queryTable+xml"/>
  <Override PartName="/xl/queryTables/queryTable429.xml" ContentType="application/vnd.openxmlformats-officedocument.spreadsheetml.queryTable+xml"/>
  <Override PartName="/xl/queryTables/queryTable615.xml" ContentType="application/vnd.openxmlformats-officedocument.spreadsheetml.queryTable+xml"/>
  <Override PartName="/xl/queryTables/queryTable1211.xml" ContentType="application/vnd.openxmlformats-officedocument.spreadsheetml.queryTable+xml"/>
  <Override PartName="/xl/queryTables/queryTable1356.xml" ContentType="application/vnd.openxmlformats-officedocument.spreadsheetml.queryTable+xml"/>
  <Override PartName="/xl/queryTables/queryTable1542.xml" ContentType="application/vnd.openxmlformats-officedocument.spreadsheetml.queryTable+xml"/>
  <Override PartName="/xl/queryTables/queryTable1687.xml" ContentType="application/vnd.openxmlformats-officedocument.spreadsheetml.queryTable+xml"/>
  <Override PartName="/xl/queryTables/queryTable1873.xml" ContentType="application/vnd.openxmlformats-officedocument.spreadsheetml.queryTable+xml"/>
  <Override PartName="/xl/pivotTables/pivotTable1.xml" ContentType="application/vnd.openxmlformats-officedocument.spreadsheetml.pivotTable+xml"/>
  <Override PartName="/xl/queryTables/queryTable123.xml" ContentType="application/vnd.openxmlformats-officedocument.spreadsheetml.queryTable+xml"/>
  <Override PartName="/xl/queryTables/queryTable268.xml" ContentType="application/vnd.openxmlformats-officedocument.spreadsheetml.queryTable+xml"/>
  <Override PartName="/xl/queryTables/queryTable454.xml" ContentType="application/vnd.openxmlformats-officedocument.spreadsheetml.queryTable+xml"/>
  <Override PartName="/xl/queryTables/queryTable599.xml" ContentType="application/vnd.openxmlformats-officedocument.spreadsheetml.queryTable+xml"/>
  <Override PartName="/xl/queryTables/queryTable801.xml" ContentType="application/vnd.openxmlformats-officedocument.spreadsheetml.queryTable+xml"/>
  <Override PartName="/xl/queryTables/queryTable946.xml" ContentType="application/vnd.openxmlformats-officedocument.spreadsheetml.queryTable+xml"/>
  <Override PartName="/xl/queryTables/queryTable1050.xml" ContentType="application/vnd.openxmlformats-officedocument.spreadsheetml.queryTable+xml"/>
  <Override PartName="/xl/queryTables/queryTable1195.xml" ContentType="application/vnd.openxmlformats-officedocument.spreadsheetml.queryTable+xml"/>
  <Override PartName="/xl/queryTables/queryTable1381.xml" ContentType="application/vnd.openxmlformats-officedocument.spreadsheetml.queryTable+xml"/>
  <Override PartName="/xl/queryTables/queryTable1618.xml" ContentType="application/vnd.openxmlformats-officedocument.spreadsheetml.queryTable+xml"/>
  <Override PartName="/xl/queryTables/queryTable32.xml" ContentType="application/vnd.openxmlformats-officedocument.spreadsheetml.queryTable+xml"/>
  <Override PartName="/xl/queryTables/queryTable293.xml" ContentType="application/vnd.openxmlformats-officedocument.spreadsheetml.queryTable+xml"/>
  <Override PartName="/xl/queryTables/queryTable640.xml" ContentType="application/vnd.openxmlformats-officedocument.spreadsheetml.queryTable+xml"/>
  <Override PartName="/xl/queryTables/queryTable785.xml" ContentType="application/vnd.openxmlformats-officedocument.spreadsheetml.queryTable+xml"/>
  <Override PartName="/xl/queryTables/queryTable971.xml" ContentType="application/vnd.openxmlformats-officedocument.spreadsheetml.queryTable+xml"/>
  <Override PartName="/xl/queryTables/queryTable1126.xml" ContentType="application/vnd.openxmlformats-officedocument.spreadsheetml.queryTable+xml"/>
  <Override PartName="/xl/queryTables/queryTable1457.xml" ContentType="application/vnd.openxmlformats-officedocument.spreadsheetml.queryTable+xml"/>
  <Override PartName="/xl/queryTables/queryTable1804.xml" ContentType="application/vnd.openxmlformats-officedocument.spreadsheetml.queryTable+xml"/>
  <Override PartName="/xl/queryTables/queryTable1949.xml" ContentType="application/vnd.openxmlformats-officedocument.spreadsheetml.queryTable+xml"/>
  <Override PartName="/xl/queryTables/queryTable2022.xml" ContentType="application/vnd.openxmlformats-officedocument.spreadsheetml.queryTable+xml"/>
  <Override PartName="/xl/queryTables/queryTable369.xml" ContentType="application/vnd.openxmlformats-officedocument.spreadsheetml.queryTable+xml"/>
  <Override PartName="/xl/queryTables/queryTable716.xml" ContentType="application/vnd.openxmlformats-officedocument.spreadsheetml.queryTable+xml"/>
  <Override PartName="/xl/queryTables/queryTable1296.xml" ContentType="application/vnd.openxmlformats-officedocument.spreadsheetml.queryTable+xml"/>
  <Override PartName="/xl/queryTables/queryTable1312.xml" ContentType="application/vnd.openxmlformats-officedocument.spreadsheetml.queryTable+xml"/>
  <Override PartName="/xl/queryTables/queryTable1643.xml" ContentType="application/vnd.openxmlformats-officedocument.spreadsheetml.queryTable+xml"/>
  <Override PartName="/xl/queryTables/queryTable1788.xml" ContentType="application/vnd.openxmlformats-officedocument.spreadsheetml.queryTable+xml"/>
  <Override PartName="/xl/queryTables/queryTable1974.xml" ContentType="application/vnd.openxmlformats-officedocument.spreadsheetml.queryTable+xml"/>
  <Override PartName="/xl/queryTables/queryTable224.xml" ContentType="application/vnd.openxmlformats-officedocument.spreadsheetml.queryTable+xml"/>
  <Override PartName="/xl/queryTables/queryTable410.xml" ContentType="application/vnd.openxmlformats-officedocument.spreadsheetml.queryTable+xml"/>
  <Override PartName="/xl/queryTables/queryTable555.xml" ContentType="application/vnd.openxmlformats-officedocument.spreadsheetml.queryTable+xml"/>
  <Override PartName="/xl/queryTables/queryTable886.xml" ContentType="application/vnd.openxmlformats-officedocument.spreadsheetml.queryTable+xml"/>
  <Override PartName="/xl/queryTables/queryTable902.xml" ContentType="application/vnd.openxmlformats-officedocument.spreadsheetml.queryTable+xml"/>
  <Override PartName="/xl/queryTables/queryTable1151.xml" ContentType="application/vnd.openxmlformats-officedocument.spreadsheetml.queryTable+xml"/>
  <Override PartName="/xl/queryTables/queryTable1482.xml" ContentType="application/vnd.openxmlformats-officedocument.spreadsheetml.queryTable+xml"/>
  <Override PartName="/xl/queryTables/queryTable1719.xml" ContentType="application/vnd.openxmlformats-officedocument.spreadsheetml.queryTable+xml"/>
  <Override PartName="/xl/queryTables/queryTable394.xml" ContentType="application/vnd.openxmlformats-officedocument.spreadsheetml.queryTable+xml"/>
  <Override PartName="/xl/queryTables/queryTable741.xml" ContentType="application/vnd.openxmlformats-officedocument.spreadsheetml.queryTable+xml"/>
  <Override PartName="/xl/queryTables/queryTable1227.xml" ContentType="application/vnd.openxmlformats-officedocument.spreadsheetml.queryTable+xml"/>
  <Override PartName="/xl/queryTables/queryTable1413.xml" ContentType="application/vnd.openxmlformats-officedocument.spreadsheetml.queryTable+xml"/>
  <Override PartName="/xl/queryTables/queryTable1558.xml" ContentType="application/vnd.openxmlformats-officedocument.spreadsheetml.queryTable+xml"/>
  <Override PartName="/xl/queryTables/queryTable1889.xml" ContentType="application/vnd.openxmlformats-officedocument.spreadsheetml.queryTable+xml"/>
  <Override PartName="/xl/queryTables/queryTable1905.xml" ContentType="application/vnd.openxmlformats-officedocument.spreadsheetml.queryTable+xml"/>
  <Override PartName="/xl/queryTables/queryTable139.xml" ContentType="application/vnd.openxmlformats-officedocument.spreadsheetml.queryTable+xml"/>
  <Override PartName="/xl/queryTables/queryTable580.xml" ContentType="application/vnd.openxmlformats-officedocument.spreadsheetml.queryTable+xml"/>
  <Override PartName="/xl/queryTables/queryTable817.xml" ContentType="application/vnd.openxmlformats-officedocument.spreadsheetml.queryTable+xml"/>
  <Override PartName="/xl/queryTables/queryTable1066.xml" ContentType="application/vnd.openxmlformats-officedocument.spreadsheetml.queryTable+xml"/>
  <Override PartName="/xl/queryTables/queryTable1252.xml" ContentType="application/vnd.openxmlformats-officedocument.spreadsheetml.queryTable+xml"/>
  <Override PartName="/xl/queryTables/queryTable1397.xml" ContentType="application/vnd.openxmlformats-officedocument.spreadsheetml.queryTable+xml"/>
  <Override PartName="/xl/queryTables/queryTable1744.xml" ContentType="application/vnd.openxmlformats-officedocument.spreadsheetml.queryTable+xml"/>
  <Override PartName="/xl/queryTables/queryTable1930.xml" ContentType="application/vnd.openxmlformats-officedocument.spreadsheetml.queryTable+xml"/>
  <Override PartName="/xl/queryTables/queryTable2038.xml" ContentType="application/vnd.openxmlformats-officedocument.spreadsheetml.queryTable+xml"/>
  <Override PartName="/xl/queryTables/queryTable48.xml" ContentType="application/vnd.openxmlformats-officedocument.spreadsheetml.queryTable+xml"/>
  <Override PartName="/xl/queryTables/queryTable325.xml" ContentType="application/vnd.openxmlformats-officedocument.spreadsheetml.queryTable+xml"/>
  <Override PartName="/xl/queryTables/queryTable511.xml" ContentType="application/vnd.openxmlformats-officedocument.spreadsheetml.queryTable+xml"/>
  <Override PartName="/xl/queryTables/queryTable656.xml" ContentType="application/vnd.openxmlformats-officedocument.spreadsheetml.queryTable+xml"/>
  <Override PartName="/xl/queryTables/queryTable842.xml" ContentType="application/vnd.openxmlformats-officedocument.spreadsheetml.queryTable+xml"/>
  <Override PartName="/xl/queryTables/queryTable987.xml" ContentType="application/vnd.openxmlformats-officedocument.spreadsheetml.queryTable+xml"/>
  <Override PartName="/xl/queryTables/queryTable1091.xml" ContentType="application/vnd.openxmlformats-officedocument.spreadsheetml.queryTable+xml"/>
  <Override PartName="/xl/queryTables/queryTable1583.xml" ContentType="application/vnd.openxmlformats-officedocument.spreadsheetml.queryTable+xml"/>
  <Override PartName="/xl/queryTables/queryTable73.xml" ContentType="application/vnd.openxmlformats-officedocument.spreadsheetml.queryTable+xml"/>
  <Override PartName="/xl/queryTables/queryTable164.xml" ContentType="application/vnd.openxmlformats-officedocument.spreadsheetml.queryTable+xml"/>
  <Override PartName="/xl/queryTables/queryTable350.xml" ContentType="application/vnd.openxmlformats-officedocument.spreadsheetml.queryTable+xml"/>
  <Override PartName="/xl/queryTables/queryTable495.xml" ContentType="application/vnd.openxmlformats-officedocument.spreadsheetml.queryTable+xml"/>
  <Override PartName="/xl/queryTables/queryTable681.xml" ContentType="application/vnd.openxmlformats-officedocument.spreadsheetml.queryTable+xml"/>
  <Override PartName="/xl/queryTables/queryTable918.xml" ContentType="application/vnd.openxmlformats-officedocument.spreadsheetml.queryTable+xml"/>
  <Override PartName="/xl/queryTables/queryTable1328.xml" ContentType="application/vnd.openxmlformats-officedocument.spreadsheetml.queryTable+xml"/>
  <Override PartName="/xl/queryTables/queryTable1514.xml" ContentType="application/vnd.openxmlformats-officedocument.spreadsheetml.queryTable+xml"/>
  <Override PartName="/xl/queryTables/queryTable1659.xml" ContentType="application/vnd.openxmlformats-officedocument.spreadsheetml.queryTable+xml"/>
  <Override PartName="/xl/queryTables/queryTable1845.xml" ContentType="application/vnd.openxmlformats-officedocument.spreadsheetml.queryTable+xml"/>
  <Override PartName="/xl/queryTables/queryTable2063.xml" ContentType="application/vnd.openxmlformats-officedocument.spreadsheetml.queryTable+xml"/>
  <Override PartName="/xl/queryTables/queryTable426.xml" ContentType="application/vnd.openxmlformats-officedocument.spreadsheetml.queryTable+xml"/>
  <Override PartName="/xl/queryTables/queryTable757.xml" ContentType="application/vnd.openxmlformats-officedocument.spreadsheetml.queryTable+xml"/>
  <Override PartName="/xl/queryTables/queryTable1022.xml" ContentType="application/vnd.openxmlformats-officedocument.spreadsheetml.queryTable+xml"/>
  <Override PartName="/xl/queryTables/queryTable1167.xml" ContentType="application/vnd.openxmlformats-officedocument.spreadsheetml.queryTable+xml"/>
  <Override PartName="/xl/queryTables/queryTable1353.xml" ContentType="application/vnd.openxmlformats-officedocument.spreadsheetml.queryTable+xml"/>
  <Override PartName="/xl/queryTables/queryTable1498.xml" ContentType="application/vnd.openxmlformats-officedocument.spreadsheetml.queryTable+xml"/>
  <Override PartName="/xl/queryTables/queryTable1684.xml" ContentType="application/vnd.openxmlformats-officedocument.spreadsheetml.queryTable+xml"/>
  <Override PartName="/xl/queryTables/queryTable1700.xml" ContentType="application/vnd.openxmlformats-officedocument.spreadsheetml.queryTable+xml"/>
  <Override PartName="/xl/queryTables/queryTable265.xml" ContentType="application/vnd.openxmlformats-officedocument.spreadsheetml.queryTable+xml"/>
  <Override PartName="/xl/queryTables/queryTable596.xml" ContentType="application/vnd.openxmlformats-officedocument.spreadsheetml.queryTable+xml"/>
  <Override PartName="/xl/queryTables/queryTable612.xml" ContentType="application/vnd.openxmlformats-officedocument.spreadsheetml.queryTable+xml"/>
  <Override PartName="/xl/queryTables/queryTable943.xml" ContentType="application/vnd.openxmlformats-officedocument.spreadsheetml.queryTable+xml"/>
  <Override PartName="/xl/queryTables/queryTable1192.xml" ContentType="application/vnd.openxmlformats-officedocument.spreadsheetml.queryTable+xml"/>
  <Override PartName="/xl/queryTables/queryTable1429.xml" ContentType="application/vnd.openxmlformats-officedocument.spreadsheetml.queryTable+xml"/>
  <Override PartName="/xl/queryTables/queryTable1870.xml" ContentType="application/vnd.openxmlformats-officedocument.spreadsheetml.queryTable+xml"/>
  <Override PartName="/xl/queryTables/queryTable120.xml" ContentType="application/vnd.openxmlformats-officedocument.spreadsheetml.queryTable+xml"/>
  <Override PartName="/xl/queryTables/queryTable451.xml" ContentType="application/vnd.openxmlformats-officedocument.spreadsheetml.queryTable+xml"/>
  <Override PartName="/xl/queryTables/queryTable782.xml" ContentType="application/vnd.openxmlformats-officedocument.spreadsheetml.queryTable+xml"/>
  <Override PartName="/xl/queryTables/queryTable1268.xml" ContentType="application/vnd.openxmlformats-officedocument.spreadsheetml.queryTable+xml"/>
  <Override PartName="/xl/queryTables/queryTable1599.xml" ContentType="application/vnd.openxmlformats-officedocument.spreadsheetml.queryTable+xml"/>
  <Override PartName="/xl/queryTables/queryTable1615.xml" ContentType="application/vnd.openxmlformats-officedocument.spreadsheetml.queryTable+xml"/>
  <Override PartName="/xl/queryTables/queryTable1801.xml" ContentType="application/vnd.openxmlformats-officedocument.spreadsheetml.queryTable+xml"/>
  <Override PartName="/xl/queryTables/queryTable1946.xml" ContentType="application/vnd.openxmlformats-officedocument.spreadsheetml.queryTable+xml"/>
  <Override PartName="/xl/queryTables/queryTable290.xml" ContentType="application/vnd.openxmlformats-officedocument.spreadsheetml.queryTable+xml"/>
  <Override PartName="/xl/queryTables/queryTable527.xml" ContentType="application/vnd.openxmlformats-officedocument.spreadsheetml.queryTable+xml"/>
  <Override PartName="/xl/queryTables/queryTable713.xml" ContentType="application/vnd.openxmlformats-officedocument.spreadsheetml.queryTable+xml"/>
  <Override PartName="/xl/queryTables/queryTable858.xml" ContentType="application/vnd.openxmlformats-officedocument.spreadsheetml.queryTable+xml"/>
  <Override PartName="/xl/queryTables/queryTable1123.xml" ContentType="application/vnd.openxmlformats-officedocument.spreadsheetml.queryTable+xml"/>
  <Override PartName="/xl/queryTables/queryTable1454.xml" ContentType="application/vnd.openxmlformats-officedocument.spreadsheetml.queryTable+xml"/>
  <Override PartName="/xl/queryTables/queryTable1640.xml" ContentType="application/vnd.openxmlformats-officedocument.spreadsheetml.queryTable+xml"/>
  <Override PartName="/xl/queryTables/queryTable1785.xml" ContentType="application/vnd.openxmlformats-officedocument.spreadsheetml.queryTable+xml"/>
  <Override PartName="/xl/queryTables/queryTable89.xml" ContentType="application/vnd.openxmlformats-officedocument.spreadsheetml.queryTable+xml"/>
  <Override PartName="/xl/queryTables/queryTable221.xml" ContentType="application/vnd.openxmlformats-officedocument.spreadsheetml.queryTable+xml"/>
  <Override PartName="/xl/queryTables/queryTable366.xml" ContentType="application/vnd.openxmlformats-officedocument.spreadsheetml.queryTable+xml"/>
  <Override PartName="/xl/queryTables/queryTable552.xml" ContentType="application/vnd.openxmlformats-officedocument.spreadsheetml.queryTable+xml"/>
  <Override PartName="/xl/queryTables/queryTable697.xml" ContentType="application/vnd.openxmlformats-officedocument.spreadsheetml.queryTable+xml"/>
  <Override PartName="/xl/queryTables/queryTable1293.xml" ContentType="application/vnd.openxmlformats-officedocument.spreadsheetml.queryTable+xml"/>
  <Override PartName="/xl/queryTables/queryTable1716.xml" ContentType="application/vnd.openxmlformats-officedocument.spreadsheetml.queryTable+xml"/>
  <Override PartName="/xl/queryTables/queryTable1971.xml" ContentType="application/vnd.openxmlformats-officedocument.spreadsheetml.queryTable+xml"/>
  <Override PartName="/xl/queryTables/queryTable391.xml" ContentType="application/vnd.openxmlformats-officedocument.spreadsheetml.queryTable+xml"/>
  <Override PartName="/xl/queryTables/queryTable883.xml" ContentType="application/vnd.openxmlformats-officedocument.spreadsheetml.queryTable+xml"/>
  <Override PartName="/xl/queryTables/queryTable1038.xml" ContentType="application/vnd.openxmlformats-officedocument.spreadsheetml.queryTable+xml"/>
  <Override PartName="/xl/queryTables/queryTable1224.xml" ContentType="application/vnd.openxmlformats-officedocument.spreadsheetml.queryTable+xml"/>
  <Override PartName="/xl/queryTables/queryTable1369.xml" ContentType="application/vnd.openxmlformats-officedocument.spreadsheetml.queryTable+xml"/>
  <Override PartName="/xl/queryTables/queryTable1555.xml" ContentType="application/vnd.openxmlformats-officedocument.spreadsheetml.queryTable+xml"/>
  <Override PartName="/xl/queryTables/queryTable1902.xml" ContentType="application/vnd.openxmlformats-officedocument.spreadsheetml.queryTable+xml"/>
  <Override PartName="/xl/queryTables/queryTable136.xml" ContentType="application/vnd.openxmlformats-officedocument.spreadsheetml.queryTable+xml"/>
  <Override PartName="/xl/queryTables/queryTable628.xml" ContentType="application/vnd.openxmlformats-officedocument.spreadsheetml.queryTable+xml"/>
  <Override PartName="/xl/queryTables/queryTable814.xml" ContentType="application/vnd.openxmlformats-officedocument.spreadsheetml.queryTable+xml"/>
  <Override PartName="/xl/queryTables/queryTable959.xml" ContentType="application/vnd.openxmlformats-officedocument.spreadsheetml.queryTable+xml"/>
  <Override PartName="/xl/queryTables/queryTable1063.xml" ContentType="application/vnd.openxmlformats-officedocument.spreadsheetml.queryTable+xml"/>
  <Override PartName="/xl/queryTables/queryTable1394.xml" ContentType="application/vnd.openxmlformats-officedocument.spreadsheetml.queryTable+xml"/>
  <Override PartName="/xl/queryTables/queryTable1410.xml" ContentType="application/vnd.openxmlformats-officedocument.spreadsheetml.queryTable+xml"/>
  <Override PartName="/xl/queryTables/queryTable1741.xml" ContentType="application/vnd.openxmlformats-officedocument.spreadsheetml.queryTable+xml"/>
  <Override PartName="/xl/queryTables/queryTable1886.xml" ContentType="application/vnd.openxmlformats-officedocument.spreadsheetml.queryTable+xml"/>
  <Override PartName="/xl/worksheets/sheet8.xml" ContentType="application/vnd.openxmlformats-officedocument.spreadsheetml.worksheet+xml"/>
  <Override PartName="/xl/queryTables/queryTable45.xml" ContentType="application/vnd.openxmlformats-officedocument.spreadsheetml.queryTable+xml"/>
  <Override PartName="/xl/queryTables/queryTable322.xml" ContentType="application/vnd.openxmlformats-officedocument.spreadsheetml.queryTable+xml"/>
  <Override PartName="/xl/queryTables/queryTable467.xml" ContentType="application/vnd.openxmlformats-officedocument.spreadsheetml.queryTable+xml"/>
  <Override PartName="/xl/queryTables/queryTable653.xml" ContentType="application/vnd.openxmlformats-officedocument.spreadsheetml.queryTable+xml"/>
  <Override PartName="/xl/queryTables/queryTable798.xml" ContentType="application/vnd.openxmlformats-officedocument.spreadsheetml.queryTable+xml"/>
  <Override PartName="/xl/queryTables/queryTable984.xml" ContentType="application/vnd.openxmlformats-officedocument.spreadsheetml.queryTable+xml"/>
  <Override PartName="/xl/queryTables/queryTable1139.xml" ContentType="application/vnd.openxmlformats-officedocument.spreadsheetml.queryTable+xml"/>
  <Override PartName="/xl/queryTables/queryTable1580.xml" ContentType="application/vnd.openxmlformats-officedocument.spreadsheetml.queryTable+xml"/>
  <Override PartName="/xl/queryTables/queryTable1817.xml" ContentType="application/vnd.openxmlformats-officedocument.spreadsheetml.queryTable+xml"/>
  <Override PartName="/xl/queryTables/queryTable2035.xml" ContentType="application/vnd.openxmlformats-officedocument.spreadsheetml.queryTable+xml"/>
  <Override PartName="/xl/queryTables/queryTable161.xml" ContentType="application/vnd.openxmlformats-officedocument.spreadsheetml.queryTable+xml"/>
  <Override PartName="/xl/queryTables/queryTable492.xml" ContentType="application/vnd.openxmlformats-officedocument.spreadsheetml.queryTable+xml"/>
  <Override PartName="/xl/queryTables/queryTable729.xml" ContentType="application/vnd.openxmlformats-officedocument.spreadsheetml.queryTable+xml"/>
  <Override PartName="/xl/queryTables/queryTable1325.xml" ContentType="application/vnd.openxmlformats-officedocument.spreadsheetml.queryTable+xml"/>
  <Override PartName="/xl/queryTables/queryTable1656.xml" ContentType="application/vnd.openxmlformats-officedocument.spreadsheetml.queryTable+xml"/>
  <Override PartName="/xl/queryTables/queryTable1987.xml" ContentType="application/vnd.openxmlformats-officedocument.spreadsheetml.queryTable+xml"/>
  <Override PartName="/xl/queryTables/queryTable2060.xml" ContentType="application/vnd.openxmlformats-officedocument.spreadsheetml.queryTable+xml"/>
  <Override PartName="/xl/queryTables/queryTable70.xml" ContentType="application/vnd.openxmlformats-officedocument.spreadsheetml.queryTable+xml"/>
  <Override PartName="/xl/queryTables/queryTable237.xml" ContentType="application/vnd.openxmlformats-officedocument.spreadsheetml.queryTable+xml"/>
  <Override PartName="/xl/queryTables/queryTable568.xml" ContentType="application/vnd.openxmlformats-officedocument.spreadsheetml.queryTable+xml"/>
  <Override PartName="/xl/queryTables/queryTable899.xml" ContentType="application/vnd.openxmlformats-officedocument.spreadsheetml.queryTable+xml"/>
  <Override PartName="/xl/queryTables/queryTable915.xml" ContentType="application/vnd.openxmlformats-officedocument.spreadsheetml.queryTable+xml"/>
  <Override PartName="/xl/queryTables/queryTable1164.xml" ContentType="application/vnd.openxmlformats-officedocument.spreadsheetml.queryTable+xml"/>
  <Override PartName="/xl/queryTables/queryTable1350.xml" ContentType="application/vnd.openxmlformats-officedocument.spreadsheetml.queryTable+xml"/>
  <Override PartName="/xl/queryTables/queryTable1495.xml" ContentType="application/vnd.openxmlformats-officedocument.spreadsheetml.queryTable+xml"/>
  <Override PartName="/xl/queryTables/queryTable1511.xml" ContentType="application/vnd.openxmlformats-officedocument.spreadsheetml.queryTable+xml"/>
  <Override PartName="/xl/queryTables/queryTable1842.xml" ContentType="application/vnd.openxmlformats-officedocument.spreadsheetml.queryTable+xml"/>
  <Override PartName="/xl/queryTables/queryTable423.xml" ContentType="application/vnd.openxmlformats-officedocument.spreadsheetml.queryTable+xml"/>
  <Override PartName="/xl/queryTables/queryTable754.xml" ContentType="application/vnd.openxmlformats-officedocument.spreadsheetml.queryTable+xml"/>
  <Override PartName="/xl/queryTables/queryTable940.xml" ContentType="application/vnd.openxmlformats-officedocument.spreadsheetml.queryTable+xml"/>
  <Override PartName="/xl/queryTables/queryTable1681.xml" ContentType="application/vnd.openxmlformats-officedocument.spreadsheetml.queryTable+xml"/>
  <Override PartName="/xl/queryTables/queryTable1918.xml" ContentType="application/vnd.openxmlformats-officedocument.spreadsheetml.queryTable+xml"/>
  <Override PartName="/xl/calcChain.xml" ContentType="application/vnd.openxmlformats-officedocument.spreadsheetml.calcChain+xml"/>
  <Override PartName="/xl/queryTables/queryTable262.xml" ContentType="application/vnd.openxmlformats-officedocument.spreadsheetml.queryTable+xml"/>
  <Override PartName="/xl/queryTables/queryTable593.xml" ContentType="application/vnd.openxmlformats-officedocument.spreadsheetml.queryTable+xml"/>
  <Override PartName="/xl/queryTables/queryTable1079.xml" ContentType="application/vnd.openxmlformats-officedocument.spreadsheetml.queryTable+xml"/>
  <Override PartName="/xl/queryTables/queryTable1426.xml" ContentType="application/vnd.openxmlformats-officedocument.spreadsheetml.queryTable+xml"/>
  <Override PartName="/xl/queryTables/queryTable1612.xml" ContentType="application/vnd.openxmlformats-officedocument.spreadsheetml.queryTable+xml"/>
  <Override PartName="/xl/queryTables/queryTable1757.xml" ContentType="application/vnd.openxmlformats-officedocument.spreadsheetml.queryTable+xml"/>
  <Override PartName="/xl/queryTables/queryTable1943.xml" ContentType="application/vnd.openxmlformats-officedocument.spreadsheetml.queryTable+xml"/>
  <Override PartName="/xl/queryTables/queryTable338.xml" ContentType="application/vnd.openxmlformats-officedocument.spreadsheetml.queryTable+xml"/>
  <Override PartName="/xl/queryTables/queryTable524.xml" ContentType="application/vnd.openxmlformats-officedocument.spreadsheetml.queryTable+xml"/>
  <Override PartName="/xl/queryTables/queryTable669.xml" ContentType="application/vnd.openxmlformats-officedocument.spreadsheetml.queryTable+xml"/>
  <Override PartName="/xl/queryTables/queryTable1120.xml" ContentType="application/vnd.openxmlformats-officedocument.spreadsheetml.queryTable+xml"/>
  <Override PartName="/xl/queryTables/queryTable1265.xml" ContentType="application/vnd.openxmlformats-officedocument.spreadsheetml.queryTable+xml"/>
  <Override PartName="/xl/queryTables/queryTable1451.xml" ContentType="application/vnd.openxmlformats-officedocument.spreadsheetml.queryTable+xml"/>
  <Override PartName="/xl/queryTables/queryTable1596.xml" ContentType="application/vnd.openxmlformats-officedocument.spreadsheetml.queryTable+xml"/>
  <Override PartName="/xl/queryTables/queryTable1782.xml" ContentType="application/vnd.openxmlformats-officedocument.spreadsheetml.queryTable+xml"/>
  <Override PartName="/xl/queryTables/queryTable86.xml" ContentType="application/vnd.openxmlformats-officedocument.spreadsheetml.queryTable+xml"/>
  <Override PartName="/xl/queryTables/queryTable177.xml" ContentType="application/vnd.openxmlformats-officedocument.spreadsheetml.queryTable+xml"/>
  <Override PartName="/xl/queryTables/queryTable363.xml" ContentType="application/vnd.openxmlformats-officedocument.spreadsheetml.queryTable+xml"/>
  <Override PartName="/xl/queryTables/queryTable710.xml" ContentType="application/vnd.openxmlformats-officedocument.spreadsheetml.queryTable+xml"/>
  <Override PartName="/xl/queryTables/queryTable855.xml" ContentType="application/vnd.openxmlformats-officedocument.spreadsheetml.queryTable+xml"/>
  <Override PartName="/xl/queryTables/queryTable1290.xml" ContentType="application/vnd.openxmlformats-officedocument.spreadsheetml.queryTable+xml"/>
  <Override PartName="/xl/queryTables/queryTable1527.xml" ContentType="application/vnd.openxmlformats-officedocument.spreadsheetml.queryTable+xml"/>
  <Override PartName="/xl/queryTables/queryTable108.xml" ContentType="application/vnd.openxmlformats-officedocument.spreadsheetml.queryTable+xml"/>
  <Override PartName="/xl/queryTables/queryTable694.xml" ContentType="application/vnd.openxmlformats-officedocument.spreadsheetml.queryTable+xml"/>
  <Override PartName="/xl/queryTables/queryTable880.xml" ContentType="application/vnd.openxmlformats-officedocument.spreadsheetml.queryTable+xml"/>
  <Override PartName="/xl/queryTables/queryTable1035.xml" ContentType="application/vnd.openxmlformats-officedocument.spreadsheetml.queryTable+xml"/>
  <Override PartName="/xl/queryTables/queryTable1366.xml" ContentType="application/vnd.openxmlformats-officedocument.spreadsheetml.queryTable+xml"/>
  <Override PartName="/xl/queryTables/queryTable1713.xml" ContentType="application/vnd.openxmlformats-officedocument.spreadsheetml.queryTable+xml"/>
  <Override PartName="/xl/queryTables/queryTable1858.xml" ContentType="application/vnd.openxmlformats-officedocument.spreadsheetml.queryTable+xml"/>
  <Override PartName="/xl/queryTables/queryTable17.xml" ContentType="application/vnd.openxmlformats-officedocument.spreadsheetml.queryTable+xml"/>
  <Override PartName="/xl/queryTables/queryTable278.xml" ContentType="application/vnd.openxmlformats-officedocument.spreadsheetml.queryTable+xml"/>
  <Override PartName="/xl/queryTables/queryTable439.xml" ContentType="application/vnd.openxmlformats-officedocument.spreadsheetml.queryTable+xml"/>
  <Override PartName="/xl/queryTables/queryTable625.xml" ContentType="application/vnd.openxmlformats-officedocument.spreadsheetml.queryTable+xml"/>
  <Override PartName="/xl/queryTables/queryTable956.xml" ContentType="application/vnd.openxmlformats-officedocument.spreadsheetml.queryTable+xml"/>
  <Override PartName="/xl/queryTables/queryTable1221.xml" ContentType="application/vnd.openxmlformats-officedocument.spreadsheetml.queryTable+xml"/>
  <Override PartName="/xl/queryTables/queryTable1552.xml" ContentType="application/vnd.openxmlformats-officedocument.spreadsheetml.queryTable+xml"/>
  <Override PartName="/xl/queryTables/queryTable1697.xml" ContentType="application/vnd.openxmlformats-officedocument.spreadsheetml.queryTable+xml"/>
  <Override PartName="/xl/queryTables/queryTable1883.xml" ContentType="application/vnd.openxmlformats-officedocument.spreadsheetml.queryTable+xml"/>
  <Override PartName="/xl/queryTables/queryTable2007.xml" ContentType="application/vnd.openxmlformats-officedocument.spreadsheetml.queryTable+xml"/>
  <Override PartName="/xl/worksheets/sheet5.xml" ContentType="application/vnd.openxmlformats-officedocument.spreadsheetml.worksheet+xml"/>
  <Override PartName="/xl/queryTables/queryTable42.xml" ContentType="application/vnd.openxmlformats-officedocument.spreadsheetml.queryTable+xml"/>
  <Override PartName="/xl/queryTables/queryTable133.xml" ContentType="application/vnd.openxmlformats-officedocument.spreadsheetml.queryTable+xml"/>
  <Override PartName="/xl/queryTables/queryTable464.xml" ContentType="application/vnd.openxmlformats-officedocument.spreadsheetml.queryTable+xml"/>
  <Override PartName="/xl/queryTables/queryTable795.xml" ContentType="application/vnd.openxmlformats-officedocument.spreadsheetml.queryTable+xml"/>
  <Override PartName="/xl/queryTables/queryTable811.xml" ContentType="application/vnd.openxmlformats-officedocument.spreadsheetml.queryTable+xml"/>
  <Override PartName="/xl/queryTables/queryTable1060.xml" ContentType="application/vnd.openxmlformats-officedocument.spreadsheetml.queryTable+xml"/>
  <Override PartName="/xl/queryTables/queryTable1391.xml" ContentType="application/vnd.openxmlformats-officedocument.spreadsheetml.queryTable+xml"/>
  <Override PartName="/xl/queryTables/queryTable1628.xml" ContentType="application/vnd.openxmlformats-officedocument.spreadsheetml.queryTable+xml"/>
  <Override PartName="/xl/queryTables/queryTable1959.xml" ContentType="application/vnd.openxmlformats-officedocument.spreadsheetml.queryTable+xml"/>
  <Override PartName="/xl/queryTables/queryTable2032.xml" ContentType="application/vnd.openxmlformats-officedocument.spreadsheetml.queryTable+xml"/>
  <Override PartName="/xl/queryTables/queryTable209.xml" ContentType="application/vnd.openxmlformats-officedocument.spreadsheetml.queryTable+xml"/>
  <Override PartName="/xl/queryTables/queryTable650.xml" ContentType="application/vnd.openxmlformats-officedocument.spreadsheetml.queryTable+xml"/>
  <Override PartName="/xl/queryTables/queryTable981.xml" ContentType="application/vnd.openxmlformats-officedocument.spreadsheetml.queryTable+xml"/>
  <Override PartName="/xl/queryTables/queryTable1136.xml" ContentType="application/vnd.openxmlformats-officedocument.spreadsheetml.queryTable+xml"/>
  <Override PartName="/xl/queryTables/queryTable1322.xml" ContentType="application/vnd.openxmlformats-officedocument.spreadsheetml.queryTable+xml"/>
  <Override PartName="/xl/queryTables/queryTable1467.xml" ContentType="application/vnd.openxmlformats-officedocument.spreadsheetml.queryTable+xml"/>
  <Override PartName="/xl/queryTables/queryTable1798.xml" ContentType="application/vnd.openxmlformats-officedocument.spreadsheetml.queryTable+xml"/>
  <Override PartName="/xl/queryTables/queryTable1814.xml" ContentType="application/vnd.openxmlformats-officedocument.spreadsheetml.queryTable+xml"/>
  <Override PartName="/xl/queryTables/queryTable379.xml" ContentType="application/vnd.openxmlformats-officedocument.spreadsheetml.queryTable+xml"/>
  <Override PartName="/xl/queryTables/queryTable726.xml" ContentType="application/vnd.openxmlformats-officedocument.spreadsheetml.queryTable+xml"/>
  <Override PartName="/xl/queryTables/queryTable912.xml" ContentType="application/vnd.openxmlformats-officedocument.spreadsheetml.queryTable+xml"/>
  <Override PartName="/xl/queryTables/queryTable1161.xml" ContentType="application/vnd.openxmlformats-officedocument.spreadsheetml.queryTable+xml"/>
  <Override PartName="/xl/queryTables/queryTable1653.xml" ContentType="application/vnd.openxmlformats-officedocument.spreadsheetml.queryTable+xml"/>
  <Override PartName="/xl/queryTables/queryTable1984.xml" ContentType="application/vnd.openxmlformats-officedocument.spreadsheetml.queryTable+xml"/>
  <Override PartName="/xl/queryTables/queryTable234.xml" ContentType="application/vnd.openxmlformats-officedocument.spreadsheetml.queryTable+xml"/>
  <Override PartName="/xl/queryTables/queryTable420.xml" ContentType="application/vnd.openxmlformats-officedocument.spreadsheetml.queryTable+xml"/>
  <Override PartName="/xl/queryTables/queryTable565.xml" ContentType="application/vnd.openxmlformats-officedocument.spreadsheetml.queryTable+xml"/>
  <Override PartName="/xl/queryTables/queryTable751.xml" ContentType="application/vnd.openxmlformats-officedocument.spreadsheetml.queryTable+xml"/>
  <Override PartName="/xl/queryTables/queryTable896.xml" ContentType="application/vnd.openxmlformats-officedocument.spreadsheetml.queryTable+xml"/>
  <Override PartName="/xl/queryTables/queryTable1492.xml" ContentType="application/vnd.openxmlformats-officedocument.spreadsheetml.queryTable+xml"/>
  <Override PartName="/xl/queryTables/queryTable1729.xml" ContentType="application/vnd.openxmlformats-officedocument.spreadsheetml.queryTable+xml"/>
  <Override PartName="/xl/queryTables/queryTable1915.xml" ContentType="application/vnd.openxmlformats-officedocument.spreadsheetml.queryTable+xml"/>
  <Override PartName="/xl/queryTables/queryTable590.xml" ContentType="application/vnd.openxmlformats-officedocument.spreadsheetml.queryTable+xml"/>
  <Override PartName="/xl/queryTables/queryTable827.xml" ContentType="application/vnd.openxmlformats-officedocument.spreadsheetml.queryTable+xml"/>
  <Override PartName="/xl/queryTables/queryTable1237.xml" ContentType="application/vnd.openxmlformats-officedocument.spreadsheetml.queryTable+xml"/>
  <Override PartName="/xl/queryTables/queryTable1423.xml" ContentType="application/vnd.openxmlformats-officedocument.spreadsheetml.queryTable+xml"/>
  <Override PartName="/xl/queryTables/queryTable1568.xml" ContentType="application/vnd.openxmlformats-officedocument.spreadsheetml.queryTable+xml"/>
  <Override PartName="/xl/queryTables/queryTable1754.xml" ContentType="application/vnd.openxmlformats-officedocument.spreadsheetml.queryTable+xml"/>
  <Override PartName="/xl/queryTables/queryTable1899.xml" ContentType="application/vnd.openxmlformats-officedocument.spreadsheetml.queryTable+xml"/>
  <Override PartName="/xl/queryTables/queryTable58.xml" ContentType="application/vnd.openxmlformats-officedocument.spreadsheetml.queryTable+xml"/>
  <Override PartName="/xl/queryTables/queryTable149.xml" ContentType="application/vnd.openxmlformats-officedocument.spreadsheetml.queryTable+xml"/>
  <Override PartName="/xl/queryTables/queryTable335.xml" ContentType="application/vnd.openxmlformats-officedocument.spreadsheetml.queryTable+xml"/>
  <Override PartName="/xl/queryTables/queryTable666.xml" ContentType="application/vnd.openxmlformats-officedocument.spreadsheetml.queryTable+xml"/>
  <Override PartName="/xl/queryTables/queryTable1076.xml" ContentType="application/vnd.openxmlformats-officedocument.spreadsheetml.queryTable+xml"/>
  <Override PartName="/xl/queryTables/queryTable1262.xml" ContentType="application/vnd.openxmlformats-officedocument.spreadsheetml.queryTable+xml"/>
  <Override PartName="/xl/queryTables/queryTable1593.xml" ContentType="application/vnd.openxmlformats-officedocument.spreadsheetml.queryTable+xml"/>
  <Override PartName="/xl/queryTables/queryTable1940.xml" ContentType="application/vnd.openxmlformats-officedocument.spreadsheetml.queryTable+xml"/>
  <Override PartName="/xl/queryTables/queryTable2048.xml" ContentType="application/vnd.openxmlformats-officedocument.spreadsheetml.queryTable+xml"/>
  <Override PartName="/xl/queryTables/queryTable174.xml" ContentType="application/vnd.openxmlformats-officedocument.spreadsheetml.queryTable+xml"/>
  <Override PartName="/xl/queryTables/queryTable521.xml" ContentType="application/vnd.openxmlformats-officedocument.spreadsheetml.queryTable+xml"/>
  <Override PartName="/xl/queryTables/queryTable852.xml" ContentType="application/vnd.openxmlformats-officedocument.spreadsheetml.queryTable+xml"/>
  <Override PartName="/xl/queryTables/queryTable997.xml" ContentType="application/vnd.openxmlformats-officedocument.spreadsheetml.queryTable+xml"/>
  <Override PartName="/xl/queryTables/queryTable1007.xml" ContentType="application/vnd.openxmlformats-officedocument.spreadsheetml.queryTable+xml"/>
  <Override PartName="/xl/queryTables/queryTable1338.xml" ContentType="application/vnd.openxmlformats-officedocument.spreadsheetml.queryTable+xml"/>
  <Override PartName="/xl/queryTables/queryTable1669.xml" ContentType="application/vnd.openxmlformats-officedocument.spreadsheetml.queryTable+xml"/>
  <Override PartName="/xl/queryTables/queryTable83.xml" ContentType="application/vnd.openxmlformats-officedocument.spreadsheetml.queryTable+xml"/>
  <Override PartName="/xl/queryTables/queryTable360.xml" ContentType="application/vnd.openxmlformats-officedocument.spreadsheetml.queryTable+xml"/>
  <Override PartName="/xl/queryTables/queryTable691.xml" ContentType="application/vnd.openxmlformats-officedocument.spreadsheetml.queryTable+xml"/>
  <Override PartName="/xl/queryTables/queryTable928.xml" ContentType="application/vnd.openxmlformats-officedocument.spreadsheetml.queryTable+xml"/>
  <Override PartName="/xl/queryTables/queryTable1177.xml" ContentType="application/vnd.openxmlformats-officedocument.spreadsheetml.queryTable+xml"/>
  <Override PartName="/xl/queryTables/queryTable1524.xml" ContentType="application/vnd.openxmlformats-officedocument.spreadsheetml.queryTable+xml"/>
  <Override PartName="/xl/queryTables/queryTable1710.xml" ContentType="application/vnd.openxmlformats-officedocument.spreadsheetml.queryTable+xml"/>
  <Override PartName="/xl/queryTables/queryTable1855.xml" ContentType="application/vnd.openxmlformats-officedocument.spreadsheetml.queryTable+xml"/>
  <Override PartName="/xl/queryTables/queryTable14.xml" ContentType="application/vnd.openxmlformats-officedocument.spreadsheetml.queryTable+xml"/>
  <Override PartName="/xl/queryTables/queryTable105.xml" ContentType="application/vnd.openxmlformats-officedocument.spreadsheetml.queryTable+xml"/>
  <Override PartName="/xl/queryTables/queryTable436.xml" ContentType="application/vnd.openxmlformats-officedocument.spreadsheetml.queryTable+xml"/>
  <Override PartName="/xl/queryTables/queryTable622.xml" ContentType="application/vnd.openxmlformats-officedocument.spreadsheetml.queryTable+xml"/>
  <Override PartName="/xl/queryTables/queryTable767.xml" ContentType="application/vnd.openxmlformats-officedocument.spreadsheetml.queryTable+xml"/>
  <Override PartName="/xl/queryTables/queryTable1032.xml" ContentType="application/vnd.openxmlformats-officedocument.spreadsheetml.queryTable+xml"/>
  <Override PartName="/xl/queryTables/queryTable1363.xml" ContentType="application/vnd.openxmlformats-officedocument.spreadsheetml.queryTable+xml"/>
  <Override PartName="/xl/queryTables/queryTable1694.xml" ContentType="application/vnd.openxmlformats-officedocument.spreadsheetml.queryTable+xml"/>
  <Override PartName="/xl/queryTables/queryTable2004.xml" ContentType="application/vnd.openxmlformats-officedocument.spreadsheetml.queryTable+xml"/>
  <Override PartName="/xl/worksheets/sheet2.xml" ContentType="application/vnd.openxmlformats-officedocument.spreadsheetml.worksheet+xml"/>
  <Override PartName="/xl/queryTables/queryTable130.xml" ContentType="application/vnd.openxmlformats-officedocument.spreadsheetml.queryTable+xml"/>
  <Override PartName="/xl/queryTables/queryTable275.xml" ContentType="application/vnd.openxmlformats-officedocument.spreadsheetml.queryTable+xml"/>
  <Override PartName="/xl/queryTables/queryTable461.xml" ContentType="application/vnd.openxmlformats-officedocument.spreadsheetml.queryTable+xml"/>
  <Override PartName="/xl/queryTables/queryTable953.xml" ContentType="application/vnd.openxmlformats-officedocument.spreadsheetml.queryTable+xml"/>
  <Override PartName="/xl/queryTables/queryTable1108.xml" ContentType="application/vnd.openxmlformats-officedocument.spreadsheetml.queryTable+xml"/>
  <Override PartName="/xl/queryTables/queryTable1439.xml" ContentType="application/vnd.openxmlformats-officedocument.spreadsheetml.queryTable+xml"/>
  <Override PartName="/xl/queryTables/queryTable1625.xml" ContentType="application/vnd.openxmlformats-officedocument.spreadsheetml.queryTable+xml"/>
  <Override PartName="/xl/queryTables/queryTable1880.xml" ContentType="application/vnd.openxmlformats-officedocument.spreadsheetml.queryTable+xml"/>
  <Override PartName="/xl/pivotCache/pivotCacheDefinition1.xml" ContentType="application/vnd.openxmlformats-officedocument.spreadsheetml.pivotCacheDefinition+xml"/>
  <Override PartName="/xl/queryTables/queryTable7.xml" ContentType="application/vnd.openxmlformats-officedocument.spreadsheetml.queryTable+xml"/>
  <Override PartName="/xl/queryTables/queryTable206.xml" ContentType="application/vnd.openxmlformats-officedocument.spreadsheetml.queryTable+xml"/>
  <Override PartName="/xl/queryTables/queryTable792.xml" ContentType="application/vnd.openxmlformats-officedocument.spreadsheetml.queryTable+xml"/>
  <Override PartName="/xl/queryTables/queryTable1133.xml" ContentType="application/vnd.openxmlformats-officedocument.spreadsheetml.queryTable+xml"/>
  <Override PartName="/xl/queryTables/queryTable1278.xml" ContentType="application/vnd.openxmlformats-officedocument.spreadsheetml.queryTable+xml"/>
  <Override PartName="/xl/queryTables/queryTable1464.xml" ContentType="application/vnd.openxmlformats-officedocument.spreadsheetml.queryTable+xml"/>
  <Override PartName="/xl/queryTables/queryTable1811.xml" ContentType="application/vnd.openxmlformats-officedocument.spreadsheetml.queryTable+xml"/>
  <Override PartName="/xl/queryTables/queryTable1956.xml" ContentType="application/vnd.openxmlformats-officedocument.spreadsheetml.queryTable+xml"/>
  <Override PartName="/xl/queryTables/queryTable537.xml" ContentType="application/vnd.openxmlformats-officedocument.spreadsheetml.queryTable+xml"/>
  <Override PartName="/xl/queryTables/queryTable723.xml" ContentType="application/vnd.openxmlformats-officedocument.spreadsheetml.queryTable+xml"/>
  <Override PartName="/xl/queryTables/queryTable868.xml" ContentType="application/vnd.openxmlformats-officedocument.spreadsheetml.queryTable+xml"/>
  <Override PartName="/xl/queryTables/queryTable1209.xml" ContentType="application/vnd.openxmlformats-officedocument.spreadsheetml.queryTable+xml"/>
  <Override PartName="/xl/queryTables/queryTable1650.xml" ContentType="application/vnd.openxmlformats-officedocument.spreadsheetml.queryTable+xml"/>
  <Override PartName="/xl/queryTables/queryTable1795.xml" ContentType="application/vnd.openxmlformats-officedocument.spreadsheetml.queryTable+xml"/>
  <Override PartName="/xl/queryTables/queryTable1981.xml" ContentType="application/vnd.openxmlformats-officedocument.spreadsheetml.queryTable+xml"/>
  <Override PartName="/xl/queryTables/queryTable99.xml" ContentType="application/vnd.openxmlformats-officedocument.spreadsheetml.queryTable+xml"/>
  <Override PartName="/xl/queryTables/queryTable231.xml" ContentType="application/vnd.openxmlformats-officedocument.spreadsheetml.queryTable+xml"/>
  <Override PartName="/xl/queryTables/queryTable376.xml" ContentType="application/vnd.openxmlformats-officedocument.spreadsheetml.queryTable+xml"/>
  <Override PartName="/xl/queryTables/queryTable562.xml" ContentType="application/vnd.openxmlformats-officedocument.spreadsheetml.queryTable+xml"/>
  <Override PartName="/xl/queryTables/queryTable893.xml" ContentType="application/vnd.openxmlformats-officedocument.spreadsheetml.queryTable+xml"/>
  <Override PartName="/xl/queryTables/queryTable1048.xml" ContentType="application/vnd.openxmlformats-officedocument.spreadsheetml.queryTable+xml"/>
  <Override PartName="/xl/queryTables/queryTable1726.xml" ContentType="application/vnd.openxmlformats-officedocument.spreadsheetml.queryTable+xml"/>
  <Override PartName="/xl/queryTables/queryTable307.xml" ContentType="application/vnd.openxmlformats-officedocument.spreadsheetml.queryTable+xml"/>
  <Override PartName="/xl/queryTables/queryTable638.xml" ContentType="application/vnd.openxmlformats-officedocument.spreadsheetml.queryTable+xml"/>
  <Override PartName="/xl/queryTables/queryTable1234.xml" ContentType="application/vnd.openxmlformats-officedocument.spreadsheetml.queryTable+xml"/>
  <Override PartName="/xl/queryTables/queryTable1379.xml" ContentType="application/vnd.openxmlformats-officedocument.spreadsheetml.queryTable+xml"/>
  <Override PartName="/xl/queryTables/queryTable1565.xml" ContentType="application/vnd.openxmlformats-officedocument.spreadsheetml.queryTable+xml"/>
  <Override PartName="/xl/queryTables/queryTable1896.xml" ContentType="application/vnd.openxmlformats-officedocument.spreadsheetml.queryTable+xml"/>
  <Override PartName="/xl/queryTables/queryTable1912.xml" ContentType="application/vnd.openxmlformats-officedocument.spreadsheetml.queryTable+xml"/>
  <Override PartName="/xl/queryTables/queryTable146.xml" ContentType="application/vnd.openxmlformats-officedocument.spreadsheetml.queryTable+xml"/>
  <Override PartName="/xl/queryTables/queryTable477.xml" ContentType="application/vnd.openxmlformats-officedocument.spreadsheetml.queryTable+xml"/>
  <Override PartName="/xl/queryTables/queryTable824.xml" ContentType="application/vnd.openxmlformats-officedocument.spreadsheetml.queryTable+xml"/>
  <Override PartName="/xl/queryTables/queryTable969.xml" ContentType="application/vnd.openxmlformats-officedocument.spreadsheetml.queryTable+xml"/>
  <Override PartName="/xl/queryTables/queryTable1073.xml" ContentType="application/vnd.openxmlformats-officedocument.spreadsheetml.queryTable+xml"/>
  <Override PartName="/xl/queryTables/queryTable1420.xml" ContentType="application/vnd.openxmlformats-officedocument.spreadsheetml.queryTable+xml"/>
  <Override PartName="/xl/queryTables/queryTable1751.xml" ContentType="application/vnd.openxmlformats-officedocument.spreadsheetml.queryTable+xml"/>
  <Override PartName="/xl/queryTables/queryTable55.xml" ContentType="application/vnd.openxmlformats-officedocument.spreadsheetml.queryTable+xml"/>
  <Override PartName="/xl/queryTables/queryTable332.xml" ContentType="application/vnd.openxmlformats-officedocument.spreadsheetml.queryTable+xml"/>
  <Override PartName="/xl/queryTables/queryTable663.xml" ContentType="application/vnd.openxmlformats-officedocument.spreadsheetml.queryTable+xml"/>
  <Override PartName="/xl/queryTables/queryTable994.xml" ContentType="application/vnd.openxmlformats-officedocument.spreadsheetml.queryTable+xml"/>
  <Override PartName="/xl/queryTables/queryTable1004.xml" ContentType="application/vnd.openxmlformats-officedocument.spreadsheetml.queryTable+xml"/>
  <Override PartName="/xl/queryTables/queryTable1149.xml" ContentType="application/vnd.openxmlformats-officedocument.spreadsheetml.queryTable+xml"/>
  <Override PartName="/xl/queryTables/queryTable1590.xml" ContentType="application/vnd.openxmlformats-officedocument.spreadsheetml.queryTable+xml"/>
  <Override PartName="/xl/queryTables/queryTable1827.xml" ContentType="application/vnd.openxmlformats-officedocument.spreadsheetml.queryTable+xml"/>
  <Override PartName="/xl/queryTables/queryTable2045.xml" ContentType="application/vnd.openxmlformats-officedocument.spreadsheetml.queryTable+xml"/>
  <Override PartName="/xl/queryTables/queryTable80.xml" ContentType="application/vnd.openxmlformats-officedocument.spreadsheetml.queryTable+xml"/>
  <Override PartName="/xl/queryTables/queryTable171.xml" ContentType="application/vnd.openxmlformats-officedocument.spreadsheetml.queryTable+xml"/>
  <Override PartName="/xl/queryTables/queryTable408.xml" ContentType="application/vnd.openxmlformats-officedocument.spreadsheetml.queryTable+xml"/>
  <Override PartName="/xl/queryTables/queryTable739.xml" ContentType="application/vnd.openxmlformats-officedocument.spreadsheetml.queryTable+xml"/>
  <Override PartName="/xl/queryTables/queryTable1335.xml" ContentType="application/vnd.openxmlformats-officedocument.spreadsheetml.queryTable+xml"/>
  <Override PartName="/xl/queryTables/queryTable1521.xml" ContentType="application/vnd.openxmlformats-officedocument.spreadsheetml.queryTable+xml"/>
  <Override PartName="/xl/queryTables/queryTable1666.xml" ContentType="application/vnd.openxmlformats-officedocument.spreadsheetml.queryTable+xml"/>
  <Override PartName="/xl/queryTables/queryTable1852.xml" ContentType="application/vnd.openxmlformats-officedocument.spreadsheetml.queryTable+xml"/>
  <Override PartName="/xl/queryTables/queryTable1997.xml" ContentType="application/vnd.openxmlformats-officedocument.spreadsheetml.queryTable+xml"/>
  <Override PartName="/xl/queryTables/queryTable102.xml" ContentType="application/vnd.openxmlformats-officedocument.spreadsheetml.queryTable+xml"/>
  <Override PartName="/xl/queryTables/queryTable247.xml" ContentType="application/vnd.openxmlformats-officedocument.spreadsheetml.queryTable+xml"/>
  <Override PartName="/xl/queryTables/queryTable433.xml" ContentType="application/vnd.openxmlformats-officedocument.spreadsheetml.queryTable+xml"/>
  <Override PartName="/xl/queryTables/queryTable578.xml" ContentType="application/vnd.openxmlformats-officedocument.spreadsheetml.queryTable+xml"/>
  <Override PartName="/xl/queryTables/queryTable925.xml" ContentType="application/vnd.openxmlformats-officedocument.spreadsheetml.queryTable+xml"/>
  <Override PartName="/xl/queryTables/queryTable1174.xml" ContentType="application/vnd.openxmlformats-officedocument.spreadsheetml.queryTable+xml"/>
  <Override PartName="/xl/queryTables/queryTable1360.xml" ContentType="application/vnd.openxmlformats-officedocument.spreadsheetml.queryTable+xml"/>
  <Override PartName="/xl/queryTables/queryTable1691.xml" ContentType="application/vnd.openxmlformats-officedocument.spreadsheetml.queryTable+xml"/>
  <Override PartName="/xl/externalLinks/externalLink1.xml" ContentType="application/vnd.openxmlformats-officedocument.spreadsheetml.externalLink+xml"/>
  <Override PartName="/xl/queryTables/queryTable11.xml" ContentType="application/vnd.openxmlformats-officedocument.spreadsheetml.queryTable+xml"/>
  <Override PartName="/xl/queryTables/queryTable272.xml" ContentType="application/vnd.openxmlformats-officedocument.spreadsheetml.queryTable+xml"/>
  <Override PartName="/xl/queryTables/queryTable764.xml" ContentType="application/vnd.openxmlformats-officedocument.spreadsheetml.queryTable+xml"/>
  <Override PartName="/xl/queryTables/queryTable950.xml" ContentType="application/vnd.openxmlformats-officedocument.spreadsheetml.queryTable+xml"/>
  <Override PartName="/xl/queryTables/queryTable1105.xml" ContentType="application/vnd.openxmlformats-officedocument.spreadsheetml.queryTable+xml"/>
  <Override PartName="/xl/queryTables/queryTable1436.xml" ContentType="application/vnd.openxmlformats-officedocument.spreadsheetml.queryTable+xml"/>
  <Override PartName="/xl/queryTables/queryTable1928.xml" ContentType="application/vnd.openxmlformats-officedocument.spreadsheetml.queryTable+xml"/>
  <Override PartName="/xl/queryTables/queryTable2001.xml" ContentType="application/vnd.openxmlformats-officedocument.spreadsheetml.queryTable+xml"/>
  <Override PartName="/xl/queryTables/queryTable509.xml" ContentType="application/vnd.openxmlformats-officedocument.spreadsheetml.queryTable+xml"/>
  <Override PartName="/xl/queryTables/queryTable1089.xml" ContentType="application/vnd.openxmlformats-officedocument.spreadsheetml.queryTable+xml"/>
  <Override PartName="/xl/queryTables/queryTable1275.xml" ContentType="application/vnd.openxmlformats-officedocument.spreadsheetml.queryTable+xml"/>
  <Override PartName="/xl/queryTables/queryTable1622.xml" ContentType="application/vnd.openxmlformats-officedocument.spreadsheetml.queryTable+xml"/>
  <Override PartName="/xl/queryTables/queryTable1767.xml" ContentType="application/vnd.openxmlformats-officedocument.spreadsheetml.queryTable+xml"/>
  <Override PartName="/xl/queryTables/queryTable1953.xml" ContentType="application/vnd.openxmlformats-officedocument.spreadsheetml.queryTable+xml"/>
  <Override PartName="/xl/queryTables/queryTable4.xml" ContentType="application/vnd.openxmlformats-officedocument.spreadsheetml.queryTable+xml"/>
  <Override PartName="/xl/queryTables/queryTable203.xml" ContentType="application/vnd.openxmlformats-officedocument.spreadsheetml.queryTable+xml"/>
  <Override PartName="/xl/queryTables/queryTable348.xml" ContentType="application/vnd.openxmlformats-officedocument.spreadsheetml.queryTable+xml"/>
  <Override PartName="/xl/queryTables/queryTable534.xml" ContentType="application/vnd.openxmlformats-officedocument.spreadsheetml.queryTable+xml"/>
  <Override PartName="/xl/queryTables/queryTable679.xml" ContentType="application/vnd.openxmlformats-officedocument.spreadsheetml.queryTable+xml"/>
  <Override PartName="/xl/queryTables/queryTable865.xml" ContentType="application/vnd.openxmlformats-officedocument.spreadsheetml.queryTable+xml"/>
  <Override PartName="/xl/queryTables/queryTable1130.xml" ContentType="application/vnd.openxmlformats-officedocument.spreadsheetml.queryTable+xml"/>
  <Override PartName="/xl/queryTables/queryTable1461.xml" ContentType="application/vnd.openxmlformats-officedocument.spreadsheetml.queryTable+xml"/>
  <Override PartName="/xl/queryTables/queryTable1792.xml" ContentType="application/vnd.openxmlformats-officedocument.spreadsheetml.queryTable+xml"/>
  <Default Extension="bin" ContentType="application/vnd.openxmlformats-officedocument.spreadsheetml.printerSettings"/>
  <Override PartName="/xl/queryTables/queryTable96.xml" ContentType="application/vnd.openxmlformats-officedocument.spreadsheetml.queryTable+xml"/>
  <Override PartName="/xl/queryTables/queryTable187.xml" ContentType="application/vnd.openxmlformats-officedocument.spreadsheetml.queryTable+xml"/>
  <Override PartName="/xl/queryTables/queryTable373.xml" ContentType="application/vnd.openxmlformats-officedocument.spreadsheetml.queryTable+xml"/>
  <Override PartName="/xl/queryTables/queryTable720.xml" ContentType="application/vnd.openxmlformats-officedocument.spreadsheetml.queryTable+xml"/>
  <Override PartName="/xl/queryTables/queryTable1206.xml" ContentType="application/vnd.openxmlformats-officedocument.spreadsheetml.queryTable+xml"/>
  <Override PartName="/xl/queryTables/queryTable1537.xml" ContentType="application/vnd.openxmlformats-officedocument.spreadsheetml.queryTable+xml"/>
  <Override PartName="/xl/queryTables/queryTable1868.xml" ContentType="application/vnd.openxmlformats-officedocument.spreadsheetml.queryTable+xml"/>
  <Override PartName="/xl/queryTables/queryTable118.xml" ContentType="application/vnd.openxmlformats-officedocument.spreadsheetml.queryTable+xml"/>
  <Override PartName="/xl/queryTables/queryTable449.xml" ContentType="application/vnd.openxmlformats-officedocument.spreadsheetml.queryTable+xml"/>
  <Override PartName="/xl/queryTables/queryTable890.xml" ContentType="application/vnd.openxmlformats-officedocument.spreadsheetml.queryTable+xml"/>
  <Override PartName="/xl/queryTables/queryTable1045.xml" ContentType="application/vnd.openxmlformats-officedocument.spreadsheetml.queryTable+xml"/>
  <Override PartName="/xl/queryTables/queryTable1231.xml" ContentType="application/vnd.openxmlformats-officedocument.spreadsheetml.queryTable+xml"/>
  <Override PartName="/xl/queryTables/queryTable1376.xml" ContentType="application/vnd.openxmlformats-officedocument.spreadsheetml.queryTable+xml"/>
  <Override PartName="/xl/queryTables/queryTable1723.xml" ContentType="application/vnd.openxmlformats-officedocument.spreadsheetml.queryTable+xml"/>
  <Override PartName="/xl/queryTables/queryTable27.xml" ContentType="application/vnd.openxmlformats-officedocument.spreadsheetml.queryTable+xml"/>
  <Override PartName="/xl/queryTables/queryTable288.xml" ContentType="application/vnd.openxmlformats-officedocument.spreadsheetml.queryTable+xml"/>
  <Override PartName="/xl/queryTables/queryTable304.xml" ContentType="application/vnd.openxmlformats-officedocument.spreadsheetml.queryTable+xml"/>
  <Override PartName="/xl/queryTables/queryTable635.xml" ContentType="application/vnd.openxmlformats-officedocument.spreadsheetml.queryTable+xml"/>
  <Override PartName="/xl/queryTables/queryTable821.xml" ContentType="application/vnd.openxmlformats-officedocument.spreadsheetml.queryTable+xml"/>
  <Override PartName="/xl/queryTables/queryTable966.xml" ContentType="application/vnd.openxmlformats-officedocument.spreadsheetml.queryTable+xml"/>
  <Override PartName="/xl/queryTables/queryTable1070.xml" ContentType="application/vnd.openxmlformats-officedocument.spreadsheetml.queryTable+xml"/>
  <Override PartName="/xl/queryTables/queryTable1562.xml" ContentType="application/vnd.openxmlformats-officedocument.spreadsheetml.queryTable+xml"/>
  <Override PartName="/xl/queryTables/queryTable1893.xml" ContentType="application/vnd.openxmlformats-officedocument.spreadsheetml.queryTable+xml"/>
  <Override PartName="/xl/queryTables/queryTable2017.xml" ContentType="application/vnd.openxmlformats-officedocument.spreadsheetml.queryTable+xml"/>
  <Override PartName="/xl/queryTables/queryTable52.xml" ContentType="application/vnd.openxmlformats-officedocument.spreadsheetml.queryTable+xml"/>
  <Override PartName="/xl/queryTables/queryTable143.xml" ContentType="application/vnd.openxmlformats-officedocument.spreadsheetml.queryTable+xml"/>
  <Override PartName="/xl/queryTables/queryTable474.xml" ContentType="application/vnd.openxmlformats-officedocument.spreadsheetml.queryTable+xml"/>
  <Override PartName="/xl/queryTables/queryTable660.xml" ContentType="application/vnd.openxmlformats-officedocument.spreadsheetml.queryTable+xml"/>
  <Override PartName="/xl/queryTables/queryTable991.xml" ContentType="application/vnd.openxmlformats-officedocument.spreadsheetml.queryTable+xml"/>
  <Override PartName="/xl/queryTables/queryTable1307.xml" ContentType="application/vnd.openxmlformats-officedocument.spreadsheetml.queryTable+xml"/>
  <Override PartName="/xl/queryTables/queryTable1638.xml" ContentType="application/vnd.openxmlformats-officedocument.spreadsheetml.queryTable+xml"/>
  <Override PartName="/xl/queryTables/queryTable1824.xml" ContentType="application/vnd.openxmlformats-officedocument.spreadsheetml.queryTable+xml"/>
  <Override PartName="/xl/queryTables/queryTable1969.xml" ContentType="application/vnd.openxmlformats-officedocument.spreadsheetml.queryTable+xml"/>
  <Override PartName="/xl/queryTables/queryTable2042.xml" ContentType="application/vnd.openxmlformats-officedocument.spreadsheetml.queryTable+xml"/>
  <Override PartName="/xl/queryTables/queryTable219.xml" ContentType="application/vnd.openxmlformats-officedocument.spreadsheetml.queryTable+xml"/>
  <Override PartName="/xl/queryTables/queryTable405.xml" ContentType="application/vnd.openxmlformats-officedocument.spreadsheetml.queryTable+xml"/>
  <Override PartName="/xl/queryTables/queryTable736.xml" ContentType="application/vnd.openxmlformats-officedocument.spreadsheetml.queryTable+xml"/>
  <Override PartName="/xl/queryTables/queryTable1001.xml" ContentType="application/vnd.openxmlformats-officedocument.spreadsheetml.queryTable+xml"/>
  <Override PartName="/xl/queryTables/queryTable1146.xml" ContentType="application/vnd.openxmlformats-officedocument.spreadsheetml.queryTable+xml"/>
  <Override PartName="/xl/queryTables/queryTable1332.xml" ContentType="application/vnd.openxmlformats-officedocument.spreadsheetml.queryTable+xml"/>
  <Override PartName="/xl/queryTables/queryTable1477.xml" ContentType="application/vnd.openxmlformats-officedocument.spreadsheetml.queryTable+xml"/>
  <Override PartName="/xl/queryTables/queryTable1663.xml" ContentType="application/vnd.openxmlformats-officedocument.spreadsheetml.queryTable+xml"/>
  <Override PartName="/xl/queryTables/queryTable1994.xml" ContentType="application/vnd.openxmlformats-officedocument.spreadsheetml.queryTable+xml"/>
  <Override PartName="/xl/queryTables/queryTable244.xml" ContentType="application/vnd.openxmlformats-officedocument.spreadsheetml.queryTable+xml"/>
  <Override PartName="/xl/queryTables/queryTable389.xml" ContentType="application/vnd.openxmlformats-officedocument.spreadsheetml.queryTable+xml"/>
  <Override PartName="/xl/queryTables/queryTable575.xml" ContentType="application/vnd.openxmlformats-officedocument.spreadsheetml.queryTable+xml"/>
  <Override PartName="/xl/queryTables/queryTable922.xml" ContentType="application/vnd.openxmlformats-officedocument.spreadsheetml.queryTable+xml"/>
  <Override PartName="/xl/queryTables/queryTable1171.xml" ContentType="application/vnd.openxmlformats-officedocument.spreadsheetml.queryTable+xml"/>
  <Override PartName="/xl/queryTables/queryTable1408.xml" ContentType="application/vnd.openxmlformats-officedocument.spreadsheetml.queryTable+xml"/>
  <Override PartName="/xl/queryTables/queryTable1739.xml" ContentType="application/vnd.openxmlformats-officedocument.spreadsheetml.queryTable+xml"/>
  <Override PartName="/xl/queryTables/queryTable430.xml" ContentType="application/vnd.openxmlformats-officedocument.spreadsheetml.queryTable+xml"/>
  <Override PartName="/xl/queryTables/queryTable761.xml" ContentType="application/vnd.openxmlformats-officedocument.spreadsheetml.queryTable+xml"/>
  <Override PartName="/xl/queryTables/queryTable1247.xml" ContentType="application/vnd.openxmlformats-officedocument.spreadsheetml.queryTable+xml"/>
  <Override PartName="/xl/queryTables/queryTable1578.xml" ContentType="application/vnd.openxmlformats-officedocument.spreadsheetml.queryTable+xml"/>
  <Override PartName="/xl/queryTables/queryTable1925.xml" ContentType="application/vnd.openxmlformats-officedocument.spreadsheetml.queryTable+xml"/>
  <Override PartName="/xl/queryTables/queryTable159.xml" ContentType="application/vnd.openxmlformats-officedocument.spreadsheetml.queryTable+xml"/>
  <Override PartName="/xl/queryTables/queryTable506.xml" ContentType="application/vnd.openxmlformats-officedocument.spreadsheetml.queryTable+xml"/>
  <Override PartName="/xl/queryTables/queryTable837.xml" ContentType="application/vnd.openxmlformats-officedocument.spreadsheetml.queryTable+xml"/>
  <Override PartName="/xl/queryTables/queryTable1086.xml" ContentType="application/vnd.openxmlformats-officedocument.spreadsheetml.queryTable+xml"/>
  <Override PartName="/xl/queryTables/queryTable1102.xml" ContentType="application/vnd.openxmlformats-officedocument.spreadsheetml.queryTable+xml"/>
  <Override PartName="/xl/queryTables/queryTable1433.xml" ContentType="application/vnd.openxmlformats-officedocument.spreadsheetml.queryTable+xml"/>
  <Override PartName="/xl/tables/table6.xml" ContentType="application/vnd.openxmlformats-officedocument.spreadsheetml.table+xml"/>
  <Override PartName="/xl/queryTables/queryTable1764.xml" ContentType="application/vnd.openxmlformats-officedocument.spreadsheetml.queryTable+xml"/>
  <Override PartName="/xl/queryTables/queryTable1.xml" ContentType="application/vnd.openxmlformats-officedocument.spreadsheetml.queryTable+xml"/>
  <Override PartName="/xl/queryTables/queryTable68.xml" ContentType="application/vnd.openxmlformats-officedocument.spreadsheetml.queryTable+xml"/>
  <Override PartName="/xl/queryTables/queryTable200.xml" ContentType="application/vnd.openxmlformats-officedocument.spreadsheetml.queryTable+xml"/>
  <Override PartName="/xl/queryTables/queryTable345.xml" ContentType="application/vnd.openxmlformats-officedocument.spreadsheetml.queryTable+xml"/>
  <Override PartName="/xl/queryTables/queryTable676.xml" ContentType="application/vnd.openxmlformats-officedocument.spreadsheetml.queryTable+xml"/>
  <Override PartName="/xl/queryTables/queryTable1272.xml" ContentType="application/vnd.openxmlformats-officedocument.spreadsheetml.queryTable+xml"/>
  <Override PartName="/xl/queryTables/queryTable1509.xml" ContentType="application/vnd.openxmlformats-officedocument.spreadsheetml.queryTable+xml"/>
  <Override PartName="/xl/queryTables/queryTable1950.xml" ContentType="application/vnd.openxmlformats-officedocument.spreadsheetml.queryTable+xml"/>
  <Override PartName="/xl/queryTables/queryTable2058.xml" ContentType="application/vnd.openxmlformats-officedocument.spreadsheetml.queryTable+xml"/>
  <Override PartName="/xl/theme/theme1.xml" ContentType="application/vnd.openxmlformats-officedocument.theme+xml"/>
  <Override PartName="/xl/queryTables/queryTable184.xml" ContentType="application/vnd.openxmlformats-officedocument.spreadsheetml.queryTable+xml"/>
  <Override PartName="/xl/queryTables/queryTable370.xml" ContentType="application/vnd.openxmlformats-officedocument.spreadsheetml.queryTable+xml"/>
  <Override PartName="/xl/queryTables/queryTable531.xml" ContentType="application/vnd.openxmlformats-officedocument.spreadsheetml.queryTable+xml"/>
  <Override PartName="/xl/queryTables/queryTable862.xml" ContentType="application/vnd.openxmlformats-officedocument.spreadsheetml.queryTable+xml"/>
  <Override PartName="/xl/queryTables/queryTable1017.xml" ContentType="application/vnd.openxmlformats-officedocument.spreadsheetml.queryTable+xml"/>
  <Override PartName="/xl/queryTables/queryTable1203.xml" ContentType="application/vnd.openxmlformats-officedocument.spreadsheetml.queryTable+xml"/>
  <Override PartName="/xl/queryTables/queryTable1348.xml" ContentType="application/vnd.openxmlformats-officedocument.spreadsheetml.queryTable+xml"/>
  <Override PartName="/xl/queryTables/queryTable1679.xml" ContentType="application/vnd.openxmlformats-officedocument.spreadsheetml.queryTable+xml"/>
  <Override PartName="/xl/queryTables/queryTable93.xml" ContentType="application/vnd.openxmlformats-officedocument.spreadsheetml.queryTable+xml"/>
  <Override PartName="/xl/queryTables/queryTable115.xml" ContentType="application/vnd.openxmlformats-officedocument.spreadsheetml.queryTable+xml"/>
  <Override PartName="/xl/queryTables/queryTable607.xml" ContentType="application/vnd.openxmlformats-officedocument.spreadsheetml.queryTable+xml"/>
  <Override PartName="/xl/queryTables/queryTable938.xml" ContentType="application/vnd.openxmlformats-officedocument.spreadsheetml.queryTable+xml"/>
  <Override PartName="/xl/queryTables/queryTable1042.xml" ContentType="application/vnd.openxmlformats-officedocument.spreadsheetml.queryTable+xml"/>
  <Override PartName="/xl/queryTables/queryTable1187.xml" ContentType="application/vnd.openxmlformats-officedocument.spreadsheetml.queryTable+xml"/>
  <Override PartName="/xl/queryTables/queryTable1373.xml" ContentType="application/vnd.openxmlformats-officedocument.spreadsheetml.queryTable+xml"/>
  <Override PartName="/xl/queryTables/queryTable1534.xml" ContentType="application/vnd.openxmlformats-officedocument.spreadsheetml.queryTable+xml"/>
  <Override PartName="/xl/queryTables/queryTable1720.xml" ContentType="application/vnd.openxmlformats-officedocument.spreadsheetml.queryTable+xml"/>
  <Override PartName="/xl/queryTables/queryTable1865.xml" ContentType="application/vnd.openxmlformats-officedocument.spreadsheetml.queryTable+xml"/>
  <Override PartName="/xl/queryTables/queryTable24.xml" ContentType="application/vnd.openxmlformats-officedocument.spreadsheetml.queryTable+xml"/>
  <Override PartName="/xl/queryTables/queryTable301.xml" ContentType="application/vnd.openxmlformats-officedocument.spreadsheetml.queryTable+xml"/>
  <Override PartName="/xl/queryTables/queryTable446.xml" ContentType="application/vnd.openxmlformats-officedocument.spreadsheetml.queryTable+xml"/>
  <Override PartName="/xl/queryTables/queryTable632.xml" ContentType="application/vnd.openxmlformats-officedocument.spreadsheetml.queryTable+xml"/>
  <Override PartName="/xl/queryTables/queryTable777.xml" ContentType="application/vnd.openxmlformats-officedocument.spreadsheetml.queryTable+xml"/>
  <Override PartName="/xl/queryTables/queryTable963.xml" ContentType="application/vnd.openxmlformats-officedocument.spreadsheetml.queryTable+xml"/>
  <Override PartName="/xl/queryTables/queryTable1118.xml" ContentType="application/vnd.openxmlformats-officedocument.spreadsheetml.queryTable+xml"/>
  <Override PartName="/xl/queryTables/queryTable1890.xml" ContentType="application/vnd.openxmlformats-officedocument.spreadsheetml.queryTable+xml"/>
  <Override PartName="/xl/queryTables/queryTable2014.xml" ContentType="application/vnd.openxmlformats-officedocument.spreadsheetml.queryTable+xml"/>
  <Override PartName="/xl/queryTables/queryTable140.xml" ContentType="application/vnd.openxmlformats-officedocument.spreadsheetml.queryTable+xml"/>
  <Override PartName="/xl/queryTables/queryTable285.xml" ContentType="application/vnd.openxmlformats-officedocument.spreadsheetml.queryTable+xml"/>
  <Override PartName="/xl/queryTables/queryTable471.xml" ContentType="application/vnd.openxmlformats-officedocument.spreadsheetml.queryTable+xml"/>
  <Override PartName="/xl/queryTables/queryTable708.xml" ContentType="application/vnd.openxmlformats-officedocument.spreadsheetml.queryTable+xml"/>
  <Override PartName="/xl/queryTables/queryTable1304.xml" ContentType="application/vnd.openxmlformats-officedocument.spreadsheetml.queryTable+xml"/>
  <Override PartName="/xl/queryTables/queryTable1449.xml" ContentType="application/vnd.openxmlformats-officedocument.spreadsheetml.queryTable+xml"/>
  <Override PartName="/xl/queryTables/queryTable1635.xml" ContentType="application/vnd.openxmlformats-officedocument.spreadsheetml.queryTable+xml"/>
  <Override PartName="/xl/queryTables/queryTable1966.xml" ContentType="application/vnd.openxmlformats-officedocument.spreadsheetml.queryTable+xml"/>
  <Override PartName="/xl/queryTables/queryTable216.xml" ContentType="application/vnd.openxmlformats-officedocument.spreadsheetml.queryTable+xml"/>
  <Override PartName="/xl/queryTables/queryTable547.xml" ContentType="application/vnd.openxmlformats-officedocument.spreadsheetml.queryTable+xml"/>
  <Override PartName="/xl/queryTables/queryTable1143.xml" ContentType="application/vnd.openxmlformats-officedocument.spreadsheetml.queryTable+xml"/>
  <Override PartName="/xl/queryTables/queryTable1288.xml" ContentType="application/vnd.openxmlformats-officedocument.spreadsheetml.queryTable+xml"/>
  <Override PartName="/xl/queryTables/queryTable1474.xml" ContentType="application/vnd.openxmlformats-officedocument.spreadsheetml.queryTable+xml"/>
  <Override PartName="/xl/queryTables/queryTable1821.xml" ContentType="application/vnd.openxmlformats-officedocument.spreadsheetml.queryTable+xml"/>
  <Override PartName="/xl/queryTables/queryTable386.xml" ContentType="application/vnd.openxmlformats-officedocument.spreadsheetml.queryTable+xml"/>
  <Override PartName="/xl/queryTables/queryTable402.xml" ContentType="application/vnd.openxmlformats-officedocument.spreadsheetml.queryTable+xml"/>
  <Override PartName="/xl/queryTables/queryTable733.xml" ContentType="application/vnd.openxmlformats-officedocument.spreadsheetml.queryTable+xml"/>
  <Override PartName="/xl/queryTables/queryTable878.xml" ContentType="application/vnd.openxmlformats-officedocument.spreadsheetml.queryTable+xml"/>
  <Override PartName="/xl/queryTables/queryTable1219.xml" ContentType="application/vnd.openxmlformats-officedocument.spreadsheetml.queryTable+xml"/>
  <Override PartName="/xl/queryTables/queryTable1660.xml" ContentType="application/vnd.openxmlformats-officedocument.spreadsheetml.queryTable+xml"/>
  <Override PartName="/xl/queryTables/queryTable1991.xml" ContentType="application/vnd.openxmlformats-officedocument.spreadsheetml.queryTable+xml"/>
  <Override PartName="/xl/queryTables/queryTable241.xml" ContentType="application/vnd.openxmlformats-officedocument.spreadsheetml.queryTable+xml"/>
  <Override PartName="/xl/queryTables/queryTable572.xml" ContentType="application/vnd.openxmlformats-officedocument.spreadsheetml.queryTable+xml"/>
  <Override PartName="/xl/queryTables/queryTable809.xml" ContentType="application/vnd.openxmlformats-officedocument.spreadsheetml.queryTable+xml"/>
  <Override PartName="/xl/queryTables/queryTable1058.xml" ContentType="application/vnd.openxmlformats-officedocument.spreadsheetml.queryTable+xml"/>
  <Override PartName="/xl/queryTables/queryTable1389.xml" ContentType="application/vnd.openxmlformats-officedocument.spreadsheetml.queryTable+xml"/>
  <Override PartName="/xl/queryTables/queryTable1405.xml" ContentType="application/vnd.openxmlformats-officedocument.spreadsheetml.queryTable+xml"/>
  <Override PartName="/xl/queryTables/queryTable1736.xml" ContentType="application/vnd.openxmlformats-officedocument.spreadsheetml.queryTable+xml"/>
  <Override PartName="/xl/queryTables/queryTable1922.xml" ContentType="application/vnd.openxmlformats-officedocument.spreadsheetml.queryTable+xml"/>
  <Override PartName="/xl/tables/table3.xml" ContentType="application/vnd.openxmlformats-officedocument.spreadsheetml.table+xml"/>
  <Override PartName="/xl/queryTables/queryTable317.xml" ContentType="application/vnd.openxmlformats-officedocument.spreadsheetml.queryTable+xml"/>
  <Override PartName="/xl/queryTables/queryTable503.xml" ContentType="application/vnd.openxmlformats-officedocument.spreadsheetml.queryTable+xml"/>
  <Override PartName="/xl/queryTables/queryTable648.xml" ContentType="application/vnd.openxmlformats-officedocument.spreadsheetml.queryTable+xml"/>
  <Override PartName="/xl/queryTables/queryTable979.xml" ContentType="application/vnd.openxmlformats-officedocument.spreadsheetml.queryTable+xml"/>
  <Override PartName="/xl/queryTables/queryTable1244.xml" ContentType="application/vnd.openxmlformats-officedocument.spreadsheetml.queryTable+xml"/>
  <Override PartName="/xl/queryTables/queryTable1430.xml" ContentType="application/vnd.openxmlformats-officedocument.spreadsheetml.queryTable+xml"/>
  <Override PartName="/xl/queryTables/queryTable1575.xml" ContentType="application/vnd.openxmlformats-officedocument.spreadsheetml.queryTable+xml"/>
  <Override PartName="/xl/queryTables/queryTable1761.xml" ContentType="application/vnd.openxmlformats-officedocument.spreadsheetml.queryTable+xml"/>
  <Override PartName="/xl/queryTables/queryTable65.xml" ContentType="application/vnd.openxmlformats-officedocument.spreadsheetml.queryTable+xml"/>
  <Override PartName="/xl/queryTables/queryTable156.xml" ContentType="application/vnd.openxmlformats-officedocument.spreadsheetml.queryTable+xml"/>
  <Override PartName="/xl/queryTables/queryTable342.xml" ContentType="application/vnd.openxmlformats-officedocument.spreadsheetml.queryTable+xml"/>
  <Override PartName="/xl/queryTables/queryTable487.xml" ContentType="application/vnd.openxmlformats-officedocument.spreadsheetml.queryTable+xml"/>
  <Override PartName="/xl/queryTables/queryTable834.xml" ContentType="application/vnd.openxmlformats-officedocument.spreadsheetml.queryTable+xml"/>
  <Override PartName="/xl/queryTables/queryTable1083.xml" ContentType="application/vnd.openxmlformats-officedocument.spreadsheetml.queryTable+xml"/>
  <Override PartName="/xl/queryTables/queryTable1506.xml" ContentType="application/vnd.openxmlformats-officedocument.spreadsheetml.queryTable+xml"/>
  <Override PartName="/xl/queryTables/queryTable2055.xml" ContentType="application/vnd.openxmlformats-officedocument.spreadsheetml.queryTable+xml"/>
  <Override PartName="/xl/queryTables/queryTable181.xml" ContentType="application/vnd.openxmlformats-officedocument.spreadsheetml.queryTable+xml"/>
  <Override PartName="/xl/queryTables/queryTable673.xml" ContentType="application/vnd.openxmlformats-officedocument.spreadsheetml.queryTable+xml"/>
  <Override PartName="/xl/queryTables/queryTable1014.xml" ContentType="application/vnd.openxmlformats-officedocument.spreadsheetml.queryTable+xml"/>
  <Override PartName="/xl/queryTables/queryTable1159.xml" ContentType="application/vnd.openxmlformats-officedocument.spreadsheetml.queryTable+xml"/>
  <Override PartName="/xl/queryTables/queryTable1345.xml" ContentType="application/vnd.openxmlformats-officedocument.spreadsheetml.queryTable+xml"/>
  <Override PartName="/xl/queryTables/queryTable1837.xml" ContentType="application/vnd.openxmlformats-officedocument.spreadsheetml.queryTable+xml"/>
  <Override PartName="/xl/queryTables/queryTable90.xml" ContentType="application/vnd.openxmlformats-officedocument.spreadsheetml.queryTable+xml"/>
  <Override PartName="/xl/queryTables/queryTable418.xml" ContentType="application/vnd.openxmlformats-officedocument.spreadsheetml.queryTable+xml"/>
  <Override PartName="/xl/queryTables/queryTable604.xml" ContentType="application/vnd.openxmlformats-officedocument.spreadsheetml.queryTable+xml"/>
  <Override PartName="/xl/queryTables/queryTable749.xml" ContentType="application/vnd.openxmlformats-officedocument.spreadsheetml.queryTable+xml"/>
  <Override PartName="/xl/queryTables/queryTable935.xml" ContentType="application/vnd.openxmlformats-officedocument.spreadsheetml.queryTable+xml"/>
  <Override PartName="/xl/queryTables/queryTable1184.xml" ContentType="application/vnd.openxmlformats-officedocument.spreadsheetml.queryTable+xml"/>
  <Override PartName="/xl/queryTables/queryTable1200.xml" ContentType="application/vnd.openxmlformats-officedocument.spreadsheetml.queryTable+xml"/>
  <Override PartName="/xl/queryTables/queryTable1531.xml" ContentType="application/vnd.openxmlformats-officedocument.spreadsheetml.queryTable+xml"/>
  <Override PartName="/xl/queryTables/queryTable1676.xml" ContentType="application/vnd.openxmlformats-officedocument.spreadsheetml.queryTable+xml"/>
  <Override PartName="/xl/queryTables/queryTable1862.xml" ContentType="application/vnd.openxmlformats-officedocument.spreadsheetml.queryTable+xml"/>
  <Override PartName="/xl/queryTables/queryTable21.xml" ContentType="application/vnd.openxmlformats-officedocument.spreadsheetml.queryTable+xml"/>
  <Override PartName="/xl/queryTables/queryTable112.xml" ContentType="application/vnd.openxmlformats-officedocument.spreadsheetml.queryTable+xml"/>
  <Override PartName="/xl/queryTables/queryTable257.xml" ContentType="application/vnd.openxmlformats-officedocument.spreadsheetml.queryTable+xml"/>
  <Override PartName="/xl/queryTables/queryTable443.xml" ContentType="application/vnd.openxmlformats-officedocument.spreadsheetml.queryTable+xml"/>
  <Override PartName="/xl/queryTables/queryTable588.xml" ContentType="application/vnd.openxmlformats-officedocument.spreadsheetml.queryTable+xml"/>
  <Override PartName="/xl/queryTables/queryTable774.xml" ContentType="application/vnd.openxmlformats-officedocument.spreadsheetml.queryTable+xml"/>
  <Override PartName="/xl/queryTables/queryTable1370.xml" ContentType="application/vnd.openxmlformats-officedocument.spreadsheetml.queryTable+xml"/>
  <Override PartName="/xl/queryTables/queryTable1607.xml" ContentType="application/vnd.openxmlformats-officedocument.spreadsheetml.queryTable+xml"/>
  <Override PartName="/xl/queryTables/queryTable1938.xml" ContentType="application/vnd.openxmlformats-officedocument.spreadsheetml.queryTable+xml"/>
  <Override PartName="/xl/queryTables/queryTable2011.xml" ContentType="application/vnd.openxmlformats-officedocument.spreadsheetml.queryTable+xml"/>
  <Override PartName="/xl/queryTables/queryTable282.xml" ContentType="application/vnd.openxmlformats-officedocument.spreadsheetml.queryTable+xml"/>
  <Override PartName="/xl/queryTables/queryTable519.xml" ContentType="application/vnd.openxmlformats-officedocument.spreadsheetml.queryTable+xml"/>
  <Override PartName="/xl/queryTables/queryTable960.xml" ContentType="application/vnd.openxmlformats-officedocument.spreadsheetml.queryTable+xml"/>
  <Override PartName="/xl/queryTables/queryTable1115.xml" ContentType="application/vnd.openxmlformats-officedocument.spreadsheetml.queryTable+xml"/>
  <Override PartName="/xl/queryTables/queryTable1301.xml" ContentType="application/vnd.openxmlformats-officedocument.spreadsheetml.queryTable+xml"/>
  <Override PartName="/xl/queryTables/queryTable1446.xml" ContentType="application/vnd.openxmlformats-officedocument.spreadsheetml.queryTable+xml"/>
  <Override PartName="/xl/queryTables/queryTable1777.xml" ContentType="application/vnd.openxmlformats-officedocument.spreadsheetml.queryTable+xml"/>
  <Override PartName="/xl/queryTables/queryTable358.xml" ContentType="application/vnd.openxmlformats-officedocument.spreadsheetml.queryTable+xml"/>
  <Override PartName="/xl/queryTables/queryTable689.xml" ContentType="application/vnd.openxmlformats-officedocument.spreadsheetml.queryTable+xml"/>
  <Override PartName="/xl/queryTables/queryTable705.xml" ContentType="application/vnd.openxmlformats-officedocument.spreadsheetml.queryTable+xml"/>
  <Override PartName="/xl/queryTables/queryTable1099.xml" ContentType="application/vnd.openxmlformats-officedocument.spreadsheetml.queryTable+xml"/>
  <Override PartName="/xl/queryTables/queryTable1140.xml" ContentType="application/vnd.openxmlformats-officedocument.spreadsheetml.queryTable+xml"/>
  <Override PartName="/xl/queryTables/queryTable1285.xml" ContentType="application/vnd.openxmlformats-officedocument.spreadsheetml.queryTable+xml"/>
  <Override PartName="/xl/queryTables/queryTable1632.xml" ContentType="application/vnd.openxmlformats-officedocument.spreadsheetml.queryTable+xml"/>
  <Override PartName="/xl/queryTables/queryTable1963.xml" ContentType="application/vnd.openxmlformats-officedocument.spreadsheetml.queryTable+xml"/>
  <Override PartName="/xl/queryTables/queryTable197.xml" ContentType="application/vnd.openxmlformats-officedocument.spreadsheetml.queryTable+xml"/>
  <Override PartName="/xl/queryTables/queryTable213.xml" ContentType="application/vnd.openxmlformats-officedocument.spreadsheetml.queryTable+xml"/>
  <Override PartName="/xl/queryTables/queryTable544.xml" ContentType="application/vnd.openxmlformats-officedocument.spreadsheetml.queryTable+xml"/>
  <Override PartName="/xl/queryTables/queryTable730.xml" ContentType="application/vnd.openxmlformats-officedocument.spreadsheetml.queryTable+xml"/>
  <Override PartName="/xl/queryTables/queryTable875.xml" ContentType="application/vnd.openxmlformats-officedocument.spreadsheetml.queryTable+xml"/>
  <Override PartName="/xl/queryTables/queryTable1471.xml" ContentType="application/vnd.openxmlformats-officedocument.spreadsheetml.queryTable+xml"/>
  <Override PartName="/xl/queryTables/queryTable1708.xml" ContentType="application/vnd.openxmlformats-officedocument.spreadsheetml.queryTable+xml"/>
  <Override PartName="/xl/queryTables/queryTable383.xml" ContentType="application/vnd.openxmlformats-officedocument.spreadsheetml.queryTable+xml"/>
  <Override PartName="/xl/queryTables/queryTable806.xml" ContentType="application/vnd.openxmlformats-officedocument.spreadsheetml.queryTable+xml"/>
  <Override PartName="/xl/queryTables/queryTable1216.xml" ContentType="application/vnd.openxmlformats-officedocument.spreadsheetml.queryTable+xml"/>
  <Override PartName="/xl/queryTables/queryTable1402.xml" ContentType="application/vnd.openxmlformats-officedocument.spreadsheetml.queryTable+xml"/>
  <Override PartName="/xl/queryTables/queryTable1547.xml" ContentType="application/vnd.openxmlformats-officedocument.spreadsheetml.queryTable+xml"/>
  <Override PartName="/xl/queryTables/queryTable1733.xml" ContentType="application/vnd.openxmlformats-officedocument.spreadsheetml.queryTable+xml"/>
  <Override PartName="/xl/queryTables/queryTable1878.xml" ContentType="application/vnd.openxmlformats-officedocument.spreadsheetml.queryTable+xml"/>
  <Override PartName="/xl/queryTables/queryTable37.xml" ContentType="application/vnd.openxmlformats-officedocument.spreadsheetml.queryTable+xml"/>
  <Override PartName="/xl/queryTables/queryTable128.xml" ContentType="application/vnd.openxmlformats-officedocument.spreadsheetml.queryTable+xml"/>
  <Override PartName="/xl/queryTables/queryTable314.xml" ContentType="application/vnd.openxmlformats-officedocument.spreadsheetml.queryTable+xml"/>
  <Override PartName="/xl/queryTables/queryTable459.xml" ContentType="application/vnd.openxmlformats-officedocument.spreadsheetml.queryTable+xml"/>
  <Override PartName="/xl/queryTables/queryTable645.xml" ContentType="application/vnd.openxmlformats-officedocument.spreadsheetml.queryTable+xml"/>
  <Override PartName="/xl/queryTables/queryTable1055.xml" ContentType="application/vnd.openxmlformats-officedocument.spreadsheetml.queryTable+xml"/>
  <Override PartName="/xl/queryTables/queryTable1241.xml" ContentType="application/vnd.openxmlformats-officedocument.spreadsheetml.queryTable+xml"/>
  <Override PartName="/xl/queryTables/queryTable1386.xml" ContentType="application/vnd.openxmlformats-officedocument.spreadsheetml.queryTable+xml"/>
  <Override PartName="/xl/queryTables/queryTable1572.xml" ContentType="application/vnd.openxmlformats-officedocument.spreadsheetml.queryTable+xml"/>
  <Override PartName="/xl/queryTables/queryTable2027.xml" ContentType="application/vnd.openxmlformats-officedocument.spreadsheetml.queryTable+xml"/>
  <Override PartName="/xl/queryTables/queryTable153.xml" ContentType="application/vnd.openxmlformats-officedocument.spreadsheetml.queryTable+xml"/>
  <Override PartName="/xl/queryTables/queryTable298.xml" ContentType="application/vnd.openxmlformats-officedocument.spreadsheetml.queryTable+xml"/>
  <Override PartName="/xl/queryTables/queryTable484.xml" ContentType="application/vnd.openxmlformats-officedocument.spreadsheetml.queryTable+xml"/>
  <Override PartName="/xl/queryTables/queryTable500.xml" ContentType="application/vnd.openxmlformats-officedocument.spreadsheetml.queryTable+xml"/>
  <Override PartName="/xl/queryTables/queryTable831.xml" ContentType="application/vnd.openxmlformats-officedocument.spreadsheetml.queryTable+xml"/>
  <Override PartName="/xl/queryTables/queryTable976.xml" ContentType="application/vnd.openxmlformats-officedocument.spreadsheetml.queryTable+xml"/>
  <Override PartName="/xl/queryTables/queryTable1080.xml" ContentType="application/vnd.openxmlformats-officedocument.spreadsheetml.queryTable+xml"/>
  <Override PartName="/xl/queryTables/queryTable1317.xml" ContentType="application/vnd.openxmlformats-officedocument.spreadsheetml.queryTable+xml"/>
  <Override PartName="/xl/queryTables/queryTable1648.xml" ContentType="application/vnd.openxmlformats-officedocument.spreadsheetml.queryTable+xml"/>
  <Override PartName="/xl/queryTables/queryTable1809.xml" ContentType="application/vnd.openxmlformats-officedocument.spreadsheetml.queryTable+xml"/>
  <Override PartName="/xl/queryTables/queryTable62.xml" ContentType="application/vnd.openxmlformats-officedocument.spreadsheetml.queryTable+xml"/>
  <Override PartName="/xl/queryTables/queryTable229.xml" ContentType="application/vnd.openxmlformats-officedocument.spreadsheetml.queryTable+xml"/>
  <Override PartName="/xl/queryTables/queryTable670.xml" ContentType="application/vnd.openxmlformats-officedocument.spreadsheetml.queryTable+xml"/>
  <Override PartName="/xl/queryTables/queryTable907.xml" ContentType="application/vnd.openxmlformats-officedocument.spreadsheetml.queryTable+xml"/>
  <Override PartName="/xl/queryTables/queryTable1156.xml" ContentType="application/vnd.openxmlformats-officedocument.spreadsheetml.queryTable+xml"/>
  <Override PartName="/xl/queryTables/queryTable1487.xml" ContentType="application/vnd.openxmlformats-officedocument.spreadsheetml.queryTable+xml"/>
  <Override PartName="/xl/queryTables/queryTable1503.xml" ContentType="application/vnd.openxmlformats-officedocument.spreadsheetml.queryTable+xml"/>
  <Override PartName="/xl/queryTables/queryTable1834.xml" ContentType="application/vnd.openxmlformats-officedocument.spreadsheetml.queryTable+xml"/>
  <Override PartName="/xl/queryTables/queryTable1979.xml" ContentType="application/vnd.openxmlformats-officedocument.spreadsheetml.queryTable+xml"/>
  <Override PartName="/xl/queryTables/queryTable2052.xml" ContentType="application/vnd.openxmlformats-officedocument.spreadsheetml.queryTable+xml"/>
  <Override PartName="/xl/queryTables/queryTable415.xml" ContentType="application/vnd.openxmlformats-officedocument.spreadsheetml.queryTable+xml"/>
  <Override PartName="/xl/queryTables/queryTable746.xml" ContentType="application/vnd.openxmlformats-officedocument.spreadsheetml.queryTable+xml"/>
  <Override PartName="/xl/queryTables/queryTable1011.xml" ContentType="application/vnd.openxmlformats-officedocument.spreadsheetml.queryTable+xml"/>
  <Override PartName="/xl/queryTables/queryTable1342.xml" ContentType="application/vnd.openxmlformats-officedocument.spreadsheetml.queryTable+xml"/>
  <Override PartName="/xl/queryTables/queryTable1673.xml" ContentType="application/vnd.openxmlformats-officedocument.spreadsheetml.queryTable+xml"/>
  <Override PartName="/xl/queryTables/queryTable254.xml" ContentType="application/vnd.openxmlformats-officedocument.spreadsheetml.queryTable+xml"/>
  <Override PartName="/xl/queryTables/queryTable399.xml" ContentType="application/vnd.openxmlformats-officedocument.spreadsheetml.queryTable+xml"/>
  <Override PartName="/xl/queryTables/queryTable585.xml" ContentType="application/vnd.openxmlformats-officedocument.spreadsheetml.queryTable+xml"/>
  <Override PartName="/xl/queryTables/queryTable601.xml" ContentType="application/vnd.openxmlformats-officedocument.spreadsheetml.queryTable+xml"/>
  <Override PartName="/xl/queryTables/queryTable932.xml" ContentType="application/vnd.openxmlformats-officedocument.spreadsheetml.queryTable+xml"/>
  <Override PartName="/xl/queryTables/queryTable1181.xml" ContentType="application/vnd.openxmlformats-officedocument.spreadsheetml.queryTable+xml"/>
  <Override PartName="/xl/queryTables/queryTable1418.xml" ContentType="application/vnd.openxmlformats-officedocument.spreadsheetml.queryTable+xml"/>
  <Override PartName="/xl/queryTables/queryTable1749.xml" ContentType="application/vnd.openxmlformats-officedocument.spreadsheetml.queryTable+xml"/>
  <Override PartName="/xl/queryTables/queryTable440.xml" ContentType="application/vnd.openxmlformats-officedocument.spreadsheetml.queryTable+xml"/>
  <Override PartName="/xl/queryTables/queryTable771.xml" ContentType="application/vnd.openxmlformats-officedocument.spreadsheetml.queryTable+xml"/>
  <Override PartName="/xl/queryTables/queryTable1112.xml" ContentType="application/vnd.openxmlformats-officedocument.spreadsheetml.queryTable+xml"/>
  <Override PartName="/xl/queryTables/queryTable1257.xml" ContentType="application/vnd.openxmlformats-officedocument.spreadsheetml.queryTable+xml"/>
  <Override PartName="/xl/queryTables/queryTable1588.xml" ContentType="application/vnd.openxmlformats-officedocument.spreadsheetml.queryTable+xml"/>
  <Override PartName="/xl/queryTables/queryTable1604.xml" ContentType="application/vnd.openxmlformats-officedocument.spreadsheetml.queryTable+xml"/>
  <Override PartName="/xl/queryTables/queryTable1935.xml" ContentType="application/vnd.openxmlformats-officedocument.spreadsheetml.queryTable+xml"/>
  <Override PartName="/xl/queryTables/queryTable169.xml" ContentType="application/vnd.openxmlformats-officedocument.spreadsheetml.queryTable+xml"/>
  <Override PartName="/xl/queryTables/queryTable516.xml" ContentType="application/vnd.openxmlformats-officedocument.spreadsheetml.queryTable+xml"/>
  <Override PartName="/xl/queryTables/queryTable702.xml" ContentType="application/vnd.openxmlformats-officedocument.spreadsheetml.queryTable+xml"/>
  <Override PartName="/xl/queryTables/queryTable847.xml" ContentType="application/vnd.openxmlformats-officedocument.spreadsheetml.queryTable+xml"/>
  <Override PartName="/xl/queryTables/queryTable1096.xml" ContentType="application/vnd.openxmlformats-officedocument.spreadsheetml.queryTable+xml"/>
  <Override PartName="/xl/queryTables/queryTable1443.xml" ContentType="application/vnd.openxmlformats-officedocument.spreadsheetml.queryTable+xml"/>
  <Override PartName="/xl/queryTables/queryTable1774.xml" ContentType="application/vnd.openxmlformats-officedocument.spreadsheetml.queryTable+xml"/>
  <Override PartName="/xl/queryTables/queryTable1960.xml" ContentType="application/vnd.openxmlformats-officedocument.spreadsheetml.queryTable+xml"/>
  <Override PartName="/xl/queryTables/queryTable78.xml" ContentType="application/vnd.openxmlformats-officedocument.spreadsheetml.queryTable+xml"/>
  <Override PartName="/xl/queryTables/queryTable210.xml" ContentType="application/vnd.openxmlformats-officedocument.spreadsheetml.queryTable+xml"/>
  <Override PartName="/xl/queryTables/queryTable355.xml" ContentType="application/vnd.openxmlformats-officedocument.spreadsheetml.queryTable+xml"/>
  <Override PartName="/xl/queryTables/queryTable541.xml" ContentType="application/vnd.openxmlformats-officedocument.spreadsheetml.queryTable+xml"/>
  <Override PartName="/xl/queryTables/queryTable686.xml" ContentType="application/vnd.openxmlformats-officedocument.spreadsheetml.queryTable+xml"/>
  <Override PartName="/xl/queryTables/queryTable872.xml" ContentType="application/vnd.openxmlformats-officedocument.spreadsheetml.queryTable+xml"/>
  <Override PartName="/xl/queryTables/queryTable1027.xml" ContentType="application/vnd.openxmlformats-officedocument.spreadsheetml.queryTable+xml"/>
  <Override PartName="/xl/queryTables/queryTable1282.xml" ContentType="application/vnd.openxmlformats-officedocument.spreadsheetml.queryTable+xml"/>
  <Override PartName="/xl/queryTables/queryTable1519.xml" ContentType="application/vnd.openxmlformats-officedocument.spreadsheetml.queryTable+xml"/>
  <Override PartName="/xl/queryTables/queryTable1705.xml" ContentType="application/vnd.openxmlformats-officedocument.spreadsheetml.queryTable+xml"/>
  <Override PartName="/xl/queryTables/queryTable2068.xml" ContentType="application/vnd.openxmlformats-officedocument.spreadsheetml.queryTable+xml"/>
  <Override PartName="/xl/queryTables/queryTable194.xml" ContentType="application/vnd.openxmlformats-officedocument.spreadsheetml.queryTable+xml"/>
  <Override PartName="/xl/queryTables/queryTable380.xml" ContentType="application/vnd.openxmlformats-officedocument.spreadsheetml.queryTable+xml"/>
  <Override PartName="/xl/queryTables/queryTable617.xml" ContentType="application/vnd.openxmlformats-officedocument.spreadsheetml.queryTable+xml"/>
  <Override PartName="/xl/queryTables/queryTable1213.xml" ContentType="application/vnd.openxmlformats-officedocument.spreadsheetml.queryTable+xml"/>
  <Override PartName="/xl/queryTables/queryTable1358.xml" ContentType="application/vnd.openxmlformats-officedocument.spreadsheetml.queryTable+xml"/>
  <Override PartName="/xl/queryTables/queryTable1544.xml" ContentType="application/vnd.openxmlformats-officedocument.spreadsheetml.queryTable+xml"/>
  <Override PartName="/xl/queryTables/queryTable1689.xml" ContentType="application/vnd.openxmlformats-officedocument.spreadsheetml.queryTable+xml"/>
  <Override PartName="/xl/queryTables/queryTable1875.xml" ContentType="application/vnd.openxmlformats-officedocument.spreadsheetml.queryTable+xml"/>
  <Override PartName="/xl/queryTables/queryTable125.xml" ContentType="application/vnd.openxmlformats-officedocument.spreadsheetml.queryTable+xml"/>
  <Override PartName="/xl/queryTables/queryTable456.xml" ContentType="application/vnd.openxmlformats-officedocument.spreadsheetml.queryTable+xml"/>
  <Override PartName="/xl/queryTables/queryTable803.xml" ContentType="application/vnd.openxmlformats-officedocument.spreadsheetml.queryTable+xml"/>
  <Override PartName="/xl/queryTables/queryTable948.xml" ContentType="application/vnd.openxmlformats-officedocument.spreadsheetml.queryTable+xml"/>
  <Override PartName="/xl/queryTables/queryTable1052.xml" ContentType="application/vnd.openxmlformats-officedocument.spreadsheetml.queryTable+xml"/>
  <Override PartName="/xl/queryTables/queryTable1197.xml" ContentType="application/vnd.openxmlformats-officedocument.spreadsheetml.queryTable+xml"/>
  <Override PartName="/xl/queryTables/queryTable1383.xml" ContentType="application/vnd.openxmlformats-officedocument.spreadsheetml.queryTable+xml"/>
  <Override PartName="/xl/queryTables/queryTable1730.xml" ContentType="application/vnd.openxmlformats-officedocument.spreadsheetml.queryTable+xml"/>
  <Override PartName="/xl/queryTables/queryTable34.xml" ContentType="application/vnd.openxmlformats-officedocument.spreadsheetml.queryTable+xml"/>
  <Override PartName="/xl/queryTables/queryTable295.xml" ContentType="application/vnd.openxmlformats-officedocument.spreadsheetml.queryTable+xml"/>
  <Override PartName="/xl/queryTables/queryTable311.xml" ContentType="application/vnd.openxmlformats-officedocument.spreadsheetml.queryTable+xml"/>
  <Override PartName="/xl/queryTables/queryTable642.xml" ContentType="application/vnd.openxmlformats-officedocument.spreadsheetml.queryTable+xml"/>
  <Override PartName="/xl/queryTables/queryTable787.xml" ContentType="application/vnd.openxmlformats-officedocument.spreadsheetml.queryTable+xml"/>
  <Override PartName="/xl/queryTables/queryTable973.xml" ContentType="application/vnd.openxmlformats-officedocument.spreadsheetml.queryTable+xml"/>
  <Override PartName="/xl/queryTables/queryTable1128.xml" ContentType="application/vnd.openxmlformats-officedocument.spreadsheetml.queryTable+xml"/>
  <Override PartName="/xl/queryTables/queryTable1459.xml" ContentType="application/vnd.openxmlformats-officedocument.spreadsheetml.queryTable+xml"/>
  <Override PartName="/xl/queryTables/queryTable1806.xml" ContentType="application/vnd.openxmlformats-officedocument.spreadsheetml.queryTable+xml"/>
  <Override PartName="/xl/queryTables/queryTable2024.xml" ContentType="application/vnd.openxmlformats-officedocument.spreadsheetml.queryTable+xml"/>
  <Override PartName="/xl/queryTables/queryTable150.xml" ContentType="application/vnd.openxmlformats-officedocument.spreadsheetml.queryTable+xml"/>
  <Override PartName="/xl/queryTables/queryTable481.xml" ContentType="application/vnd.openxmlformats-officedocument.spreadsheetml.queryTable+xml"/>
  <Override PartName="/xl/queryTables/queryTable718.xml" ContentType="application/vnd.openxmlformats-officedocument.spreadsheetml.queryTable+xml"/>
  <Override PartName="/xl/queryTables/queryTable1298.xml" ContentType="application/vnd.openxmlformats-officedocument.spreadsheetml.queryTable+xml"/>
  <Override PartName="/xl/queryTables/queryTable1314.xml" ContentType="application/vnd.openxmlformats-officedocument.spreadsheetml.queryTable+xml"/>
  <Override PartName="/xl/queryTables/queryTable1500.xml" ContentType="application/vnd.openxmlformats-officedocument.spreadsheetml.queryTable+xml"/>
  <Override PartName="/xl/queryTables/queryTable1645.xml" ContentType="application/vnd.openxmlformats-officedocument.spreadsheetml.queryTable+xml"/>
  <Override PartName="/xl/queryTables/queryTable1831.xml" ContentType="application/vnd.openxmlformats-officedocument.spreadsheetml.queryTable+xml"/>
  <Override PartName="/xl/queryTables/queryTable1976.xml" ContentType="application/vnd.openxmlformats-officedocument.spreadsheetml.queryTable+xml"/>
  <Override PartName="/xl/queryTables/queryTable226.xml" ContentType="application/vnd.openxmlformats-officedocument.spreadsheetml.queryTable+xml"/>
  <Override PartName="/xl/queryTables/queryTable412.xml" ContentType="application/vnd.openxmlformats-officedocument.spreadsheetml.queryTable+xml"/>
  <Override PartName="/xl/queryTables/queryTable557.xml" ContentType="application/vnd.openxmlformats-officedocument.spreadsheetml.queryTable+xml"/>
  <Override PartName="/xl/queryTables/queryTable888.xml" ContentType="application/vnd.openxmlformats-officedocument.spreadsheetml.queryTable+xml"/>
  <Override PartName="/xl/queryTables/queryTable904.xml" ContentType="application/vnd.openxmlformats-officedocument.spreadsheetml.queryTable+xml"/>
  <Override PartName="/xl/queryTables/queryTable1153.xml" ContentType="application/vnd.openxmlformats-officedocument.spreadsheetml.queryTable+xml"/>
  <Override PartName="/xl/queryTables/queryTable1484.xml" ContentType="application/vnd.openxmlformats-officedocument.spreadsheetml.queryTable+xml"/>
  <Override PartName="/xl/queryTables/queryTable1670.xml" ContentType="application/vnd.openxmlformats-officedocument.spreadsheetml.queryTable+xml"/>
  <Override PartName="/xl/queryTables/queryTable251.xml" ContentType="application/vnd.openxmlformats-officedocument.spreadsheetml.queryTable+xml"/>
  <Override PartName="/xl/queryTables/queryTable396.xml" ContentType="application/vnd.openxmlformats-officedocument.spreadsheetml.queryTable+xml"/>
  <Override PartName="/xl/queryTables/queryTable743.xml" ContentType="application/vnd.openxmlformats-officedocument.spreadsheetml.queryTable+xml"/>
  <Override PartName="/xl/queryTables/queryTable1229.xml" ContentType="application/vnd.openxmlformats-officedocument.spreadsheetml.queryTable+xml"/>
  <Override PartName="/xl/queryTables/queryTable1415.xml" ContentType="application/vnd.openxmlformats-officedocument.spreadsheetml.queryTable+xml"/>
  <Override PartName="/xl/queryTables/queryTable1907.xml" ContentType="application/vnd.openxmlformats-officedocument.spreadsheetml.queryTable+xml"/>
  <Override PartName="/xl/queryTables/queryTable582.xml" ContentType="application/vnd.openxmlformats-officedocument.spreadsheetml.queryTable+xml"/>
  <Override PartName="/xl/queryTables/queryTable819.xml" ContentType="application/vnd.openxmlformats-officedocument.spreadsheetml.queryTable+xml"/>
  <Override PartName="/xl/queryTables/queryTable1068.xml" ContentType="application/vnd.openxmlformats-officedocument.spreadsheetml.queryTable+xml"/>
  <Override PartName="/xl/queryTables/queryTable1254.xml" ContentType="application/vnd.openxmlformats-officedocument.spreadsheetml.queryTable+xml"/>
  <Override PartName="/xl/queryTables/queryTable1399.xml" ContentType="application/vnd.openxmlformats-officedocument.spreadsheetml.queryTable+xml"/>
  <Override PartName="/xl/queryTables/queryTable1601.xml" ContentType="application/vnd.openxmlformats-officedocument.spreadsheetml.queryTable+xml"/>
  <Override PartName="/xl/queryTables/queryTable1746.xml" ContentType="application/vnd.openxmlformats-officedocument.spreadsheetml.queryTable+xml"/>
  <Override PartName="/xl/queryTables/queryTable1932.xml" ContentType="application/vnd.openxmlformats-officedocument.spreadsheetml.queryTable+xml"/>
  <Override PartName="/xl/queryTables/queryTable327.xml" ContentType="application/vnd.openxmlformats-officedocument.spreadsheetml.queryTable+xml"/>
  <Override PartName="/xl/queryTables/queryTable513.xml" ContentType="application/vnd.openxmlformats-officedocument.spreadsheetml.queryTable+xml"/>
  <Override PartName="/xl/queryTables/queryTable658.xml" ContentType="application/vnd.openxmlformats-officedocument.spreadsheetml.queryTable+xml"/>
  <Override PartName="/xl/queryTables/queryTable844.xml" ContentType="application/vnd.openxmlformats-officedocument.spreadsheetml.queryTable+xml"/>
  <Override PartName="/xl/queryTables/queryTable989.xml" ContentType="application/vnd.openxmlformats-officedocument.spreadsheetml.queryTable+xml"/>
  <Override PartName="/xl/queryTables/queryTable1093.xml" ContentType="application/vnd.openxmlformats-officedocument.spreadsheetml.queryTable+xml"/>
  <Override PartName="/xl/queryTables/queryTable1440.xml" ContentType="application/vnd.openxmlformats-officedocument.spreadsheetml.queryTable+xml"/>
  <Override PartName="/xl/queryTables/queryTable1585.xml" ContentType="application/vnd.openxmlformats-officedocument.spreadsheetml.queryTable+xml"/>
  <Override PartName="/xl/queryTables/queryTable1771.xml" ContentType="application/vnd.openxmlformats-officedocument.spreadsheetml.queryTable+xml"/>
  <Override PartName="/xl/queryTables/queryTable75.xml" ContentType="application/vnd.openxmlformats-officedocument.spreadsheetml.queryTable+xml"/>
  <Override PartName="/xl/queryTables/queryTable166.xml" ContentType="application/vnd.openxmlformats-officedocument.spreadsheetml.queryTable+xml"/>
  <Override PartName="/xl/queryTables/queryTable352.xml" ContentType="application/vnd.openxmlformats-officedocument.spreadsheetml.queryTable+xml"/>
  <Override PartName="/xl/queryTables/queryTable497.xml" ContentType="application/vnd.openxmlformats-officedocument.spreadsheetml.queryTable+xml"/>
  <Override PartName="/xl/queryTables/queryTable683.xml" ContentType="application/vnd.openxmlformats-officedocument.spreadsheetml.queryTable+xml"/>
  <Override PartName="/xl/queryTables/queryTable1516.xml" ContentType="application/vnd.openxmlformats-officedocument.spreadsheetml.queryTable+xml"/>
  <Override PartName="/xl/queryTables/queryTable1847.xml" ContentType="application/vnd.openxmlformats-officedocument.spreadsheetml.queryTable+xml"/>
  <Override PartName="/xl/queryTables/queryTable2065.xml" ContentType="application/vnd.openxmlformats-officedocument.spreadsheetml.queryTable+xml"/>
  <Override PartName="/xl/queryTables/queryTable191.xml" ContentType="application/vnd.openxmlformats-officedocument.spreadsheetml.queryTable+xml"/>
  <Override PartName="/xl/queryTables/queryTable428.xml" ContentType="application/vnd.openxmlformats-officedocument.spreadsheetml.queryTable+xml"/>
  <Override PartName="/xl/queryTables/queryTable759.xml" ContentType="application/vnd.openxmlformats-officedocument.spreadsheetml.queryTable+xml"/>
  <Override PartName="/xl/queryTables/queryTable1024.xml" ContentType="application/vnd.openxmlformats-officedocument.spreadsheetml.queryTable+xml"/>
  <Override PartName="/xl/queryTables/queryTable1169.xml" ContentType="application/vnd.openxmlformats-officedocument.spreadsheetml.queryTable+xml"/>
  <Override PartName="/xl/queryTables/queryTable1210.xml" ContentType="application/vnd.openxmlformats-officedocument.spreadsheetml.queryTable+xml"/>
  <Override PartName="/xl/queryTables/queryTable1355.xml" ContentType="application/vnd.openxmlformats-officedocument.spreadsheetml.queryTable+xml"/>
  <Override PartName="/xl/queryTables/queryTable1686.xml" ContentType="application/vnd.openxmlformats-officedocument.spreadsheetml.queryTable+xml"/>
  <Override PartName="/xl/queryTables/queryTable1702.xml" ContentType="application/vnd.openxmlformats-officedocument.spreadsheetml.queryTable+xml"/>
  <Override PartName="/xl/queryTables/queryTable267.xml" ContentType="application/vnd.openxmlformats-officedocument.spreadsheetml.queryTable+xml"/>
  <Override PartName="/xl/queryTables/queryTable598.xml" ContentType="application/vnd.openxmlformats-officedocument.spreadsheetml.queryTable+xml"/>
  <Override PartName="/xl/queryTables/queryTable614.xml" ContentType="application/vnd.openxmlformats-officedocument.spreadsheetml.queryTable+xml"/>
  <Override PartName="/xl/queryTables/queryTable800.xml" ContentType="application/vnd.openxmlformats-officedocument.spreadsheetml.queryTable+xml"/>
  <Override PartName="/xl/queryTables/queryTable945.xml" ContentType="application/vnd.openxmlformats-officedocument.spreadsheetml.queryTable+xml"/>
  <Override PartName="/xl/queryTables/queryTable1194.xml" ContentType="application/vnd.openxmlformats-officedocument.spreadsheetml.queryTable+xml"/>
  <Override PartName="/xl/queryTables/queryTable1541.xml" ContentType="application/vnd.openxmlformats-officedocument.spreadsheetml.queryTable+xml"/>
  <Override PartName="/xl/queryTables/queryTable1872.xml" ContentType="application/vnd.openxmlformats-officedocument.spreadsheetml.queryTable+xml"/>
  <Override PartName="/xl/connections.xml" ContentType="application/vnd.openxmlformats-officedocument.spreadsheetml.connections+xml"/>
  <Override PartName="/xl/queryTables/queryTable31.xml" ContentType="application/vnd.openxmlformats-officedocument.spreadsheetml.queryTable+xml"/>
  <Override PartName="/xl/queryTables/queryTable122.xml" ContentType="application/vnd.openxmlformats-officedocument.spreadsheetml.queryTable+xml"/>
  <Override PartName="/xl/queryTables/queryTable453.xml" ContentType="application/vnd.openxmlformats-officedocument.spreadsheetml.queryTable+xml"/>
  <Override PartName="/xl/queryTables/queryTable784.xml" ContentType="application/vnd.openxmlformats-officedocument.spreadsheetml.queryTable+xml"/>
  <Override PartName="/xl/queryTables/queryTable1380.xml" ContentType="application/vnd.openxmlformats-officedocument.spreadsheetml.queryTable+xml"/>
  <Override PartName="/xl/queryTables/queryTable1617.xml" ContentType="application/vnd.openxmlformats-officedocument.spreadsheetml.queryTable+xml"/>
  <Override PartName="/xl/queryTables/queryTable1803.xml" ContentType="application/vnd.openxmlformats-officedocument.spreadsheetml.queryTable+xml"/>
  <Override PartName="/xl/queryTables/queryTable1948.xml" ContentType="application/vnd.openxmlformats-officedocument.spreadsheetml.queryTable+xml"/>
  <Override PartName="/xl/queryTables/queryTable2021.xml" ContentType="application/vnd.openxmlformats-officedocument.spreadsheetml.queryTable+xml"/>
  <Override PartName="/xl/queryTables/queryTable292.xml" ContentType="application/vnd.openxmlformats-officedocument.spreadsheetml.queryTable+xml"/>
  <Override PartName="/xl/queryTables/queryTable529.xml" ContentType="application/vnd.openxmlformats-officedocument.spreadsheetml.queryTable+xml"/>
  <Override PartName="/xl/queryTables/queryTable970.xml" ContentType="application/vnd.openxmlformats-officedocument.spreadsheetml.queryTable+xml"/>
  <Override PartName="/xl/queryTables/queryTable1125.xml" ContentType="application/vnd.openxmlformats-officedocument.spreadsheetml.queryTable+xml"/>
  <Override PartName="/xl/queryTables/queryTable1311.xml" ContentType="application/vnd.openxmlformats-officedocument.spreadsheetml.queryTable+xml"/>
  <Override PartName="/xl/queryTables/queryTable1456.xml" ContentType="application/vnd.openxmlformats-officedocument.spreadsheetml.queryTable+xml"/>
  <Override PartName="/xl/queryTables/queryTable1642.xml" ContentType="application/vnd.openxmlformats-officedocument.spreadsheetml.queryTable+xml"/>
  <Override PartName="/xl/queryTables/queryTable1787.xml" ContentType="application/vnd.openxmlformats-officedocument.spreadsheetml.queryTable+xml"/>
  <Override PartName="/xl/queryTables/queryTable223.xml" ContentType="application/vnd.openxmlformats-officedocument.spreadsheetml.queryTable+xml"/>
  <Override PartName="/xl/queryTables/queryTable368.xml" ContentType="application/vnd.openxmlformats-officedocument.spreadsheetml.queryTable+xml"/>
  <Override PartName="/xl/queryTables/queryTable699.xml" ContentType="application/vnd.openxmlformats-officedocument.spreadsheetml.queryTable+xml"/>
  <Override PartName="/xl/queryTables/queryTable715.xml" ContentType="application/vnd.openxmlformats-officedocument.spreadsheetml.queryTable+xml"/>
  <Override PartName="/xl/queryTables/queryTable901.xml" ContentType="application/vnd.openxmlformats-officedocument.spreadsheetml.queryTable+xml"/>
  <Override PartName="/xl/queryTables/queryTable1150.xml" ContentType="application/vnd.openxmlformats-officedocument.spreadsheetml.queryTable+xml"/>
  <Override PartName="/xl/queryTables/queryTable1295.xml" ContentType="application/vnd.openxmlformats-officedocument.spreadsheetml.queryTable+xml"/>
  <Override PartName="/xl/queryTables/queryTable1481.xml" ContentType="application/vnd.openxmlformats-officedocument.spreadsheetml.queryTable+xml"/>
  <Override PartName="/xl/queryTables/queryTable1973.xml" ContentType="application/vnd.openxmlformats-officedocument.spreadsheetml.queryTable+xml"/>
  <Override PartName="/xl/queryTables/queryTable393.xml" ContentType="application/vnd.openxmlformats-officedocument.spreadsheetml.queryTable+xml"/>
  <Override PartName="/xl/queryTables/queryTable554.xml" ContentType="application/vnd.openxmlformats-officedocument.spreadsheetml.queryTable+xml"/>
  <Override PartName="/xl/queryTables/queryTable740.xml" ContentType="application/vnd.openxmlformats-officedocument.spreadsheetml.queryTable+xml"/>
  <Override PartName="/xl/queryTables/queryTable885.xml" ContentType="application/vnd.openxmlformats-officedocument.spreadsheetml.queryTable+xml"/>
  <Override PartName="/xl/queryTables/queryTable1226.xml" ContentType="application/vnd.openxmlformats-officedocument.spreadsheetml.queryTable+xml"/>
  <Override PartName="/xl/queryTables/queryTable1718.xml" ContentType="application/vnd.openxmlformats-officedocument.spreadsheetml.queryTable+xml"/>
  <Override PartName="/xl/queryTables/queryTable1904.xml" ContentType="application/vnd.openxmlformats-officedocument.spreadsheetml.queryTable+xml"/>
  <Override PartName="/xl/queryTables/queryTable138.xml" ContentType="application/vnd.openxmlformats-officedocument.spreadsheetml.queryTable+xml"/>
  <Override PartName="/xl/queryTables/queryTable816.xml" ContentType="application/vnd.openxmlformats-officedocument.spreadsheetml.queryTable+xml"/>
  <Override PartName="/xl/queryTables/queryTable1065.xml" ContentType="application/vnd.openxmlformats-officedocument.spreadsheetml.queryTable+xml"/>
  <Override PartName="/xl/queryTables/queryTable1396.xml" ContentType="application/vnd.openxmlformats-officedocument.spreadsheetml.queryTable+xml"/>
  <Override PartName="/xl/queryTables/queryTable1412.xml" ContentType="application/vnd.openxmlformats-officedocument.spreadsheetml.queryTable+xml"/>
  <Override PartName="/xl/queryTables/queryTable1557.xml" ContentType="application/vnd.openxmlformats-officedocument.spreadsheetml.queryTable+xml"/>
  <Override PartName="/xl/queryTables/queryTable1743.xml" ContentType="application/vnd.openxmlformats-officedocument.spreadsheetml.queryTable+xml"/>
  <Override PartName="/xl/queryTables/queryTable1888.xml" ContentType="application/vnd.openxmlformats-officedocument.spreadsheetml.queryTable+xml"/>
  <Override PartName="/xl/queryTables/queryTable47.xml" ContentType="application/vnd.openxmlformats-officedocument.spreadsheetml.queryTable+xml"/>
  <Override PartName="/xl/queryTables/queryTable324.xml" ContentType="application/vnd.openxmlformats-officedocument.spreadsheetml.queryTable+xml"/>
  <Override PartName="/xl/queryTables/queryTable469.xml" ContentType="application/vnd.openxmlformats-officedocument.spreadsheetml.queryTable+xml"/>
  <Override PartName="/xl/queryTables/queryTable655.xml" ContentType="application/vnd.openxmlformats-officedocument.spreadsheetml.queryTable+xml"/>
  <Override PartName="/xl/queryTables/queryTable986.xml" ContentType="application/vnd.openxmlformats-officedocument.spreadsheetml.queryTable+xml"/>
  <Override PartName="/xl/queryTables/queryTable1251.xml" ContentType="application/vnd.openxmlformats-officedocument.spreadsheetml.queryTable+xml"/>
  <Override PartName="/xl/queryTables/queryTable1582.xml" ContentType="application/vnd.openxmlformats-officedocument.spreadsheetml.queryTable+xml"/>
  <Override PartName="/xl/queryTables/queryTable1819.xml" ContentType="application/vnd.openxmlformats-officedocument.spreadsheetml.queryTable+xml"/>
  <Override PartName="/xl/queryTables/queryTable2037.xml" ContentType="application/vnd.openxmlformats-officedocument.spreadsheetml.queryTable+xml"/>
  <Override PartName="/xl/queryTables/queryTable163.xml" ContentType="application/vnd.openxmlformats-officedocument.spreadsheetml.queryTable+xml"/>
  <Override PartName="/xl/queryTables/queryTable494.xml" ContentType="application/vnd.openxmlformats-officedocument.spreadsheetml.queryTable+xml"/>
  <Override PartName="/xl/queryTables/queryTable510.xml" ContentType="application/vnd.openxmlformats-officedocument.spreadsheetml.queryTable+xml"/>
  <Override PartName="/xl/queryTables/queryTable841.xml" ContentType="application/vnd.openxmlformats-officedocument.spreadsheetml.queryTable+xml"/>
  <Override PartName="/xl/queryTables/queryTable1090.xml" ContentType="application/vnd.openxmlformats-officedocument.spreadsheetml.queryTable+xml"/>
  <Override PartName="/xl/queryTables/queryTable1327.xml" ContentType="application/vnd.openxmlformats-officedocument.spreadsheetml.queryTable+xml"/>
  <Override PartName="/xl/queryTables/queryTable1658.xml" ContentType="application/vnd.openxmlformats-officedocument.spreadsheetml.queryTable+xml"/>
  <Override PartName="/xl/queryTables/queryTable1989.xml" ContentType="application/vnd.openxmlformats-officedocument.spreadsheetml.queryTable+xml"/>
  <Override PartName="/xl/queryTables/queryTable72.xml" ContentType="application/vnd.openxmlformats-officedocument.spreadsheetml.queryTable+xml"/>
  <Override PartName="/xl/queryTables/queryTable239.xml" ContentType="application/vnd.openxmlformats-officedocument.spreadsheetml.queryTable+xml"/>
  <Override PartName="/xl/queryTables/queryTable680.xml" ContentType="application/vnd.openxmlformats-officedocument.spreadsheetml.queryTable+xml"/>
  <Override PartName="/xl/queryTables/queryTable917.xml" ContentType="application/vnd.openxmlformats-officedocument.spreadsheetml.queryTable+xml"/>
  <Override PartName="/xl/queryTables/queryTable1021.xml" ContentType="application/vnd.openxmlformats-officedocument.spreadsheetml.queryTable+xml"/>
  <Override PartName="/xl/queryTables/queryTable1166.xml" ContentType="application/vnd.openxmlformats-officedocument.spreadsheetml.queryTable+xml"/>
  <Override PartName="/xl/queryTables/queryTable1497.xml" ContentType="application/vnd.openxmlformats-officedocument.spreadsheetml.queryTable+xml"/>
  <Override PartName="/xl/queryTables/queryTable1513.xml" ContentType="application/vnd.openxmlformats-officedocument.spreadsheetml.queryTable+xml"/>
  <Override PartName="/xl/queryTables/queryTable1844.xml" ContentType="application/vnd.openxmlformats-officedocument.spreadsheetml.queryTable+xml"/>
  <Override PartName="/xl/queryTables/queryTable2062.xml" ContentType="application/vnd.openxmlformats-officedocument.spreadsheetml.queryTable+xml"/>
  <Override PartName="/xl/queryTables/queryTable425.xml" ContentType="application/vnd.openxmlformats-officedocument.spreadsheetml.queryTable+xml"/>
  <Override PartName="/xl/queryTables/queryTable611.xml" ContentType="application/vnd.openxmlformats-officedocument.spreadsheetml.queryTable+xml"/>
  <Override PartName="/xl/queryTables/queryTable756.xml" ContentType="application/vnd.openxmlformats-officedocument.spreadsheetml.queryTable+xml"/>
  <Override PartName="/xl/queryTables/queryTable942.xml" ContentType="application/vnd.openxmlformats-officedocument.spreadsheetml.queryTable+xml"/>
  <Override PartName="/xl/queryTables/queryTable1352.xml" ContentType="application/vnd.openxmlformats-officedocument.spreadsheetml.queryTable+xml"/>
  <Override PartName="/xl/queryTables/queryTable1683.xml" ContentType="application/vnd.openxmlformats-officedocument.spreadsheetml.queryTable+xml"/>
  <Override PartName="/xl/queryTables/queryTable264.xml" ContentType="application/vnd.openxmlformats-officedocument.spreadsheetml.queryTable+xml"/>
  <Override PartName="/xl/queryTables/queryTable450.xml" ContentType="application/vnd.openxmlformats-officedocument.spreadsheetml.queryTable+xml"/>
  <Override PartName="/xl/queryTables/queryTable595.xml" ContentType="application/vnd.openxmlformats-officedocument.spreadsheetml.queryTable+xml"/>
  <Override PartName="/xl/queryTables/queryTable781.xml" ContentType="application/vnd.openxmlformats-officedocument.spreadsheetml.queryTable+xml"/>
  <Override PartName="/xl/queryTables/queryTable1191.xml" ContentType="application/vnd.openxmlformats-officedocument.spreadsheetml.queryTable+xml"/>
  <Override PartName="/xl/queryTables/queryTable1428.xml" ContentType="application/vnd.openxmlformats-officedocument.spreadsheetml.queryTable+xml"/>
  <Override PartName="/xl/queryTables/queryTable1614.xml" ContentType="application/vnd.openxmlformats-officedocument.spreadsheetml.queryTable+xml"/>
  <Override PartName="/xl/queryTables/queryTable1759.xml" ContentType="application/vnd.openxmlformats-officedocument.spreadsheetml.queryTable+xml"/>
  <Override PartName="/xl/queryTables/queryTable1945.xml" ContentType="application/vnd.openxmlformats-officedocument.spreadsheetml.queryTable+xml"/>
  <Override PartName="/xl/queryTables/queryTable526.xml" ContentType="application/vnd.openxmlformats-officedocument.spreadsheetml.queryTable+xml"/>
  <Override PartName="/xl/queryTables/queryTable1122.xml" ContentType="application/vnd.openxmlformats-officedocument.spreadsheetml.queryTable+xml"/>
  <Override PartName="/xl/queryTables/queryTable1267.xml" ContentType="application/vnd.openxmlformats-officedocument.spreadsheetml.queryTable+xml"/>
  <Override PartName="/xl/queryTables/queryTable1453.xml" ContentType="application/vnd.openxmlformats-officedocument.spreadsheetml.queryTable+xml"/>
  <Override PartName="/xl/queryTables/queryTable1598.xml" ContentType="application/vnd.openxmlformats-officedocument.spreadsheetml.queryTable+xml"/>
  <Override PartName="/xl/queryTables/queryTable1784.xml" ContentType="application/vnd.openxmlformats-officedocument.spreadsheetml.queryTable+xml"/>
  <Override PartName="/xl/queryTables/queryTable1800.xml" ContentType="application/vnd.openxmlformats-officedocument.spreadsheetml.queryTable+xml"/>
  <Override PartName="/xl/queryTables/queryTable88.xml" ContentType="application/vnd.openxmlformats-officedocument.spreadsheetml.queryTable+xml"/>
  <Override PartName="/xl/queryTables/queryTable179.xml" ContentType="application/vnd.openxmlformats-officedocument.spreadsheetml.queryTable+xml"/>
  <Override PartName="/xl/queryTables/queryTable365.xml" ContentType="application/vnd.openxmlformats-officedocument.spreadsheetml.queryTable+xml"/>
  <Override PartName="/xl/queryTables/queryTable712.xml" ContentType="application/vnd.openxmlformats-officedocument.spreadsheetml.queryTable+xml"/>
  <Override PartName="/xl/queryTables/queryTable857.xml" ContentType="application/vnd.openxmlformats-officedocument.spreadsheetml.queryTable+xml"/>
  <Override PartName="/xl/queryTables/queryTable1292.xml" ContentType="application/vnd.openxmlformats-officedocument.spreadsheetml.queryTable+xml"/>
  <Override PartName="/xl/queryTables/queryTable1529.xml" ContentType="application/vnd.openxmlformats-officedocument.spreadsheetml.queryTable+xml"/>
  <Override PartName="/xl/queryTables/queryTable1970.xml" ContentType="application/vnd.openxmlformats-officedocument.spreadsheetml.queryTable+xml"/>
  <Override PartName="/xl/queryTables/queryTable220.xml" ContentType="application/vnd.openxmlformats-officedocument.spreadsheetml.queryTable+xml"/>
  <Override PartName="/xl/queryTables/queryTable551.xml" ContentType="application/vnd.openxmlformats-officedocument.spreadsheetml.queryTable+xml"/>
  <Override PartName="/xl/queryTables/queryTable696.xml" ContentType="application/vnd.openxmlformats-officedocument.spreadsheetml.queryTable+xml"/>
  <Override PartName="/xl/queryTables/queryTable882.xml" ContentType="application/vnd.openxmlformats-officedocument.spreadsheetml.queryTable+xml"/>
  <Override PartName="/xl/queryTables/queryTable1037.xml" ContentType="application/vnd.openxmlformats-officedocument.spreadsheetml.queryTable+xml"/>
  <Override PartName="/xl/queryTables/queryTable1368.xml" ContentType="application/vnd.openxmlformats-officedocument.spreadsheetml.queryTable+xml"/>
  <Override PartName="/xl/queryTables/queryTable1715.xml" ContentType="application/vnd.openxmlformats-officedocument.spreadsheetml.queryTable+xml"/>
  <Override PartName="/xl/queryTables/queryTable19.xml" ContentType="application/vnd.openxmlformats-officedocument.spreadsheetml.queryTable+xml"/>
  <Override PartName="/xl/queryTables/queryTable390.xml" ContentType="application/vnd.openxmlformats-officedocument.spreadsheetml.queryTable+xml"/>
  <Override PartName="/xl/queryTables/queryTable627.xml" ContentType="application/vnd.openxmlformats-officedocument.spreadsheetml.queryTable+xml"/>
  <Override PartName="/xl/queryTables/queryTable958.xml" ContentType="application/vnd.openxmlformats-officedocument.spreadsheetml.queryTable+xml"/>
  <Override PartName="/xl/queryTables/queryTable1223.xml" ContentType="application/vnd.openxmlformats-officedocument.spreadsheetml.queryTable+xml"/>
  <Override PartName="/xl/queryTables/queryTable1554.xml" ContentType="application/vnd.openxmlformats-officedocument.spreadsheetml.queryTable+xml"/>
  <Override PartName="/xl/queryTables/queryTable1699.xml" ContentType="application/vnd.openxmlformats-officedocument.spreadsheetml.queryTable+xml"/>
  <Override PartName="/xl/queryTables/queryTable1740.xml" ContentType="application/vnd.openxmlformats-officedocument.spreadsheetml.queryTable+xml"/>
  <Override PartName="/xl/queryTables/queryTable1885.xml" ContentType="application/vnd.openxmlformats-officedocument.spreadsheetml.queryTable+xml"/>
  <Override PartName="/xl/queryTables/queryTable1901.xml" ContentType="application/vnd.openxmlformats-officedocument.spreadsheetml.queryTable+xml"/>
  <Override PartName="/xl/queryTables/queryTable2009.xml" ContentType="application/vnd.openxmlformats-officedocument.spreadsheetml.queryTable+xml"/>
  <Override PartName="/xl/worksheets/sheet7.xml" ContentType="application/vnd.openxmlformats-officedocument.spreadsheetml.worksheet+xml"/>
  <Override PartName="/xl/queryTables/queryTable44.xml" ContentType="application/vnd.openxmlformats-officedocument.spreadsheetml.queryTable+xml"/>
  <Override PartName="/xl/queryTables/queryTable135.xml" ContentType="application/vnd.openxmlformats-officedocument.spreadsheetml.queryTable+xml"/>
  <Override PartName="/xl/queryTables/queryTable321.xml" ContentType="application/vnd.openxmlformats-officedocument.spreadsheetml.queryTable+xml"/>
  <Override PartName="/xl/queryTables/queryTable466.xml" ContentType="application/vnd.openxmlformats-officedocument.spreadsheetml.queryTable+xml"/>
  <Override PartName="/xl/queryTables/queryTable797.xml" ContentType="application/vnd.openxmlformats-officedocument.spreadsheetml.queryTable+xml"/>
  <Override PartName="/xl/queryTables/queryTable813.xml" ContentType="application/vnd.openxmlformats-officedocument.spreadsheetml.queryTable+xml"/>
  <Override PartName="/xl/queryTables/queryTable1062.xml" ContentType="application/vnd.openxmlformats-officedocument.spreadsheetml.queryTable+xml"/>
  <Override PartName="/xl/queryTables/queryTable1393.xml" ContentType="application/vnd.openxmlformats-officedocument.spreadsheetml.queryTable+xml"/>
  <Override PartName="/xl/queryTables/queryTable2034.xml" ContentType="application/vnd.openxmlformats-officedocument.spreadsheetml.queryTable+xml"/>
  <Override PartName="/xl/vbaProject.bin" ContentType="application/vnd.ms-office.vbaProject"/>
  <Override PartName="/xl/queryTables/queryTable160.xml" ContentType="application/vnd.openxmlformats-officedocument.spreadsheetml.queryTable+xml"/>
  <Override PartName="/xl/queryTables/queryTable652.xml" ContentType="application/vnd.openxmlformats-officedocument.spreadsheetml.queryTable+xml"/>
  <Override PartName="/xl/queryTables/queryTable983.xml" ContentType="application/vnd.openxmlformats-officedocument.spreadsheetml.queryTable+xml"/>
  <Override PartName="/xl/queryTables/queryTable1138.xml" ContentType="application/vnd.openxmlformats-officedocument.spreadsheetml.queryTable+xml"/>
  <Override PartName="/xl/queryTables/queryTable1324.xml" ContentType="application/vnd.openxmlformats-officedocument.spreadsheetml.queryTable+xml"/>
  <Override PartName="/xl/queryTables/queryTable1469.xml" ContentType="application/vnd.openxmlformats-officedocument.spreadsheetml.queryTable+xml"/>
  <Override PartName="/xl/queryTables/queryTable1816.xml" ContentType="application/vnd.openxmlformats-officedocument.spreadsheetml.queryTable+xml"/>
  <Override PartName="/xl/queryTables/queryTable491.xml" ContentType="application/vnd.openxmlformats-officedocument.spreadsheetml.queryTable+xml"/>
  <Override PartName="/xl/queryTables/queryTable728.xml" ContentType="application/vnd.openxmlformats-officedocument.spreadsheetml.queryTable+xml"/>
  <Override PartName="/xl/queryTables/queryTable914.xml" ContentType="application/vnd.openxmlformats-officedocument.spreadsheetml.queryTable+xml"/>
  <Override PartName="/xl/queryTables/queryTable1163.xml" ContentType="application/vnd.openxmlformats-officedocument.spreadsheetml.queryTable+xml"/>
  <Override PartName="/xl/queryTables/queryTable1510.xml" ContentType="application/vnd.openxmlformats-officedocument.spreadsheetml.queryTable+xml"/>
  <Override PartName="/xl/queryTables/queryTable1655.xml" ContentType="application/vnd.openxmlformats-officedocument.spreadsheetml.queryTable+xml"/>
  <Override PartName="/xl/queryTables/queryTable1841.xml" ContentType="application/vnd.openxmlformats-officedocument.spreadsheetml.queryTable+xml"/>
  <Override PartName="/xl/queryTables/queryTable1986.xml" ContentType="application/vnd.openxmlformats-officedocument.spreadsheetml.queryTable+xml"/>
  <Override PartName="/xl/queryTables/queryTable236.xml" ContentType="application/vnd.openxmlformats-officedocument.spreadsheetml.queryTable+xml"/>
  <Override PartName="/xl/queryTables/queryTable422.xml" ContentType="application/vnd.openxmlformats-officedocument.spreadsheetml.queryTable+xml"/>
  <Override PartName="/xl/queryTables/queryTable567.xml" ContentType="application/vnd.openxmlformats-officedocument.spreadsheetml.queryTable+xml"/>
  <Override PartName="/xl/queryTables/queryTable753.xml" ContentType="application/vnd.openxmlformats-officedocument.spreadsheetml.queryTable+xml"/>
  <Override PartName="/xl/queryTables/queryTable898.xml" ContentType="application/vnd.openxmlformats-officedocument.spreadsheetml.queryTable+xml"/>
  <Override PartName="/xl/queryTables/queryTable1494.xml" ContentType="application/vnd.openxmlformats-officedocument.spreadsheetml.queryTable+xml"/>
  <Override PartName="/xl/queryTables/queryTable1680.xml" ContentType="application/vnd.openxmlformats-officedocument.spreadsheetml.queryTable+xml"/>
  <Override PartName="/xl/queryTables/queryTable1917.xml" ContentType="application/vnd.openxmlformats-officedocument.spreadsheetml.queryTable+xml"/>
  <Override PartName="/xl/queryTables/queryTable261.xml" ContentType="application/vnd.openxmlformats-officedocument.spreadsheetml.queryTable+xml"/>
  <Override PartName="/xl/queryTables/queryTable592.xml" ContentType="application/vnd.openxmlformats-officedocument.spreadsheetml.queryTable+xml"/>
  <Override PartName="/xl/queryTables/queryTable829.xml" ContentType="application/vnd.openxmlformats-officedocument.spreadsheetml.queryTable+xml"/>
  <Override PartName="/xl/queryTables/queryTable1239.xml" ContentType="application/vnd.openxmlformats-officedocument.spreadsheetml.queryTable+xml"/>
  <Override PartName="/xl/queryTables/queryTable1425.xml" ContentType="application/vnd.openxmlformats-officedocument.spreadsheetml.queryTable+xml"/>
  <Override PartName="/xl/queryTables/queryTable1756.xml" ContentType="application/vnd.openxmlformats-officedocument.spreadsheetml.queryTable+xml"/>
  <Override PartName="/xl/queryTables/queryTable337.xml" ContentType="application/vnd.openxmlformats-officedocument.spreadsheetml.queryTable+xml"/>
  <Override PartName="/xl/queryTables/queryTable668.xml" ContentType="application/vnd.openxmlformats-officedocument.spreadsheetml.queryTable+xml"/>
  <Override PartName="/xl/queryTables/queryTable1078.xml" ContentType="application/vnd.openxmlformats-officedocument.spreadsheetml.queryTable+xml"/>
  <Override PartName="/xl/queryTables/queryTable1264.xml" ContentType="application/vnd.openxmlformats-officedocument.spreadsheetml.queryTable+xml"/>
  <Override PartName="/xl/queryTables/queryTable1595.xml" ContentType="application/vnd.openxmlformats-officedocument.spreadsheetml.queryTable+xml"/>
  <Override PartName="/xl/queryTables/queryTable1611.xml" ContentType="application/vnd.openxmlformats-officedocument.spreadsheetml.queryTable+xml"/>
  <Override PartName="/xl/queryTables/queryTable1942.xml" ContentType="application/vnd.openxmlformats-officedocument.spreadsheetml.queryTable+xml"/>
  <Override PartName="/xl/queryTables/queryTable176.xml" ContentType="application/vnd.openxmlformats-officedocument.spreadsheetml.queryTable+xml"/>
  <Override PartName="/xl/queryTables/queryTable523.xml" ContentType="application/vnd.openxmlformats-officedocument.spreadsheetml.queryTable+xml"/>
  <Override PartName="/xl/queryTables/queryTable854.xml" ContentType="application/vnd.openxmlformats-officedocument.spreadsheetml.queryTable+xml"/>
  <Override PartName="/xl/queryTables/queryTable999.xml" ContentType="application/vnd.openxmlformats-officedocument.spreadsheetml.queryTable+xml"/>
  <Override PartName="/xl/queryTables/queryTable1009.xml" ContentType="application/vnd.openxmlformats-officedocument.spreadsheetml.queryTable+xml"/>
  <Override PartName="/xl/queryTables/queryTable1450.xml" ContentType="application/vnd.openxmlformats-officedocument.spreadsheetml.queryTable+xml"/>
  <Override PartName="/xl/queryTables/queryTable1781.xml" ContentType="application/vnd.openxmlformats-officedocument.spreadsheetml.queryTable+xml"/>
  <Override PartName="/xl/queryTables/queryTable85.xml" ContentType="application/vnd.openxmlformats-officedocument.spreadsheetml.queryTable+xml"/>
  <Override PartName="/xl/queryTables/queryTable362.xml" ContentType="application/vnd.openxmlformats-officedocument.spreadsheetml.queryTable+xml"/>
  <Override PartName="/xl/queryTables/queryTable693.xml" ContentType="application/vnd.openxmlformats-officedocument.spreadsheetml.queryTable+xml"/>
  <Override PartName="/xl/queryTables/queryTable1179.xml" ContentType="application/vnd.openxmlformats-officedocument.spreadsheetml.queryTable+xml"/>
  <Override PartName="/xl/queryTables/queryTable1526.xml" ContentType="application/vnd.openxmlformats-officedocument.spreadsheetml.queryTable+xml"/>
  <Override PartName="/xl/queryTables/queryTable1712.xml" ContentType="application/vnd.openxmlformats-officedocument.spreadsheetml.queryTable+xml"/>
  <Override PartName="/xl/queryTables/queryTable1857.xml" ContentType="application/vnd.openxmlformats-officedocument.spreadsheetml.queryTable+xml"/>
  <Override PartName="/xl/queryTables/queryTable16.xml" ContentType="application/vnd.openxmlformats-officedocument.spreadsheetml.queryTable+xml"/>
  <Override PartName="/xl/queryTables/queryTable107.xml" ContentType="application/vnd.openxmlformats-officedocument.spreadsheetml.queryTable+xml"/>
  <Override PartName="/xl/queryTables/queryTable438.xml" ContentType="application/vnd.openxmlformats-officedocument.spreadsheetml.queryTable+xml"/>
  <Override PartName="/xl/queryTables/queryTable769.xml" ContentType="application/vnd.openxmlformats-officedocument.spreadsheetml.queryTable+xml"/>
  <Override PartName="/xl/queryTables/queryTable1034.xml" ContentType="application/vnd.openxmlformats-officedocument.spreadsheetml.queryTable+xml"/>
  <Override PartName="/xl/queryTables/queryTable1220.xml" ContentType="application/vnd.openxmlformats-officedocument.spreadsheetml.queryTable+xml"/>
  <Override PartName="/xl/queryTables/queryTable1365.xml" ContentType="application/vnd.openxmlformats-officedocument.spreadsheetml.queryTable+xml"/>
  <Override PartName="/xl/queryTables/queryTable1551.xml" ContentType="application/vnd.openxmlformats-officedocument.spreadsheetml.queryTable+xml"/>
  <Override PartName="/xl/queryTables/queryTable1696.xml" ContentType="application/vnd.openxmlformats-officedocument.spreadsheetml.queryTable+xml"/>
  <Override PartName="/xl/queryTables/queryTable2006.xml" ContentType="application/vnd.openxmlformats-officedocument.spreadsheetml.queryTable+xml"/>
  <Override PartName="/xl/workbook.xml" ContentType="application/vnd.ms-excel.sheet.macroEnabled.main+xml"/>
  <Override PartName="/xl/worksheets/sheet4.xml" ContentType="application/vnd.openxmlformats-officedocument.spreadsheetml.worksheet+xml"/>
  <Override PartName="/xl/queryTables/queryTable132.xml" ContentType="application/vnd.openxmlformats-officedocument.spreadsheetml.queryTable+xml"/>
  <Override PartName="/xl/queryTables/queryTable277.xml" ContentType="application/vnd.openxmlformats-officedocument.spreadsheetml.queryTable+xml"/>
  <Override PartName="/xl/queryTables/queryTable624.xml" ContentType="application/vnd.openxmlformats-officedocument.spreadsheetml.queryTable+xml"/>
  <Override PartName="/xl/queryTables/queryTable810.xml" ContentType="application/vnd.openxmlformats-officedocument.spreadsheetml.queryTable+xml"/>
  <Override PartName="/xl/queryTables/queryTable955.xml" ContentType="application/vnd.openxmlformats-officedocument.spreadsheetml.queryTable+xml"/>
  <Override PartName="/xl/queryTables/queryTable1390.xml" ContentType="application/vnd.openxmlformats-officedocument.spreadsheetml.queryTable+xml"/>
  <Override PartName="/xl/queryTables/queryTable1882.xml" ContentType="application/vnd.openxmlformats-officedocument.spreadsheetml.queryTable+xml"/>
  <Override PartName="/xl/queryTables/queryTable9.xml" ContentType="application/vnd.openxmlformats-officedocument.spreadsheetml.queryTable+xml"/>
  <Override PartName="/xl/queryTables/queryTable41.xml" ContentType="application/vnd.openxmlformats-officedocument.spreadsheetml.queryTable+xml"/>
  <Override PartName="/xl/queryTables/queryTable208.xml" ContentType="application/vnd.openxmlformats-officedocument.spreadsheetml.queryTable+xml"/>
  <Override PartName="/xl/queryTables/queryTable463.xml" ContentType="application/vnd.openxmlformats-officedocument.spreadsheetml.queryTable+xml"/>
  <Override PartName="/xl/queryTables/queryTable794.xml" ContentType="application/vnd.openxmlformats-officedocument.spreadsheetml.queryTable+xml"/>
  <Override PartName="/xl/queryTables/queryTable980.xml" ContentType="application/vnd.openxmlformats-officedocument.spreadsheetml.queryTable+xml"/>
  <Override PartName="/xl/queryTables/queryTable1135.xml" ContentType="application/vnd.openxmlformats-officedocument.spreadsheetml.queryTable+xml"/>
  <Override PartName="/xl/queryTables/queryTable1627.xml" ContentType="application/vnd.openxmlformats-officedocument.spreadsheetml.queryTable+xml"/>
  <Override PartName="/xl/queryTables/queryTable1813.xml" ContentType="application/vnd.openxmlformats-officedocument.spreadsheetml.queryTable+xml"/>
  <Override PartName="/xl/queryTables/queryTable1958.xml" ContentType="application/vnd.openxmlformats-officedocument.spreadsheetml.queryTable+xml"/>
  <Override PartName="/xl/queryTables/queryTable2031.xml" ContentType="application/vnd.openxmlformats-officedocument.spreadsheetml.queryTable+xml"/>
  <Default Extension="vml" ContentType="application/vnd.openxmlformats-officedocument.vmlDrawing"/>
  <Override PartName="/xl/queryTables/queryTable539.xml" ContentType="application/vnd.openxmlformats-officedocument.spreadsheetml.queryTable+xml"/>
  <Override PartName="/xl/queryTables/queryTable725.xml" ContentType="application/vnd.openxmlformats-officedocument.spreadsheetml.queryTable+xml"/>
  <Override PartName="/xl/queryTables/queryTable1321.xml" ContentType="application/vnd.openxmlformats-officedocument.spreadsheetml.queryTable+xml"/>
  <Override PartName="/xl/queryTables/queryTable1466.xml" ContentType="application/vnd.openxmlformats-officedocument.spreadsheetml.queryTable+xml"/>
  <Override PartName="/xl/queryTables/queryTable1652.xml" ContentType="application/vnd.openxmlformats-officedocument.spreadsheetml.queryTable+xml"/>
  <Override PartName="/xl/queryTables/queryTable1797.xml" ContentType="application/vnd.openxmlformats-officedocument.spreadsheetml.queryTable+xml"/>
  <Override PartName="/xl/queryTables/queryTable1983.xml" ContentType="application/vnd.openxmlformats-officedocument.spreadsheetml.queryTable+xml"/>
  <Override PartName="/xl/queryTables/queryTable233.xml" ContentType="application/vnd.openxmlformats-officedocument.spreadsheetml.queryTable+xml"/>
  <Override PartName="/xl/queryTables/queryTable378.xml" ContentType="application/vnd.openxmlformats-officedocument.spreadsheetml.queryTable+xml"/>
  <Override PartName="/xl/queryTables/queryTable564.xml" ContentType="application/vnd.openxmlformats-officedocument.spreadsheetml.queryTable+xml"/>
  <Override PartName="/xl/queryTables/queryTable895.xml" ContentType="application/vnd.openxmlformats-officedocument.spreadsheetml.queryTable+xml"/>
  <Override PartName="/xl/queryTables/queryTable911.xml" ContentType="application/vnd.openxmlformats-officedocument.spreadsheetml.queryTable+xml"/>
  <Override PartName="/xl/queryTables/queryTable1160.xml" ContentType="application/vnd.openxmlformats-officedocument.spreadsheetml.queryTable+xml"/>
  <Override PartName="/xl/queryTables/queryTable1491.xml" ContentType="application/vnd.openxmlformats-officedocument.spreadsheetml.queryTable+xml"/>
  <Override PartName="/xl/queryTables/queryTable1728.xml" ContentType="application/vnd.openxmlformats-officedocument.spreadsheetml.queryTable+xml"/>
  <Override PartName="/xl/queryTables/queryTable309.xml" ContentType="application/vnd.openxmlformats-officedocument.spreadsheetml.queryTable+xml"/>
  <Override PartName="/xl/queryTables/queryTable750.xml" ContentType="application/vnd.openxmlformats-officedocument.spreadsheetml.queryTable+xml"/>
  <Override PartName="/xl/queryTables/queryTable1236.xml" ContentType="application/vnd.openxmlformats-officedocument.spreadsheetml.queryTable+xml"/>
  <Override PartName="/xl/queryTables/queryTable1567.xml" ContentType="application/vnd.openxmlformats-officedocument.spreadsheetml.queryTable+xml"/>
  <Override PartName="/xl/queryTables/queryTable1898.xml" ContentType="application/vnd.openxmlformats-officedocument.spreadsheetml.queryTable+xml"/>
  <Override PartName="/xl/queryTables/queryTable1914.xml" ContentType="application/vnd.openxmlformats-officedocument.spreadsheetml.queryTable+xml"/>
  <Override PartName="/xl/queryTables/queryTable148.xml" ContentType="application/vnd.openxmlformats-officedocument.spreadsheetml.queryTable+xml"/>
  <Override PartName="/xl/queryTables/queryTable479.xml" ContentType="application/vnd.openxmlformats-officedocument.spreadsheetml.queryTable+xml"/>
  <Override PartName="/xl/queryTables/queryTable826.xml" ContentType="application/vnd.openxmlformats-officedocument.spreadsheetml.queryTable+xml"/>
  <Override PartName="/xl/queryTables/queryTable1075.xml" ContentType="application/vnd.openxmlformats-officedocument.spreadsheetml.queryTable+xml"/>
  <Override PartName="/xl/queryTables/queryTable1422.xml" ContentType="application/vnd.openxmlformats-officedocument.spreadsheetml.queryTable+xml"/>
  <Override PartName="/xl/queryTables/queryTable1753.xml" ContentType="application/vnd.openxmlformats-officedocument.spreadsheetml.queryTable+xml"/>
  <Override PartName="/xl/queryTables/queryTable57.xml" ContentType="application/vnd.openxmlformats-officedocument.spreadsheetml.queryTable+xml"/>
  <Override PartName="/xl/queryTables/queryTable334.xml" ContentType="application/vnd.openxmlformats-officedocument.spreadsheetml.queryTable+xml"/>
  <Override PartName="/xl/queryTables/queryTable520.xml" ContentType="application/vnd.openxmlformats-officedocument.spreadsheetml.queryTable+xml"/>
  <Override PartName="/xl/queryTables/queryTable665.xml" ContentType="application/vnd.openxmlformats-officedocument.spreadsheetml.queryTable+xml"/>
  <Override PartName="/xl/queryTables/queryTable851.xml" ContentType="application/vnd.openxmlformats-officedocument.spreadsheetml.queryTable+xml"/>
  <Override PartName="/xl/queryTables/queryTable996.xml" ContentType="application/vnd.openxmlformats-officedocument.spreadsheetml.queryTable+xml"/>
  <Override PartName="/xl/queryTables/queryTable1261.xml" ContentType="application/vnd.openxmlformats-officedocument.spreadsheetml.queryTable+xml"/>
  <Override PartName="/xl/queryTables/queryTable1592.xml" ContentType="application/vnd.openxmlformats-officedocument.spreadsheetml.queryTable+xml"/>
  <Override PartName="/xl/queryTables/queryTable1829.xml" ContentType="application/vnd.openxmlformats-officedocument.spreadsheetml.queryTable+xml"/>
  <Override PartName="/xl/queryTables/queryTable2047.xml" ContentType="application/vnd.openxmlformats-officedocument.spreadsheetml.queryTable+xml"/>
  <Override PartName="/xl/queryTables/queryTable82.xml" ContentType="application/vnd.openxmlformats-officedocument.spreadsheetml.queryTable+xml"/>
  <Override PartName="/xl/queryTables/queryTable173.xml" ContentType="application/vnd.openxmlformats-officedocument.spreadsheetml.queryTable+xml"/>
  <Override PartName="/xl/queryTables/queryTable690.xml" ContentType="application/vnd.openxmlformats-officedocument.spreadsheetml.queryTable+xml"/>
  <Override PartName="/xl/queryTables/queryTable1006.xml" ContentType="application/vnd.openxmlformats-officedocument.spreadsheetml.queryTable+xml"/>
  <Override PartName="/xl/queryTables/queryTable1337.xml" ContentType="application/vnd.openxmlformats-officedocument.spreadsheetml.queryTable+xml"/>
  <Override PartName="/xl/queryTables/queryTable1523.xml" ContentType="application/vnd.openxmlformats-officedocument.spreadsheetml.queryTable+xml"/>
  <Override PartName="/xl/queryTables/queryTable1668.xml" ContentType="application/vnd.openxmlformats-officedocument.spreadsheetml.queryTable+xml"/>
  <Override PartName="/xl/queryTables/queryTable1854.xml" ContentType="application/vnd.openxmlformats-officedocument.spreadsheetml.queryTable+xml"/>
  <Override PartName="/xl/queryTables/queryTable1999.xml" ContentType="application/vnd.openxmlformats-officedocument.spreadsheetml.queryTable+xml"/>
  <Default Extension="rels" ContentType="application/vnd.openxmlformats-package.relationships+xml"/>
  <Override PartName="/xl/queryTables/queryTable104.xml" ContentType="application/vnd.openxmlformats-officedocument.spreadsheetml.queryTable+xml"/>
  <Override PartName="/xl/queryTables/queryTable249.xml" ContentType="application/vnd.openxmlformats-officedocument.spreadsheetml.queryTable+xml"/>
  <Override PartName="/xl/queryTables/queryTable435.xml" ContentType="application/vnd.openxmlformats-officedocument.spreadsheetml.queryTable+xml"/>
  <Override PartName="/xl/queryTables/queryTable927.xml" ContentType="application/vnd.openxmlformats-officedocument.spreadsheetml.queryTable+xml"/>
  <Override PartName="/xl/queryTables/queryTable1031.xml" ContentType="application/vnd.openxmlformats-officedocument.spreadsheetml.queryTable+xml"/>
  <Override PartName="/xl/queryTables/queryTable1176.xml" ContentType="application/vnd.openxmlformats-officedocument.spreadsheetml.queryTable+xml"/>
  <Override PartName="/xl/queryTables/queryTable1362.xml" ContentType="application/vnd.openxmlformats-officedocument.spreadsheetml.queryTable+xml"/>
  <Override PartName="/xl/queryTables/queryTable1693.xml" ContentType="application/vnd.openxmlformats-officedocument.spreadsheetml.queryTable+xml"/>
  <Override PartName="/xl/queryTables/queryTable13.xml" ContentType="application/vnd.openxmlformats-officedocument.spreadsheetml.queryTable+xml"/>
  <Override PartName="/xl/queryTables/queryTable274.xml" ContentType="application/vnd.openxmlformats-officedocument.spreadsheetml.queryTable+xml"/>
  <Override PartName="/xl/queryTables/queryTable621.xml" ContentType="application/vnd.openxmlformats-officedocument.spreadsheetml.queryTable+xml"/>
  <Override PartName="/xl/queryTables/queryTable766.xml" ContentType="application/vnd.openxmlformats-officedocument.spreadsheetml.queryTable+xml"/>
  <Override PartName="/xl/queryTables/queryTable952.xml" ContentType="application/vnd.openxmlformats-officedocument.spreadsheetml.queryTable+xml"/>
  <Override PartName="/xl/queryTables/queryTable1107.xml" ContentType="application/vnd.openxmlformats-officedocument.spreadsheetml.queryTable+xml"/>
  <Override PartName="/xl/queryTables/queryTable1438.xml" ContentType="application/vnd.openxmlformats-officedocument.spreadsheetml.queryTable+xml"/>
  <Override PartName="/xl/queryTables/queryTable2003.xml" ContentType="application/vnd.openxmlformats-officedocument.spreadsheetml.queryTable+xml"/>
  <Override PartName="/xl/worksheets/sheet1.xml" ContentType="application/vnd.openxmlformats-officedocument.spreadsheetml.worksheet+xml"/>
  <Override PartName="/xl/queryTables/queryTable460.xml" ContentType="application/vnd.openxmlformats-officedocument.spreadsheetml.queryTable+xml"/>
  <Override PartName="/xl/queryTables/queryTable791.xml" ContentType="application/vnd.openxmlformats-officedocument.spreadsheetml.queryTable+xml"/>
  <Override PartName="/xl/queryTables/queryTable1277.xml" ContentType="application/vnd.openxmlformats-officedocument.spreadsheetml.queryTable+xml"/>
  <Override PartName="/xl/queryTables/queryTable1624.xml" ContentType="application/vnd.openxmlformats-officedocument.spreadsheetml.queryTable+xml"/>
  <Override PartName="/xl/queryTables/queryTable1769.xml" ContentType="application/vnd.openxmlformats-officedocument.spreadsheetml.queryTable+xml"/>
  <Override PartName="/xl/queryTables/queryTable1955.xml" ContentType="application/vnd.openxmlformats-officedocument.spreadsheetml.queryTable+xml"/>
  <Override PartName="/xl/queryTables/queryTable6.xml" ContentType="application/vnd.openxmlformats-officedocument.spreadsheetml.queryTable+xml"/>
  <Override PartName="/xl/queryTables/queryTable205.xml" ContentType="application/vnd.openxmlformats-officedocument.spreadsheetml.queryTable+xml"/>
  <Override PartName="/xl/queryTables/queryTable536.xml" ContentType="application/vnd.openxmlformats-officedocument.spreadsheetml.queryTable+xml"/>
  <Override PartName="/xl/queryTables/queryTable867.xml" ContentType="application/vnd.openxmlformats-officedocument.spreadsheetml.queryTable+xml"/>
  <Override PartName="/xl/queryTables/queryTable1132.xml" ContentType="application/vnd.openxmlformats-officedocument.spreadsheetml.queryTable+xml"/>
  <Override PartName="/xl/queryTables/queryTable1463.xml" ContentType="application/vnd.openxmlformats-officedocument.spreadsheetml.queryTable+xml"/>
  <Override PartName="/xl/queryTables/queryTable1794.xml" ContentType="application/vnd.openxmlformats-officedocument.spreadsheetml.queryTable+xml"/>
  <Override PartName="/xl/queryTables/queryTable1810.xml" ContentType="application/vnd.openxmlformats-officedocument.spreadsheetml.queryTable+xml"/>
  <Override PartName="/xl/queryTables/queryTable98.xml" ContentType="application/vnd.openxmlformats-officedocument.spreadsheetml.queryTable+xml"/>
  <Override PartName="/xl/queryTables/queryTable189.xml" ContentType="application/vnd.openxmlformats-officedocument.spreadsheetml.queryTable+xml"/>
  <Override PartName="/xl/queryTables/queryTable230.xml" ContentType="application/vnd.openxmlformats-officedocument.spreadsheetml.queryTable+xml"/>
  <Override PartName="/xl/queryTables/queryTable375.xml" ContentType="application/vnd.openxmlformats-officedocument.spreadsheetml.queryTable+xml"/>
  <Override PartName="/xl/queryTables/queryTable722.xml" ContentType="application/vnd.openxmlformats-officedocument.spreadsheetml.queryTable+xml"/>
  <Override PartName="/xl/queryTables/queryTable1208.xml" ContentType="application/vnd.openxmlformats-officedocument.spreadsheetml.queryTable+xml"/>
  <Override PartName="/xl/queryTables/queryTable1539.xml" ContentType="application/vnd.openxmlformats-officedocument.spreadsheetml.queryTable+xml"/>
  <Override PartName="/xl/queryTables/queryTable1980.xml" ContentType="application/vnd.openxmlformats-officedocument.spreadsheetml.queryTable+xml"/>
  <Override PartName="/xl/queryTables/queryTable561.xml" ContentType="application/vnd.openxmlformats-officedocument.spreadsheetml.queryTable+xml"/>
  <Override PartName="/xl/queryTables/queryTable892.xml" ContentType="application/vnd.openxmlformats-officedocument.spreadsheetml.queryTable+xml"/>
  <Override PartName="/xl/queryTables/queryTable1047.xml" ContentType="application/vnd.openxmlformats-officedocument.spreadsheetml.queryTable+xml"/>
  <Override PartName="/xl/queryTables/queryTable1233.xml" ContentType="application/vnd.openxmlformats-officedocument.spreadsheetml.queryTable+xml"/>
  <Override PartName="/xl/queryTables/queryTable1378.xml" ContentType="application/vnd.openxmlformats-officedocument.spreadsheetml.queryTable+xml"/>
  <Override PartName="/xl/queryTables/queryTable1725.xml" ContentType="application/vnd.openxmlformats-officedocument.spreadsheetml.queryTable+xml"/>
  <Override PartName="/xl/queryTables/queryTable1911.xml" ContentType="application/vnd.openxmlformats-officedocument.spreadsheetml.queryTable+xml"/>
  <Override PartName="/xl/queryTables/queryTable29.xml" ContentType="application/vnd.openxmlformats-officedocument.spreadsheetml.queryTable+xml"/>
  <Override PartName="/xl/queryTables/queryTable306.xml" ContentType="application/vnd.openxmlformats-officedocument.spreadsheetml.queryTable+xml"/>
  <Override PartName="/xl/queryTables/queryTable637.xml" ContentType="application/vnd.openxmlformats-officedocument.spreadsheetml.queryTable+xml"/>
  <Override PartName="/xl/queryTables/queryTable823.xml" ContentType="application/vnd.openxmlformats-officedocument.spreadsheetml.queryTable+xml"/>
  <Override PartName="/xl/queryTables/queryTable968.xml" ContentType="application/vnd.openxmlformats-officedocument.spreadsheetml.queryTable+xml"/>
  <Override PartName="/xl/queryTables/queryTable1072.xml" ContentType="application/vnd.openxmlformats-officedocument.spreadsheetml.queryTable+xml"/>
  <Override PartName="/xl/queryTables/queryTable1564.xml" ContentType="application/vnd.openxmlformats-officedocument.spreadsheetml.queryTable+xml"/>
  <Override PartName="/xl/queryTables/queryTable1750.xml" ContentType="application/vnd.openxmlformats-officedocument.spreadsheetml.queryTable+xml"/>
  <Override PartName="/xl/queryTables/queryTable1895.xml" ContentType="application/vnd.openxmlformats-officedocument.spreadsheetml.queryTable+xml"/>
  <Override PartName="/xl/queryTables/queryTable2019.xml" ContentType="application/vnd.openxmlformats-officedocument.spreadsheetml.queryTable+xml"/>
  <Override PartName="/xl/queryTables/queryTable54.xml" ContentType="application/vnd.openxmlformats-officedocument.spreadsheetml.queryTable+xml"/>
  <Override PartName="/xl/queryTables/queryTable145.xml" ContentType="application/vnd.openxmlformats-officedocument.spreadsheetml.queryTable+xml"/>
  <Override PartName="/xl/queryTables/queryTable331.xml" ContentType="application/vnd.openxmlformats-officedocument.spreadsheetml.queryTable+xml"/>
  <Override PartName="/xl/queryTables/queryTable476.xml" ContentType="application/vnd.openxmlformats-officedocument.spreadsheetml.queryTable+xml"/>
  <Override PartName="/xl/queryTables/queryTable662.xml" ContentType="application/vnd.openxmlformats-officedocument.spreadsheetml.queryTable+xml"/>
  <Override PartName="/xl/queryTables/queryTable1309.xml" ContentType="application/vnd.openxmlformats-officedocument.spreadsheetml.queryTable+xml"/>
  <Override PartName="/xl/queryTables/queryTable1826.xml" ContentType="application/vnd.openxmlformats-officedocument.spreadsheetml.queryTable+xml"/>
  <Override PartName="/xl/queryTables/queryTable2044.xml" ContentType="application/vnd.openxmlformats-officedocument.spreadsheetml.queryTable+xml"/>
  <Override PartName="/xl/queryTables/queryTable170.xml" ContentType="application/vnd.openxmlformats-officedocument.spreadsheetml.queryTable+xml"/>
  <Override PartName="/xl/queryTables/queryTable407.xml" ContentType="application/vnd.openxmlformats-officedocument.spreadsheetml.queryTable+xml"/>
  <Override PartName="/xl/queryTables/queryTable993.xml" ContentType="application/vnd.openxmlformats-officedocument.spreadsheetml.queryTable+xml"/>
  <Override PartName="/xl/queryTables/queryTable1003.xml" ContentType="application/vnd.openxmlformats-officedocument.spreadsheetml.queryTable+xml"/>
  <Override PartName="/xl/queryTables/queryTable1148.xml" ContentType="application/vnd.openxmlformats-officedocument.spreadsheetml.queryTable+xml"/>
  <Override PartName="/xl/queryTables/queryTable1334.xml" ContentType="application/vnd.openxmlformats-officedocument.spreadsheetml.queryTable+xml"/>
  <Override PartName="/xl/queryTables/queryTable1479.xml" ContentType="application/vnd.openxmlformats-officedocument.spreadsheetml.queryTable+xml"/>
  <Override PartName="/xl/queryTables/queryTable1665.xml" ContentType="application/vnd.openxmlformats-officedocument.spreadsheetml.queryTable+xml"/>
  <Override PartName="/xl/queryTables/queryTable246.xml" ContentType="application/vnd.openxmlformats-officedocument.spreadsheetml.queryTable+xml"/>
  <Override PartName="/xl/queryTables/queryTable577.xml" ContentType="application/vnd.openxmlformats-officedocument.spreadsheetml.queryTable+xml"/>
  <Override PartName="/xl/queryTables/queryTable738.xml" ContentType="application/vnd.openxmlformats-officedocument.spreadsheetml.queryTable+xml"/>
  <Override PartName="/xl/queryTables/queryTable924.xml" ContentType="application/vnd.openxmlformats-officedocument.spreadsheetml.queryTable+xml"/>
  <Override PartName="/xl/queryTables/queryTable1173.xml" ContentType="application/vnd.openxmlformats-officedocument.spreadsheetml.queryTable+xml"/>
  <Override PartName="/xl/queryTables/queryTable1520.xml" ContentType="application/vnd.openxmlformats-officedocument.spreadsheetml.queryTable+xml"/>
  <Override PartName="/xl/queryTables/queryTable1851.xml" ContentType="application/vnd.openxmlformats-officedocument.spreadsheetml.queryTable+xml"/>
  <Override PartName="/xl/queryTables/queryTable1996.xml" ContentType="application/vnd.openxmlformats-officedocument.spreadsheetml.queryTable+xml"/>
  <Override PartName="/xl/queryTables/queryTable10.xml" ContentType="application/vnd.openxmlformats-officedocument.spreadsheetml.queryTable+xml"/>
  <Override PartName="/xl/queryTables/queryTable101.xml" ContentType="application/vnd.openxmlformats-officedocument.spreadsheetml.queryTable+xml"/>
  <Override PartName="/xl/queryTables/queryTable432.xml" ContentType="application/vnd.openxmlformats-officedocument.spreadsheetml.queryTable+xml"/>
  <Override PartName="/xl/queryTables/queryTable763.xml" ContentType="application/vnd.openxmlformats-officedocument.spreadsheetml.queryTable+xml"/>
  <Override PartName="/xl/queryTables/queryTable1249.xml" ContentType="application/vnd.openxmlformats-officedocument.spreadsheetml.queryTable+xml"/>
  <Override PartName="/xl/queryTables/queryTable1690.xml" ContentType="application/vnd.openxmlformats-officedocument.spreadsheetml.queryTable+xml"/>
  <Override PartName="/xl/queryTables/queryTable1927.xml" ContentType="application/vnd.openxmlformats-officedocument.spreadsheetml.queryTable+xml"/>
  <Override PartName="/xl/queryTables/queryTable2000.xml" ContentType="application/vnd.openxmlformats-officedocument.spreadsheetml.queryTable+xml"/>
  <Override PartName="/xl/queryTables/queryTable271.xml" ContentType="application/vnd.openxmlformats-officedocument.spreadsheetml.queryTable+xml"/>
  <Override PartName="/xl/queryTables/queryTable508.xml" ContentType="application/vnd.openxmlformats-officedocument.spreadsheetml.queryTable+xml"/>
  <Override PartName="/xl/queryTables/queryTable839.xml" ContentType="application/vnd.openxmlformats-officedocument.spreadsheetml.queryTable+xml"/>
  <Override PartName="/xl/queryTables/queryTable1088.xml" ContentType="application/vnd.openxmlformats-officedocument.spreadsheetml.queryTable+xml"/>
  <Override PartName="/xl/queryTables/queryTable1104.xml" ContentType="application/vnd.openxmlformats-officedocument.spreadsheetml.queryTable+xml"/>
  <Override PartName="/xl/queryTables/queryTable1435.xml" ContentType="application/vnd.openxmlformats-officedocument.spreadsheetml.queryTable+xml"/>
  <Override PartName="/xl/queryTables/queryTable1621.xml" ContentType="application/vnd.openxmlformats-officedocument.spreadsheetml.queryTable+xml"/>
  <Override PartName="/xl/queryTables/queryTable1766.xml" ContentType="application/vnd.openxmlformats-officedocument.spreadsheetml.queryTable+xml"/>
  <Override PartName="/xl/queryTables/queryTable3.xml" ContentType="application/vnd.openxmlformats-officedocument.spreadsheetml.queryTable+xml"/>
  <Override PartName="/xl/queryTables/queryTable202.xml" ContentType="application/vnd.openxmlformats-officedocument.spreadsheetml.queryTable+xml"/>
  <Override PartName="/xl/queryTables/queryTable347.xml" ContentType="application/vnd.openxmlformats-officedocument.spreadsheetml.queryTable+xml"/>
  <Override PartName="/xl/queryTables/queryTable678.xml" ContentType="application/vnd.openxmlformats-officedocument.spreadsheetml.queryTable+xml"/>
  <Override PartName="/xl/queryTables/queryTable1274.xml" ContentType="application/vnd.openxmlformats-officedocument.spreadsheetml.queryTable+xml"/>
  <Override PartName="/xl/queryTables/queryTable1460.xml" ContentType="application/vnd.openxmlformats-officedocument.spreadsheetml.queryTable+xml"/>
  <Override PartName="/xl/queryTables/queryTable1952.xml" ContentType="application/vnd.openxmlformats-officedocument.spreadsheetml.queryTable+xml"/>
  <Override PartName="/xl/queryTables/queryTable533.xml" ContentType="application/vnd.openxmlformats-officedocument.spreadsheetml.queryTable+xml"/>
  <Override PartName="/xl/queryTables/queryTable1791.xml" ContentType="application/vnd.openxmlformats-officedocument.spreadsheetml.queryTable+xml"/>
  <Override PartName="/xl/styles.xml" ContentType="application/vnd.openxmlformats-officedocument.spreadsheetml.styles+xml"/>
  <Override PartName="/xl/queryTables/queryTable95.xml" ContentType="application/vnd.openxmlformats-officedocument.spreadsheetml.queryTable+xml"/>
  <Override PartName="/xl/queryTables/queryTable1044.xml" ContentType="application/vnd.openxmlformats-officedocument.spreadsheetml.queryTable+xml"/>
  <Override PartName="/xl/queryTables/queryTable1536.xml" ContentType="application/vnd.openxmlformats-officedocument.spreadsheetml.queryTable+xml"/>
  <Override PartName="/xl/queryTables/queryTable1722.xml" ContentType="application/vnd.openxmlformats-officedocument.spreadsheetml.queryTable+xml"/>
  <Override PartName="/xl/queryTables/queryTable26.xml" ContentType="application/vnd.openxmlformats-officedocument.spreadsheetml.queryTable+xml"/>
  <Override PartName="/xl/queryTables/queryTable448.xml" ContentType="application/vnd.openxmlformats-officedocument.spreadsheetml.queryTable+xml"/>
  <Override PartName="/xl/queryTables/queryTable634.xml" ContentType="application/vnd.openxmlformats-officedocument.spreadsheetml.queryTable+xml"/>
  <Override PartName="/xl/queryTables/queryTable1230.xml" ContentType="application/vnd.openxmlformats-officedocument.spreadsheetml.queryTable+xml"/>
  <Override PartName="/xl/queryTables/queryTable1892.xml" ContentType="application/vnd.openxmlformats-officedocument.spreadsheetml.queryTable+xml"/>
  <Override PartName="/xl/queryTables/queryTable2016.xml" ContentType="application/vnd.openxmlformats-officedocument.spreadsheetml.queryTable+xml"/>
  <Override PartName="/xl/queryTables/queryTable142.xml" ContentType="application/vnd.openxmlformats-officedocument.spreadsheetml.queryTable+xml"/>
  <Override PartName="/xl/queryTables/queryTable820.xml" ContentType="application/vnd.openxmlformats-officedocument.spreadsheetml.queryTable+xml"/>
  <Override PartName="/xl/queryTables/queryTable1637.xml" ContentType="application/vnd.openxmlformats-officedocument.spreadsheetml.queryTable+xml"/>
  <Override PartName="/xl/queryTables/queryTable549.xml" ContentType="application/vnd.openxmlformats-officedocument.spreadsheetml.queryTable+xml"/>
  <Override PartName="/xl/queryTables/queryTable990.xml" ContentType="application/vnd.openxmlformats-officedocument.spreadsheetml.queryTable+xml"/>
  <Override PartName="/xl/queryTables/queryTable1145.xml" ContentType="application/vnd.openxmlformats-officedocument.spreadsheetml.queryTable+xml"/>
  <Override PartName="/xl/queryTables/queryTable1823.xml" ContentType="application/vnd.openxmlformats-officedocument.spreadsheetml.queryTable+xml"/>
  <Override PartName="/xl/queryTables/queryTable735.xml" ContentType="application/vnd.openxmlformats-officedocument.spreadsheetml.queryTable+xml"/>
  <Override PartName="/xl/queryTables/queryTable921.xml" ContentType="application/vnd.openxmlformats-officedocument.spreadsheetml.queryTable+xml"/>
  <Override PartName="/xl/queryTables/queryTable1331.xml" ContentType="application/vnd.openxmlformats-officedocument.spreadsheetml.queryTable+xml"/>
  <Override PartName="/xl/queryTables/queryTable1993.xml" ContentType="application/vnd.openxmlformats-officedocument.spreadsheetml.queryTable+xml"/>
  <Override PartName="/xl/queryTables/queryTable243.xml" ContentType="application/vnd.openxmlformats-officedocument.spreadsheetml.queryTable+xml"/>
  <Override PartName="/xl/queryTables/queryTable1738.xml" ContentType="application/vnd.openxmlformats-officedocument.spreadsheetml.queryTable+xml"/>
  <Override PartName="/xl/queryTables/queryTable1924.xml" ContentType="application/vnd.openxmlformats-officedocument.spreadsheetml.queryTable+xml"/>
  <Override PartName="/xl/queryTables/queryTable1246.xml" ContentType="application/vnd.openxmlformats-officedocument.spreadsheetml.queryTable+xml"/>
  <Override PartName="/xl/queryTables/queryTable1432.xml" ContentType="application/vnd.openxmlformats-officedocument.spreadsheetml.queryTable+xml"/>
  <Override PartName="/xl/queryTables/queryTable158.xml" ContentType="application/vnd.openxmlformats-officedocument.spreadsheetml.queryTable+xml"/>
  <Override PartName="/xl/queryTables/queryTable344.xml" ContentType="application/vnd.openxmlformats-officedocument.spreadsheetml.queryTable+xml"/>
  <Override PartName="/xl/queryTables/queryTable836.xml" ContentType="application/vnd.openxmlformats-officedocument.spreadsheetml.queryTable+xml"/>
  <Override PartName="/xl/queryTables/queryTable530.xml" ContentType="application/vnd.openxmlformats-officedocument.spreadsheetml.queryTable+xml"/>
  <Override PartName="/xl/queryTables/queryTable1347.xml" ContentType="application/vnd.openxmlformats-officedocument.spreadsheetml.queryTable+xml"/>
  <Override PartName="/xl/queryTables/queryTable1839.xml" ContentType="application/vnd.openxmlformats-officedocument.spreadsheetml.queryTable+xml"/>
  <Override PartName="/xl/queryTables/queryTable92.xml" ContentType="application/vnd.openxmlformats-officedocument.spreadsheetml.queryTable+xml"/>
  <Override PartName="/xl/queryTables/queryTable937.xml" ContentType="application/vnd.openxmlformats-officedocument.spreadsheetml.queryTable+xml"/>
  <Override PartName="/xl/queryTables/queryTable1533.xml" ContentType="application/vnd.openxmlformats-officedocument.spreadsheetml.queryTable+xml"/>
  <Override PartName="/xl/worksheets/sheet10.xml" ContentType="application/vnd.openxmlformats-officedocument.spreadsheetml.worksheet+xml"/>
  <Override PartName="/xl/queryTables/queryTable259.xml" ContentType="application/vnd.openxmlformats-officedocument.spreadsheetml.queryTable+xml"/>
  <Override PartName="/xl/queryTables/queryTable445.xml" ContentType="application/vnd.openxmlformats-officedocument.spreadsheetml.queryTable+xml"/>
  <Override PartName="/xl/queryTables/queryTable1041.xml" ContentType="application/vnd.openxmlformats-officedocument.spreadsheetml.queryTable+xml"/>
  <Override PartName="/xl/queryTables/queryTable2013.xml" ContentType="application/vnd.openxmlformats-officedocument.spreadsheetml.queryTable+xml"/>
  <Override PartName="/xl/queryTables/queryTable23.xml" ContentType="application/vnd.openxmlformats-officedocument.spreadsheetml.queryTable+xml"/>
  <Override PartName="/xl/queryTables/queryTable631.xml" ContentType="application/vnd.openxmlformats-officedocument.spreadsheetml.queryTable+xml"/>
  <Override PartName="/xl/queryTables/queryTable1448.xml" ContentType="application/vnd.openxmlformats-officedocument.spreadsheetml.queryTable+xml"/>
  <Override PartName="/xl/queryTables/queryTable1142.xml" ContentType="application/vnd.openxmlformats-officedocument.spreadsheetml.queryTable+xml"/>
  <Override PartName="/xl/queryTables/queryTable1634.xml" ContentType="application/vnd.openxmlformats-officedocument.spreadsheetml.queryTable+xml"/>
  <Override PartName="/xl/queryTables/queryTable1820.xml" ContentType="application/vnd.openxmlformats-officedocument.spreadsheetml.queryTable+xml"/>
  <Override PartName="/xl/queryTables/queryTable546.xml" ContentType="application/vnd.openxmlformats-officedocument.spreadsheetml.queryTable+xml"/>
  <Override PartName="/xl/queryTables/queryTable732.xml" ContentType="application/vnd.openxmlformats-officedocument.spreadsheetml.queryTable+xml"/>
  <Override PartName="/xl/queryTables/queryTable1990.xml" ContentType="application/vnd.openxmlformats-officedocument.spreadsheetml.queryTable+xml"/>
  <Override PartName="/xl/queryTables/queryTable240.xml" ContentType="application/vnd.openxmlformats-officedocument.spreadsheetml.queryTable+xml"/>
  <Override PartName="/xl/queryTables/queryTable1549.xml" ContentType="application/vnd.openxmlformats-officedocument.spreadsheetml.queryTable+xml"/>
  <Override PartName="/xl/queryTables/queryTable1735.xml" ContentType="application/vnd.openxmlformats-officedocument.spreadsheetml.queryTable+xml"/>
  <Override PartName="/xl/queryTables/queryTable39.xml" ContentType="application/vnd.openxmlformats-officedocument.spreadsheetml.queryTable+xml"/>
  <Override PartName="/xl/queryTables/queryTable1057.xml" ContentType="application/vnd.openxmlformats-officedocument.spreadsheetml.queryTable+xml"/>
  <Override PartName="/xl/queryTables/queryTable1243.xml" ContentType="application/vnd.openxmlformats-officedocument.spreadsheetml.queryTable+xml"/>
  <Override PartName="/xl/queryTables/queryTable1921.xml" ContentType="application/vnd.openxmlformats-officedocument.spreadsheetml.queryTable+xml"/>
  <Override PartName="/xl/queryTables/queryTable2029.xml" ContentType="application/vnd.openxmlformats-officedocument.spreadsheetml.queryTable+xml"/>
  <Override PartName="/xl/queryTables/queryTable155.xml" ContentType="application/vnd.openxmlformats-officedocument.spreadsheetml.queryTable+xml"/>
  <Override PartName="/xl/queryTables/queryTable647.xml" ContentType="application/vnd.openxmlformats-officedocument.spreadsheetml.queryTable+xml"/>
  <Override PartName="/xl/queryTables/queryTable833.xml" ContentType="application/vnd.openxmlformats-officedocument.spreadsheetml.queryTable+xml"/>
  <Override PartName="/xl/queryTables/queryTable341.xml" ContentType="application/vnd.openxmlformats-officedocument.spreadsheetml.queryTable+xml"/>
  <Override PartName="/xl/queryTables/queryTable1158.xml" ContentType="application/vnd.openxmlformats-officedocument.spreadsheetml.queryTable+xml"/>
  <Override PartName="/xl/queryTables/queryTable1836.xml" ContentType="application/vnd.openxmlformats-officedocument.spreadsheetml.queryTable+xml"/>
  <Override PartName="/xl/queryTables/queryTable748.xml" ContentType="application/vnd.openxmlformats-officedocument.spreadsheetml.queryTable+xml"/>
  <Override PartName="/xl/queryTables/queryTable1344.xml" ContentType="application/vnd.openxmlformats-officedocument.spreadsheetml.queryTable+xml"/>
  <Override PartName="/xl/queryTables/queryTable1530.xml" ContentType="application/vnd.openxmlformats-officedocument.spreadsheetml.queryTable+xml"/>
  <Override PartName="/xl/queryTables/queryTable256.xml" ContentType="application/vnd.openxmlformats-officedocument.spreadsheetml.queryTable+xml"/>
  <Override PartName="/xl/queryTables/queryTable934.xml" ContentType="application/vnd.openxmlformats-officedocument.spreadsheetml.queryTable+xml"/>
  <Override PartName="/xl/queryTables/queryTable20.xml" ContentType="application/vnd.openxmlformats-officedocument.spreadsheetml.queryTable+xml"/>
  <Override PartName="/xl/queryTables/queryTable442.xml" ContentType="application/vnd.openxmlformats-officedocument.spreadsheetml.queryTable+xml"/>
  <Override PartName="/xl/queryTables/queryTable1259.xml" ContentType="application/vnd.openxmlformats-officedocument.spreadsheetml.queryTable+xml"/>
  <Override PartName="/xl/queryTables/queryTable1937.xml" ContentType="application/vnd.openxmlformats-officedocument.spreadsheetml.queryTable+xml"/>
  <Override PartName="/xl/queryTables/queryTable2010.xml" ContentType="application/vnd.openxmlformats-officedocument.spreadsheetml.queryTable+xml"/>
  <Override PartName="/xl/queryTables/queryTable849.xml" ContentType="application/vnd.openxmlformats-officedocument.spreadsheetml.queryTable+xml"/>
  <Override PartName="/xl/queryTables/queryTable1445.xml" ContentType="application/vnd.openxmlformats-officedocument.spreadsheetml.queryTable+xml"/>
  <Override PartName="/xl/queryTables/queryTable1631.xml" ContentType="application/vnd.openxmlformats-officedocument.spreadsheetml.queryTable+xml"/>
  <Override PartName="/xl/queryTables/queryTable357.xml" ContentType="application/vnd.openxmlformats-officedocument.spreadsheetml.queryTable+xml"/>
  <Override PartName="/xl/queryTables/queryTable543.xml" ContentType="application/vnd.openxmlformats-officedocument.spreadsheetml.queryTable+xml"/>
  <Override PartName="/xl/queryTables/queryTable1546.xml" ContentType="application/vnd.openxmlformats-officedocument.spreadsheetml.queryTable+xml"/>
  <Override PartName="/xl/queryTables/queryTable458.xml" ContentType="application/vnd.openxmlformats-officedocument.spreadsheetml.queryTable+xml"/>
  <Override PartName="/xl/queryTables/queryTable1054.xml" ContentType="application/vnd.openxmlformats-officedocument.spreadsheetml.queryTable+xml"/>
  <Override PartName="/xl/queryTables/queryTable1732.xml" ContentType="application/vnd.openxmlformats-officedocument.spreadsheetml.queryTable+xml"/>
  <Override PartName="/xl/queryTables/queryTable36.xml" ContentType="application/vnd.openxmlformats-officedocument.spreadsheetml.queryTable+xml"/>
  <Override PartName="/xl/queryTables/queryTable644.xml" ContentType="application/vnd.openxmlformats-officedocument.spreadsheetml.queryTable+xml"/>
  <Override PartName="/xl/queryTables/queryTable1240.xml" ContentType="application/vnd.openxmlformats-officedocument.spreadsheetml.queryTable+xml"/>
  <Override PartName="/xl/queryTables/queryTable2026.xml" ContentType="application/vnd.openxmlformats-officedocument.spreadsheetml.queryTable+xml"/>
  <Override PartName="/xl/queryTables/queryTable152.xml" ContentType="application/vnd.openxmlformats-officedocument.spreadsheetml.queryTable+xml"/>
  <Override PartName="/xl/queryTables/queryTable830.xml" ContentType="application/vnd.openxmlformats-officedocument.spreadsheetml.queryTable+xml"/>
  <Override PartName="/xl/queryTables/queryTable1647.xml" ContentType="application/vnd.openxmlformats-officedocument.spreadsheetml.queryTable+xml"/>
  <Override PartName="/xl/queryTables/queryTable559.xml" ContentType="application/vnd.openxmlformats-officedocument.spreadsheetml.queryTable+xml"/>
  <Override PartName="/xl/queryTables/queryTable1155.xml" ContentType="application/vnd.openxmlformats-officedocument.spreadsheetml.queryTable+xml"/>
  <Override PartName="/xl/queryTables/queryTable1341.xml" ContentType="application/vnd.openxmlformats-officedocument.spreadsheetml.queryTable+xml"/>
  <Override PartName="/xl/queryTables/queryTable1833.xml" ContentType="application/vnd.openxmlformats-officedocument.spreadsheetml.queryTable+xml"/>
  <Override PartName="/xl/queryTables/queryTable253.xml" ContentType="application/vnd.openxmlformats-officedocument.spreadsheetml.queryTable+xml"/>
  <Override PartName="/xl/queryTables/queryTable745.xml" ContentType="application/vnd.openxmlformats-officedocument.spreadsheetml.queryTable+xml"/>
  <Override PartName="/xl/queryTables/queryTable931.xml" ContentType="application/vnd.openxmlformats-officedocument.spreadsheetml.queryTable+xml"/>
  <Override PartName="/xl/queryTables/queryTable1256.xml" ContentType="application/vnd.openxmlformats-officedocument.spreadsheetml.queryTable+xml"/>
  <Override PartName="/xl/queryTables/queryTable1748.xml" ContentType="application/vnd.openxmlformats-officedocument.spreadsheetml.queryTable+xml"/>
  <Override PartName="/xl/queryTables/queryTable1934.xml" ContentType="application/vnd.openxmlformats-officedocument.spreadsheetml.queryTable+xml"/>
  <Override PartName="/xl/queryTables/queryTable846.xml" ContentType="application/vnd.openxmlformats-officedocument.spreadsheetml.queryTable+xml"/>
  <Override PartName="/xl/queryTables/queryTable1442.xml" ContentType="application/vnd.openxmlformats-officedocument.spreadsheetml.queryTable+xml"/>
  <Override PartName="/xl/queryTables/queryTable168.xml" ContentType="application/vnd.openxmlformats-officedocument.spreadsheetml.queryTable+xml"/>
  <Override PartName="/xl/queryTables/queryTable354.xml" ContentType="application/vnd.openxmlformats-officedocument.spreadsheetml.queryTable+xml"/>
  <Override PartName="/xl/queryTables/queryTable1849.xml" ContentType="application/vnd.openxmlformats-officedocument.spreadsheetml.queryTable+xml"/>
  <Override PartName="/xl/queryTables/queryTable540.xml" ContentType="application/vnd.openxmlformats-officedocument.spreadsheetml.queryTable+xml"/>
  <Override PartName="/xl/queryTables/queryTable1357.xml" ContentType="application/vnd.openxmlformats-officedocument.spreadsheetml.queryTable+xml"/>
  <Override PartName="/xl/queryTables/queryTable269.xml" ContentType="application/vnd.openxmlformats-officedocument.spreadsheetml.queryTable+xml"/>
  <Override PartName="/xl/queryTables/queryTable947.xml" ContentType="application/vnd.openxmlformats-officedocument.spreadsheetml.queryTable+xml"/>
  <Override PartName="/xl/queryTables/queryTable1051.xml" ContentType="application/vnd.openxmlformats-officedocument.spreadsheetml.queryTable+xml"/>
  <Override PartName="/xl/queryTables/queryTable1543.xml" ContentType="application/vnd.openxmlformats-officedocument.spreadsheetml.queryTable+xml"/>
  <Override PartName="/xl/queryTables/queryTable33.xml" ContentType="application/vnd.openxmlformats-officedocument.spreadsheetml.queryTable+xml"/>
  <Override PartName="/xl/queryTables/queryTable455.xml" ContentType="application/vnd.openxmlformats-officedocument.spreadsheetml.queryTable+xml"/>
  <Override PartName="/xl/queryTables/queryTable641.xml" ContentType="application/vnd.openxmlformats-officedocument.spreadsheetml.queryTable+xml"/>
  <Override PartName="/xl/queryTables/queryTable2023.xml" ContentType="application/vnd.openxmlformats-officedocument.spreadsheetml.queryTable+xml"/>
  <Override PartName="/xl/queryTables/queryTable1458.xml" ContentType="application/vnd.openxmlformats-officedocument.spreadsheetml.queryTable+xml"/>
  <Override PartName="/xl/queryTables/queryTable1644.xml" ContentType="application/vnd.openxmlformats-officedocument.spreadsheetml.queryTable+xml"/>
  <Override PartName="/xl/queryTables/queryTable1152.xml" ContentType="application/vnd.openxmlformats-officedocument.spreadsheetml.queryTable+xml"/>
  <Override PartName="/xl/queryTables/queryTable1830.xml" ContentType="application/vnd.openxmlformats-officedocument.spreadsheetml.queryTable+xml"/>
  <Override PartName="/xl/queryTables/queryTable556.xml" ContentType="application/vnd.openxmlformats-officedocument.spreadsheetml.queryTable+xml"/>
  <Override PartName="/xl/queryTables/queryTable742.xml" ContentType="application/vnd.openxmlformats-officedocument.spreadsheetml.queryTable+xml"/>
  <Override PartName="/xl/queryTables/queryTable250.xml" ContentType="application/vnd.openxmlformats-officedocument.spreadsheetml.queryTable+xml"/>
  <Override PartName="/xl/queryTables/queryTable1067.xml" ContentType="application/vnd.openxmlformats-officedocument.spreadsheetml.queryTable+xml"/>
  <Override PartName="/xl/queryTables/queryTable1559.xml" ContentType="application/vnd.openxmlformats-officedocument.spreadsheetml.queryTable+xml"/>
  <Override PartName="/xl/queryTables/queryTable1745.xml" ContentType="application/vnd.openxmlformats-officedocument.spreadsheetml.queryTable+xml"/>
  <Override PartName="/xl/queryTables/queryTable49.xml" ContentType="application/vnd.openxmlformats-officedocument.spreadsheetml.queryTable+xml"/>
  <Override PartName="/xl/queryTables/queryTable657.xml" ContentType="application/vnd.openxmlformats-officedocument.spreadsheetml.queryTable+xml"/>
  <Override PartName="/xl/queryTables/queryTable1253.xml" ContentType="application/vnd.openxmlformats-officedocument.spreadsheetml.queryTable+xml"/>
  <Override PartName="/xl/queryTables/queryTable1931.xml" ContentType="application/vnd.openxmlformats-officedocument.spreadsheetml.queryTable+xml"/>
  <Override PartName="/xl/queryTables/queryTable2039.xml" ContentType="application/vnd.openxmlformats-officedocument.spreadsheetml.queryTable+xml"/>
  <Override PartName="/xl/queryTables/queryTable165.xml" ContentType="application/vnd.openxmlformats-officedocument.spreadsheetml.queryTable+xml"/>
  <Override PartName="/xl/queryTables/queryTable843.xml" ContentType="application/vnd.openxmlformats-officedocument.spreadsheetml.queryTable+xml"/>
  <Override PartName="/xl/queryTables/queryTable351.xml" ContentType="application/vnd.openxmlformats-officedocument.spreadsheetml.queryTable+xml"/>
  <Override PartName="/xl/queryTables/queryTable1168.xml" ContentType="application/vnd.openxmlformats-officedocument.spreadsheetml.queryTable+xml"/>
  <Override PartName="/xl/queryTables/queryTable1846.xml" ContentType="application/vnd.openxmlformats-officedocument.spreadsheetml.queryTable+xml"/>
  <Override PartName="/xl/queryTables/queryTable758.xml" ContentType="application/vnd.openxmlformats-officedocument.spreadsheetml.queryTable+xml"/>
  <Override PartName="/xl/queryTables/queryTable944.xml" ContentType="application/vnd.openxmlformats-officedocument.spreadsheetml.queryTable+xml"/>
  <Override PartName="/xl/queryTables/queryTable1354.xml" ContentType="application/vnd.openxmlformats-officedocument.spreadsheetml.queryTable+xml"/>
  <Override PartName="/xl/queryTables/queryTable1540.xml" ContentType="application/vnd.openxmlformats-officedocument.spreadsheetml.queryTable+xml"/>
  <Override PartName="/xl/queryTables/queryTable266.xml" ContentType="application/vnd.openxmlformats-officedocument.spreadsheetml.queryTable+xml"/>
  <Override PartName="/xl/queryTables/queryTable452.xml" ContentType="application/vnd.openxmlformats-officedocument.spreadsheetml.queryTable+xml"/>
  <Override PartName="/xl/queryTables/queryTable1947.xml" ContentType="application/vnd.openxmlformats-officedocument.spreadsheetml.queryTable+xml"/>
  <Override PartName="/xl/queryTables/queryTable30.xml" ContentType="application/vnd.openxmlformats-officedocument.spreadsheetml.queryTable+xml"/>
  <Override PartName="/xl/queryTables/queryTable1269.xml" ContentType="application/vnd.openxmlformats-officedocument.spreadsheetml.queryTable+xml"/>
  <Override PartName="/xl/queryTables/queryTable1455.xml" ContentType="application/vnd.openxmlformats-officedocument.spreadsheetml.queryTable+xml"/>
  <Override PartName="/xl/queryTables/queryTable2020.xml" ContentType="application/vnd.openxmlformats-officedocument.spreadsheetml.queryTable+xml"/>
  <Override PartName="/xl/queryTables/queryTable367.xml" ContentType="application/vnd.openxmlformats-officedocument.spreadsheetml.queryTable+xml"/>
  <Override PartName="/xl/queryTables/queryTable859.xml" ContentType="application/vnd.openxmlformats-officedocument.spreadsheetml.queryTable+xml"/>
  <Override PartName="/xl/queryTables/queryTable1641.xml" ContentType="application/vnd.openxmlformats-officedocument.spreadsheetml.queryTable+xml"/>
  <Override PartName="/xl/pivotCache/pivotCacheRecords1.xml" ContentType="application/vnd.openxmlformats-officedocument.spreadsheetml.pivotCacheRecords+xml"/>
  <Override PartName="/xl/queryTables/queryTable553.xml" ContentType="application/vnd.openxmlformats-officedocument.spreadsheetml.queryTable+xml"/>
  <Override PartName="/xl/queryTables/queryTable1556.xml" ContentType="application/vnd.openxmlformats-officedocument.spreadsheetml.queryTable+xml"/>
  <Override PartName="/xl/worksheets/sheet9.xml" ContentType="application/vnd.openxmlformats-officedocument.spreadsheetml.worksheet+xml"/>
  <Override PartName="/xl/queryTables/queryTable46.xml" ContentType="application/vnd.openxmlformats-officedocument.spreadsheetml.queryTable+xml"/>
  <Override PartName="/xl/queryTables/queryTable468.xml" ContentType="application/vnd.openxmlformats-officedocument.spreadsheetml.queryTable+xml"/>
  <Override PartName="/xl/queryTables/queryTable1064.xml" ContentType="application/vnd.openxmlformats-officedocument.spreadsheetml.queryTable+xml"/>
  <Override PartName="/xl/queryTables/queryTable1250.xml" ContentType="application/vnd.openxmlformats-officedocument.spreadsheetml.queryTable+xml"/>
  <Override PartName="/xl/queryTables/queryTable1742.xml" ContentType="application/vnd.openxmlformats-officedocument.spreadsheetml.queryTable+xml"/>
  <Override PartName="/xl/queryTables/queryTable2036.xml" ContentType="application/vnd.openxmlformats-officedocument.spreadsheetml.queryTable+xml"/>
  <Override PartName="/xl/queryTables/queryTable162.xml" ContentType="application/vnd.openxmlformats-officedocument.spreadsheetml.queryTable+xml"/>
  <Override PartName="/xl/queryTables/queryTable654.xml" ContentType="application/vnd.openxmlformats-officedocument.spreadsheetml.queryTable+xml"/>
  <Override PartName="/xl/queryTables/queryTable840.xml" ContentType="application/vnd.openxmlformats-officedocument.spreadsheetml.queryTable+xml"/>
  <Override PartName="/xl/queryTables/queryTable1165.xml" ContentType="application/vnd.openxmlformats-officedocument.spreadsheetml.queryTable+xml"/>
  <Override PartName="/xl/queryTables/queryTable1657.xml" ContentType="application/vnd.openxmlformats-officedocument.spreadsheetml.queryTable+xml"/>
  <Override PartName="/xl/queryTables/queryTable1843.xml" ContentType="application/vnd.openxmlformats-officedocument.spreadsheetml.queryTable+xml"/>
  <Override PartName="/xl/queryTables/queryTable569.xml" ContentType="application/vnd.openxmlformats-officedocument.spreadsheetml.queryTable+xml"/>
  <Override PartName="/xl/queryTables/queryTable755.xml" ContentType="application/vnd.openxmlformats-officedocument.spreadsheetml.queryTable+xml"/>
  <Override PartName="/xl/queryTables/queryTable1351.xml" ContentType="application/vnd.openxmlformats-officedocument.spreadsheetml.queryTable+xml"/>
  <Override PartName="/xl/queryTables/queryTable263.xml" ContentType="application/vnd.openxmlformats-officedocument.spreadsheetml.queryTable+xml"/>
  <Override PartName="/xl/queryTables/queryTable941.xml" ContentType="application/vnd.openxmlformats-officedocument.spreadsheetml.queryTable+xml"/>
  <Override PartName="/xl/queryTables/queryTable1758.xml" ContentType="application/vnd.openxmlformats-officedocument.spreadsheetml.queryTable+xml"/>
  <Override PartName="/xl/queryTables/queryTable1266.xml" ContentType="application/vnd.openxmlformats-officedocument.spreadsheetml.queryTable+xml"/>
  <Override PartName="/xl/queryTables/queryTable1944.xml" ContentType="application/vnd.openxmlformats-officedocument.spreadsheetml.queryTable+xml"/>
  <Override PartName="/xl/queryTables/queryTable178.xml" ContentType="application/vnd.openxmlformats-officedocument.spreadsheetml.queryTable+xml"/>
  <Override PartName="/xl/queryTables/queryTable856.xml" ContentType="application/vnd.openxmlformats-officedocument.spreadsheetml.queryTable+xml"/>
  <Override PartName="/xl/queryTables/queryTable1452.xml" ContentType="application/vnd.openxmlformats-officedocument.spreadsheetml.queryTable+xml"/>
  <Override PartName="/xl/queryTables/queryTable364.xml" ContentType="application/vnd.openxmlformats-officedocument.spreadsheetml.queryTable+xml"/>
  <Override PartName="/xl/queryTables/queryTable550.xml" ContentType="application/vnd.openxmlformats-officedocument.spreadsheetml.queryTable+xml"/>
  <Override PartName="/xl/queryTables/queryTable1859.xml" ContentType="application/vnd.openxmlformats-officedocument.spreadsheetml.queryTable+xml"/>
  <Override PartName="/xl/queryTables/queryTable109.xml" ContentType="application/vnd.openxmlformats-officedocument.spreadsheetml.queryTable+xml"/>
  <Override PartName="/xl/queryTables/queryTable1367.xml" ContentType="application/vnd.openxmlformats-officedocument.spreadsheetml.queryTable+xml"/>
  <Override PartName="/xl/queryTables/queryTable1553.xml" ContentType="application/vnd.openxmlformats-officedocument.spreadsheetml.queryTable+xml"/>
  <Override PartName="/xl/worksheets/sheet6.xml" ContentType="application/vnd.openxmlformats-officedocument.spreadsheetml.worksheet+xml"/>
  <Override PartName="/xl/queryTables/queryTable279.xml" ContentType="application/vnd.openxmlformats-officedocument.spreadsheetml.queryTable+xml"/>
  <Override PartName="/xl/queryTables/queryTable957.xml" ContentType="application/vnd.openxmlformats-officedocument.spreadsheetml.queryTable+xml"/>
  <Override PartName="/xl/queryTables/queryTable1061.xml" ContentType="application/vnd.openxmlformats-officedocument.spreadsheetml.queryTable+xml"/>
  <Override PartName="/xl/queryTables/queryTable43.xml" ContentType="application/vnd.openxmlformats-officedocument.spreadsheetml.queryTable+xml"/>
  <Override PartName="/xl/queryTables/queryTable465.xml" ContentType="application/vnd.openxmlformats-officedocument.spreadsheetml.queryTable+xml"/>
  <Override PartName="/xl/queryTables/queryTable651.xml" ContentType="application/vnd.openxmlformats-officedocument.spreadsheetml.queryTable+xml"/>
  <Override PartName="/xl/queryTables/queryTable2033.xml" ContentType="application/vnd.openxmlformats-officedocument.spreadsheetml.queryTable+xml"/>
  <Override PartName="/xl/queryTables/queryTable1468.xml" ContentType="application/vnd.openxmlformats-officedocument.spreadsheetml.queryTable+xml"/>
  <Override PartName="/xl/queryTables/queryTable1654.xml" ContentType="application/vnd.openxmlformats-officedocument.spreadsheetml.queryTable+xml"/>
  <Override PartName="/xl/queryTables/queryTable566.xml" ContentType="application/vnd.openxmlformats-officedocument.spreadsheetml.queryTable+xml"/>
  <Override PartName="/xl/queryTables/queryTable1162.xml" ContentType="application/vnd.openxmlformats-officedocument.spreadsheetml.queryTable+xml"/>
  <Override PartName="/xl/queryTables/queryTable1840.xml" ContentType="application/vnd.openxmlformats-officedocument.spreadsheetml.queryTable+xml"/>
  <Override PartName="/xl/queryTables/queryTable752.xml" ContentType="application/vnd.openxmlformats-officedocument.spreadsheetml.queryTable+xml"/>
  <Override PartName="/xl/queryTables/queryTable1569.xml" ContentType="application/vnd.openxmlformats-officedocument.spreadsheetml.queryTable+xml"/>
  <Override PartName="/xl/queryTables/queryTable260.xml" ContentType="application/vnd.openxmlformats-officedocument.spreadsheetml.queryTable+xml"/>
  <Override PartName="/xl/queryTables/queryTable1077.xml" ContentType="application/vnd.openxmlformats-officedocument.spreadsheetml.queryTable+xml"/>
  <Override PartName="/xl/queryTables/queryTable1755.xml" ContentType="application/vnd.openxmlformats-officedocument.spreadsheetml.queryTable+xml"/>
  <Override PartName="/xl/queryTables/queryTable1941.xml" ContentType="application/vnd.openxmlformats-officedocument.spreadsheetml.queryTable+xml"/>
  <Override PartName="/xl/queryTables/queryTable59.xml" ContentType="application/vnd.openxmlformats-officedocument.spreadsheetml.queryTable+xml"/>
  <Override PartName="/xl/queryTables/queryTable667.xml" ContentType="application/vnd.openxmlformats-officedocument.spreadsheetml.queryTable+xml"/>
  <Override PartName="/xl/queryTables/queryTable1263.xml" ContentType="application/vnd.openxmlformats-officedocument.spreadsheetml.queryTable+xml"/>
  <Override PartName="/xl/queryTables/queryTable2049.xml" ContentType="application/vnd.openxmlformats-officedocument.spreadsheetml.queryTable+xml"/>
  <Override PartName="/xl/queryTables/queryTable175.xml" ContentType="application/vnd.openxmlformats-officedocument.spreadsheetml.queryTable+xml"/>
  <Override PartName="/xl/queryTables/queryTable361.xml" ContentType="application/vnd.openxmlformats-officedocument.spreadsheetml.queryTable+xml"/>
  <Override PartName="/xl/queryTables/queryTable853.xml" ContentType="application/vnd.openxmlformats-officedocument.spreadsheetml.queryTable+xml"/>
  <Override PartName="/xl/queryTables/queryTable1008.xml" ContentType="application/vnd.openxmlformats-officedocument.spreadsheetml.queryTable+xml"/>
  <Override PartName="/xl/queryTables/queryTable106.xml" ContentType="application/vnd.openxmlformats-officedocument.spreadsheetml.queryTable+xml"/>
  <Override PartName="/xl/queryTables/queryTable1178.xml" ContentType="application/vnd.openxmlformats-officedocument.spreadsheetml.queryTable+xml"/>
  <Override PartName="/xl/queryTables/queryTable1364.xml" ContentType="application/vnd.openxmlformats-officedocument.spreadsheetml.queryTable+xml"/>
  <Override PartName="/xl/queryTables/queryTable1856.xml" ContentType="application/vnd.openxmlformats-officedocument.spreadsheetml.queryTable+xml"/>
  <Override PartName="/xl/queryTables/queryTable276.xml" ContentType="application/vnd.openxmlformats-officedocument.spreadsheetml.queryTable+xml"/>
  <Override PartName="/xl/queryTables/queryTable768.xml" ContentType="application/vnd.openxmlformats-officedocument.spreadsheetml.queryTable+xml"/>
  <Override PartName="/xl/queryTables/queryTable954.xml" ContentType="application/vnd.openxmlformats-officedocument.spreadsheetml.queryTable+xml"/>
  <Override PartName="/xl/queryTables/queryTable1109.xml" ContentType="application/vnd.openxmlformats-officedocument.spreadsheetml.queryTable+xml"/>
  <Override PartName="/xl/queryTables/queryTable1550.xml" ContentType="application/vnd.openxmlformats-officedocument.spreadsheetml.queryTable+xml"/>
  <Override PartName="/xl/worksheets/sheet3.xml" ContentType="application/vnd.openxmlformats-officedocument.spreadsheetml.worksheet+xml"/>
  <Override PartName="/xl/queryTables/queryTable40.xml" ContentType="application/vnd.openxmlformats-officedocument.spreadsheetml.queryTable+xml"/>
  <Override PartName="/xl/queryTables/queryTable462.xml" ContentType="application/vnd.openxmlformats-officedocument.spreadsheetml.queryTable+xml"/>
  <Override PartName="/xl/queryTables/queryTable1279.xml" ContentType="application/vnd.openxmlformats-officedocument.spreadsheetml.queryTable+xml"/>
  <Override PartName="/xl/queryTables/queryTable1957.xml" ContentType="application/vnd.openxmlformats-officedocument.spreadsheetml.queryTable+xml"/>
  <Override PartName="/xl/queryTables/queryTable2030.xml" ContentType="application/vnd.openxmlformats-officedocument.spreadsheetml.queryTable+xml"/>
  <Override PartName="/xl/queryTables/queryTable8.xml" ContentType="application/vnd.openxmlformats-officedocument.spreadsheetml.queryTable+xml"/>
  <Override PartName="/xl/queryTables/queryTable207.xml" ContentType="application/vnd.openxmlformats-officedocument.spreadsheetml.queryTable+xml"/>
  <Override PartName="/xl/queryTables/queryTable869.xml" ContentType="application/vnd.openxmlformats-officedocument.spreadsheetml.queryTable+xml"/>
  <Override PartName="/xl/queryTables/queryTable1465.xml" ContentType="application/vnd.openxmlformats-officedocument.spreadsheetml.queryTable+xml"/>
  <Override PartName="/xl/queryTables/queryTable377.xml" ContentType="application/vnd.openxmlformats-officedocument.spreadsheetml.queryTable+xml"/>
  <Override PartName="/xl/queryTables/queryTable1651.xml" ContentType="application/vnd.openxmlformats-officedocument.spreadsheetml.queryTable+xml"/>
  <Override PartName="/xl/queryTables/queryTable563.xml" ContentType="application/vnd.openxmlformats-officedocument.spreadsheetml.queryTable+xml"/>
  <Override PartName="/xl/queryTables/queryTable308.xml" ContentType="application/vnd.openxmlformats-officedocument.spreadsheetml.queryTable+xml"/>
  <Override PartName="/xl/queryTables/queryTable1074.xml" ContentType="application/vnd.openxmlformats-officedocument.spreadsheetml.queryTable+xml"/>
  <Override PartName="/xl/queryTables/queryTable1566.xml" ContentType="application/vnd.openxmlformats-officedocument.spreadsheetml.queryTable+xml"/>
  <Override PartName="/xl/queryTables/queryTable1752.xml" ContentType="application/vnd.openxmlformats-officedocument.spreadsheetml.queryTable+xml"/>
  <Override PartName="/xl/queryTables/queryTable56.xml" ContentType="application/vnd.openxmlformats-officedocument.spreadsheetml.queryTable+xml"/>
  <Override PartName="/xl/queryTables/queryTable478.xml" ContentType="application/vnd.openxmlformats-officedocument.spreadsheetml.queryTable+xml"/>
  <Override PartName="/xl/queryTables/queryTable664.xml" ContentType="application/vnd.openxmlformats-officedocument.spreadsheetml.queryTable+xml"/>
  <Override PartName="/xl/queryTables/queryTable1260.xml" ContentType="application/vnd.openxmlformats-officedocument.spreadsheetml.queryTable+xml"/>
  <Override PartName="/xl/queryTables/queryTable2046.xml" ContentType="application/vnd.openxmlformats-officedocument.spreadsheetml.queryTable+xml"/>
  <Override PartName="/xl/queryTables/queryTable172.xml" ContentType="application/vnd.openxmlformats-officedocument.spreadsheetml.queryTable+xml"/>
  <Override PartName="/xl/queryTables/queryTable409.xml" ContentType="application/vnd.openxmlformats-officedocument.spreadsheetml.queryTable+xml"/>
  <Override PartName="/xl/queryTables/queryTable850.xml" ContentType="application/vnd.openxmlformats-officedocument.spreadsheetml.queryTable+xml"/>
  <Override PartName="/xl/queryTables/queryTable1005.xml" ContentType="application/vnd.openxmlformats-officedocument.spreadsheetml.queryTable+xml"/>
  <Override PartName="/xl/queryTables/queryTable1667.xml" ContentType="application/vnd.openxmlformats-officedocument.spreadsheetml.queryTable+xml"/>
  <Override PartName="/xl/queryTables/queryTable1175.xml" ContentType="application/vnd.openxmlformats-officedocument.spreadsheetml.queryTable+xml"/>
  <Override PartName="/xl/queryTables/queryTable1853.xml" ContentType="application/vnd.openxmlformats-officedocument.spreadsheetml.queryTable+xml"/>
  <Override PartName="/xl/queryTables/queryTable103.xml" ContentType="application/vnd.openxmlformats-officedocument.spreadsheetml.queryTable+xml"/>
  <Override PartName="/xl/queryTables/queryTable579.xml" ContentType="application/vnd.openxmlformats-officedocument.spreadsheetml.queryTable+xml"/>
  <Override PartName="/xl/queryTables/queryTable765.xml" ContentType="application/vnd.openxmlformats-officedocument.spreadsheetml.queryTable+xml"/>
  <Override PartName="/xl/queryTables/queryTable1361.xml" ContentType="application/vnd.openxmlformats-officedocument.spreadsheetml.queryTable+xml"/>
  <Override PartName="/xl/queryTables/queryTable273.xml" ContentType="application/vnd.openxmlformats-officedocument.spreadsheetml.queryTable+xml"/>
  <Override PartName="/xl/queryTables/queryTable951.xml" ContentType="application/vnd.openxmlformats-officedocument.spreadsheetml.queryTable+xml"/>
  <Override PartName="/xl/queryTables/queryTable1106.xml" ContentType="application/vnd.openxmlformats-officedocument.spreadsheetml.queryTable+xml"/>
  <Override PartName="/xl/queryTables/queryTable1768.xml" ContentType="application/vnd.openxmlformats-officedocument.spreadsheetml.queryTable+xml"/>
  <Override PartName="/xl/queryTables/queryTable5.xml" ContentType="application/vnd.openxmlformats-officedocument.spreadsheetml.queryTable+xml"/>
  <Override PartName="/xl/queryTables/queryTable204.xml" ContentType="application/vnd.openxmlformats-officedocument.spreadsheetml.queryTable+xml"/>
  <Override PartName="/xl/queryTables/queryTable1276.xml" ContentType="application/vnd.openxmlformats-officedocument.spreadsheetml.queryTable+xml"/>
  <Override PartName="/xl/queryTables/queryTable1462.xml" ContentType="application/vnd.openxmlformats-officedocument.spreadsheetml.queryTable+xml"/>
  <Override PartName="/xl/queryTables/queryTable1954.xml" ContentType="application/vnd.openxmlformats-officedocument.spreadsheetml.queryTable+xml"/>
  <Override PartName="/xl/queryTables/queryTable188.xml" ContentType="application/vnd.openxmlformats-officedocument.spreadsheetml.queryTable+xml"/>
  <Override PartName="/xl/queryTables/queryTable866.xml" ContentType="application/vnd.openxmlformats-officedocument.spreadsheetml.queryTable+xml"/>
  <Override PartName="/xl/queryTables/queryTable1207.xml" ContentType="application/vnd.openxmlformats-officedocument.spreadsheetml.queryTable+xml"/>
  <Override PartName="/xl/queryTables/queryTable374.xml" ContentType="application/vnd.openxmlformats-officedocument.spreadsheetml.queryTable+xml"/>
  <Override PartName="/xl/queryTables/queryTable560.xml" ContentType="application/vnd.openxmlformats-officedocument.spreadsheetml.queryTable+xml"/>
  <Override PartName="/xl/queryTables/queryTable1869.xml" ContentType="application/vnd.openxmlformats-officedocument.spreadsheetml.queryTable+xml"/>
  <Override PartName="/xl/queryTables/queryTable119.xml" ContentType="application/vnd.openxmlformats-officedocument.spreadsheetml.queryTable+xml"/>
  <Override PartName="/xl/queryTables/queryTable305.xml" ContentType="application/vnd.openxmlformats-officedocument.spreadsheetml.queryTable+xml"/>
  <Override PartName="/xl/queryTables/queryTable967.xml" ContentType="application/vnd.openxmlformats-officedocument.spreadsheetml.queryTable+xml"/>
  <Override PartName="/xl/queryTables/queryTable1377.xml" ContentType="application/vnd.openxmlformats-officedocument.spreadsheetml.queryTable+xml"/>
  <Override PartName="/xl/queryTables/queryTable1563.xml" ContentType="application/vnd.openxmlformats-officedocument.spreadsheetml.queryTable+xml"/>
  <Override PartName="/xl/queryTables/queryTable289.xml" ContentType="application/vnd.openxmlformats-officedocument.spreadsheetml.queryTable+xml"/>
  <Override PartName="/xl/queryTables/queryTable475.xml" ContentType="application/vnd.openxmlformats-officedocument.spreadsheetml.queryTable+xml"/>
  <Override PartName="/xl/queryTables/queryTable1071.xml" ContentType="application/vnd.openxmlformats-officedocument.spreadsheetml.queryTable+xml"/>
  <Override PartName="/xl/queryTables/queryTable1308.xml" ContentType="application/vnd.openxmlformats-officedocument.spreadsheetml.queryTable+xml"/>
  <Override PartName="/xl/queryTables/queryTable53.xml" ContentType="application/vnd.openxmlformats-officedocument.spreadsheetml.queryTable+xml"/>
  <Override PartName="/xl/queryTables/queryTable661.xml" ContentType="application/vnd.openxmlformats-officedocument.spreadsheetml.queryTable+xml"/>
  <Override PartName="/xl/queryTables/queryTable1002.xml" ContentType="application/vnd.openxmlformats-officedocument.spreadsheetml.queryTable+xml"/>
  <Override PartName="/xl/queryTables/queryTable1478.xml" ContentType="application/vnd.openxmlformats-officedocument.spreadsheetml.queryTable+xml"/>
  <Override PartName="/xl/queryTables/queryTable2043.xml" ContentType="application/vnd.openxmlformats-officedocument.spreadsheetml.queryTable+xml"/>
  <Override PartName="/xl/queryTables/queryTable406.xml" ContentType="application/vnd.openxmlformats-officedocument.spreadsheetml.queryTable+xml"/>
  <Override PartName="/xl/queryTables/queryTable1664.xml" ContentType="application/vnd.openxmlformats-officedocument.spreadsheetml.queryTable+xml"/>
  <Override PartName="/xl/queryTables/queryTable1850.xml" ContentType="application/vnd.openxmlformats-officedocument.spreadsheetml.queryTable+xml"/>
  <Override PartName="/xl/queryTables/queryTable100.xml" ContentType="application/vnd.openxmlformats-officedocument.spreadsheetml.queryTable+xml"/>
  <Override PartName="/xl/queryTables/queryTable576.xml" ContentType="application/vnd.openxmlformats-officedocument.spreadsheetml.queryTable+xml"/>
  <Override PartName="/xl/queryTables/queryTable1172.xml" ContentType="application/vnd.openxmlformats-officedocument.spreadsheetml.queryTable+xml"/>
  <Override PartName="/xl/queryTables/queryTable1409.xml" ContentType="application/vnd.openxmlformats-officedocument.spreadsheetml.queryTable+xml"/>
  <Override PartName="/xl/queryTables/queryTable270.xml" ContentType="application/vnd.openxmlformats-officedocument.spreadsheetml.queryTable+xml"/>
  <Override PartName="/xl/queryTables/queryTable507.xml" ContentType="application/vnd.openxmlformats-officedocument.spreadsheetml.queryTable+xml"/>
  <Override PartName="/xl/queryTables/queryTable762.xml" ContentType="application/vnd.openxmlformats-officedocument.spreadsheetml.queryTable+xml"/>
  <Override PartName="/xl/queryTables/queryTable1103.xml" ContentType="application/vnd.openxmlformats-officedocument.spreadsheetml.queryTable+xml"/>
  <Override PartName="/xl/queryTables/queryTable1579.xml" ContentType="application/vnd.openxmlformats-officedocument.spreadsheetml.queryTable+xml"/>
  <Override PartName="/xl/tables/table7.xml" ContentType="application/vnd.openxmlformats-officedocument.spreadsheetml.table+xml"/>
  <Override PartName="/xl/queryTables/queryTable69.xml" ContentType="application/vnd.openxmlformats-officedocument.spreadsheetml.queryTable+xml"/>
  <Override PartName="/xl/queryTables/queryTable1087.xml" ContentType="application/vnd.openxmlformats-officedocument.spreadsheetml.queryTable+xml"/>
  <Override PartName="/xl/queryTables/queryTable1273.xml" ContentType="application/vnd.openxmlformats-officedocument.spreadsheetml.queryTable+xml"/>
  <Override PartName="/xl/queryTables/queryTable1765.xml" ContentType="application/vnd.openxmlformats-officedocument.spreadsheetml.queryTable+xml"/>
  <Override PartName="/xl/queryTables/queryTable1951.xml" ContentType="application/vnd.openxmlformats-officedocument.spreadsheetml.queryTable+xml"/>
  <Override PartName="/xl/queryTables/queryTable2059.xml" ContentType="application/vnd.openxmlformats-officedocument.spreadsheetml.queryTable+xml"/>
  <Override PartName="/xl/queryTables/queryTable2.xml" ContentType="application/vnd.openxmlformats-officedocument.spreadsheetml.queryTable+xml"/>
  <Override PartName="/xl/queryTables/queryTable185.xml" ContentType="application/vnd.openxmlformats-officedocument.spreadsheetml.queryTable+xml"/>
  <Override PartName="/xl/queryTables/queryTable201.xml" ContentType="application/vnd.openxmlformats-officedocument.spreadsheetml.queryTable+xml"/>
  <Override PartName="/xl/queryTables/queryTable677.xml" ContentType="application/vnd.openxmlformats-officedocument.spreadsheetml.queryTable+xml"/>
  <Override PartName="/xl/queryTables/queryTable863.xml" ContentType="application/vnd.openxmlformats-officedocument.spreadsheetml.queryTable+xml"/>
  <Override PartName="/xl/queryTables/queryTable1018.xml" ContentType="application/vnd.openxmlformats-officedocument.spreadsheetml.queryTable+xml"/>
  <Override PartName="/xl/queryTables/queryTable371.xml" ContentType="application/vnd.openxmlformats-officedocument.spreadsheetml.queryTable+xml"/>
  <Override PartName="/xl/queryTables/queryTable608.xml" ContentType="application/vnd.openxmlformats-officedocument.spreadsheetml.queryTable+xml"/>
  <Override PartName="/xl/queryTables/queryTable1188.xml" ContentType="application/vnd.openxmlformats-officedocument.spreadsheetml.queryTable+xml"/>
  <Override PartName="/xl/queryTables/queryTable1204.xml" ContentType="application/vnd.openxmlformats-officedocument.spreadsheetml.queryTable+xml"/>
  <Override PartName="/xl/queryTables/queryTable1866.xml" ContentType="application/vnd.openxmlformats-officedocument.spreadsheetml.queryTable+xml"/>
  <Override PartName="/xl/queryTables/queryTable116.xml" ContentType="application/vnd.openxmlformats-officedocument.spreadsheetml.queryTable+xml"/>
  <Override PartName="/xl/queryTables/queryTable778.xml" ContentType="application/vnd.openxmlformats-officedocument.spreadsheetml.queryTable+xml"/>
  <Override PartName="/xl/queryTables/queryTable1374.xml" ContentType="application/vnd.openxmlformats-officedocument.spreadsheetml.queryTable+xml"/>
  <Override PartName="/xl/queryTables/queryTable286.xml" ContentType="application/vnd.openxmlformats-officedocument.spreadsheetml.queryTable+xml"/>
  <Override PartName="/xl/queryTables/queryTable302.xml" ContentType="application/vnd.openxmlformats-officedocument.spreadsheetml.queryTable+xml"/>
  <Override PartName="/xl/queryTables/queryTable964.xml" ContentType="application/vnd.openxmlformats-officedocument.spreadsheetml.queryTable+xml"/>
  <Override PartName="/xl/queryTables/queryTable1119.xml" ContentType="application/vnd.openxmlformats-officedocument.spreadsheetml.queryTable+xml"/>
  <Override PartName="/xl/queryTables/queryTable1560.xml" ContentType="application/vnd.openxmlformats-officedocument.spreadsheetml.queryTable+xml"/>
  <Override PartName="/xl/queryTables/queryTable50.xml" ContentType="application/vnd.openxmlformats-officedocument.spreadsheetml.queryTable+xml"/>
  <Override PartName="/xl/queryTables/queryTable472.xml" ContentType="application/vnd.openxmlformats-officedocument.spreadsheetml.queryTable+xml"/>
  <Override PartName="/xl/queryTables/queryTable709.xml" ContentType="application/vnd.openxmlformats-officedocument.spreadsheetml.queryTable+xml"/>
  <Override PartName="/xl/queryTables/queryTable1289.xml" ContentType="application/vnd.openxmlformats-officedocument.spreadsheetml.queryTable+xml"/>
  <Override PartName="/xl/queryTables/queryTable1305.xml" ContentType="application/vnd.openxmlformats-officedocument.spreadsheetml.queryTable+xml"/>
  <Override PartName="/xl/queryTables/queryTable1967.xml" ContentType="application/vnd.openxmlformats-officedocument.spreadsheetml.queryTable+xml"/>
  <Override PartName="/xl/queryTables/queryTable2040.xml" ContentType="application/vnd.openxmlformats-officedocument.spreadsheetml.queryTable+xml"/>
  <Override PartName="/xl/queryTables/queryTable217.xml" ContentType="application/vnd.openxmlformats-officedocument.spreadsheetml.queryTable+xml"/>
  <Override PartName="/xl/queryTables/queryTable403.xml" ContentType="application/vnd.openxmlformats-officedocument.spreadsheetml.queryTable+xml"/>
  <Override PartName="/xl/queryTables/queryTable879.xml" ContentType="application/vnd.openxmlformats-officedocument.spreadsheetml.queryTable+xml"/>
  <Override PartName="/xl/queryTables/queryTable1475.xml" ContentType="application/vnd.openxmlformats-officedocument.spreadsheetml.queryTable+xml"/>
  <Override PartName="/xl/queryTables/queryTable1661.xml" ContentType="application/vnd.openxmlformats-officedocument.spreadsheetml.queryTable+xml"/>
  <Override PartName="/xl/queryTables/queryTable387.xml" ContentType="application/vnd.openxmlformats-officedocument.spreadsheetml.queryTable+xml"/>
  <Override PartName="/xl/queryTables/queryTable573.xml" ContentType="application/vnd.openxmlformats-officedocument.spreadsheetml.queryTable+xml"/>
  <Override PartName="/xl/queryTables/queryTable1406.xml" ContentType="application/vnd.openxmlformats-officedocument.spreadsheetml.queryTable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5" codeName="{37E998C4-C9E5-D4B9-71C8-EB1FF731991C}"/>
  <workbookPr codeName="EstaPasta_de_trabalho" defaultThemeVersion="124226"/>
  <bookViews>
    <workbookView xWindow="240" yWindow="195" windowWidth="14190" windowHeight="6750" tabRatio="745"/>
  </bookViews>
  <sheets>
    <sheet name="Patrimonio" sheetId="1" r:id="rId1"/>
    <sheet name="Cotacao" sheetId="9" r:id="rId2"/>
    <sheet name="Cotacao 2" sheetId="14" r:id="rId3"/>
    <sheet name="Cotacao 3" sheetId="17" r:id="rId4"/>
    <sheet name="Cotacao 4" sheetId="18" r:id="rId5"/>
    <sheet name="Cotacao 5" sheetId="21" r:id="rId6"/>
    <sheet name="Historia" sheetId="15" r:id="rId7"/>
    <sheet name="Tabela Hist" sheetId="16" r:id="rId8"/>
    <sheet name="Sheet1" sheetId="19" r:id="rId9"/>
    <sheet name="Sheet2" sheetId="20" r:id="rId10"/>
  </sheets>
  <externalReferences>
    <externalReference r:id="rId11"/>
  </externalReferences>
  <definedNames>
    <definedName name="DadosExternos_1" localSheetId="1">Cotacao!$C$7:$C$63</definedName>
    <definedName name="DadosExternos_1" localSheetId="2">'Cotacao 2'!$C$7:$C$63</definedName>
    <definedName name="DadosExternos_1" localSheetId="3">'Cotacao 3'!$C$7:$C$63</definedName>
    <definedName name="DadosExternos_1" localSheetId="4">'Cotacao 4'!$C$7:$C$63</definedName>
    <definedName name="DadosExternos_1" localSheetId="5">'Cotacao 5'!$C$7:$C$63</definedName>
    <definedName name="DadosExternos_10" localSheetId="1">Cotacao!$C$7:$C$63</definedName>
    <definedName name="DadosExternos_10" localSheetId="2">'Cotacao 2'!$C$7:$C$63</definedName>
    <definedName name="DadosExternos_10" localSheetId="3">'Cotacao 3'!$C$7:$C$63</definedName>
    <definedName name="DadosExternos_10" localSheetId="4">'Cotacao 4'!$C$7:$C$63</definedName>
    <definedName name="DadosExternos_10" localSheetId="5">'Cotacao 5'!$C$7:$C$63</definedName>
    <definedName name="DadosExternos_103" localSheetId="1">Cotacao!$C$7:$C$114</definedName>
    <definedName name="DadosExternos_103" localSheetId="2">'Cotacao 2'!$C$7:$C$114</definedName>
    <definedName name="DadosExternos_103" localSheetId="3">'Cotacao 3'!$C$7:$C$114</definedName>
    <definedName name="DadosExternos_103" localSheetId="4">'Cotacao 4'!$C$7:$C$114</definedName>
    <definedName name="DadosExternos_103" localSheetId="5">'Cotacao 5'!$C$7:$C$114</definedName>
    <definedName name="DadosExternos_104" localSheetId="1">Cotacao!$C$7:$C$114</definedName>
    <definedName name="DadosExternos_104" localSheetId="2">'Cotacao 2'!$C$7:$C$114</definedName>
    <definedName name="DadosExternos_104" localSheetId="3">'Cotacao 3'!$C$7:$C$114</definedName>
    <definedName name="DadosExternos_104" localSheetId="4">'Cotacao 4'!$C$7:$C$114</definedName>
    <definedName name="DadosExternos_104" localSheetId="5">'Cotacao 5'!$C$7:$C$114</definedName>
    <definedName name="DadosExternos_106" localSheetId="1">Cotacao!$C$7:$C$114</definedName>
    <definedName name="DadosExternos_106" localSheetId="2">'Cotacao 2'!$C$7:$C$114</definedName>
    <definedName name="DadosExternos_106" localSheetId="3">'Cotacao 3'!$C$7:$C$114</definedName>
    <definedName name="DadosExternos_106" localSheetId="4">'Cotacao 4'!$C$7:$C$114</definedName>
    <definedName name="DadosExternos_106" localSheetId="5">'Cotacao 5'!$C$7:$C$114</definedName>
    <definedName name="DadosExternos_107" localSheetId="1">Cotacao!$C$7:$C$114</definedName>
    <definedName name="DadosExternos_107" localSheetId="2">'Cotacao 2'!$C$7:$C$114</definedName>
    <definedName name="DadosExternos_107" localSheetId="3">'Cotacao 3'!$C$7:$C$114</definedName>
    <definedName name="DadosExternos_107" localSheetId="4">'Cotacao 4'!$C$7:$C$114</definedName>
    <definedName name="DadosExternos_107" localSheetId="5">'Cotacao 5'!$C$7:$C$114</definedName>
    <definedName name="DadosExternos_108" localSheetId="1">Cotacao!$C$7:$C$114</definedName>
    <definedName name="DadosExternos_108" localSheetId="2">'Cotacao 2'!$C$7:$C$114</definedName>
    <definedName name="DadosExternos_108" localSheetId="3">'Cotacao 3'!$C$7:$C$114</definedName>
    <definedName name="DadosExternos_108" localSheetId="4">'Cotacao 4'!$C$7:$C$114</definedName>
    <definedName name="DadosExternos_108" localSheetId="5">'Cotacao 5'!$C$7:$C$114</definedName>
    <definedName name="DadosExternos_109" localSheetId="1">Cotacao!$C$7:$C$114</definedName>
    <definedName name="DadosExternos_109" localSheetId="2">'Cotacao 2'!$C$7:$C$114</definedName>
    <definedName name="DadosExternos_109" localSheetId="3">'Cotacao 3'!$C$7:$C$114</definedName>
    <definedName name="DadosExternos_109" localSheetId="4">'Cotacao 4'!$C$7:$C$114</definedName>
    <definedName name="DadosExternos_109" localSheetId="5">'Cotacao 5'!$C$7:$C$114</definedName>
    <definedName name="DadosExternos_11" localSheetId="1">Cotacao!$C$7:$C$63</definedName>
    <definedName name="DadosExternos_11" localSheetId="2">'Cotacao 2'!$C$7:$C$63</definedName>
    <definedName name="DadosExternos_11" localSheetId="3">'Cotacao 3'!$C$7:$C$63</definedName>
    <definedName name="DadosExternos_11" localSheetId="4">'Cotacao 4'!$C$7:$C$63</definedName>
    <definedName name="DadosExternos_11" localSheetId="5">'Cotacao 5'!$C$7:$C$63</definedName>
    <definedName name="DadosExternos_110" localSheetId="1">Cotacao!$C$7:$C$56</definedName>
    <definedName name="DadosExternos_110" localSheetId="2">'Cotacao 2'!$C$7:$C$56</definedName>
    <definedName name="DadosExternos_110" localSheetId="3">'Cotacao 3'!$C$7:$C$56</definedName>
    <definedName name="DadosExternos_110" localSheetId="4">'Cotacao 4'!$C$7:$C$56</definedName>
    <definedName name="DadosExternos_110" localSheetId="5">'Cotacao 5'!$C$7:$C$56</definedName>
    <definedName name="DadosExternos_111" localSheetId="1">Cotacao!$C$7:$C$57</definedName>
    <definedName name="DadosExternos_111" localSheetId="2">'Cotacao 2'!$C$7:$C$57</definedName>
    <definedName name="DadosExternos_111" localSheetId="3">'Cotacao 3'!$C$7:$C$57</definedName>
    <definedName name="DadosExternos_111" localSheetId="4">'Cotacao 4'!$C$7:$C$57</definedName>
    <definedName name="DadosExternos_111" localSheetId="5">'Cotacao 5'!$C$7:$C$57</definedName>
    <definedName name="DadosExternos_112" localSheetId="1">Cotacao!$C$7:$C$58</definedName>
    <definedName name="DadosExternos_112" localSheetId="2">'Cotacao 2'!$C$7:$C$58</definedName>
    <definedName name="DadosExternos_112" localSheetId="3">'Cotacao 3'!$C$7:$C$58</definedName>
    <definedName name="DadosExternos_112" localSheetId="4">'Cotacao 4'!$C$7:$C$58</definedName>
    <definedName name="DadosExternos_112" localSheetId="5">'Cotacao 5'!$C$7:$C$58</definedName>
    <definedName name="DadosExternos_113" localSheetId="1">Cotacao!$C$7:$C$58</definedName>
    <definedName name="DadosExternos_113" localSheetId="2">'Cotacao 2'!$C$7:$C$58</definedName>
    <definedName name="DadosExternos_113" localSheetId="3">'Cotacao 3'!$C$7:$C$58</definedName>
    <definedName name="DadosExternos_113" localSheetId="4">'Cotacao 4'!$C$7:$C$58</definedName>
    <definedName name="DadosExternos_113" localSheetId="5">'Cotacao 5'!$C$7:$C$58</definedName>
    <definedName name="DadosExternos_114" localSheetId="1">Cotacao!$C$7:$C$60</definedName>
    <definedName name="DadosExternos_114" localSheetId="2">'Cotacao 2'!$C$7:$C$60</definedName>
    <definedName name="DadosExternos_114" localSheetId="3">'Cotacao 3'!$C$7:$C$60</definedName>
    <definedName name="DadosExternos_114" localSheetId="4">'Cotacao 4'!$C$7:$C$60</definedName>
    <definedName name="DadosExternos_114" localSheetId="5">'Cotacao 5'!$C$7:$C$60</definedName>
    <definedName name="DadosExternos_115" localSheetId="1">Cotacao!$C$7:$C$59</definedName>
    <definedName name="DadosExternos_115" localSheetId="2">'Cotacao 2'!$C$7:$C$59</definedName>
    <definedName name="DadosExternos_115" localSheetId="3">'Cotacao 3'!$C$7:$C$59</definedName>
    <definedName name="DadosExternos_115" localSheetId="4">'Cotacao 4'!$C$7:$C$59</definedName>
    <definedName name="DadosExternos_115" localSheetId="5">'Cotacao 5'!$C$7:$C$59</definedName>
    <definedName name="DadosExternos_116" localSheetId="1">Cotacao!$C$7:$C$60</definedName>
    <definedName name="DadosExternos_116" localSheetId="2">'Cotacao 2'!$C$7:$C$60</definedName>
    <definedName name="DadosExternos_116" localSheetId="3">'Cotacao 3'!$C$7:$C$60</definedName>
    <definedName name="DadosExternos_116" localSheetId="4">'Cotacao 4'!$C$7:$C$60</definedName>
    <definedName name="DadosExternos_116" localSheetId="5">'Cotacao 5'!$C$7:$C$60</definedName>
    <definedName name="DadosExternos_117" localSheetId="1">Cotacao!$C$7:$C$62</definedName>
    <definedName name="DadosExternos_117" localSheetId="2">'Cotacao 2'!$C$7:$C$62</definedName>
    <definedName name="DadosExternos_117" localSheetId="3">'Cotacao 3'!$C$7:$C$62</definedName>
    <definedName name="DadosExternos_117" localSheetId="4">'Cotacao 4'!$C$7:$C$62</definedName>
    <definedName name="DadosExternos_117" localSheetId="5">'Cotacao 5'!$C$7:$C$62</definedName>
    <definedName name="DadosExternos_118" localSheetId="1">Cotacao!$C$7:$C$61</definedName>
    <definedName name="DadosExternos_118" localSheetId="2">'Cotacao 2'!$C$7:$C$61</definedName>
    <definedName name="DadosExternos_118" localSheetId="3">'Cotacao 3'!$C$7:$C$61</definedName>
    <definedName name="DadosExternos_118" localSheetId="4">'Cotacao 4'!$C$7:$C$61</definedName>
    <definedName name="DadosExternos_118" localSheetId="5">'Cotacao 5'!$C$7:$C$61</definedName>
    <definedName name="DadosExternos_119" localSheetId="1">Cotacao!$C$7:$C$62</definedName>
    <definedName name="DadosExternos_119" localSheetId="2">'Cotacao 2'!$C$7:$C$62</definedName>
    <definedName name="DadosExternos_119" localSheetId="3">'Cotacao 3'!$C$7:$C$62</definedName>
    <definedName name="DadosExternos_119" localSheetId="4">'Cotacao 4'!$C$7:$C$62</definedName>
    <definedName name="DadosExternos_119" localSheetId="5">'Cotacao 5'!$C$7:$C$62</definedName>
    <definedName name="DadosExternos_12" localSheetId="1">Cotacao!$C$7:$C$63</definedName>
    <definedName name="DadosExternos_12" localSheetId="2">'Cotacao 2'!$C$7:$C$63</definedName>
    <definedName name="DadosExternos_12" localSheetId="3">'Cotacao 3'!$C$7:$C$63</definedName>
    <definedName name="DadosExternos_12" localSheetId="4">'Cotacao 4'!$C$7:$C$63</definedName>
    <definedName name="DadosExternos_12" localSheetId="5">'Cotacao 5'!$C$7:$C$63</definedName>
    <definedName name="DadosExternos_120" localSheetId="1">Cotacao!$C$7:$C$64</definedName>
    <definedName name="DadosExternos_120" localSheetId="2">'Cotacao 2'!$C$7:$C$64</definedName>
    <definedName name="DadosExternos_120" localSheetId="3">'Cotacao 3'!$C$7:$C$64</definedName>
    <definedName name="DadosExternos_120" localSheetId="4">'Cotacao 4'!$C$7:$C$64</definedName>
    <definedName name="DadosExternos_120" localSheetId="5">'Cotacao 5'!$C$7:$C$64</definedName>
    <definedName name="DadosExternos_121" localSheetId="1">Cotacao!$C$7:$C$65</definedName>
    <definedName name="DadosExternos_121" localSheetId="2">'Cotacao 2'!$C$7:$C$65</definedName>
    <definedName name="DadosExternos_121" localSheetId="3">'Cotacao 3'!$C$7:$C$65</definedName>
    <definedName name="DadosExternos_121" localSheetId="4">'Cotacao 4'!$C$7:$C$65</definedName>
    <definedName name="DadosExternos_121" localSheetId="5">'Cotacao 5'!$C$7:$C$65</definedName>
    <definedName name="DadosExternos_122" localSheetId="1">Cotacao!$C$7:$C$65</definedName>
    <definedName name="DadosExternos_122" localSheetId="2">'Cotacao 2'!$C$7:$C$65</definedName>
    <definedName name="DadosExternos_122" localSheetId="3">'Cotacao 3'!$C$7:$C$65</definedName>
    <definedName name="DadosExternos_122" localSheetId="4">'Cotacao 4'!$C$7:$C$65</definedName>
    <definedName name="DadosExternos_122" localSheetId="5">'Cotacao 5'!$C$7:$C$65</definedName>
    <definedName name="DadosExternos_123" localSheetId="1">Cotacao!$C$7:$C$66</definedName>
    <definedName name="DadosExternos_123" localSheetId="2">'Cotacao 2'!$C$7:$C$66</definedName>
    <definedName name="DadosExternos_123" localSheetId="3">'Cotacao 3'!$C$7:$C$66</definedName>
    <definedName name="DadosExternos_123" localSheetId="4">'Cotacao 4'!$C$7:$C$66</definedName>
    <definedName name="DadosExternos_123" localSheetId="5">'Cotacao 5'!$C$7:$C$66</definedName>
    <definedName name="DadosExternos_124" localSheetId="1">Cotacao!$C$7:$C$69</definedName>
    <definedName name="DadosExternos_124" localSheetId="2">'Cotacao 2'!$C$7:$C$69</definedName>
    <definedName name="DadosExternos_124" localSheetId="3">'Cotacao 3'!$C$7:$C$69</definedName>
    <definedName name="DadosExternos_124" localSheetId="4">'Cotacao 4'!$C$7:$C$69</definedName>
    <definedName name="DadosExternos_124" localSheetId="5">'Cotacao 5'!$C$7:$C$69</definedName>
    <definedName name="DadosExternos_125" localSheetId="1">Cotacao!$C$7:$C$67</definedName>
    <definedName name="DadosExternos_125" localSheetId="2">'Cotacao 2'!$C$7:$C$67</definedName>
    <definedName name="DadosExternos_125" localSheetId="3">'Cotacao 3'!$C$7:$C$67</definedName>
    <definedName name="DadosExternos_125" localSheetId="4">'Cotacao 4'!$C$7:$C$67</definedName>
    <definedName name="DadosExternos_125" localSheetId="5">'Cotacao 5'!$C$7:$C$67</definedName>
    <definedName name="DadosExternos_126" localSheetId="1">Cotacao!$C$7:$C$70</definedName>
    <definedName name="DadosExternos_126" localSheetId="2">'Cotacao 2'!$C$7:$C$70</definedName>
    <definedName name="DadosExternos_126" localSheetId="3">'Cotacao 3'!$C$7:$C$70</definedName>
    <definedName name="DadosExternos_126" localSheetId="4">'Cotacao 4'!$C$7:$C$70</definedName>
    <definedName name="DadosExternos_126" localSheetId="5">'Cotacao 5'!$C$7:$C$70</definedName>
    <definedName name="DadosExternos_127" localSheetId="1">Cotacao!$C$7:$C$68</definedName>
    <definedName name="DadosExternos_127" localSheetId="2">'Cotacao 2'!$C$7:$C$68</definedName>
    <definedName name="DadosExternos_127" localSheetId="3">'Cotacao 3'!$C$7:$C$68</definedName>
    <definedName name="DadosExternos_127" localSheetId="4">'Cotacao 4'!$C$7:$C$68</definedName>
    <definedName name="DadosExternos_127" localSheetId="5">'Cotacao 5'!$C$7:$C$68</definedName>
    <definedName name="DadosExternos_128" localSheetId="1">Cotacao!$C$7:$C$69</definedName>
    <definedName name="DadosExternos_128" localSheetId="2">'Cotacao 2'!$C$7:$C$69</definedName>
    <definedName name="DadosExternos_128" localSheetId="3">'Cotacao 3'!$C$7:$C$69</definedName>
    <definedName name="DadosExternos_128" localSheetId="4">'Cotacao 4'!$C$7:$C$69</definedName>
    <definedName name="DadosExternos_128" localSheetId="5">'Cotacao 5'!$C$7:$C$69</definedName>
    <definedName name="DadosExternos_129" localSheetId="1">Cotacao!$C$7:$C$69</definedName>
    <definedName name="DadosExternos_129" localSheetId="2">'Cotacao 2'!$C$7:$C$69</definedName>
    <definedName name="DadosExternos_129" localSheetId="3">'Cotacao 3'!$C$7:$C$69</definedName>
    <definedName name="DadosExternos_129" localSheetId="4">'Cotacao 4'!$C$7:$C$69</definedName>
    <definedName name="DadosExternos_129" localSheetId="5">'Cotacao 5'!$C$7:$C$69</definedName>
    <definedName name="DadosExternos_130" localSheetId="1">Cotacao!$C$7:$C$70</definedName>
    <definedName name="DadosExternos_130" localSheetId="2">'Cotacao 2'!$C$7:$C$70</definedName>
    <definedName name="DadosExternos_130" localSheetId="3">'Cotacao 3'!$C$7:$C$70</definedName>
    <definedName name="DadosExternos_130" localSheetId="4">'Cotacao 4'!$C$7:$C$70</definedName>
    <definedName name="DadosExternos_130" localSheetId="5">'Cotacao 5'!$C$7:$C$70</definedName>
    <definedName name="DadosExternos_131" localSheetId="1">Cotacao!$C$7:$C$70</definedName>
    <definedName name="DadosExternos_131" localSheetId="2">'Cotacao 2'!$C$7:$C$70</definedName>
    <definedName name="DadosExternos_131" localSheetId="3">'Cotacao 3'!$C$7:$C$70</definedName>
    <definedName name="DadosExternos_131" localSheetId="4">'Cotacao 4'!$C$7:$C$70</definedName>
    <definedName name="DadosExternos_131" localSheetId="5">'Cotacao 5'!$C$7:$C$70</definedName>
    <definedName name="DadosExternos_132" localSheetId="1">Cotacao!$C$7:$C$71</definedName>
    <definedName name="DadosExternos_132" localSheetId="2">'Cotacao 2'!$C$7:$C$71</definedName>
    <definedName name="DadosExternos_132" localSheetId="3">'Cotacao 3'!$C$7:$C$71</definedName>
    <definedName name="DadosExternos_132" localSheetId="4">'Cotacao 4'!$C$7:$C$71</definedName>
    <definedName name="DadosExternos_132" localSheetId="5">'Cotacao 5'!$C$7:$C$71</definedName>
    <definedName name="DadosExternos_133" localSheetId="1">Cotacao!$C$7:$C$73</definedName>
    <definedName name="DadosExternos_133" localSheetId="2">'Cotacao 2'!$C$7:$C$73</definedName>
    <definedName name="DadosExternos_133" localSheetId="3">'Cotacao 3'!$C$7:$C$73</definedName>
    <definedName name="DadosExternos_133" localSheetId="4">'Cotacao 4'!$C$7:$C$73</definedName>
    <definedName name="DadosExternos_133" localSheetId="5">'Cotacao 5'!$C$7:$C$73</definedName>
    <definedName name="DadosExternos_134" localSheetId="1">Cotacao!$C$7:$C$74</definedName>
    <definedName name="DadosExternos_134" localSheetId="2">'Cotacao 2'!$C$7:$C$74</definedName>
    <definedName name="DadosExternos_134" localSheetId="3">'Cotacao 3'!$C$7:$C$74</definedName>
    <definedName name="DadosExternos_134" localSheetId="4">'Cotacao 4'!$C$7:$C$74</definedName>
    <definedName name="DadosExternos_134" localSheetId="5">'Cotacao 5'!$C$7:$C$74</definedName>
    <definedName name="DadosExternos_135" localSheetId="1">Cotacao!$C$7:$C$65</definedName>
    <definedName name="DadosExternos_135" localSheetId="2">'Cotacao 2'!$C$7:$C$65</definedName>
    <definedName name="DadosExternos_135" localSheetId="3">'Cotacao 3'!$C$7:$C$65</definedName>
    <definedName name="DadosExternos_135" localSheetId="4">'Cotacao 4'!$C$7:$C$65</definedName>
    <definedName name="DadosExternos_135" localSheetId="5">'Cotacao 5'!$C$7:$C$65</definedName>
    <definedName name="DadosExternos_136" localSheetId="1">Cotacao!$C$7:$C$67</definedName>
    <definedName name="DadosExternos_136" localSheetId="2">'Cotacao 2'!$C$7:$C$67</definedName>
    <definedName name="DadosExternos_136" localSheetId="3">'Cotacao 3'!$C$7:$C$67</definedName>
    <definedName name="DadosExternos_136" localSheetId="4">'Cotacao 4'!$C$7:$C$67</definedName>
    <definedName name="DadosExternos_136" localSheetId="5">'Cotacao 5'!$C$7:$C$67</definedName>
    <definedName name="DadosExternos_137" localSheetId="1">Cotacao!$C$7:$C$70</definedName>
    <definedName name="DadosExternos_137" localSheetId="2">'Cotacao 2'!$C$7:$C$70</definedName>
    <definedName name="DadosExternos_137" localSheetId="3">'Cotacao 3'!$C$7:$C$70</definedName>
    <definedName name="DadosExternos_137" localSheetId="4">'Cotacao 4'!$C$7:$C$70</definedName>
    <definedName name="DadosExternos_137" localSheetId="5">'Cotacao 5'!$C$7:$C$70</definedName>
    <definedName name="DadosExternos_138" localSheetId="1">Cotacao!$C$7:$C$70</definedName>
    <definedName name="DadosExternos_138" localSheetId="2">'Cotacao 2'!$C$7:$C$70</definedName>
    <definedName name="DadosExternos_138" localSheetId="3">'Cotacao 3'!$C$7:$C$70</definedName>
    <definedName name="DadosExternos_138" localSheetId="4">'Cotacao 4'!$C$7:$C$70</definedName>
    <definedName name="DadosExternos_138" localSheetId="5">'Cotacao 5'!$C$7:$C$70</definedName>
    <definedName name="DadosExternos_139" localSheetId="1">Cotacao!$C$7:$C$69</definedName>
    <definedName name="DadosExternos_139" localSheetId="2">'Cotacao 2'!$C$7:$C$69</definedName>
    <definedName name="DadosExternos_139" localSheetId="3">'Cotacao 3'!$C$7:$C$69</definedName>
    <definedName name="DadosExternos_139" localSheetId="4">'Cotacao 4'!$C$7:$C$69</definedName>
    <definedName name="DadosExternos_139" localSheetId="5">'Cotacao 5'!$C$7:$C$69</definedName>
    <definedName name="DadosExternos_14" localSheetId="1">Cotacao!$C$7:$C$63</definedName>
    <definedName name="DadosExternos_14" localSheetId="2">'Cotacao 2'!$C$7:$C$63</definedName>
    <definedName name="DadosExternos_14" localSheetId="3">'Cotacao 3'!$C$7:$C$63</definedName>
    <definedName name="DadosExternos_14" localSheetId="4">'Cotacao 4'!$C$7:$C$63</definedName>
    <definedName name="DadosExternos_14" localSheetId="5">'Cotacao 5'!$C$7:$C$63</definedName>
    <definedName name="DadosExternos_140" localSheetId="1">Cotacao!$C$7:$C$72</definedName>
    <definedName name="DadosExternos_140" localSheetId="2">'Cotacao 2'!$C$7:$C$72</definedName>
    <definedName name="DadosExternos_140" localSheetId="3">'Cotacao 3'!$C$7:$C$72</definedName>
    <definedName name="DadosExternos_140" localSheetId="4">'Cotacao 4'!$C$7:$C$72</definedName>
    <definedName name="DadosExternos_140" localSheetId="5">'Cotacao 5'!$C$7:$C$72</definedName>
    <definedName name="DadosExternos_141" localSheetId="1">Cotacao!$C$7:$C$74</definedName>
    <definedName name="DadosExternos_141" localSheetId="2">'Cotacao 2'!$C$7:$C$74</definedName>
    <definedName name="DadosExternos_141" localSheetId="3">'Cotacao 3'!$C$7:$C$74</definedName>
    <definedName name="DadosExternos_141" localSheetId="4">'Cotacao 4'!$C$7:$C$74</definedName>
    <definedName name="DadosExternos_141" localSheetId="5">'Cotacao 5'!$C$7:$C$74</definedName>
    <definedName name="DadosExternos_142" localSheetId="1">Cotacao!$C$7:$C$76</definedName>
    <definedName name="DadosExternos_142" localSheetId="2">'Cotacao 2'!$C$7:$C$76</definedName>
    <definedName name="DadosExternos_142" localSheetId="3">'Cotacao 3'!$C$7:$C$76</definedName>
    <definedName name="DadosExternos_142" localSheetId="4">'Cotacao 4'!$C$7:$C$76</definedName>
    <definedName name="DadosExternos_142" localSheetId="5">'Cotacao 5'!$C$7:$C$76</definedName>
    <definedName name="DadosExternos_143" localSheetId="1">Cotacao!$C$7:$C$75</definedName>
    <definedName name="DadosExternos_143" localSheetId="2">'Cotacao 2'!$C$7:$C$75</definedName>
    <definedName name="DadosExternos_143" localSheetId="3">'Cotacao 3'!$C$7:$C$75</definedName>
    <definedName name="DadosExternos_143" localSheetId="4">'Cotacao 4'!$C$7:$C$75</definedName>
    <definedName name="DadosExternos_143" localSheetId="5">'Cotacao 5'!$C$7:$C$75</definedName>
    <definedName name="DadosExternos_144" localSheetId="1">Cotacao!$C$7:$C$77</definedName>
    <definedName name="DadosExternos_144" localSheetId="2">'Cotacao 2'!$C$7:$C$77</definedName>
    <definedName name="DadosExternos_144" localSheetId="3">'Cotacao 3'!$C$7:$C$77</definedName>
    <definedName name="DadosExternos_144" localSheetId="4">'Cotacao 4'!$C$7:$C$77</definedName>
    <definedName name="DadosExternos_144" localSheetId="5">'Cotacao 5'!$C$7:$C$77</definedName>
    <definedName name="DadosExternos_145" localSheetId="1">Cotacao!$C$7:$C$78</definedName>
    <definedName name="DadosExternos_145" localSheetId="2">'Cotacao 2'!$C$7:$C$78</definedName>
    <definedName name="DadosExternos_145" localSheetId="3">'Cotacao 3'!$C$7:$C$78</definedName>
    <definedName name="DadosExternos_145" localSheetId="4">'Cotacao 4'!$C$7:$C$78</definedName>
    <definedName name="DadosExternos_145" localSheetId="5">'Cotacao 5'!$C$7:$C$78</definedName>
    <definedName name="DadosExternos_146" localSheetId="1">Cotacao!$C$7:$C$80</definedName>
    <definedName name="DadosExternos_146" localSheetId="2">'Cotacao 2'!$C$7:$C$80</definedName>
    <definedName name="DadosExternos_146" localSheetId="3">'Cotacao 3'!$C$7:$C$80</definedName>
    <definedName name="DadosExternos_146" localSheetId="4">'Cotacao 4'!$C$7:$C$80</definedName>
    <definedName name="DadosExternos_146" localSheetId="5">'Cotacao 5'!$C$7:$C$80</definedName>
    <definedName name="DadosExternos_147" localSheetId="1">Cotacao!$C$7:$C$81</definedName>
    <definedName name="DadosExternos_147" localSheetId="2">'Cotacao 2'!$C$7:$C$81</definedName>
    <definedName name="DadosExternos_147" localSheetId="3">'Cotacao 3'!$C$7:$C$81</definedName>
    <definedName name="DadosExternos_147" localSheetId="4">'Cotacao 4'!$C$7:$C$81</definedName>
    <definedName name="DadosExternos_147" localSheetId="5">'Cotacao 5'!$C$7:$C$81</definedName>
    <definedName name="DadosExternos_148" localSheetId="1">Cotacao!$C$7:$C$83</definedName>
    <definedName name="DadosExternos_148" localSheetId="2">'Cotacao 2'!$C$7:$C$83</definedName>
    <definedName name="DadosExternos_148" localSheetId="3">'Cotacao 3'!$C$7:$C$83</definedName>
    <definedName name="DadosExternos_148" localSheetId="4">'Cotacao 4'!$C$7:$C$83</definedName>
    <definedName name="DadosExternos_148" localSheetId="5">'Cotacao 5'!$C$7:$C$83</definedName>
    <definedName name="DadosExternos_149" localSheetId="1">Cotacao!$C$7:$C$83</definedName>
    <definedName name="DadosExternos_149" localSheetId="2">'Cotacao 2'!$C$7:$C$83</definedName>
    <definedName name="DadosExternos_149" localSheetId="3">'Cotacao 3'!$C$7:$C$83</definedName>
    <definedName name="DadosExternos_149" localSheetId="4">'Cotacao 4'!$C$7:$C$83</definedName>
    <definedName name="DadosExternos_149" localSheetId="5">'Cotacao 5'!$C$7:$C$83</definedName>
    <definedName name="DadosExternos_15" localSheetId="1">Cotacao!$C$7:$C$63</definedName>
    <definedName name="DadosExternos_15" localSheetId="2">'Cotacao 2'!$C$7:$C$63</definedName>
    <definedName name="DadosExternos_15" localSheetId="3">'Cotacao 3'!$C$7:$C$63</definedName>
    <definedName name="DadosExternos_15" localSheetId="4">'Cotacao 4'!$C$7:$C$63</definedName>
    <definedName name="DadosExternos_15" localSheetId="5">'Cotacao 5'!$C$7:$C$63</definedName>
    <definedName name="DadosExternos_150" localSheetId="1">Cotacao!$C$7:$C$81</definedName>
    <definedName name="DadosExternos_150" localSheetId="2">'Cotacao 2'!$C$7:$C$81</definedName>
    <definedName name="DadosExternos_150" localSheetId="3">'Cotacao 3'!$C$7:$C$81</definedName>
    <definedName name="DadosExternos_150" localSheetId="4">'Cotacao 4'!$C$7:$C$81</definedName>
    <definedName name="DadosExternos_150" localSheetId="5">'Cotacao 5'!$C$7:$C$81</definedName>
    <definedName name="DadosExternos_151" localSheetId="1">Cotacao!$C$7:$C$82</definedName>
    <definedName name="DadosExternos_151" localSheetId="2">'Cotacao 2'!$C$7:$C$82</definedName>
    <definedName name="DadosExternos_151" localSheetId="3">'Cotacao 3'!$C$7:$C$82</definedName>
    <definedName name="DadosExternos_151" localSheetId="4">'Cotacao 4'!$C$7:$C$82</definedName>
    <definedName name="DadosExternos_151" localSheetId="5">'Cotacao 5'!$C$7:$C$82</definedName>
    <definedName name="DadosExternos_152" localSheetId="1">Cotacao!$C$7:$C$84</definedName>
    <definedName name="DadosExternos_152" localSheetId="2">'Cotacao 2'!$C$7:$C$84</definedName>
    <definedName name="DadosExternos_152" localSheetId="3">'Cotacao 3'!$C$7:$C$84</definedName>
    <definedName name="DadosExternos_152" localSheetId="4">'Cotacao 4'!$C$7:$C$84</definedName>
    <definedName name="DadosExternos_152" localSheetId="5">'Cotacao 5'!$C$7:$C$84</definedName>
    <definedName name="DadosExternos_153" localSheetId="1">Cotacao!$C$7:$C$85</definedName>
    <definedName name="DadosExternos_153" localSheetId="2">'Cotacao 2'!$C$7:$C$85</definedName>
    <definedName name="DadosExternos_153" localSheetId="3">'Cotacao 3'!$C$7:$C$85</definedName>
    <definedName name="DadosExternos_153" localSheetId="4">'Cotacao 4'!$C$7:$C$85</definedName>
    <definedName name="DadosExternos_153" localSheetId="5">'Cotacao 5'!$C$7:$C$85</definedName>
    <definedName name="DadosExternos_154" localSheetId="1">Cotacao!$C$7:$C$87</definedName>
    <definedName name="DadosExternos_154" localSheetId="2">'Cotacao 2'!$C$7:$C$87</definedName>
    <definedName name="DadosExternos_154" localSheetId="3">'Cotacao 3'!$C$7:$C$87</definedName>
    <definedName name="DadosExternos_154" localSheetId="4">'Cotacao 4'!$C$7:$C$87</definedName>
    <definedName name="DadosExternos_154" localSheetId="5">'Cotacao 5'!$C$7:$C$87</definedName>
    <definedName name="DadosExternos_155" localSheetId="1">Cotacao!$C$7:$C$89</definedName>
    <definedName name="DadosExternos_155" localSheetId="2">'Cotacao 2'!$C$7:$C$89</definedName>
    <definedName name="DadosExternos_155" localSheetId="3">'Cotacao 3'!$C$7:$C$89</definedName>
    <definedName name="DadosExternos_155" localSheetId="4">'Cotacao 4'!$C$7:$C$89</definedName>
    <definedName name="DadosExternos_155" localSheetId="5">'Cotacao 5'!$C$7:$C$89</definedName>
    <definedName name="DadosExternos_156" localSheetId="1">Cotacao!$C$7:$C$91</definedName>
    <definedName name="DadosExternos_156" localSheetId="2">'Cotacao 2'!$C$7:$C$91</definedName>
    <definedName name="DadosExternos_156" localSheetId="3">'Cotacao 3'!$C$7:$C$91</definedName>
    <definedName name="DadosExternos_156" localSheetId="4">'Cotacao 4'!$C$7:$C$91</definedName>
    <definedName name="DadosExternos_156" localSheetId="5">'Cotacao 5'!$C$7:$C$91</definedName>
    <definedName name="DadosExternos_157" localSheetId="1">Cotacao!$C$7:$C$93</definedName>
    <definedName name="DadosExternos_157" localSheetId="2">'Cotacao 2'!$C$7:$C$93</definedName>
    <definedName name="DadosExternos_157" localSheetId="3">'Cotacao 3'!$C$7:$C$93</definedName>
    <definedName name="DadosExternos_157" localSheetId="4">'Cotacao 4'!$C$7:$C$93</definedName>
    <definedName name="DadosExternos_157" localSheetId="5">'Cotacao 5'!$C$7:$C$93</definedName>
    <definedName name="DadosExternos_158" localSheetId="1">Cotacao!$C$7:$C$94</definedName>
    <definedName name="DadosExternos_158" localSheetId="2">'Cotacao 2'!$C$7:$C$94</definedName>
    <definedName name="DadosExternos_158" localSheetId="3">'Cotacao 3'!$C$7:$C$94</definedName>
    <definedName name="DadosExternos_158" localSheetId="4">'Cotacao 4'!$C$7:$C$94</definedName>
    <definedName name="DadosExternos_158" localSheetId="5">'Cotacao 5'!$C$7:$C$94</definedName>
    <definedName name="DadosExternos_159" localSheetId="1">Cotacao!$C$7:$C$94</definedName>
    <definedName name="DadosExternos_159" localSheetId="2">'Cotacao 2'!$C$7:$C$94</definedName>
    <definedName name="DadosExternos_159" localSheetId="3">'Cotacao 3'!$C$7:$C$94</definedName>
    <definedName name="DadosExternos_159" localSheetId="4">'Cotacao 4'!$C$7:$C$94</definedName>
    <definedName name="DadosExternos_159" localSheetId="5">'Cotacao 5'!$C$7:$C$94</definedName>
    <definedName name="DadosExternos_16" localSheetId="1">Cotacao!$C$7:$C$63</definedName>
    <definedName name="DadosExternos_16" localSheetId="2">'Cotacao 2'!$C$7:$C$63</definedName>
    <definedName name="DadosExternos_16" localSheetId="3">'Cotacao 3'!$C$7:$C$63</definedName>
    <definedName name="DadosExternos_16" localSheetId="4">'Cotacao 4'!$C$7:$C$63</definedName>
    <definedName name="DadosExternos_16" localSheetId="5">'Cotacao 5'!$C$7:$C$63</definedName>
    <definedName name="DadosExternos_160" localSheetId="1">Cotacao!$C$7:$C$95</definedName>
    <definedName name="DadosExternos_160" localSheetId="2">'Cotacao 2'!$C$7:$C$95</definedName>
    <definedName name="DadosExternos_160" localSheetId="3">'Cotacao 3'!$C$7:$C$95</definedName>
    <definedName name="DadosExternos_160" localSheetId="4">'Cotacao 4'!$C$7:$C$95</definedName>
    <definedName name="DadosExternos_160" localSheetId="5">'Cotacao 5'!$C$7:$C$95</definedName>
    <definedName name="DadosExternos_161" localSheetId="1">Cotacao!$C$7:$C$94</definedName>
    <definedName name="DadosExternos_161" localSheetId="2">'Cotacao 2'!$C$7:$C$94</definedName>
    <definedName name="DadosExternos_161" localSheetId="3">'Cotacao 3'!$C$7:$C$94</definedName>
    <definedName name="DadosExternos_161" localSheetId="4">'Cotacao 4'!$C$7:$C$94</definedName>
    <definedName name="DadosExternos_161" localSheetId="5">'Cotacao 5'!$C$7:$C$94</definedName>
    <definedName name="DadosExternos_162" localSheetId="1">Cotacao!$C$7:$C$97</definedName>
    <definedName name="DadosExternos_162" localSheetId="2">'Cotacao 2'!$C$7:$C$97</definedName>
    <definedName name="DadosExternos_162" localSheetId="3">'Cotacao 3'!$C$7:$C$97</definedName>
    <definedName name="DadosExternos_162" localSheetId="4">'Cotacao 4'!$C$7:$C$97</definedName>
    <definedName name="DadosExternos_162" localSheetId="5">'Cotacao 5'!$C$7:$C$97</definedName>
    <definedName name="DadosExternos_163" localSheetId="1">Cotacao!$C$7:$C$96</definedName>
    <definedName name="DadosExternos_163" localSheetId="2">'Cotacao 2'!$C$7:$C$96</definedName>
    <definedName name="DadosExternos_163" localSheetId="3">'Cotacao 3'!$C$7:$C$96</definedName>
    <definedName name="DadosExternos_163" localSheetId="4">'Cotacao 4'!$C$7:$C$96</definedName>
    <definedName name="DadosExternos_163" localSheetId="5">'Cotacao 5'!$C$7:$C$96</definedName>
    <definedName name="DadosExternos_164" localSheetId="1">Cotacao!$C$7:$C$95</definedName>
    <definedName name="DadosExternos_164" localSheetId="2">'Cotacao 2'!$C$7:$C$95</definedName>
    <definedName name="DadosExternos_164" localSheetId="3">'Cotacao 3'!$C$7:$C$95</definedName>
    <definedName name="DadosExternos_164" localSheetId="4">'Cotacao 4'!$C$7:$C$95</definedName>
    <definedName name="DadosExternos_164" localSheetId="5">'Cotacao 5'!$C$7:$C$95</definedName>
    <definedName name="DadosExternos_165" localSheetId="1">Cotacao!$C$7:$C$97</definedName>
    <definedName name="DadosExternos_165" localSheetId="2">'Cotacao 2'!$C$7:$C$97</definedName>
    <definedName name="DadosExternos_165" localSheetId="3">'Cotacao 3'!$C$7:$C$97</definedName>
    <definedName name="DadosExternos_165" localSheetId="4">'Cotacao 4'!$C$7:$C$97</definedName>
    <definedName name="DadosExternos_165" localSheetId="5">'Cotacao 5'!$C$7:$C$97</definedName>
    <definedName name="DadosExternos_166" localSheetId="1">Cotacao!$C$7:$C$104</definedName>
    <definedName name="DadosExternos_166" localSheetId="2">'Cotacao 2'!$C$7:$C$104</definedName>
    <definedName name="DadosExternos_166" localSheetId="3">'Cotacao 3'!$C$7:$C$104</definedName>
    <definedName name="DadosExternos_166" localSheetId="4">'Cotacao 4'!$C$7:$C$104</definedName>
    <definedName name="DadosExternos_166" localSheetId="5">'Cotacao 5'!$C$7:$C$104</definedName>
    <definedName name="DadosExternos_167" localSheetId="1">Cotacao!$C$7:$C$106</definedName>
    <definedName name="DadosExternos_167" localSheetId="2">'Cotacao 2'!$C$7:$C$106</definedName>
    <definedName name="DadosExternos_167" localSheetId="3">'Cotacao 3'!$C$7:$C$106</definedName>
    <definedName name="DadosExternos_167" localSheetId="4">'Cotacao 4'!$C$7:$C$106</definedName>
    <definedName name="DadosExternos_167" localSheetId="5">'Cotacao 5'!$C$7:$C$106</definedName>
    <definedName name="DadosExternos_168" localSheetId="1">Cotacao!$C$7:$C$108</definedName>
    <definedName name="DadosExternos_168" localSheetId="2">'Cotacao 2'!$C$7:$C$108</definedName>
    <definedName name="DadosExternos_168" localSheetId="3">'Cotacao 3'!$C$7:$C$108</definedName>
    <definedName name="DadosExternos_168" localSheetId="4">'Cotacao 4'!$C$7:$C$108</definedName>
    <definedName name="DadosExternos_168" localSheetId="5">'Cotacao 5'!$C$7:$C$108</definedName>
    <definedName name="DadosExternos_169" localSheetId="1">Cotacao!$C$7:$C$110</definedName>
    <definedName name="DadosExternos_169" localSheetId="2">'Cotacao 2'!$C$7:$C$110</definedName>
    <definedName name="DadosExternos_169" localSheetId="3">'Cotacao 3'!$C$7:$C$110</definedName>
    <definedName name="DadosExternos_169" localSheetId="4">'Cotacao 4'!$C$7:$C$110</definedName>
    <definedName name="DadosExternos_169" localSheetId="5">'Cotacao 5'!$C$7:$C$110</definedName>
    <definedName name="DadosExternos_17" localSheetId="1">Cotacao!$C$7:$C$63</definedName>
    <definedName name="DadosExternos_17" localSheetId="2">'Cotacao 2'!$C$7:$C$63</definedName>
    <definedName name="DadosExternos_17" localSheetId="3">'Cotacao 3'!$C$7:$C$63</definedName>
    <definedName name="DadosExternos_17" localSheetId="4">'Cotacao 4'!$C$7:$C$63</definedName>
    <definedName name="DadosExternos_17" localSheetId="5">'Cotacao 5'!$C$7:$C$63</definedName>
    <definedName name="DadosExternos_170" localSheetId="1">Cotacao!$C$7:$C$109</definedName>
    <definedName name="DadosExternos_170" localSheetId="2">'Cotacao 2'!$C$7:$C$109</definedName>
    <definedName name="DadosExternos_170" localSheetId="3">'Cotacao 3'!$C$7:$C$109</definedName>
    <definedName name="DadosExternos_170" localSheetId="4">'Cotacao 4'!$C$7:$C$109</definedName>
    <definedName name="DadosExternos_170" localSheetId="5">'Cotacao 5'!$C$7:$C$109</definedName>
    <definedName name="DadosExternos_171" localSheetId="1">Cotacao!$C$7:$C$110</definedName>
    <definedName name="DadosExternos_171" localSheetId="2">'Cotacao 2'!$C$7:$C$110</definedName>
    <definedName name="DadosExternos_171" localSheetId="3">'Cotacao 3'!$C$7:$C$110</definedName>
    <definedName name="DadosExternos_171" localSheetId="4">'Cotacao 4'!$C$7:$C$110</definedName>
    <definedName name="DadosExternos_171" localSheetId="5">'Cotacao 5'!$C$7:$C$110</definedName>
    <definedName name="DadosExternos_172" localSheetId="1">Cotacao!$C$7:$C$110</definedName>
    <definedName name="DadosExternos_172" localSheetId="2">'Cotacao 2'!$C$7:$C$110</definedName>
    <definedName name="DadosExternos_172" localSheetId="3">'Cotacao 3'!$C$7:$C$110</definedName>
    <definedName name="DadosExternos_172" localSheetId="4">'Cotacao 4'!$C$7:$C$110</definedName>
    <definedName name="DadosExternos_172" localSheetId="5">'Cotacao 5'!$C$7:$C$110</definedName>
    <definedName name="DadosExternos_173" localSheetId="1">Cotacao!$C$7:$C$112</definedName>
    <definedName name="DadosExternos_173" localSheetId="2">'Cotacao 2'!$C$7:$C$112</definedName>
    <definedName name="DadosExternos_173" localSheetId="3">'Cotacao 3'!$C$7:$C$112</definedName>
    <definedName name="DadosExternos_173" localSheetId="4">'Cotacao 4'!$C$7:$C$112</definedName>
    <definedName name="DadosExternos_173" localSheetId="5">'Cotacao 5'!$C$7:$C$112</definedName>
    <definedName name="DadosExternos_174" localSheetId="1">Cotacao!$C$7:$C$112</definedName>
    <definedName name="DadosExternos_174" localSheetId="2">'Cotacao 2'!$C$7:$C$112</definedName>
    <definedName name="DadosExternos_174" localSheetId="3">'Cotacao 3'!$C$7:$C$112</definedName>
    <definedName name="DadosExternos_174" localSheetId="4">'Cotacao 4'!$C$7:$C$112</definedName>
    <definedName name="DadosExternos_174" localSheetId="5">'Cotacao 5'!$C$7:$C$112</definedName>
    <definedName name="DadosExternos_175" localSheetId="1">Cotacao!$C$7:$C$112</definedName>
    <definedName name="DadosExternos_175" localSheetId="2">'Cotacao 2'!$C$7:$C$112</definedName>
    <definedName name="DadosExternos_175" localSheetId="3">'Cotacao 3'!$C$7:$C$112</definedName>
    <definedName name="DadosExternos_175" localSheetId="4">'Cotacao 4'!$C$7:$C$112</definedName>
    <definedName name="DadosExternos_175" localSheetId="5">'Cotacao 5'!$C$7:$C$112</definedName>
    <definedName name="DadosExternos_176" localSheetId="1">Cotacao!$C$7:$C$112</definedName>
    <definedName name="DadosExternos_176" localSheetId="2">'Cotacao 2'!$C$7:$C$112</definedName>
    <definedName name="DadosExternos_176" localSheetId="3">'Cotacao 3'!$C$7:$C$112</definedName>
    <definedName name="DadosExternos_176" localSheetId="4">'Cotacao 4'!$C$7:$C$112</definedName>
    <definedName name="DadosExternos_176" localSheetId="5">'Cotacao 5'!$C$7:$C$112</definedName>
    <definedName name="DadosExternos_177" localSheetId="1">Cotacao!$C$7:$C$112</definedName>
    <definedName name="DadosExternos_177" localSheetId="2">'Cotacao 2'!$C$7:$C$112</definedName>
    <definedName name="DadosExternos_177" localSheetId="3">'Cotacao 3'!$C$7:$C$112</definedName>
    <definedName name="DadosExternos_177" localSheetId="4">'Cotacao 4'!$C$7:$C$112</definedName>
    <definedName name="DadosExternos_177" localSheetId="5">'Cotacao 5'!$C$7:$C$112</definedName>
    <definedName name="DadosExternos_178" localSheetId="1">Cotacao!$C$7:$C$112</definedName>
    <definedName name="DadosExternos_178" localSheetId="2">'Cotacao 2'!$C$7:$C$112</definedName>
    <definedName name="DadosExternos_178" localSheetId="3">'Cotacao 3'!$C$7:$C$112</definedName>
    <definedName name="DadosExternos_178" localSheetId="4">'Cotacao 4'!$C$7:$C$112</definedName>
    <definedName name="DadosExternos_178" localSheetId="5">'Cotacao 5'!$C$7:$C$112</definedName>
    <definedName name="DadosExternos_179" localSheetId="1">Cotacao!$C$7:$C$112</definedName>
    <definedName name="DadosExternos_179" localSheetId="2">'Cotacao 2'!$C$7:$C$112</definedName>
    <definedName name="DadosExternos_179" localSheetId="3">'Cotacao 3'!$C$7:$C$112</definedName>
    <definedName name="DadosExternos_179" localSheetId="4">'Cotacao 4'!$C$7:$C$112</definedName>
    <definedName name="DadosExternos_179" localSheetId="5">'Cotacao 5'!$C$7:$C$112</definedName>
    <definedName name="DadosExternos_18" localSheetId="1">Cotacao!$C$7:$C$64</definedName>
    <definedName name="DadosExternos_18" localSheetId="2">'Cotacao 2'!$C$7:$C$64</definedName>
    <definedName name="DadosExternos_18" localSheetId="3">'Cotacao 3'!$C$7:$C$64</definedName>
    <definedName name="DadosExternos_18" localSheetId="4">'Cotacao 4'!$C$7:$C$64</definedName>
    <definedName name="DadosExternos_18" localSheetId="5">'Cotacao 5'!$C$7:$C$64</definedName>
    <definedName name="DadosExternos_180" localSheetId="1">Cotacao!$C$7:$C$112</definedName>
    <definedName name="DadosExternos_180" localSheetId="2">'Cotacao 2'!$C$7:$C$112</definedName>
    <definedName name="DadosExternos_180" localSheetId="3">'Cotacao 3'!$C$7:$C$112</definedName>
    <definedName name="DadosExternos_180" localSheetId="4">'Cotacao 4'!$C$7:$C$112</definedName>
    <definedName name="DadosExternos_180" localSheetId="5">'Cotacao 5'!$C$7:$C$112</definedName>
    <definedName name="DadosExternos_181" localSheetId="1">Cotacao!$C$7:$C$112</definedName>
    <definedName name="DadosExternos_181" localSheetId="2">'Cotacao 2'!$C$7:$C$112</definedName>
    <definedName name="DadosExternos_181" localSheetId="3">'Cotacao 3'!$C$7:$C$112</definedName>
    <definedName name="DadosExternos_181" localSheetId="4">'Cotacao 4'!$C$7:$C$112</definedName>
    <definedName name="DadosExternos_181" localSheetId="5">'Cotacao 5'!$C$7:$C$112</definedName>
    <definedName name="DadosExternos_182" localSheetId="1">Cotacao!$C$7:$C$112</definedName>
    <definedName name="DadosExternos_182" localSheetId="2">'Cotacao 2'!$C$7:$C$112</definedName>
    <definedName name="DadosExternos_182" localSheetId="3">'Cotacao 3'!$C$7:$C$112</definedName>
    <definedName name="DadosExternos_182" localSheetId="4">'Cotacao 4'!$C$7:$C$112</definedName>
    <definedName name="DadosExternos_182" localSheetId="5">'Cotacao 5'!$C$7:$C$112</definedName>
    <definedName name="DadosExternos_183" localSheetId="1">Cotacao!$C$7:$C$112</definedName>
    <definedName name="DadosExternos_183" localSheetId="2">'Cotacao 2'!$C$7:$C$112</definedName>
    <definedName name="DadosExternos_183" localSheetId="3">'Cotacao 3'!$C$7:$C$112</definedName>
    <definedName name="DadosExternos_183" localSheetId="4">'Cotacao 4'!$C$7:$C$112</definedName>
    <definedName name="DadosExternos_183" localSheetId="5">'Cotacao 5'!$C$7:$C$112</definedName>
    <definedName name="DadosExternos_184" localSheetId="1">Cotacao!$C$7:$C$112</definedName>
    <definedName name="DadosExternos_184" localSheetId="2">'Cotacao 2'!$C$7:$C$8</definedName>
    <definedName name="DadosExternos_184" localSheetId="3">'Cotacao 3'!$C$7:$C$8</definedName>
    <definedName name="DadosExternos_184" localSheetId="4">'Cotacao 4'!$C$7:$C$8</definedName>
    <definedName name="DadosExternos_184" localSheetId="5">'Cotacao 5'!$C$7:$C$8</definedName>
    <definedName name="DadosExternos_185" localSheetId="1">Cotacao!$C$7:$C$112</definedName>
    <definedName name="DadosExternos_185" localSheetId="2">'Cotacao 2'!$C$7:$C$8</definedName>
    <definedName name="DadosExternos_185" localSheetId="3">'Cotacao 3'!$C$7:$C$8</definedName>
    <definedName name="DadosExternos_185" localSheetId="4">'Cotacao 4'!$C$7:$C$8</definedName>
    <definedName name="DadosExternos_185" localSheetId="5">'Cotacao 5'!$C$7:$C$8</definedName>
    <definedName name="DadosExternos_186" localSheetId="1">Cotacao!$C$7:$C$112</definedName>
    <definedName name="DadosExternos_186" localSheetId="2">'Cotacao 2'!$C$7:$C$9</definedName>
    <definedName name="DadosExternos_186" localSheetId="3">'Cotacao 3'!$C$7:$C$9</definedName>
    <definedName name="DadosExternos_186" localSheetId="4">'Cotacao 4'!$C$7:$C$9</definedName>
    <definedName name="DadosExternos_186" localSheetId="5">'Cotacao 5'!$C$7:$C$9</definedName>
    <definedName name="DadosExternos_187" localSheetId="1">Cotacao!$C$7:$C$112</definedName>
    <definedName name="DadosExternos_187" localSheetId="2">'Cotacao 2'!$C$7:$C$10</definedName>
    <definedName name="DadosExternos_187" localSheetId="3">'Cotacao 3'!$C$7:$C$10</definedName>
    <definedName name="DadosExternos_187" localSheetId="4">'Cotacao 4'!$C$7:$C$10</definedName>
    <definedName name="DadosExternos_187" localSheetId="5">'Cotacao 5'!$C$7:$C$10</definedName>
    <definedName name="DadosExternos_188" localSheetId="1">Cotacao!$C$7:$C$112</definedName>
    <definedName name="DadosExternos_188" localSheetId="2">'Cotacao 2'!$C$7:$C$13</definedName>
    <definedName name="DadosExternos_188" localSheetId="3">'Cotacao 3'!$C$7:$C$13</definedName>
    <definedName name="DadosExternos_188" localSheetId="4">'Cotacao 4'!$C$7:$C$13</definedName>
    <definedName name="DadosExternos_188" localSheetId="5">'Cotacao 5'!$C$7:$C$13</definedName>
    <definedName name="DadosExternos_189" localSheetId="1">Cotacao!$C$7:$C$112</definedName>
    <definedName name="DadosExternos_189" localSheetId="2">'Cotacao 2'!$C$7:$C$11</definedName>
    <definedName name="DadosExternos_189" localSheetId="3">'Cotacao 3'!$C$7:$C$11</definedName>
    <definedName name="DadosExternos_189" localSheetId="4">'Cotacao 4'!$C$7:$C$11</definedName>
    <definedName name="DadosExternos_189" localSheetId="5">'Cotacao 5'!$C$7:$C$11</definedName>
    <definedName name="DadosExternos_190" localSheetId="1">Cotacao!$C$7:$C$112</definedName>
    <definedName name="DadosExternos_190" localSheetId="2">'Cotacao 2'!$C$7:$C$13</definedName>
    <definedName name="DadosExternos_190" localSheetId="3">'Cotacao 3'!$C$7:$C$13</definedName>
    <definedName name="DadosExternos_190" localSheetId="4">'Cotacao 4'!$C$7:$C$13</definedName>
    <definedName name="DadosExternos_190" localSheetId="5">'Cotacao 5'!$C$7:$C$13</definedName>
    <definedName name="DadosExternos_191" localSheetId="1">Cotacao!$C$7:$C$112</definedName>
    <definedName name="DadosExternos_191" localSheetId="2">'Cotacao 2'!$C$7:$C$14</definedName>
    <definedName name="DadosExternos_191" localSheetId="3">'Cotacao 3'!$C$7:$C$14</definedName>
    <definedName name="DadosExternos_191" localSheetId="4">'Cotacao 4'!$C$7:$C$14</definedName>
    <definedName name="DadosExternos_191" localSheetId="5">'Cotacao 5'!$C$7:$C$14</definedName>
    <definedName name="DadosExternos_192" localSheetId="1">Cotacao!$C$7:$C$112</definedName>
    <definedName name="DadosExternos_192" localSheetId="2">'Cotacao 2'!$C$7:$C$16</definedName>
    <definedName name="DadosExternos_192" localSheetId="3">'Cotacao 3'!$C$7:$C$16</definedName>
    <definedName name="DadosExternos_192" localSheetId="4">'Cotacao 4'!$C$7:$C$16</definedName>
    <definedName name="DadosExternos_192" localSheetId="5">'Cotacao 5'!$C$7:$C$16</definedName>
    <definedName name="DadosExternos_193" localSheetId="1">Cotacao!$C$7:$C$112</definedName>
    <definedName name="DadosExternos_193" localSheetId="2">'Cotacao 2'!$C$7:$C$16</definedName>
    <definedName name="DadosExternos_193" localSheetId="3">'Cotacao 3'!$C$7:$C$16</definedName>
    <definedName name="DadosExternos_193" localSheetId="4">'Cotacao 4'!$C$7:$C$16</definedName>
    <definedName name="DadosExternos_193" localSheetId="5">'Cotacao 5'!$C$7:$C$16</definedName>
    <definedName name="DadosExternos_194" localSheetId="1">Cotacao!$C$7:$C$112</definedName>
    <definedName name="DadosExternos_194" localSheetId="2">'Cotacao 2'!$C$7:$C$17</definedName>
    <definedName name="DadosExternos_194" localSheetId="3">'Cotacao 3'!$C$7:$C$17</definedName>
    <definedName name="DadosExternos_194" localSheetId="4">'Cotacao 4'!$C$7:$C$17</definedName>
    <definedName name="DadosExternos_194" localSheetId="5">'Cotacao 5'!$C$7:$C$17</definedName>
    <definedName name="DadosExternos_195" localSheetId="1">Cotacao!$C$7:$C$112</definedName>
    <definedName name="DadosExternos_195" localSheetId="2">'Cotacao 2'!$C$7:$C$19</definedName>
    <definedName name="DadosExternos_195" localSheetId="3">'Cotacao 3'!$C$7:$C$19</definedName>
    <definedName name="DadosExternos_195" localSheetId="4">'Cotacao 4'!$C$7:$C$19</definedName>
    <definedName name="DadosExternos_195" localSheetId="5">'Cotacao 5'!$C$7:$C$19</definedName>
    <definedName name="DadosExternos_196" localSheetId="1">Cotacao!$C$7:$C$112</definedName>
    <definedName name="DadosExternos_196" localSheetId="2">'Cotacao 2'!$C$7:$C$22</definedName>
    <definedName name="DadosExternos_196" localSheetId="3">'Cotacao 3'!$C$7:$C$22</definedName>
    <definedName name="DadosExternos_196" localSheetId="4">'Cotacao 4'!$C$7:$C$22</definedName>
    <definedName name="DadosExternos_196" localSheetId="5">'Cotacao 5'!$C$7:$C$22</definedName>
    <definedName name="DadosExternos_197" localSheetId="1">Cotacao!$C$7:$C$112</definedName>
    <definedName name="DadosExternos_197" localSheetId="2">'Cotacao 2'!$C$7:$C$41</definedName>
    <definedName name="DadosExternos_197" localSheetId="3">'Cotacao 3'!$C$7:$C$41</definedName>
    <definedName name="DadosExternos_197" localSheetId="4">'Cotacao 4'!$C$7:$C$41</definedName>
    <definedName name="DadosExternos_197" localSheetId="5">'Cotacao 5'!$C$7:$C$41</definedName>
    <definedName name="DadosExternos_198" localSheetId="1">Cotacao!$C$7:$C$112</definedName>
    <definedName name="DadosExternos_198" localSheetId="2">'Cotacao 2'!$C$7:$C$41</definedName>
    <definedName name="DadosExternos_198" localSheetId="3">'Cotacao 3'!$C$7:$C$41</definedName>
    <definedName name="DadosExternos_198" localSheetId="4">'Cotacao 4'!$C$7:$C$41</definedName>
    <definedName name="DadosExternos_198" localSheetId="5">'Cotacao 5'!$C$7:$C$41</definedName>
    <definedName name="DadosExternos_199" localSheetId="2">'Cotacao 2'!$C$7:$C$41</definedName>
    <definedName name="DadosExternos_199" localSheetId="3">'Cotacao 3'!$C$7:$C$41</definedName>
    <definedName name="DadosExternos_199" localSheetId="4">'Cotacao 4'!$C$7:$C$41</definedName>
    <definedName name="DadosExternos_199" localSheetId="5">'Cotacao 5'!$C$7:$C$41</definedName>
    <definedName name="DadosExternos_2" localSheetId="1">Cotacao!$C$7:$C$63</definedName>
    <definedName name="DadosExternos_2" localSheetId="2">'Cotacao 2'!$C$7:$C$63</definedName>
    <definedName name="DadosExternos_2" localSheetId="3">'Cotacao 3'!$C$7:$C$63</definedName>
    <definedName name="DadosExternos_2" localSheetId="4">'Cotacao 4'!$C$7:$C$63</definedName>
    <definedName name="DadosExternos_2" localSheetId="5">'Cotacao 5'!$C$7:$C$63</definedName>
    <definedName name="DadosExternos_20" localSheetId="1">Cotacao!$C$7:$C$64</definedName>
    <definedName name="DadosExternos_20" localSheetId="2">'Cotacao 2'!$C$7:$C$64</definedName>
    <definedName name="DadosExternos_20" localSheetId="3">'Cotacao 3'!$C$7:$C$64</definedName>
    <definedName name="DadosExternos_20" localSheetId="4">'Cotacao 4'!$C$7:$C$64</definedName>
    <definedName name="DadosExternos_20" localSheetId="5">'Cotacao 5'!$C$7:$C$64</definedName>
    <definedName name="DadosExternos_200" localSheetId="1">Cotacao!$C$7:$C$112</definedName>
    <definedName name="DadosExternos_200" localSheetId="2">'Cotacao 2'!$C$7:$C$41</definedName>
    <definedName name="DadosExternos_200" localSheetId="3">'Cotacao 3'!$C$7:$C$41</definedName>
    <definedName name="DadosExternos_200" localSheetId="4">'Cotacao 4'!$C$7:$C$41</definedName>
    <definedName name="DadosExternos_200" localSheetId="5">'Cotacao 5'!$C$7:$C$41</definedName>
    <definedName name="DadosExternos_201" localSheetId="1">Cotacao!$C$7:$C$112</definedName>
    <definedName name="DadosExternos_201" localSheetId="2">'Cotacao 2'!$C$7:$C$41</definedName>
    <definedName name="DadosExternos_201" localSheetId="3">'Cotacao 3'!$C$7:$C$41</definedName>
    <definedName name="DadosExternos_201" localSheetId="4">'Cotacao 4'!$C$7:$C$41</definedName>
    <definedName name="DadosExternos_201" localSheetId="5">'Cotacao 5'!$C$7:$C$41</definedName>
    <definedName name="DadosExternos_202" localSheetId="1">Cotacao!$C$7:$C$112</definedName>
    <definedName name="DadosExternos_202" localSheetId="2">'Cotacao 2'!$C$7:$C$41</definedName>
    <definedName name="DadosExternos_202" localSheetId="3">'Cotacao 3'!$C$7:$C$41</definedName>
    <definedName name="DadosExternos_202" localSheetId="4">'Cotacao 4'!$C$7:$C$41</definedName>
    <definedName name="DadosExternos_202" localSheetId="5">'Cotacao 5'!$C$7:$C$41</definedName>
    <definedName name="DadosExternos_203" localSheetId="1">Cotacao!$C$7:$C$112</definedName>
    <definedName name="DadosExternos_203" localSheetId="2">'Cotacao 2'!$C$7:$C$41</definedName>
    <definedName name="DadosExternos_203" localSheetId="3">'Cotacao 3'!$C$7:$C$41</definedName>
    <definedName name="DadosExternos_203" localSheetId="4">'Cotacao 4'!$C$7:$C$41</definedName>
    <definedName name="DadosExternos_203" localSheetId="5">'Cotacao 5'!$C$7:$C$41</definedName>
    <definedName name="DadosExternos_204" localSheetId="1">Cotacao!$C$7:$C$112</definedName>
    <definedName name="DadosExternos_204" localSheetId="2">'Cotacao 2'!$C$7:$C$41</definedName>
    <definedName name="DadosExternos_204" localSheetId="3">'Cotacao 3'!$C$7:$C$41</definedName>
    <definedName name="DadosExternos_204" localSheetId="4">'Cotacao 4'!$C$7:$C$41</definedName>
    <definedName name="DadosExternos_204" localSheetId="5">'Cotacao 5'!$C$7:$C$41</definedName>
    <definedName name="DadosExternos_205" localSheetId="1">Cotacao!$C$7:$C$112</definedName>
    <definedName name="DadosExternos_205" localSheetId="2">'Cotacao 2'!$C$7:$C$41</definedName>
    <definedName name="DadosExternos_205" localSheetId="3">'Cotacao 3'!$C$7:$C$41</definedName>
    <definedName name="DadosExternos_205" localSheetId="4">'Cotacao 4'!$C$7:$C$41</definedName>
    <definedName name="DadosExternos_205" localSheetId="5">'Cotacao 5'!$C$7:$C$41</definedName>
    <definedName name="DadosExternos_206" localSheetId="1">Cotacao!$C$7:$C$112</definedName>
    <definedName name="DadosExternos_206" localSheetId="2">'Cotacao 2'!$C$7:$C$43</definedName>
    <definedName name="DadosExternos_206" localSheetId="3">'Cotacao 3'!$C$7:$C$43</definedName>
    <definedName name="DadosExternos_206" localSheetId="4">'Cotacao 4'!$C$7:$C$43</definedName>
    <definedName name="DadosExternos_206" localSheetId="5">'Cotacao 5'!$C$7:$C$43</definedName>
    <definedName name="DadosExternos_207" localSheetId="1">Cotacao!$C$7:$C$112</definedName>
    <definedName name="DadosExternos_207" localSheetId="2">'Cotacao 2'!$C$7:$C$43</definedName>
    <definedName name="DadosExternos_207" localSheetId="3">'Cotacao 3'!$C$7:$C$43</definedName>
    <definedName name="DadosExternos_207" localSheetId="4">'Cotacao 4'!$C$7:$C$43</definedName>
    <definedName name="DadosExternos_207" localSheetId="5">'Cotacao 5'!$C$7:$C$43</definedName>
    <definedName name="DadosExternos_208" localSheetId="2">'Cotacao 2'!$C$7:$C$43</definedName>
    <definedName name="DadosExternos_208" localSheetId="3">'Cotacao 3'!$C$7:$C$43</definedName>
    <definedName name="DadosExternos_208" localSheetId="4">'Cotacao 4'!$C$7:$C$43</definedName>
    <definedName name="DadosExternos_208" localSheetId="5">'Cotacao 5'!$C$7:$C$43</definedName>
    <definedName name="DadosExternos_209" localSheetId="1">Cotacao!$C$7:$C$112</definedName>
    <definedName name="DadosExternos_209" localSheetId="2">'Cotacao 2'!$C$7:$C$44</definedName>
    <definedName name="DadosExternos_209" localSheetId="3">'Cotacao 3'!$C$7:$C$44</definedName>
    <definedName name="DadosExternos_209" localSheetId="4">'Cotacao 4'!$C$7:$C$44</definedName>
    <definedName name="DadosExternos_209" localSheetId="5">'Cotacao 5'!$C$7:$C$44</definedName>
    <definedName name="DadosExternos_21" localSheetId="1">Cotacao!$C$7:$C$63</definedName>
    <definedName name="DadosExternos_21" localSheetId="2">'Cotacao 2'!$C$7:$C$63</definedName>
    <definedName name="DadosExternos_21" localSheetId="3">'Cotacao 3'!$C$7:$C$63</definedName>
    <definedName name="DadosExternos_21" localSheetId="4">'Cotacao 4'!$C$7:$C$63</definedName>
    <definedName name="DadosExternos_21" localSheetId="5">'Cotacao 5'!$C$7:$C$63</definedName>
    <definedName name="DadosExternos_210" localSheetId="2">'Cotacao 2'!$C$7:$C$45</definedName>
    <definedName name="DadosExternos_210" localSheetId="3">'Cotacao 3'!$C$7:$C$45</definedName>
    <definedName name="DadosExternos_210" localSheetId="4">'Cotacao 4'!$C$7:$C$45</definedName>
    <definedName name="DadosExternos_210" localSheetId="5">'Cotacao 5'!$C$7:$C$45</definedName>
    <definedName name="DadosExternos_211" localSheetId="1">Cotacao!$C$7:$C$112</definedName>
    <definedName name="DadosExternos_211" localSheetId="2">'Cotacao 2'!$C$7:$C$46</definedName>
    <definedName name="DadosExternos_211" localSheetId="3">'Cotacao 3'!$C$7:$C$46</definedName>
    <definedName name="DadosExternos_211" localSheetId="4">'Cotacao 4'!$C$7:$C$46</definedName>
    <definedName name="DadosExternos_211" localSheetId="5">'Cotacao 5'!$C$7:$C$46</definedName>
    <definedName name="DadosExternos_212" localSheetId="1">Cotacao!$C$7:$C$112</definedName>
    <definedName name="DadosExternos_212" localSheetId="2">'Cotacao 2'!$C$7:$C$47</definedName>
    <definedName name="DadosExternos_212" localSheetId="3">'Cotacao 3'!$C$7:$C$47</definedName>
    <definedName name="DadosExternos_212" localSheetId="4">'Cotacao 4'!$C$7:$C$47</definedName>
    <definedName name="DadosExternos_212" localSheetId="5">'Cotacao 5'!$C$7:$C$47</definedName>
    <definedName name="DadosExternos_213" localSheetId="1">Cotacao!$C$7:$C$112</definedName>
    <definedName name="DadosExternos_213" localSheetId="2">'Cotacao 2'!$C$7:$C$48</definedName>
    <definedName name="DadosExternos_213" localSheetId="3">'Cotacao 3'!$C$7:$C$48</definedName>
    <definedName name="DadosExternos_213" localSheetId="4">'Cotacao 4'!$C$7:$C$48</definedName>
    <definedName name="DadosExternos_213" localSheetId="5">'Cotacao 5'!$C$7:$C$48</definedName>
    <definedName name="DadosExternos_214" localSheetId="2">'Cotacao 2'!$C$7:$C$49</definedName>
    <definedName name="DadosExternos_214" localSheetId="3">'Cotacao 3'!$C$7:$C$49</definedName>
    <definedName name="DadosExternos_214" localSheetId="4">'Cotacao 4'!$C$7:$C$49</definedName>
    <definedName name="DadosExternos_214" localSheetId="5">'Cotacao 5'!$C$7:$C$49</definedName>
    <definedName name="DadosExternos_215" localSheetId="1">Cotacao!$C$7:$C$112</definedName>
    <definedName name="DadosExternos_215" localSheetId="2">'Cotacao 2'!$C$7:$C$50</definedName>
    <definedName name="DadosExternos_215" localSheetId="3">'Cotacao 3'!$C$7:$C$50</definedName>
    <definedName name="DadosExternos_215" localSheetId="4">'Cotacao 4'!$C$7:$C$50</definedName>
    <definedName name="DadosExternos_215" localSheetId="5">'Cotacao 5'!$C$7:$C$50</definedName>
    <definedName name="DadosExternos_216" localSheetId="1">Cotacao!$C$7:$C$112</definedName>
    <definedName name="DadosExternos_216" localSheetId="2">'Cotacao 2'!$C$7:$C$51</definedName>
    <definedName name="DadosExternos_216" localSheetId="3">'Cotacao 3'!$C$7:$C$51</definedName>
    <definedName name="DadosExternos_216" localSheetId="4">'Cotacao 4'!$C$7:$C$51</definedName>
    <definedName name="DadosExternos_216" localSheetId="5">'Cotacao 5'!$C$7:$C$51</definedName>
    <definedName name="DadosExternos_217" localSheetId="1">Cotacao!$C$7:$C$112</definedName>
    <definedName name="DadosExternos_217" localSheetId="2">'Cotacao 2'!$C$7:$C$51</definedName>
    <definedName name="DadosExternos_217" localSheetId="3">'Cotacao 3'!$C$7:$C$51</definedName>
    <definedName name="DadosExternos_217" localSheetId="4">'Cotacao 4'!$C$7:$C$51</definedName>
    <definedName name="DadosExternos_217" localSheetId="5">'Cotacao 5'!$C$7:$C$51</definedName>
    <definedName name="DadosExternos_218" localSheetId="1">Cotacao!$C$7:$C$112</definedName>
    <definedName name="DadosExternos_219" localSheetId="1">Cotacao!$C$7:$C$112</definedName>
    <definedName name="DadosExternos_219" localSheetId="2">'Cotacao 2'!$C$7:$C$51</definedName>
    <definedName name="DadosExternos_219" localSheetId="3">'Cotacao 3'!$C$7:$C$51</definedName>
    <definedName name="DadosExternos_219" localSheetId="4">'Cotacao 4'!$C$7:$C$51</definedName>
    <definedName name="DadosExternos_219" localSheetId="5">'Cotacao 5'!$C$7:$C$51</definedName>
    <definedName name="DadosExternos_220" localSheetId="1">Cotacao!$C$7:$C$112</definedName>
    <definedName name="DadosExternos_220" localSheetId="2">'Cotacao 2'!$C$7:$C$51</definedName>
    <definedName name="DadosExternos_220" localSheetId="3">'Cotacao 3'!$C$7:$C$51</definedName>
    <definedName name="DadosExternos_220" localSheetId="4">'Cotacao 4'!$C$7:$C$51</definedName>
    <definedName name="DadosExternos_220" localSheetId="5">'Cotacao 5'!$C$7:$C$51</definedName>
    <definedName name="DadosExternos_221" localSheetId="1">Cotacao!$C$7:$C$112</definedName>
    <definedName name="DadosExternos_221" localSheetId="2">'Cotacao 2'!$C$7:$C$51</definedName>
    <definedName name="DadosExternos_221" localSheetId="3">'Cotacao 3'!$C$7:$C$51</definedName>
    <definedName name="DadosExternos_221" localSheetId="4">'Cotacao 4'!$C$7:$C$51</definedName>
    <definedName name="DadosExternos_221" localSheetId="5">'Cotacao 5'!$C$7:$C$51</definedName>
    <definedName name="DadosExternos_222" localSheetId="1">Cotacao!$C$7:$C$112</definedName>
    <definedName name="DadosExternos_222" localSheetId="2">'Cotacao 2'!$C$7:$C$52</definedName>
    <definedName name="DadosExternos_222" localSheetId="3">'Cotacao 3'!$C$7:$C$52</definedName>
    <definedName name="DadosExternos_222" localSheetId="4">'Cotacao 4'!$C$7:$C$52</definedName>
    <definedName name="DadosExternos_222" localSheetId="5">'Cotacao 5'!$C$7:$C$52</definedName>
    <definedName name="DadosExternos_223" localSheetId="2">'Cotacao 2'!$C$7:$C$53</definedName>
    <definedName name="DadosExternos_223" localSheetId="3">'Cotacao 3'!$C$7:$C$53</definedName>
    <definedName name="DadosExternos_223" localSheetId="4">'Cotacao 4'!$C$7:$C$53</definedName>
    <definedName name="DadosExternos_223" localSheetId="5">'Cotacao 5'!$C$7:$C$53</definedName>
    <definedName name="DadosExternos_224" localSheetId="1">Cotacao!$C$7:$C$112</definedName>
    <definedName name="DadosExternos_224" localSheetId="2">'Cotacao 2'!$C$7:$C$54</definedName>
    <definedName name="DadosExternos_224" localSheetId="3">'Cotacao 3'!$C$7:$C$54</definedName>
    <definedName name="DadosExternos_224" localSheetId="4">'Cotacao 4'!$C$7:$C$54</definedName>
    <definedName name="DadosExternos_224" localSheetId="5">'Cotacao 5'!$C$7:$C$54</definedName>
    <definedName name="DadosExternos_225" localSheetId="1">Cotacao!$C$7:$C$112</definedName>
    <definedName name="DadosExternos_225" localSheetId="2">'Cotacao 2'!$C$7:$C$55</definedName>
    <definedName name="DadosExternos_225" localSheetId="3">'Cotacao 3'!$C$7:$C$55</definedName>
    <definedName name="DadosExternos_225" localSheetId="4">'Cotacao 4'!$C$7:$C$55</definedName>
    <definedName name="DadosExternos_225" localSheetId="5">'Cotacao 5'!$C$7:$C$55</definedName>
    <definedName name="DadosExternos_226" localSheetId="1">Cotacao!$C$7:$C$112</definedName>
    <definedName name="DadosExternos_227" localSheetId="2">'Cotacao 2'!$C$7:$C$56</definedName>
    <definedName name="DadosExternos_227" localSheetId="3">'Cotacao 3'!$C$7:$C$56</definedName>
    <definedName name="DadosExternos_227" localSheetId="4">'Cotacao 4'!$C$7:$C$56</definedName>
    <definedName name="DadosExternos_227" localSheetId="5">'Cotacao 5'!$C$7:$C$56</definedName>
    <definedName name="DadosExternos_228" localSheetId="1">Cotacao!$C$7:$C$112</definedName>
    <definedName name="DadosExternos_228" localSheetId="2">'Cotacao 2'!$C$7:$C$57</definedName>
    <definedName name="DadosExternos_228" localSheetId="3">'Cotacao 3'!$C$7:$C$57</definedName>
    <definedName name="DadosExternos_228" localSheetId="4">'Cotacao 4'!$C$7:$C$57</definedName>
    <definedName name="DadosExternos_228" localSheetId="5">'Cotacao 5'!$C$7:$C$57</definedName>
    <definedName name="DadosExternos_229" localSheetId="1">Cotacao!$C$7:$C$112</definedName>
    <definedName name="DadosExternos_229" localSheetId="2">'Cotacao 2'!$C$7:$C$58</definedName>
    <definedName name="DadosExternos_229" localSheetId="3">'Cotacao 3'!$C$7:$C$58</definedName>
    <definedName name="DadosExternos_229" localSheetId="4">'Cotacao 4'!$C$7:$C$58</definedName>
    <definedName name="DadosExternos_229" localSheetId="5">'Cotacao 5'!$C$7:$C$58</definedName>
    <definedName name="DadosExternos_230" localSheetId="1">Cotacao!$C$7:$C$112</definedName>
    <definedName name="DadosExternos_230" localSheetId="2">'Cotacao 2'!$C$7:$C$59</definedName>
    <definedName name="DadosExternos_230" localSheetId="3">'Cotacao 3'!$C$7:$C$59</definedName>
    <definedName name="DadosExternos_230" localSheetId="4">'Cotacao 4'!$C$7:$C$59</definedName>
    <definedName name="DadosExternos_230" localSheetId="5">'Cotacao 5'!$C$7:$C$59</definedName>
    <definedName name="DadosExternos_231" localSheetId="1">Cotacao!$C$7:$C$112</definedName>
    <definedName name="DadosExternos_232" localSheetId="1">Cotacao!$C$7:$C$112</definedName>
    <definedName name="DadosExternos_233" localSheetId="1">Cotacao!$C$7:$C$112</definedName>
    <definedName name="DadosExternos_233" localSheetId="2">'Cotacao 2'!$C$7:$C$61</definedName>
    <definedName name="DadosExternos_233" localSheetId="3">'Cotacao 3'!$C$7:$C$61</definedName>
    <definedName name="DadosExternos_233" localSheetId="4">'Cotacao 4'!$C$7:$C$61</definedName>
    <definedName name="DadosExternos_233" localSheetId="5">'Cotacao 5'!$C$7:$C$61</definedName>
    <definedName name="DadosExternos_234" localSheetId="2">'Cotacao 2'!$C$7:$C$63</definedName>
    <definedName name="DadosExternos_234" localSheetId="3">'Cotacao 3'!$C$7:$C$63</definedName>
    <definedName name="DadosExternos_234" localSheetId="4">'Cotacao 4'!$C$7:$C$63</definedName>
    <definedName name="DadosExternos_234" localSheetId="5">'Cotacao 5'!$C$7:$C$63</definedName>
    <definedName name="DadosExternos_235" localSheetId="1">Cotacao!$C$7:$C$112</definedName>
    <definedName name="DadosExternos_235" localSheetId="2">'Cotacao 2'!$C$7:$C$64</definedName>
    <definedName name="DadosExternos_235" localSheetId="3">'Cotacao 3'!$C$7:$C$64</definedName>
    <definedName name="DadosExternos_235" localSheetId="4">'Cotacao 4'!$C$7:$C$64</definedName>
    <definedName name="DadosExternos_235" localSheetId="5">'Cotacao 5'!$C$7:$C$64</definedName>
    <definedName name="DadosExternos_237" localSheetId="1">Cotacao!$C$7:$C$112</definedName>
    <definedName name="DadosExternos_237" localSheetId="2">'Cotacao 2'!$C$7:$C$65</definedName>
    <definedName name="DadosExternos_237" localSheetId="3">'Cotacao 3'!$C$7:$C$65</definedName>
    <definedName name="DadosExternos_237" localSheetId="4">'Cotacao 4'!$C$7:$C$65</definedName>
    <definedName name="DadosExternos_237" localSheetId="5">'Cotacao 5'!$C$7:$C$65</definedName>
    <definedName name="DadosExternos_238" localSheetId="1">Cotacao!$C$7:$C$112</definedName>
    <definedName name="DadosExternos_238" localSheetId="2">'Cotacao 2'!$C$7:$C$66</definedName>
    <definedName name="DadosExternos_238" localSheetId="3">'Cotacao 3'!$C$7:$C$66</definedName>
    <definedName name="DadosExternos_238" localSheetId="4">'Cotacao 4'!$C$7:$C$66</definedName>
    <definedName name="DadosExternos_238" localSheetId="5">'Cotacao 5'!$C$7:$C$66</definedName>
    <definedName name="DadosExternos_239" localSheetId="2">'Cotacao 2'!$C$7:$C$68</definedName>
    <definedName name="DadosExternos_239" localSheetId="3">'Cotacao 3'!$C$7:$C$68</definedName>
    <definedName name="DadosExternos_239" localSheetId="4">'Cotacao 4'!$C$7:$C$68</definedName>
    <definedName name="DadosExternos_239" localSheetId="5">'Cotacao 5'!$C$7:$C$68</definedName>
    <definedName name="DadosExternos_24" localSheetId="1">Cotacao!$C$7:$C$63</definedName>
    <definedName name="DadosExternos_24" localSheetId="2">'Cotacao 2'!$C$7:$C$63</definedName>
    <definedName name="DadosExternos_24" localSheetId="3">'Cotacao 3'!$C$7:$C$63</definedName>
    <definedName name="DadosExternos_24" localSheetId="4">'Cotacao 4'!$C$7:$C$63</definedName>
    <definedName name="DadosExternos_24" localSheetId="5">'Cotacao 5'!$C$7:$C$63</definedName>
    <definedName name="DadosExternos_240" localSheetId="1">Cotacao!$C$7:$C$112</definedName>
    <definedName name="DadosExternos_240" localSheetId="2">'Cotacao 2'!$C$7:$C$68</definedName>
    <definedName name="DadosExternos_240" localSheetId="3">'Cotacao 3'!$C$7:$C$68</definedName>
    <definedName name="DadosExternos_240" localSheetId="4">'Cotacao 4'!$C$7:$C$68</definedName>
    <definedName name="DadosExternos_240" localSheetId="5">'Cotacao 5'!$C$7:$C$68</definedName>
    <definedName name="DadosExternos_241" localSheetId="1">Cotacao!$C$7:$C$113</definedName>
    <definedName name="DadosExternos_241" localSheetId="2">'Cotacao 2'!$C$7:$C$68</definedName>
    <definedName name="DadosExternos_241" localSheetId="3">'Cotacao 3'!$C$7:$C$68</definedName>
    <definedName name="DadosExternos_241" localSheetId="4">'Cotacao 4'!$C$7:$C$68</definedName>
    <definedName name="DadosExternos_241" localSheetId="5">'Cotacao 5'!$C$7:$C$68</definedName>
    <definedName name="DadosExternos_242" localSheetId="2">'Cotacao 2'!$C$7:$C$68</definedName>
    <definedName name="DadosExternos_242" localSheetId="3">'Cotacao 3'!$C$7:$C$68</definedName>
    <definedName name="DadosExternos_242" localSheetId="4">'Cotacao 4'!$C$7:$C$68</definedName>
    <definedName name="DadosExternos_242" localSheetId="5">'Cotacao 5'!$C$7:$C$68</definedName>
    <definedName name="DadosExternos_243" localSheetId="1">Cotacao!$C$7:$C$113</definedName>
    <definedName name="DadosExternos_243" localSheetId="2">'Cotacao 2'!$C$7:$C$68</definedName>
    <definedName name="DadosExternos_243" localSheetId="3">'Cotacao 3'!$C$7:$C$68</definedName>
    <definedName name="DadosExternos_243" localSheetId="4">'Cotacao 4'!$C$7:$C$68</definedName>
    <definedName name="DadosExternos_243" localSheetId="5">'Cotacao 5'!$C$7:$C$68</definedName>
    <definedName name="DadosExternos_244" localSheetId="1">Cotacao!$C$7:$C$113</definedName>
    <definedName name="DadosExternos_244" localSheetId="2">'Cotacao 2'!$C$7:$C$68</definedName>
    <definedName name="DadosExternos_244" localSheetId="3">'Cotacao 3'!$C$7:$C$68</definedName>
    <definedName name="DadosExternos_244" localSheetId="4">'Cotacao 4'!$C$7:$C$68</definedName>
    <definedName name="DadosExternos_244" localSheetId="5">'Cotacao 5'!$C$7:$C$68</definedName>
    <definedName name="DadosExternos_245" localSheetId="1">Cotacao!$C$7:$C$113</definedName>
    <definedName name="DadosExternos_246" localSheetId="2">'Cotacao 2'!$C$7:$C$68</definedName>
    <definedName name="DadosExternos_246" localSheetId="3">'Cotacao 3'!$C$7:$C$68</definedName>
    <definedName name="DadosExternos_246" localSheetId="4">'Cotacao 4'!$C$7:$C$68</definedName>
    <definedName name="DadosExternos_246" localSheetId="5">'Cotacao 5'!$C$7:$C$68</definedName>
    <definedName name="DadosExternos_247" localSheetId="1">Cotacao!$C$7:$C$113</definedName>
    <definedName name="DadosExternos_249" localSheetId="1">Cotacao!$C$7:$C$113</definedName>
    <definedName name="DadosExternos_249" localSheetId="2">'Cotacao 2'!$C$7:$C$68</definedName>
    <definedName name="DadosExternos_249" localSheetId="3">'Cotacao 3'!$C$7:$C$68</definedName>
    <definedName name="DadosExternos_249" localSheetId="4">'Cotacao 4'!$C$7:$C$68</definedName>
    <definedName name="DadosExternos_249" localSheetId="5">'Cotacao 5'!$C$7:$C$68</definedName>
    <definedName name="DadosExternos_250" localSheetId="1">Cotacao!$C$7:$C$113</definedName>
    <definedName name="DadosExternos_250" localSheetId="2">'Cotacao 2'!$C$7:$C$68</definedName>
    <definedName name="DadosExternos_250" localSheetId="3">'Cotacao 3'!$C$7:$C$68</definedName>
    <definedName name="DadosExternos_250" localSheetId="4">'Cotacao 4'!$C$7:$C$68</definedName>
    <definedName name="DadosExternos_250" localSheetId="5">'Cotacao 5'!$C$7:$C$68</definedName>
    <definedName name="DadosExternos_251" localSheetId="1">Cotacao!$C$7:$C$113</definedName>
    <definedName name="DadosExternos_251" localSheetId="2">'Cotacao 2'!$C$7:$C$68</definedName>
    <definedName name="DadosExternos_251" localSheetId="3">'Cotacao 3'!$C$7:$C$68</definedName>
    <definedName name="DadosExternos_251" localSheetId="4">'Cotacao 4'!$C$7:$C$68</definedName>
    <definedName name="DadosExternos_251" localSheetId="5">'Cotacao 5'!$C$7:$C$68</definedName>
    <definedName name="DadosExternos_252" localSheetId="1">Cotacao!$C$7:$C$113</definedName>
    <definedName name="DadosExternos_253" localSheetId="1">Cotacao!$C$7:$C$113</definedName>
    <definedName name="DadosExternos_253" localSheetId="2">'Cotacao 2'!$C$7:$C$69</definedName>
    <definedName name="DadosExternos_253" localSheetId="3">'Cotacao 3'!$C$7:$C$69</definedName>
    <definedName name="DadosExternos_253" localSheetId="4">'Cotacao 4'!$C$7:$C$69</definedName>
    <definedName name="DadosExternos_253" localSheetId="5">'Cotacao 5'!$C$7:$C$69</definedName>
    <definedName name="DadosExternos_254" localSheetId="1">Cotacao!$C$7:$C$113</definedName>
    <definedName name="DadosExternos_255" localSheetId="1">Cotacao!$C$7:$C$113</definedName>
    <definedName name="DadosExternos_256" localSheetId="1">Cotacao!$C$7:$C$113</definedName>
    <definedName name="DadosExternos_256" localSheetId="2">'Cotacao 2'!$C$7:$C$69</definedName>
    <definedName name="DadosExternos_256" localSheetId="3">'Cotacao 3'!$C$7:$C$69</definedName>
    <definedName name="DadosExternos_256" localSheetId="4">'Cotacao 4'!$C$7:$C$69</definedName>
    <definedName name="DadosExternos_256" localSheetId="5">'Cotacao 5'!$C$7:$C$69</definedName>
    <definedName name="DadosExternos_257" localSheetId="1">Cotacao!$C$7:$C$113</definedName>
    <definedName name="DadosExternos_257" localSheetId="2">'Cotacao 2'!$C$7:$C$69</definedName>
    <definedName name="DadosExternos_257" localSheetId="3">'Cotacao 3'!$C$7:$C$69</definedName>
    <definedName name="DadosExternos_257" localSheetId="4">'Cotacao 4'!$C$7:$C$69</definedName>
    <definedName name="DadosExternos_257" localSheetId="5">'Cotacao 5'!$C$7:$C$69</definedName>
    <definedName name="DadosExternos_258" localSheetId="2">'Cotacao 2'!$C$7:$C$69</definedName>
    <definedName name="DadosExternos_258" localSheetId="3">'Cotacao 3'!$C$7:$C$69</definedName>
    <definedName name="DadosExternos_258" localSheetId="4">'Cotacao 4'!$C$7:$C$69</definedName>
    <definedName name="DadosExternos_258" localSheetId="5">'Cotacao 5'!$C$7:$C$69</definedName>
    <definedName name="DadosExternos_259" localSheetId="2">'Cotacao 2'!$C$7:$C$69</definedName>
    <definedName name="DadosExternos_259" localSheetId="3">'Cotacao 3'!$C$7:$C$69</definedName>
    <definedName name="DadosExternos_259" localSheetId="4">'Cotacao 4'!$C$7:$C$69</definedName>
    <definedName name="DadosExternos_259" localSheetId="5">'Cotacao 5'!$C$7:$C$69</definedName>
    <definedName name="DadosExternos_26" localSheetId="1">Cotacao!$C$7:$C$64</definedName>
    <definedName name="DadosExternos_26" localSheetId="2">'Cotacao 2'!$C$7:$C$64</definedName>
    <definedName name="DadosExternos_26" localSheetId="3">'Cotacao 3'!$C$7:$C$64</definedName>
    <definedName name="DadosExternos_26" localSheetId="4">'Cotacao 4'!$C$7:$C$64</definedName>
    <definedName name="DadosExternos_26" localSheetId="5">'Cotacao 5'!$C$7:$C$64</definedName>
    <definedName name="DadosExternos_260" localSheetId="2">'Cotacao 2'!$C$7:$C$69</definedName>
    <definedName name="DadosExternos_260" localSheetId="3">'Cotacao 3'!$C$7:$C$69</definedName>
    <definedName name="DadosExternos_260" localSheetId="4">'Cotacao 4'!$C$7:$C$69</definedName>
    <definedName name="DadosExternos_260" localSheetId="5">'Cotacao 5'!$C$7:$C$69</definedName>
    <definedName name="DadosExternos_261" localSheetId="2">'Cotacao 2'!$C$7:$C$69</definedName>
    <definedName name="DadosExternos_261" localSheetId="3">'Cotacao 3'!$C$7:$C$69</definedName>
    <definedName name="DadosExternos_261" localSheetId="4">'Cotacao 4'!$C$7:$C$69</definedName>
    <definedName name="DadosExternos_261" localSheetId="5">'Cotacao 5'!$C$7:$C$69</definedName>
    <definedName name="DadosExternos_262" localSheetId="2">'Cotacao 2'!$C$7:$C$69</definedName>
    <definedName name="DadosExternos_262" localSheetId="3">'Cotacao 3'!$C$7:$C$69</definedName>
    <definedName name="DadosExternos_262" localSheetId="4">'Cotacao 4'!$C$7:$C$69</definedName>
    <definedName name="DadosExternos_262" localSheetId="5">'Cotacao 5'!$C$7:$C$69</definedName>
    <definedName name="DadosExternos_263" localSheetId="2">'Cotacao 2'!$C$7:$C$69</definedName>
    <definedName name="DadosExternos_263" localSheetId="3">'Cotacao 3'!$C$7:$C$69</definedName>
    <definedName name="DadosExternos_263" localSheetId="4">'Cotacao 4'!$C$7:$C$69</definedName>
    <definedName name="DadosExternos_263" localSheetId="5">'Cotacao 5'!$C$7:$C$69</definedName>
    <definedName name="DadosExternos_265" localSheetId="2">'Cotacao 2'!$C$7:$C$69</definedName>
    <definedName name="DadosExternos_265" localSheetId="3">'Cotacao 3'!$C$7:$C$69</definedName>
    <definedName name="DadosExternos_265" localSheetId="4">'Cotacao 4'!$C$7:$C$69</definedName>
    <definedName name="DadosExternos_265" localSheetId="5">'Cotacao 5'!$C$7:$C$69</definedName>
    <definedName name="DadosExternos_268" localSheetId="2">'Cotacao 2'!$C$7:$C$69</definedName>
    <definedName name="DadosExternos_268" localSheetId="3">'Cotacao 3'!$C$7:$C$69</definedName>
    <definedName name="DadosExternos_268" localSheetId="4">'Cotacao 4'!$C$7:$C$69</definedName>
    <definedName name="DadosExternos_268" localSheetId="5">'Cotacao 5'!$C$7:$C$69</definedName>
    <definedName name="DadosExternos_269" localSheetId="2">'Cotacao 2'!$C$7:$C$69</definedName>
    <definedName name="DadosExternos_269" localSheetId="3">'Cotacao 3'!$C$7:$C$69</definedName>
    <definedName name="DadosExternos_269" localSheetId="4">'Cotacao 4'!$C$7:$C$69</definedName>
    <definedName name="DadosExternos_269" localSheetId="5">'Cotacao 5'!$C$7:$C$69</definedName>
    <definedName name="DadosExternos_27" localSheetId="1">Cotacao!$C$7:$C$65</definedName>
    <definedName name="DadosExternos_27" localSheetId="2">'Cotacao 2'!$C$7:$C$65</definedName>
    <definedName name="DadosExternos_27" localSheetId="3">'Cotacao 3'!$C$7:$C$65</definedName>
    <definedName name="DadosExternos_27" localSheetId="4">'Cotacao 4'!$C$7:$C$65</definedName>
    <definedName name="DadosExternos_27" localSheetId="5">'Cotacao 5'!$C$7:$C$65</definedName>
    <definedName name="DadosExternos_270" localSheetId="2">'Cotacao 2'!$C$7:$C$69</definedName>
    <definedName name="DadosExternos_270" localSheetId="3">'Cotacao 3'!$C$7:$C$69</definedName>
    <definedName name="DadosExternos_270" localSheetId="4">'Cotacao 4'!$C$7:$C$69</definedName>
    <definedName name="DadosExternos_270" localSheetId="5">'Cotacao 5'!$C$7:$C$69</definedName>
    <definedName name="DadosExternos_271" localSheetId="2">'Cotacao 2'!$C$7:$C$69</definedName>
    <definedName name="DadosExternos_271" localSheetId="3">'Cotacao 3'!$C$7:$C$69</definedName>
    <definedName name="DadosExternos_271" localSheetId="4">'Cotacao 4'!$C$7:$C$69</definedName>
    <definedName name="DadosExternos_271" localSheetId="5">'Cotacao 5'!$C$7:$C$69</definedName>
    <definedName name="DadosExternos_272" localSheetId="2">'Cotacao 2'!$C$7:$C$69</definedName>
    <definedName name="DadosExternos_272" localSheetId="3">'Cotacao 3'!$C$7:$C$69</definedName>
    <definedName name="DadosExternos_272" localSheetId="4">'Cotacao 4'!$C$7:$C$69</definedName>
    <definedName name="DadosExternos_272" localSheetId="5">'Cotacao 5'!$C$7:$C$69</definedName>
    <definedName name="DadosExternos_275" localSheetId="2">'Cotacao 2'!$C$7:$C$69</definedName>
    <definedName name="DadosExternos_275" localSheetId="3">'Cotacao 3'!$C$7:$C$69</definedName>
    <definedName name="DadosExternos_275" localSheetId="4">'Cotacao 4'!$C$7:$C$69</definedName>
    <definedName name="DadosExternos_275" localSheetId="5">'Cotacao 5'!$C$7:$C$69</definedName>
    <definedName name="DadosExternos_276" localSheetId="2">'Cotacao 2'!$C$7:$C$69</definedName>
    <definedName name="DadosExternos_276" localSheetId="3">'Cotacao 3'!$C$7:$C$69</definedName>
    <definedName name="DadosExternos_276" localSheetId="4">'Cotacao 4'!$C$7:$C$69</definedName>
    <definedName name="DadosExternos_276" localSheetId="5">'Cotacao 5'!$C$7:$C$69</definedName>
    <definedName name="DadosExternos_277" localSheetId="2">'Cotacao 2'!$C$7:$C$69</definedName>
    <definedName name="DadosExternos_277" localSheetId="3">'Cotacao 3'!$C$7:$C$69</definedName>
    <definedName name="DadosExternos_277" localSheetId="4">'Cotacao 4'!$C$7:$C$69</definedName>
    <definedName name="DadosExternos_277" localSheetId="5">'Cotacao 5'!$C$7:$C$69</definedName>
    <definedName name="DadosExternos_278" localSheetId="2">'Cotacao 2'!$C$7:$C$69</definedName>
    <definedName name="DadosExternos_278" localSheetId="3">'Cotacao 3'!$C$7:$C$69</definedName>
    <definedName name="DadosExternos_278" localSheetId="4">'Cotacao 4'!$C$7:$C$69</definedName>
    <definedName name="DadosExternos_278" localSheetId="5">'Cotacao 5'!$C$7:$C$69</definedName>
    <definedName name="DadosExternos_279" localSheetId="2">'Cotacao 2'!$C$7:$C$69</definedName>
    <definedName name="DadosExternos_279" localSheetId="3">'Cotacao 3'!$C$7:$C$69</definedName>
    <definedName name="DadosExternos_279" localSheetId="4">'Cotacao 4'!$C$7:$C$69</definedName>
    <definedName name="DadosExternos_279" localSheetId="5">'Cotacao 5'!$C$7:$C$69</definedName>
    <definedName name="DadosExternos_28" localSheetId="1">Cotacao!$C$7:$C$65</definedName>
    <definedName name="DadosExternos_28" localSheetId="2">'Cotacao 2'!$C$7:$C$65</definedName>
    <definedName name="DadosExternos_28" localSheetId="3">'Cotacao 3'!$C$7:$C$65</definedName>
    <definedName name="DadosExternos_28" localSheetId="4">'Cotacao 4'!$C$7:$C$65</definedName>
    <definedName name="DadosExternos_28" localSheetId="5">'Cotacao 5'!$C$7:$C$65</definedName>
    <definedName name="DadosExternos_280" localSheetId="2">'Cotacao 2'!$C$7:$C$69</definedName>
    <definedName name="DadosExternos_280" localSheetId="3">'Cotacao 3'!$C$7:$C$69</definedName>
    <definedName name="DadosExternos_280" localSheetId="4">'Cotacao 4'!$C$7:$C$69</definedName>
    <definedName name="DadosExternos_280" localSheetId="5">'Cotacao 5'!$C$7:$C$69</definedName>
    <definedName name="DadosExternos_281" localSheetId="2">'Cotacao 2'!$C$7:$C$69</definedName>
    <definedName name="DadosExternos_281" localSheetId="3">'Cotacao 3'!$C$7:$C$69</definedName>
    <definedName name="DadosExternos_281" localSheetId="4">'Cotacao 4'!$C$7:$C$69</definedName>
    <definedName name="DadosExternos_281" localSheetId="5">'Cotacao 5'!$C$7:$C$69</definedName>
    <definedName name="DadosExternos_282" localSheetId="2">'Cotacao 2'!$C$7:$C$69</definedName>
    <definedName name="DadosExternos_282" localSheetId="3">'Cotacao 3'!$C$7:$C$69</definedName>
    <definedName name="DadosExternos_282" localSheetId="4">'Cotacao 4'!$C$7:$C$69</definedName>
    <definedName name="DadosExternos_282" localSheetId="5">'Cotacao 5'!$C$7:$C$69</definedName>
    <definedName name="DadosExternos_287" localSheetId="2">'Cotacao 2'!$C$7:$C$69</definedName>
    <definedName name="DadosExternos_287" localSheetId="3">'Cotacao 3'!$C$7:$C$69</definedName>
    <definedName name="DadosExternos_287" localSheetId="4">'Cotacao 4'!$C$7:$C$69</definedName>
    <definedName name="DadosExternos_287" localSheetId="5">'Cotacao 5'!$C$7:$C$69</definedName>
    <definedName name="DadosExternos_288" localSheetId="2">'Cotacao 2'!$C$7:$C$71</definedName>
    <definedName name="DadosExternos_288" localSheetId="3">'Cotacao 3'!$C$7:$C$71</definedName>
    <definedName name="DadosExternos_288" localSheetId="4">'Cotacao 4'!$C$7:$C$71</definedName>
    <definedName name="DadosExternos_288" localSheetId="5">'Cotacao 5'!$C$7:$C$71</definedName>
    <definedName name="DadosExternos_29" localSheetId="1">Cotacao!$C$7:$C$65</definedName>
    <definedName name="DadosExternos_29" localSheetId="2">'Cotacao 2'!$C$7:$C$65</definedName>
    <definedName name="DadosExternos_29" localSheetId="3">'Cotacao 3'!$C$7:$C$65</definedName>
    <definedName name="DadosExternos_29" localSheetId="4">'Cotacao 4'!$C$7:$C$65</definedName>
    <definedName name="DadosExternos_29" localSheetId="5">'Cotacao 5'!$C$7:$C$65</definedName>
    <definedName name="DadosExternos_290" localSheetId="2">'Cotacao 2'!$C$7:$C$69</definedName>
    <definedName name="DadosExternos_290" localSheetId="3">'Cotacao 3'!$C$7:$C$69</definedName>
    <definedName name="DadosExternos_290" localSheetId="4">'Cotacao 4'!$C$7:$C$69</definedName>
    <definedName name="DadosExternos_290" localSheetId="5">'Cotacao 5'!$C$7:$C$69</definedName>
    <definedName name="DadosExternos_291" localSheetId="2">'Cotacao 2'!$C$7:$C$71</definedName>
    <definedName name="DadosExternos_291" localSheetId="3">'Cotacao 3'!$C$7:$C$71</definedName>
    <definedName name="DadosExternos_291" localSheetId="4">'Cotacao 4'!$C$7:$C$71</definedName>
    <definedName name="DadosExternos_291" localSheetId="5">'Cotacao 5'!$C$7:$C$71</definedName>
    <definedName name="DadosExternos_292" localSheetId="2">'Cotacao 2'!$C$7:$C$71</definedName>
    <definedName name="DadosExternos_292" localSheetId="3">'Cotacao 3'!$C$7:$C$71</definedName>
    <definedName name="DadosExternos_292" localSheetId="4">'Cotacao 4'!$C$7:$C$71</definedName>
    <definedName name="DadosExternos_292" localSheetId="5">'Cotacao 5'!$C$7:$C$71</definedName>
    <definedName name="DadosExternos_293" localSheetId="2">'Cotacao 2'!$C$7:$C$71</definedName>
    <definedName name="DadosExternos_293" localSheetId="3">'Cotacao 3'!$C$7:$C$71</definedName>
    <definedName name="DadosExternos_293" localSheetId="4">'Cotacao 4'!$C$7:$C$71</definedName>
    <definedName name="DadosExternos_293" localSheetId="5">'Cotacao 5'!$C$7:$C$71</definedName>
    <definedName name="DadosExternos_294" localSheetId="2">'Cotacao 2'!$C$7:$C$72</definedName>
    <definedName name="DadosExternos_294" localSheetId="3">'Cotacao 3'!$C$7:$C$72</definedName>
    <definedName name="DadosExternos_294" localSheetId="4">'Cotacao 4'!$C$7:$C$72</definedName>
    <definedName name="DadosExternos_294" localSheetId="5">'Cotacao 5'!$C$7:$C$72</definedName>
    <definedName name="DadosExternos_295" localSheetId="2">'Cotacao 2'!$C$7:$C$71</definedName>
    <definedName name="DadosExternos_295" localSheetId="3">'Cotacao 3'!$C$7:$C$71</definedName>
    <definedName name="DadosExternos_295" localSheetId="4">'Cotacao 4'!$C$7:$C$71</definedName>
    <definedName name="DadosExternos_295" localSheetId="5">'Cotacao 5'!$C$7:$C$71</definedName>
    <definedName name="DadosExternos_296" localSheetId="2">'Cotacao 2'!$C$7:$C$72</definedName>
    <definedName name="DadosExternos_296" localSheetId="3">'Cotacao 3'!$C$7:$C$72</definedName>
    <definedName name="DadosExternos_296" localSheetId="4">'Cotacao 4'!$C$7:$C$72</definedName>
    <definedName name="DadosExternos_296" localSheetId="5">'Cotacao 5'!$C$7:$C$72</definedName>
    <definedName name="DadosExternos_297" localSheetId="2">'Cotacao 2'!$C$7:$C$74</definedName>
    <definedName name="DadosExternos_297" localSheetId="3">'Cotacao 3'!$C$7:$C$74</definedName>
    <definedName name="DadosExternos_297" localSheetId="4">'Cotacao 4'!$C$7:$C$74</definedName>
    <definedName name="DadosExternos_297" localSheetId="5">'Cotacao 5'!$C$7:$C$74</definedName>
    <definedName name="DadosExternos_298" localSheetId="2">'Cotacao 2'!$C$7:$C$75</definedName>
    <definedName name="DadosExternos_298" localSheetId="3">'Cotacao 3'!$C$7:$C$75</definedName>
    <definedName name="DadosExternos_298" localSheetId="4">'Cotacao 4'!$C$7:$C$75</definedName>
    <definedName name="DadosExternos_298" localSheetId="5">'Cotacao 5'!$C$7:$C$75</definedName>
    <definedName name="DadosExternos_299" localSheetId="2">'Cotacao 2'!$C$7:$C$78</definedName>
    <definedName name="DadosExternos_299" localSheetId="3">'Cotacao 3'!$C$7:$C$78</definedName>
    <definedName name="DadosExternos_299" localSheetId="4">'Cotacao 4'!$C$7:$C$78</definedName>
    <definedName name="DadosExternos_299" localSheetId="5">'Cotacao 5'!$C$7:$C$78</definedName>
    <definedName name="DadosExternos_3" localSheetId="1">Cotacao!$C$7:$C$63</definedName>
    <definedName name="DadosExternos_3" localSheetId="2">'Cotacao 2'!$C$7:$C$63</definedName>
    <definedName name="DadosExternos_3" localSheetId="3">'Cotacao 3'!$C$7:$C$63</definedName>
    <definedName name="DadosExternos_3" localSheetId="4">'Cotacao 4'!$C$7:$C$63</definedName>
    <definedName name="DadosExternos_3" localSheetId="5">'Cotacao 5'!$C$7:$C$63</definedName>
    <definedName name="DadosExternos_30" localSheetId="1">Cotacao!$C$7:$C$65</definedName>
    <definedName name="DadosExternos_30" localSheetId="2">'Cotacao 2'!$C$7:$C$65</definedName>
    <definedName name="DadosExternos_30" localSheetId="3">'Cotacao 3'!$C$7:$C$65</definedName>
    <definedName name="DadosExternos_30" localSheetId="4">'Cotacao 4'!$C$7:$C$65</definedName>
    <definedName name="DadosExternos_30" localSheetId="5">'Cotacao 5'!$C$7:$C$65</definedName>
    <definedName name="DadosExternos_300" localSheetId="2">'Cotacao 2'!$C$7:$C$78</definedName>
    <definedName name="DadosExternos_300" localSheetId="3">'Cotacao 3'!$C$7:$C$78</definedName>
    <definedName name="DadosExternos_300" localSheetId="4">'Cotacao 4'!$C$7:$C$78</definedName>
    <definedName name="DadosExternos_300" localSheetId="5">'Cotacao 5'!$C$7:$C$78</definedName>
    <definedName name="DadosExternos_302" localSheetId="2">'Cotacao 2'!$C$7:$C$79</definedName>
    <definedName name="DadosExternos_302" localSheetId="3">'Cotacao 3'!$C$7:$C$79</definedName>
    <definedName name="DadosExternos_302" localSheetId="4">'Cotacao 4'!$C$7:$C$79</definedName>
    <definedName name="DadosExternos_302" localSheetId="5">'Cotacao 5'!$C$7:$C$79</definedName>
    <definedName name="DadosExternos_304" localSheetId="2">'Cotacao 2'!$C$7:$C$81</definedName>
    <definedName name="DadosExternos_304" localSheetId="3">'Cotacao 3'!$C$7:$C$81</definedName>
    <definedName name="DadosExternos_304" localSheetId="4">'Cotacao 4'!$C$7:$C$81</definedName>
    <definedName name="DadosExternos_304" localSheetId="5">'Cotacao 5'!$C$7:$C$81</definedName>
    <definedName name="DadosExternos_305" localSheetId="2">'Cotacao 2'!$C$7:$C$80</definedName>
    <definedName name="DadosExternos_305" localSheetId="3">'Cotacao 3'!$C$7:$C$80</definedName>
    <definedName name="DadosExternos_305" localSheetId="4">'Cotacao 4'!$C$7:$C$80</definedName>
    <definedName name="DadosExternos_305" localSheetId="5">'Cotacao 5'!$C$7:$C$80</definedName>
    <definedName name="DadosExternos_307" localSheetId="2">'Cotacao 2'!$C$7:$C$80</definedName>
    <definedName name="DadosExternos_307" localSheetId="3">'Cotacao 3'!$C$7:$C$80</definedName>
    <definedName name="DadosExternos_307" localSheetId="4">'Cotacao 4'!$C$7:$C$80</definedName>
    <definedName name="DadosExternos_307" localSheetId="5">'Cotacao 5'!$C$7:$C$80</definedName>
    <definedName name="DadosExternos_308" localSheetId="2">'Cotacao 2'!$C$7:$C$81</definedName>
    <definedName name="DadosExternos_308" localSheetId="3">'Cotacao 3'!$C$7:$C$81</definedName>
    <definedName name="DadosExternos_308" localSheetId="4">'Cotacao 4'!$C$7:$C$81</definedName>
    <definedName name="DadosExternos_308" localSheetId="5">'Cotacao 5'!$C$7:$C$81</definedName>
    <definedName name="DadosExternos_309" localSheetId="2">'Cotacao 2'!$C$7:$C$81</definedName>
    <definedName name="DadosExternos_309" localSheetId="3">'Cotacao 3'!$C$7:$C$81</definedName>
    <definedName name="DadosExternos_309" localSheetId="4">'Cotacao 4'!$C$7:$C$81</definedName>
    <definedName name="DadosExternos_309" localSheetId="5">'Cotacao 5'!$C$7:$C$81</definedName>
    <definedName name="DadosExternos_31" localSheetId="1">Cotacao!$C$7:$C$65</definedName>
    <definedName name="DadosExternos_31" localSheetId="2">'Cotacao 2'!$C$7:$C$65</definedName>
    <definedName name="DadosExternos_31" localSheetId="3">'Cotacao 3'!$C$7:$C$65</definedName>
    <definedName name="DadosExternos_31" localSheetId="4">'Cotacao 4'!$C$7:$C$65</definedName>
    <definedName name="DadosExternos_31" localSheetId="5">'Cotacao 5'!$C$7:$C$65</definedName>
    <definedName name="DadosExternos_311" localSheetId="2">'Cotacao 2'!$C$7:$C$85</definedName>
    <definedName name="DadosExternos_311" localSheetId="3">'Cotacao 3'!$C$7:$C$85</definedName>
    <definedName name="DadosExternos_311" localSheetId="4">'Cotacao 4'!$C$7:$C$85</definedName>
    <definedName name="DadosExternos_311" localSheetId="5">'Cotacao 5'!$C$7:$C$85</definedName>
    <definedName name="DadosExternos_315" localSheetId="2">'Cotacao 2'!$C$7:$C$85</definedName>
    <definedName name="DadosExternos_315" localSheetId="3">'Cotacao 3'!$C$7:$C$85</definedName>
    <definedName name="DadosExternos_315" localSheetId="4">'Cotacao 4'!$C$7:$C$85</definedName>
    <definedName name="DadosExternos_315" localSheetId="5">'Cotacao 5'!$C$7:$C$85</definedName>
    <definedName name="DadosExternos_317" localSheetId="2">'Cotacao 2'!$C$7:$C$86</definedName>
    <definedName name="DadosExternos_317" localSheetId="3">'Cotacao 3'!$C$7:$C$86</definedName>
    <definedName name="DadosExternos_317" localSheetId="4">'Cotacao 4'!$C$7:$C$86</definedName>
    <definedName name="DadosExternos_317" localSheetId="5">'Cotacao 5'!$C$7:$C$86</definedName>
    <definedName name="DadosExternos_318" localSheetId="2">'Cotacao 2'!$C$7:$C$86</definedName>
    <definedName name="DadosExternos_318" localSheetId="3">'Cotacao 3'!$C$7:$C$86</definedName>
    <definedName name="DadosExternos_318" localSheetId="4">'Cotacao 4'!$C$7:$C$86</definedName>
    <definedName name="DadosExternos_318" localSheetId="5">'Cotacao 5'!$C$7:$C$86</definedName>
    <definedName name="DadosExternos_319" localSheetId="2">'Cotacao 2'!$C$7:$C$87</definedName>
    <definedName name="DadosExternos_319" localSheetId="3">'Cotacao 3'!$C$7:$C$87</definedName>
    <definedName name="DadosExternos_319" localSheetId="4">'Cotacao 4'!$C$7:$C$87</definedName>
    <definedName name="DadosExternos_319" localSheetId="5">'Cotacao 5'!$C$7:$C$87</definedName>
    <definedName name="DadosExternos_32" localSheetId="1">Cotacao!$C$7:$C$65</definedName>
    <definedName name="DadosExternos_32" localSheetId="2">'Cotacao 2'!$C$7:$C$65</definedName>
    <definedName name="DadosExternos_32" localSheetId="3">'Cotacao 3'!$C$7:$C$65</definedName>
    <definedName name="DadosExternos_32" localSheetId="4">'Cotacao 4'!$C$7:$C$65</definedName>
    <definedName name="DadosExternos_32" localSheetId="5">'Cotacao 5'!$C$7:$C$65</definedName>
    <definedName name="DadosExternos_320" localSheetId="2">'Cotacao 2'!$C$7:$C$87</definedName>
    <definedName name="DadosExternos_320" localSheetId="3">'Cotacao 3'!$C$7:$C$87</definedName>
    <definedName name="DadosExternos_320" localSheetId="4">'Cotacao 4'!$C$7:$C$87</definedName>
    <definedName name="DadosExternos_320" localSheetId="5">'Cotacao 5'!$C$7:$C$87</definedName>
    <definedName name="DadosExternos_323" localSheetId="2">'Cotacao 2'!$C$7:$C$88</definedName>
    <definedName name="DadosExternos_323" localSheetId="3">'Cotacao 3'!$C$7:$C$88</definedName>
    <definedName name="DadosExternos_323" localSheetId="4">'Cotacao 4'!$C$7:$C$88</definedName>
    <definedName name="DadosExternos_323" localSheetId="5">'Cotacao 5'!$C$7:$C$88</definedName>
    <definedName name="DadosExternos_324" localSheetId="2">'Cotacao 2'!$C$7:$C$88</definedName>
    <definedName name="DadosExternos_324" localSheetId="3">'Cotacao 3'!$C$7:$C$88</definedName>
    <definedName name="DadosExternos_324" localSheetId="4">'Cotacao 4'!$C$7:$C$88</definedName>
    <definedName name="DadosExternos_324" localSheetId="5">'Cotacao 5'!$C$7:$C$88</definedName>
    <definedName name="DadosExternos_325" localSheetId="2">'Cotacao 2'!$C$7:$C$88</definedName>
    <definedName name="DadosExternos_325" localSheetId="3">'Cotacao 3'!$C$7:$C$88</definedName>
    <definedName name="DadosExternos_325" localSheetId="4">'Cotacao 4'!$C$7:$C$88</definedName>
    <definedName name="DadosExternos_325" localSheetId="5">'Cotacao 5'!$C$7:$C$88</definedName>
    <definedName name="DadosExternos_326" localSheetId="2">'Cotacao 2'!$C$7:$C$88</definedName>
    <definedName name="DadosExternos_326" localSheetId="3">'Cotacao 3'!$C$7:$C$88</definedName>
    <definedName name="DadosExternos_326" localSheetId="4">'Cotacao 4'!$C$7:$C$88</definedName>
    <definedName name="DadosExternos_326" localSheetId="5">'Cotacao 5'!$C$7:$C$88</definedName>
    <definedName name="DadosExternos_327" localSheetId="2">'Cotacao 2'!$C$7:$C$89</definedName>
    <definedName name="DadosExternos_327" localSheetId="3">'Cotacao 3'!$C$7:$C$89</definedName>
    <definedName name="DadosExternos_327" localSheetId="4">'Cotacao 4'!$C$7:$C$89</definedName>
    <definedName name="DadosExternos_327" localSheetId="5">'Cotacao 5'!$C$7:$C$89</definedName>
    <definedName name="DadosExternos_328" localSheetId="2">'Cotacao 2'!$C$7:$C$91</definedName>
    <definedName name="DadosExternos_328" localSheetId="3">'Cotacao 3'!$C$7:$C$91</definedName>
    <definedName name="DadosExternos_328" localSheetId="4">'Cotacao 4'!$C$7:$C$91</definedName>
    <definedName name="DadosExternos_328" localSheetId="5">'Cotacao 5'!$C$7:$C$91</definedName>
    <definedName name="DadosExternos_329" localSheetId="2">'Cotacao 2'!$C$7:$C$93</definedName>
    <definedName name="DadosExternos_329" localSheetId="3">'Cotacao 3'!$C$7:$C$93</definedName>
    <definedName name="DadosExternos_329" localSheetId="4">'Cotacao 4'!$C$7:$C$93</definedName>
    <definedName name="DadosExternos_329" localSheetId="5">'Cotacao 5'!$C$7:$C$93</definedName>
    <definedName name="DadosExternos_33" localSheetId="1">Cotacao!$C$7:$C$65</definedName>
    <definedName name="DadosExternos_33" localSheetId="2">'Cotacao 2'!$C$7:$C$65</definedName>
    <definedName name="DadosExternos_33" localSheetId="3">'Cotacao 3'!$C$7:$C$65</definedName>
    <definedName name="DadosExternos_33" localSheetId="4">'Cotacao 4'!$C$7:$C$65</definedName>
    <definedName name="DadosExternos_33" localSheetId="5">'Cotacao 5'!$C$7:$C$65</definedName>
    <definedName name="DadosExternos_330" localSheetId="2">'Cotacao 2'!$C$7:$C$93</definedName>
    <definedName name="DadosExternos_330" localSheetId="3">'Cotacao 3'!$C$7:$C$93</definedName>
    <definedName name="DadosExternos_330" localSheetId="4">'Cotacao 4'!$C$7:$C$93</definedName>
    <definedName name="DadosExternos_330" localSheetId="5">'Cotacao 5'!$C$7:$C$93</definedName>
    <definedName name="DadosExternos_331" localSheetId="2">'Cotacao 2'!$C$7:$C$95</definedName>
    <definedName name="DadosExternos_331" localSheetId="3">'Cotacao 3'!$C$7:$C$95</definedName>
    <definedName name="DadosExternos_331" localSheetId="4">'Cotacao 4'!$C$7:$C$95</definedName>
    <definedName name="DadosExternos_331" localSheetId="5">'Cotacao 5'!$C$7:$C$95</definedName>
    <definedName name="DadosExternos_333" localSheetId="2">'Cotacao 2'!$C$7:$C$95</definedName>
    <definedName name="DadosExternos_333" localSheetId="3">'Cotacao 3'!$C$7:$C$95</definedName>
    <definedName name="DadosExternos_333" localSheetId="4">'Cotacao 4'!$C$7:$C$95</definedName>
    <definedName name="DadosExternos_333" localSheetId="5">'Cotacao 5'!$C$7:$C$95</definedName>
    <definedName name="DadosExternos_336" localSheetId="2">'Cotacao 2'!$C$7:$C$96</definedName>
    <definedName name="DadosExternos_336" localSheetId="3">'Cotacao 3'!$C$7:$C$96</definedName>
    <definedName name="DadosExternos_336" localSheetId="4">'Cotacao 4'!$C$7:$C$96</definedName>
    <definedName name="DadosExternos_336" localSheetId="5">'Cotacao 5'!$C$7:$C$96</definedName>
    <definedName name="DadosExternos_337" localSheetId="2">'Cotacao 2'!$C$7:$C$97</definedName>
    <definedName name="DadosExternos_337" localSheetId="3">'Cotacao 3'!$C$7:$C$97</definedName>
    <definedName name="DadosExternos_337" localSheetId="4">'Cotacao 4'!$C$7:$C$97</definedName>
    <definedName name="DadosExternos_337" localSheetId="5">'Cotacao 5'!$C$7:$C$97</definedName>
    <definedName name="DadosExternos_338" localSheetId="2">'Cotacao 2'!$C$7:$C$98</definedName>
    <definedName name="DadosExternos_338" localSheetId="3">'Cotacao 3'!$C$7:$C$98</definedName>
    <definedName name="DadosExternos_338" localSheetId="4">'Cotacao 4'!$C$7:$C$98</definedName>
    <definedName name="DadosExternos_338" localSheetId="5">'Cotacao 5'!$C$7:$C$98</definedName>
    <definedName name="DadosExternos_339" localSheetId="2">'Cotacao 2'!$C$7:$C$101</definedName>
    <definedName name="DadosExternos_339" localSheetId="3">'Cotacao 3'!$C$7:$C$101</definedName>
    <definedName name="DadosExternos_339" localSheetId="4">'Cotacao 4'!$C$7:$C$101</definedName>
    <definedName name="DadosExternos_339" localSheetId="5">'Cotacao 5'!$C$7:$C$101</definedName>
    <definedName name="DadosExternos_34" localSheetId="1">Cotacao!$C$7:$C$65</definedName>
    <definedName name="DadosExternos_34" localSheetId="2">'Cotacao 2'!$C$7:$C$65</definedName>
    <definedName name="DadosExternos_34" localSheetId="3">'Cotacao 3'!$C$7:$C$65</definedName>
    <definedName name="DadosExternos_34" localSheetId="4">'Cotacao 4'!$C$7:$C$65</definedName>
    <definedName name="DadosExternos_34" localSheetId="5">'Cotacao 5'!$C$7:$C$65</definedName>
    <definedName name="DadosExternos_342" localSheetId="2">'Cotacao 2'!$C$7:$C$102</definedName>
    <definedName name="DadosExternos_342" localSheetId="3">'Cotacao 3'!$C$7:$C$102</definedName>
    <definedName name="DadosExternos_342" localSheetId="4">'Cotacao 4'!$C$7:$C$102</definedName>
    <definedName name="DadosExternos_342" localSheetId="5">'Cotacao 5'!$C$7:$C$102</definedName>
    <definedName name="DadosExternos_343" localSheetId="2">'Cotacao 2'!$C$7:$C$103</definedName>
    <definedName name="DadosExternos_343" localSheetId="3">'Cotacao 3'!$C$7:$C$103</definedName>
    <definedName name="DadosExternos_343" localSheetId="4">'Cotacao 4'!$C$7:$C$103</definedName>
    <definedName name="DadosExternos_343" localSheetId="5">'Cotacao 5'!$C$7:$C$103</definedName>
    <definedName name="DadosExternos_344" localSheetId="2">'Cotacao 2'!$C$7:$C$104</definedName>
    <definedName name="DadosExternos_344" localSheetId="3">'Cotacao 3'!$C$7:$C$104</definedName>
    <definedName name="DadosExternos_344" localSheetId="4">'Cotacao 4'!$C$7:$C$104</definedName>
    <definedName name="DadosExternos_344" localSheetId="5">'Cotacao 5'!$C$7:$C$104</definedName>
    <definedName name="DadosExternos_345" localSheetId="2">'Cotacao 2'!$C$7:$C$104</definedName>
    <definedName name="DadosExternos_345" localSheetId="3">'Cotacao 3'!$C$7:$C$104</definedName>
    <definedName name="DadosExternos_345" localSheetId="4">'Cotacao 4'!$C$7:$C$104</definedName>
    <definedName name="DadosExternos_345" localSheetId="5">'Cotacao 5'!$C$7:$C$104</definedName>
    <definedName name="DadosExternos_349" localSheetId="2">'Cotacao 2'!$C$7:$C$104</definedName>
    <definedName name="DadosExternos_349" localSheetId="3">'Cotacao 3'!$C$7:$C$104</definedName>
    <definedName name="DadosExternos_349" localSheetId="4">'Cotacao 4'!$C$7:$C$104</definedName>
    <definedName name="DadosExternos_349" localSheetId="5">'Cotacao 5'!$C$7:$C$104</definedName>
    <definedName name="DadosExternos_35" localSheetId="1">Cotacao!$C$7:$C$66</definedName>
    <definedName name="DadosExternos_35" localSheetId="2">'Cotacao 2'!$C$7:$C$66</definedName>
    <definedName name="DadosExternos_35" localSheetId="3">'Cotacao 3'!$C$7:$C$66</definedName>
    <definedName name="DadosExternos_35" localSheetId="4">'Cotacao 4'!$C$7:$C$66</definedName>
    <definedName name="DadosExternos_35" localSheetId="5">'Cotacao 5'!$C$7:$C$66</definedName>
    <definedName name="DadosExternos_350" localSheetId="2">'Cotacao 2'!$C$7:$C$104</definedName>
    <definedName name="DadosExternos_350" localSheetId="3">'Cotacao 3'!$C$7:$C$104</definedName>
    <definedName name="DadosExternos_350" localSheetId="4">'Cotacao 4'!$C$7:$C$104</definedName>
    <definedName name="DadosExternos_350" localSheetId="5">'Cotacao 5'!$C$7:$C$104</definedName>
    <definedName name="DadosExternos_352" localSheetId="2">'Cotacao 2'!$C$7:$C$104</definedName>
    <definedName name="DadosExternos_352" localSheetId="3">'Cotacao 3'!$C$7:$C$104</definedName>
    <definedName name="DadosExternos_352" localSheetId="4">'Cotacao 4'!$C$7:$C$104</definedName>
    <definedName name="DadosExternos_352" localSheetId="5">'Cotacao 5'!$C$7:$C$104</definedName>
    <definedName name="DadosExternos_353" localSheetId="2">'Cotacao 2'!$C$7:$C$105</definedName>
    <definedName name="DadosExternos_353" localSheetId="3">'Cotacao 3'!$C$7:$C$105</definedName>
    <definedName name="DadosExternos_353" localSheetId="4">'Cotacao 4'!$C$7:$C$105</definedName>
    <definedName name="DadosExternos_353" localSheetId="5">'Cotacao 5'!$C$7:$C$105</definedName>
    <definedName name="DadosExternos_356" localSheetId="2">'Cotacao 2'!$C$7:$C$106</definedName>
    <definedName name="DadosExternos_356" localSheetId="3">'Cotacao 3'!$C$7:$C$106</definedName>
    <definedName name="DadosExternos_356" localSheetId="4">'Cotacao 4'!$C$7:$C$106</definedName>
    <definedName name="DadosExternos_356" localSheetId="5">'Cotacao 5'!$C$7:$C$106</definedName>
    <definedName name="DadosExternos_358" localSheetId="2">'Cotacao 2'!$C$7:$C$106</definedName>
    <definedName name="DadosExternos_358" localSheetId="3">'Cotacao 3'!$C$7:$C$106</definedName>
    <definedName name="DadosExternos_358" localSheetId="4">'Cotacao 4'!$C$7:$C$106</definedName>
    <definedName name="DadosExternos_358" localSheetId="5">'Cotacao 5'!$C$7:$C$106</definedName>
    <definedName name="DadosExternos_36" localSheetId="1">Cotacao!$C$7:$C$67</definedName>
    <definedName name="DadosExternos_36" localSheetId="2">'Cotacao 2'!$C$7:$C$67</definedName>
    <definedName name="DadosExternos_36" localSheetId="3">'Cotacao 3'!$C$7:$C$67</definedName>
    <definedName name="DadosExternos_36" localSheetId="4">'Cotacao 4'!$C$7:$C$67</definedName>
    <definedName name="DadosExternos_36" localSheetId="5">'Cotacao 5'!$C$7:$C$67</definedName>
    <definedName name="DadosExternos_360" localSheetId="2">'Cotacao 2'!$C$7:$C$107</definedName>
    <definedName name="DadosExternos_360" localSheetId="3">'Cotacao 3'!$C$7:$C$107</definedName>
    <definedName name="DadosExternos_360" localSheetId="4">'Cotacao 4'!$C$7:$C$107</definedName>
    <definedName name="DadosExternos_360" localSheetId="5">'Cotacao 5'!$C$7:$C$107</definedName>
    <definedName name="DadosExternos_361" localSheetId="2">'Cotacao 2'!$C$7:$C$108</definedName>
    <definedName name="DadosExternos_361" localSheetId="3">'Cotacao 3'!$C$7:$C$108</definedName>
    <definedName name="DadosExternos_361" localSheetId="4">'Cotacao 4'!$C$7:$C$108</definedName>
    <definedName name="DadosExternos_361" localSheetId="5">'Cotacao 5'!$C$7:$C$108</definedName>
    <definedName name="DadosExternos_362" localSheetId="2">'Cotacao 2'!$C$7:$C$108</definedName>
    <definedName name="DadosExternos_362" localSheetId="3">'Cotacao 3'!$C$7:$C$108</definedName>
    <definedName name="DadosExternos_362" localSheetId="4">'Cotacao 4'!$C$7:$C$108</definedName>
    <definedName name="DadosExternos_362" localSheetId="5">'Cotacao 5'!$C$7:$C$108</definedName>
    <definedName name="DadosExternos_363" localSheetId="2">'Cotacao 2'!$C$7:$C$108</definedName>
    <definedName name="DadosExternos_363" localSheetId="3">'Cotacao 3'!$C$7:$C$108</definedName>
    <definedName name="DadosExternos_363" localSheetId="4">'Cotacao 4'!$C$7:$C$108</definedName>
    <definedName name="DadosExternos_363" localSheetId="5">'Cotacao 5'!$C$7:$C$108</definedName>
    <definedName name="DadosExternos_365" localSheetId="2">'Cotacao 2'!$C$7:$C$109</definedName>
    <definedName name="DadosExternos_365" localSheetId="3">'Cotacao 3'!$C$7:$C$109</definedName>
    <definedName name="DadosExternos_365" localSheetId="4">'Cotacao 4'!$C$7:$C$109</definedName>
    <definedName name="DadosExternos_365" localSheetId="5">'Cotacao 5'!$C$7:$C$109</definedName>
    <definedName name="DadosExternos_367" localSheetId="2">'Cotacao 2'!$C$7:$C$111</definedName>
    <definedName name="DadosExternos_367" localSheetId="3">'Cotacao 3'!$C$7:$C$111</definedName>
    <definedName name="DadosExternos_367" localSheetId="4">'Cotacao 4'!$C$7:$C$111</definedName>
    <definedName name="DadosExternos_367" localSheetId="5">'Cotacao 5'!$C$7:$C$111</definedName>
    <definedName name="DadosExternos_369" localSheetId="2">'Cotacao 2'!$C$7:$C$113</definedName>
    <definedName name="DadosExternos_369" localSheetId="3">'Cotacao 3'!$C$7:$C$113</definedName>
    <definedName name="DadosExternos_369" localSheetId="4">'Cotacao 4'!$C$7:$C$113</definedName>
    <definedName name="DadosExternos_369" localSheetId="5">'Cotacao 5'!$C$7:$C$113</definedName>
    <definedName name="DadosExternos_37" localSheetId="1">Cotacao!$C$7:$C$68</definedName>
    <definedName name="DadosExternos_37" localSheetId="2">'Cotacao 2'!$C$7:$C$68</definedName>
    <definedName name="DadosExternos_37" localSheetId="3">'Cotacao 3'!$C$7:$C$68</definedName>
    <definedName name="DadosExternos_37" localSheetId="4">'Cotacao 4'!$C$7:$C$68</definedName>
    <definedName name="DadosExternos_37" localSheetId="5">'Cotacao 5'!$C$7:$C$68</definedName>
    <definedName name="DadosExternos_370" localSheetId="2">'Cotacao 2'!$C$7:$C$113</definedName>
    <definedName name="DadosExternos_370" localSheetId="3">'Cotacao 3'!$C$7:$C$8</definedName>
    <definedName name="DadosExternos_370" localSheetId="4">'Cotacao 4'!$C$7:$C$8</definedName>
    <definedName name="DadosExternos_370" localSheetId="5">'Cotacao 5'!$C$7:$C$8</definedName>
    <definedName name="DadosExternos_371" localSheetId="2">'Cotacao 2'!$C$7:$C$113</definedName>
    <definedName name="DadosExternos_371" localSheetId="3">'Cotacao 3'!$C$7:$C$8</definedName>
    <definedName name="DadosExternos_371" localSheetId="4">'Cotacao 4'!$C$7:$C$8</definedName>
    <definedName name="DadosExternos_371" localSheetId="5">'Cotacao 5'!$C$7:$C$8</definedName>
    <definedName name="DadosExternos_372" localSheetId="3">'Cotacao 3'!$C$7:$C$10</definedName>
    <definedName name="DadosExternos_372" localSheetId="4">'Cotacao 4'!$C$7:$C$10</definedName>
    <definedName name="DadosExternos_372" localSheetId="5">'Cotacao 5'!$C$7:$C$10</definedName>
    <definedName name="DadosExternos_373" localSheetId="3">'Cotacao 3'!$C$7:$C$10</definedName>
    <definedName name="DadosExternos_373" localSheetId="4">'Cotacao 4'!$C$7:$C$10</definedName>
    <definedName name="DadosExternos_373" localSheetId="5">'Cotacao 5'!$C$7:$C$10</definedName>
    <definedName name="DadosExternos_374" localSheetId="3">'Cotacao 3'!$C$7:$C$10</definedName>
    <definedName name="DadosExternos_374" localSheetId="4">'Cotacao 4'!$C$7:$C$10</definedName>
    <definedName name="DadosExternos_374" localSheetId="5">'Cotacao 5'!$C$7:$C$10</definedName>
    <definedName name="DadosExternos_375" localSheetId="2">'Cotacao 2'!$C$7:$C$113</definedName>
    <definedName name="DadosExternos_376" localSheetId="2">'Cotacao 2'!$C$7:$C$113</definedName>
    <definedName name="DadosExternos_376" localSheetId="3">'Cotacao 3'!$C$7:$C$8</definedName>
    <definedName name="DadosExternos_376" localSheetId="4">'Cotacao 4'!$C$7:$C$8</definedName>
    <definedName name="DadosExternos_376" localSheetId="5">'Cotacao 5'!$C$7:$C$8</definedName>
    <definedName name="DadosExternos_377" localSheetId="2">'Cotacao 2'!$C$7:$C$113</definedName>
    <definedName name="DadosExternos_377" localSheetId="3">'Cotacao 3'!$C$7:$C$8</definedName>
    <definedName name="DadosExternos_377" localSheetId="4">'Cotacao 4'!$C$7:$C$8</definedName>
    <definedName name="DadosExternos_377" localSheetId="5">'Cotacao 5'!$C$7:$C$8</definedName>
    <definedName name="DadosExternos_378" localSheetId="2">'Cotacao 2'!$C$7:$C$113</definedName>
    <definedName name="DadosExternos_378" localSheetId="3">'Cotacao 3'!$C$7:$C$10</definedName>
    <definedName name="DadosExternos_378" localSheetId="4">'Cotacao 4'!$C$7:$C$10</definedName>
    <definedName name="DadosExternos_378" localSheetId="5">'Cotacao 5'!$C$7:$C$10</definedName>
    <definedName name="DadosExternos_379" localSheetId="2">'Cotacao 2'!$C$7:$C$113</definedName>
    <definedName name="DadosExternos_379" localSheetId="3">'Cotacao 3'!$C$7:$C$11</definedName>
    <definedName name="DadosExternos_379" localSheetId="4">'Cotacao 4'!$C$7:$C$11</definedName>
    <definedName name="DadosExternos_379" localSheetId="5">'Cotacao 5'!$C$7:$C$11</definedName>
    <definedName name="DadosExternos_38" localSheetId="1">Cotacao!$C$7:$C$69</definedName>
    <definedName name="DadosExternos_38" localSheetId="2">'Cotacao 2'!$C$7:$C$69</definedName>
    <definedName name="DadosExternos_38" localSheetId="3">'Cotacao 3'!$C$7:$C$69</definedName>
    <definedName name="DadosExternos_38" localSheetId="4">'Cotacao 4'!$C$7:$C$69</definedName>
    <definedName name="DadosExternos_38" localSheetId="5">'Cotacao 5'!$C$7:$C$69</definedName>
    <definedName name="DadosExternos_380" localSheetId="2">'Cotacao 2'!$C$7:$C$113</definedName>
    <definedName name="DadosExternos_380" localSheetId="3">'Cotacao 3'!$C$7:$C$13</definedName>
    <definedName name="DadosExternos_380" localSheetId="4">'Cotacao 4'!$C$7:$C$13</definedName>
    <definedName name="DadosExternos_380" localSheetId="5">'Cotacao 5'!$C$7:$C$13</definedName>
    <definedName name="DadosExternos_381" localSheetId="3">'Cotacao 3'!$C$7:$C$14</definedName>
    <definedName name="DadosExternos_381" localSheetId="4">'Cotacao 4'!$C$7:$C$14</definedName>
    <definedName name="DadosExternos_381" localSheetId="5">'Cotacao 5'!$C$7:$C$14</definedName>
    <definedName name="DadosExternos_382" localSheetId="3">'Cotacao 3'!$C$7:$C$17</definedName>
    <definedName name="DadosExternos_382" localSheetId="4">'Cotacao 4'!$C$7:$C$17</definedName>
    <definedName name="DadosExternos_382" localSheetId="5">'Cotacao 5'!$C$7:$C$17</definedName>
    <definedName name="DadosExternos_388" localSheetId="3">'Cotacao 3'!$C$7:$C$18</definedName>
    <definedName name="DadosExternos_388" localSheetId="4">'Cotacao 4'!$C$7:$C$18</definedName>
    <definedName name="DadosExternos_388" localSheetId="5">'Cotacao 5'!$C$7:$C$18</definedName>
    <definedName name="DadosExternos_389" localSheetId="3">'Cotacao 3'!$C$7:$C$18</definedName>
    <definedName name="DadosExternos_389" localSheetId="4">'Cotacao 4'!$C$7:$C$18</definedName>
    <definedName name="DadosExternos_389" localSheetId="5">'Cotacao 5'!$C$7:$C$18</definedName>
    <definedName name="DadosExternos_39" localSheetId="1">Cotacao!$C$7:$C$70</definedName>
    <definedName name="DadosExternos_39" localSheetId="2">'Cotacao 2'!$C$7:$C$70</definedName>
    <definedName name="DadosExternos_39" localSheetId="3">'Cotacao 3'!$C$7:$C$70</definedName>
    <definedName name="DadosExternos_39" localSheetId="4">'Cotacao 4'!$C$7:$C$70</definedName>
    <definedName name="DadosExternos_39" localSheetId="5">'Cotacao 5'!$C$7:$C$70</definedName>
    <definedName name="DadosExternos_390" localSheetId="3">'Cotacao 3'!$C$7:$C$19</definedName>
    <definedName name="DadosExternos_390" localSheetId="4">'Cotacao 4'!$C$7:$C$19</definedName>
    <definedName name="DadosExternos_390" localSheetId="5">'Cotacao 5'!$C$7:$C$19</definedName>
    <definedName name="DadosExternos_391" localSheetId="3">'Cotacao 3'!$C$7:$C$19</definedName>
    <definedName name="DadosExternos_391" localSheetId="4">'Cotacao 4'!$C$7:$C$19</definedName>
    <definedName name="DadosExternos_391" localSheetId="5">'Cotacao 5'!$C$7:$C$19</definedName>
    <definedName name="DadosExternos_392" localSheetId="3">'Cotacao 3'!$C$7:$C$22</definedName>
    <definedName name="DadosExternos_392" localSheetId="4">'Cotacao 4'!$C$7:$C$22</definedName>
    <definedName name="DadosExternos_392" localSheetId="5">'Cotacao 5'!$C$7:$C$22</definedName>
    <definedName name="DadosExternos_394" localSheetId="3">'Cotacao 3'!$C$7:$C$23</definedName>
    <definedName name="DadosExternos_394" localSheetId="4">'Cotacao 4'!$C$7:$C$23</definedName>
    <definedName name="DadosExternos_394" localSheetId="5">'Cotacao 5'!$C$7:$C$23</definedName>
    <definedName name="DadosExternos_397" localSheetId="3">'Cotacao 3'!$C$7:$C$24</definedName>
    <definedName name="DadosExternos_397" localSheetId="4">'Cotacao 4'!$C$7:$C$24</definedName>
    <definedName name="DadosExternos_397" localSheetId="5">'Cotacao 5'!$C$7:$C$24</definedName>
    <definedName name="DadosExternos_398" localSheetId="3">'Cotacao 3'!$C$7:$C$27</definedName>
    <definedName name="DadosExternos_398" localSheetId="4">'Cotacao 4'!$C$7:$C$27</definedName>
    <definedName name="DadosExternos_398" localSheetId="5">'Cotacao 5'!$C$7:$C$27</definedName>
    <definedName name="DadosExternos_4" localSheetId="1">Cotacao!$C$7:$C$63</definedName>
    <definedName name="DadosExternos_4" localSheetId="2">'Cotacao 2'!$C$7:$C$63</definedName>
    <definedName name="DadosExternos_4" localSheetId="3">'Cotacao 3'!$C$7:$C$63</definedName>
    <definedName name="DadosExternos_4" localSheetId="4">'Cotacao 4'!$C$7:$C$63</definedName>
    <definedName name="DadosExternos_4" localSheetId="5">'Cotacao 5'!$C$7:$C$63</definedName>
    <definedName name="DadosExternos_40" localSheetId="1">Cotacao!$C$7:$C$71</definedName>
    <definedName name="DadosExternos_40" localSheetId="2">'Cotacao 2'!$C$7:$C$71</definedName>
    <definedName name="DadosExternos_40" localSheetId="3">'Cotacao 3'!$C$7:$C$71</definedName>
    <definedName name="DadosExternos_40" localSheetId="4">'Cotacao 4'!$C$7:$C$71</definedName>
    <definedName name="DadosExternos_40" localSheetId="5">'Cotacao 5'!$C$7:$C$71</definedName>
    <definedName name="DadosExternos_400" localSheetId="3">'Cotacao 3'!$C$7:$C$28</definedName>
    <definedName name="DadosExternos_400" localSheetId="4">'Cotacao 4'!$C$7:$C$28</definedName>
    <definedName name="DadosExternos_400" localSheetId="5">'Cotacao 5'!$C$7:$C$28</definedName>
    <definedName name="DadosExternos_401" localSheetId="3">'Cotacao 3'!$C$7:$C$29</definedName>
    <definedName name="DadosExternos_401" localSheetId="4">'Cotacao 4'!$C$7:$C$29</definedName>
    <definedName name="DadosExternos_401" localSheetId="5">'Cotacao 5'!$C$7:$C$29</definedName>
    <definedName name="DadosExternos_402" localSheetId="3">'Cotacao 3'!$C$7:$C$30</definedName>
    <definedName name="DadosExternos_402" localSheetId="4">'Cotacao 4'!$C$7:$C$30</definedName>
    <definedName name="DadosExternos_402" localSheetId="5">'Cotacao 5'!$C$7:$C$30</definedName>
    <definedName name="DadosExternos_403" localSheetId="3">'Cotacao 3'!$C$7:$C$33</definedName>
    <definedName name="DadosExternos_403" localSheetId="4">'Cotacao 4'!$C$7:$C$33</definedName>
    <definedName name="DadosExternos_403" localSheetId="5">'Cotacao 5'!$C$7:$C$33</definedName>
    <definedName name="DadosExternos_404" localSheetId="3">'Cotacao 3'!$C$7:$C$35</definedName>
    <definedName name="DadosExternos_404" localSheetId="4">'Cotacao 4'!$C$7:$C$35</definedName>
    <definedName name="DadosExternos_404" localSheetId="5">'Cotacao 5'!$C$7:$C$35</definedName>
    <definedName name="DadosExternos_408" localSheetId="3">'Cotacao 3'!$C$7:$C$37</definedName>
    <definedName name="DadosExternos_408" localSheetId="4">'Cotacao 4'!$C$7:$C$37</definedName>
    <definedName name="DadosExternos_408" localSheetId="5">'Cotacao 5'!$C$7:$C$37</definedName>
    <definedName name="DadosExternos_409" localSheetId="3">'Cotacao 3'!$C$7:$C$39</definedName>
    <definedName name="DadosExternos_409" localSheetId="4">'Cotacao 4'!$C$7:$C$39</definedName>
    <definedName name="DadosExternos_409" localSheetId="5">'Cotacao 5'!$C$7:$C$39</definedName>
    <definedName name="DadosExternos_41" localSheetId="1">Cotacao!$C$7:$C$72</definedName>
    <definedName name="DadosExternos_41" localSheetId="2">'Cotacao 2'!$C$7:$C$72</definedName>
    <definedName name="DadosExternos_41" localSheetId="3">'Cotacao 3'!$C$7:$C$72</definedName>
    <definedName name="DadosExternos_41" localSheetId="4">'Cotacao 4'!$C$7:$C$72</definedName>
    <definedName name="DadosExternos_41" localSheetId="5">'Cotacao 5'!$C$7:$C$72</definedName>
    <definedName name="DadosExternos_410" localSheetId="3">'Cotacao 3'!$C$7:$C$41</definedName>
    <definedName name="DadosExternos_410" localSheetId="4">'Cotacao 4'!$C$7:$C$41</definedName>
    <definedName name="DadosExternos_410" localSheetId="5">'Cotacao 5'!$C$7:$C$41</definedName>
    <definedName name="DadosExternos_411" localSheetId="3">'Cotacao 3'!$C$7:$C$43</definedName>
    <definedName name="DadosExternos_411" localSheetId="4">'Cotacao 4'!$C$7:$C$43</definedName>
    <definedName name="DadosExternos_411" localSheetId="5">'Cotacao 5'!$C$7:$C$43</definedName>
    <definedName name="DadosExternos_414" localSheetId="3">'Cotacao 3'!$C$7:$C$45</definedName>
    <definedName name="DadosExternos_414" localSheetId="4">'Cotacao 4'!$C$7:$C$45</definedName>
    <definedName name="DadosExternos_414" localSheetId="5">'Cotacao 5'!$C$7:$C$45</definedName>
    <definedName name="DadosExternos_415" localSheetId="3">'Cotacao 3'!$C$7:$C$44</definedName>
    <definedName name="DadosExternos_415" localSheetId="4">'Cotacao 4'!$C$7:$C$44</definedName>
    <definedName name="DadosExternos_415" localSheetId="5">'Cotacao 5'!$C$7:$C$44</definedName>
    <definedName name="DadosExternos_416" localSheetId="3">'Cotacao 3'!$C$7:$C$47</definedName>
    <definedName name="DadosExternos_416" localSheetId="4">'Cotacao 4'!$C$7:$C$47</definedName>
    <definedName name="DadosExternos_416" localSheetId="5">'Cotacao 5'!$C$7:$C$47</definedName>
    <definedName name="DadosExternos_418" localSheetId="3">'Cotacao 3'!$C$7:$C$48</definedName>
    <definedName name="DadosExternos_418" localSheetId="4">'Cotacao 4'!$C$7:$C$48</definedName>
    <definedName name="DadosExternos_418" localSheetId="5">'Cotacao 5'!$C$7:$C$48</definedName>
    <definedName name="DadosExternos_42" localSheetId="1">Cotacao!$C$7:$C$73</definedName>
    <definedName name="DadosExternos_42" localSheetId="2">'Cotacao 2'!$C$7:$C$73</definedName>
    <definedName name="DadosExternos_42" localSheetId="3">'Cotacao 3'!$C$7:$C$73</definedName>
    <definedName name="DadosExternos_42" localSheetId="4">'Cotacao 4'!$C$7:$C$73</definedName>
    <definedName name="DadosExternos_42" localSheetId="5">'Cotacao 5'!$C$7:$C$73</definedName>
    <definedName name="DadosExternos_421" localSheetId="3">'Cotacao 3'!$C$7:$C$49</definedName>
    <definedName name="DadosExternos_421" localSheetId="4">'Cotacao 4'!$C$7:$C$49</definedName>
    <definedName name="DadosExternos_421" localSheetId="5">'Cotacao 5'!$C$7:$C$49</definedName>
    <definedName name="DadosExternos_423" localSheetId="3">'Cotacao 3'!$C$7:$C$50</definedName>
    <definedName name="DadosExternos_423" localSheetId="4">'Cotacao 4'!$C$7:$C$50</definedName>
    <definedName name="DadosExternos_423" localSheetId="5">'Cotacao 5'!$C$7:$C$50</definedName>
    <definedName name="DadosExternos_424" localSheetId="3">'Cotacao 3'!$C$7:$C$51</definedName>
    <definedName name="DadosExternos_424" localSheetId="4">'Cotacao 4'!$C$7:$C$51</definedName>
    <definedName name="DadosExternos_424" localSheetId="5">'Cotacao 5'!$C$7:$C$51</definedName>
    <definedName name="DadosExternos_425" localSheetId="3">'Cotacao 3'!$C$7:$C$54</definedName>
    <definedName name="DadosExternos_425" localSheetId="4">'Cotacao 4'!$C$7:$C$54</definedName>
    <definedName name="DadosExternos_425" localSheetId="5">'Cotacao 5'!$C$7:$C$54</definedName>
    <definedName name="DadosExternos_426" localSheetId="3">'Cotacao 3'!$C$7:$C$52</definedName>
    <definedName name="DadosExternos_426" localSheetId="4">'Cotacao 4'!$C$7:$C$52</definedName>
    <definedName name="DadosExternos_426" localSheetId="5">'Cotacao 5'!$C$7:$C$52</definedName>
    <definedName name="DadosExternos_428" localSheetId="3">'Cotacao 3'!$C$7:$C$53</definedName>
    <definedName name="DadosExternos_428" localSheetId="4">'Cotacao 4'!$C$7:$C$53</definedName>
    <definedName name="DadosExternos_428" localSheetId="5">'Cotacao 5'!$C$7:$C$53</definedName>
    <definedName name="DadosExternos_43" localSheetId="1">Cotacao!$C$7:$C$74</definedName>
    <definedName name="DadosExternos_43" localSheetId="2">'Cotacao 2'!$C$7:$C$74</definedName>
    <definedName name="DadosExternos_43" localSheetId="3">'Cotacao 3'!$C$7:$C$74</definedName>
    <definedName name="DadosExternos_43" localSheetId="4">'Cotacao 4'!$C$7:$C$74</definedName>
    <definedName name="DadosExternos_43" localSheetId="5">'Cotacao 5'!$C$7:$C$74</definedName>
    <definedName name="DadosExternos_431" localSheetId="3">'Cotacao 3'!$C$7:$C$55</definedName>
    <definedName name="DadosExternos_431" localSheetId="4">'Cotacao 4'!$C$7:$C$55</definedName>
    <definedName name="DadosExternos_431" localSheetId="5">'Cotacao 5'!$C$7:$C$55</definedName>
    <definedName name="DadosExternos_432" localSheetId="3">'Cotacao 3'!$C$7:$C$57</definedName>
    <definedName name="DadosExternos_432" localSheetId="4">'Cotacao 4'!$C$7:$C$57</definedName>
    <definedName name="DadosExternos_432" localSheetId="5">'Cotacao 5'!$C$7:$C$57</definedName>
    <definedName name="DadosExternos_433" localSheetId="3">'Cotacao 3'!$C$7:$C$58</definedName>
    <definedName name="DadosExternos_433" localSheetId="4">'Cotacao 4'!$C$7:$C$58</definedName>
    <definedName name="DadosExternos_433" localSheetId="5">'Cotacao 5'!$C$7:$C$58</definedName>
    <definedName name="DadosExternos_434" localSheetId="3">'Cotacao 3'!$C$7:$C$59</definedName>
    <definedName name="DadosExternos_434" localSheetId="4">'Cotacao 4'!$C$7:$C$59</definedName>
    <definedName name="DadosExternos_434" localSheetId="5">'Cotacao 5'!$C$7:$C$59</definedName>
    <definedName name="DadosExternos_435" localSheetId="3">'Cotacao 3'!$C$7:$C$62</definedName>
    <definedName name="DadosExternos_435" localSheetId="4">'Cotacao 4'!$C$7:$C$62</definedName>
    <definedName name="DadosExternos_435" localSheetId="5">'Cotacao 5'!$C$7:$C$62</definedName>
    <definedName name="DadosExternos_437" localSheetId="3">'Cotacao 3'!$C$7:$C$60</definedName>
    <definedName name="DadosExternos_437" localSheetId="4">'Cotacao 4'!$C$7:$C$60</definedName>
    <definedName name="DadosExternos_437" localSheetId="5">'Cotacao 5'!$C$7:$C$60</definedName>
    <definedName name="DadosExternos_438" localSheetId="3">'Cotacao 3'!$C$7:$C$61</definedName>
    <definedName name="DadosExternos_438" localSheetId="4">'Cotacao 4'!$C$7:$C$61</definedName>
    <definedName name="DadosExternos_438" localSheetId="5">'Cotacao 5'!$C$7:$C$61</definedName>
    <definedName name="DadosExternos_439" localSheetId="3">'Cotacao 3'!$C$7:$C$63</definedName>
    <definedName name="DadosExternos_439" localSheetId="4">'Cotacao 4'!$C$7:$C$63</definedName>
    <definedName name="DadosExternos_439" localSheetId="5">'Cotacao 5'!$C$7:$C$63</definedName>
    <definedName name="DadosExternos_44" localSheetId="1">Cotacao!$C$7:$C$75</definedName>
    <definedName name="DadosExternos_44" localSheetId="2">'Cotacao 2'!$C$7:$C$75</definedName>
    <definedName name="DadosExternos_44" localSheetId="3">'Cotacao 3'!$C$7:$C$75</definedName>
    <definedName name="DadosExternos_44" localSheetId="4">'Cotacao 4'!$C$7:$C$75</definedName>
    <definedName name="DadosExternos_44" localSheetId="5">'Cotacao 5'!$C$7:$C$75</definedName>
    <definedName name="DadosExternos_440" localSheetId="3">'Cotacao 3'!$C$7:$C$66</definedName>
    <definedName name="DadosExternos_440" localSheetId="4">'Cotacao 4'!$C$7:$C$66</definedName>
    <definedName name="DadosExternos_440" localSheetId="5">'Cotacao 5'!$C$7:$C$66</definedName>
    <definedName name="DadosExternos_441" localSheetId="3">'Cotacao 3'!$C$7:$C$64</definedName>
    <definedName name="DadosExternos_441" localSheetId="4">'Cotacao 4'!$C$7:$C$64</definedName>
    <definedName name="DadosExternos_441" localSheetId="5">'Cotacao 5'!$C$7:$C$64</definedName>
    <definedName name="DadosExternos_442" localSheetId="3">'Cotacao 3'!$C$7:$C$66</definedName>
    <definedName name="DadosExternos_442" localSheetId="4">'Cotacao 4'!$C$7:$C$66</definedName>
    <definedName name="DadosExternos_442" localSheetId="5">'Cotacao 5'!$C$7:$C$66</definedName>
    <definedName name="DadosExternos_444" localSheetId="3">'Cotacao 3'!$C$7:$C$68</definedName>
    <definedName name="DadosExternos_444" localSheetId="4">'Cotacao 4'!$C$7:$C$68</definedName>
    <definedName name="DadosExternos_444" localSheetId="5">'Cotacao 5'!$C$7:$C$68</definedName>
    <definedName name="DadosExternos_445" localSheetId="3">'Cotacao 3'!$C$7:$C$69</definedName>
    <definedName name="DadosExternos_445" localSheetId="4">'Cotacao 4'!$C$7:$C$69</definedName>
    <definedName name="DadosExternos_445" localSheetId="5">'Cotacao 5'!$C$7:$C$69</definedName>
    <definedName name="DadosExternos_446" localSheetId="3">'Cotacao 3'!$C$7:$C$70</definedName>
    <definedName name="DadosExternos_446" localSheetId="4">'Cotacao 4'!$C$7:$C$70</definedName>
    <definedName name="DadosExternos_446" localSheetId="5">'Cotacao 5'!$C$7:$C$70</definedName>
    <definedName name="DadosExternos_447" localSheetId="3">'Cotacao 3'!$C$7:$C$72</definedName>
    <definedName name="DadosExternos_447" localSheetId="4">'Cotacao 4'!$C$7:$C$72</definedName>
    <definedName name="DadosExternos_447" localSheetId="5">'Cotacao 5'!$C$7:$C$72</definedName>
    <definedName name="DadosExternos_45" localSheetId="1">Cotacao!$C$7:$C$76</definedName>
    <definedName name="DadosExternos_45" localSheetId="2">'Cotacao 2'!$C$7:$C$76</definedName>
    <definedName name="DadosExternos_45" localSheetId="3">'Cotacao 3'!$C$7:$C$76</definedName>
    <definedName name="DadosExternos_45" localSheetId="4">'Cotacao 4'!$C$7:$C$76</definedName>
    <definedName name="DadosExternos_45" localSheetId="5">'Cotacao 5'!$C$7:$C$76</definedName>
    <definedName name="DadosExternos_450" localSheetId="3">'Cotacao 3'!$C$7:$C$74</definedName>
    <definedName name="DadosExternos_450" localSheetId="4">'Cotacao 4'!$C$7:$C$74</definedName>
    <definedName name="DadosExternos_450" localSheetId="5">'Cotacao 5'!$C$7:$C$74</definedName>
    <definedName name="DadosExternos_451" localSheetId="3">'Cotacao 3'!$C$7:$C$74</definedName>
    <definedName name="DadosExternos_451" localSheetId="4">'Cotacao 4'!$C$7:$C$74</definedName>
    <definedName name="DadosExternos_451" localSheetId="5">'Cotacao 5'!$C$7:$C$74</definedName>
    <definedName name="DadosExternos_452" localSheetId="3">'Cotacao 3'!$C$7:$C$76</definedName>
    <definedName name="DadosExternos_452" localSheetId="4">'Cotacao 4'!$C$7:$C$76</definedName>
    <definedName name="DadosExternos_452" localSheetId="5">'Cotacao 5'!$C$7:$C$76</definedName>
    <definedName name="DadosExternos_453" localSheetId="3">'Cotacao 3'!$C$7:$C$76</definedName>
    <definedName name="DadosExternos_453" localSheetId="4">'Cotacao 4'!$C$7:$C$76</definedName>
    <definedName name="DadosExternos_453" localSheetId="5">'Cotacao 5'!$C$7:$C$76</definedName>
    <definedName name="DadosExternos_454" localSheetId="3">'Cotacao 3'!$C$7:$C$77</definedName>
    <definedName name="DadosExternos_454" localSheetId="4">'Cotacao 4'!$C$7:$C$77</definedName>
    <definedName name="DadosExternos_454" localSheetId="5">'Cotacao 5'!$C$7:$C$77</definedName>
    <definedName name="DadosExternos_455" localSheetId="3">'Cotacao 3'!$C$7:$C$79</definedName>
    <definedName name="DadosExternos_455" localSheetId="4">'Cotacao 4'!$C$7:$C$79</definedName>
    <definedName name="DadosExternos_455" localSheetId="5">'Cotacao 5'!$C$7:$C$79</definedName>
    <definedName name="DadosExternos_456" localSheetId="3">'Cotacao 3'!$C$7:$C$79</definedName>
    <definedName name="DadosExternos_456" localSheetId="4">'Cotacao 4'!$C$7:$C$79</definedName>
    <definedName name="DadosExternos_456" localSheetId="5">'Cotacao 5'!$C$7:$C$79</definedName>
    <definedName name="DadosExternos_457" localSheetId="3">'Cotacao 3'!$C$7:$C$80</definedName>
    <definedName name="DadosExternos_457" localSheetId="4">'Cotacao 4'!$C$7:$C$80</definedName>
    <definedName name="DadosExternos_457" localSheetId="5">'Cotacao 5'!$C$7:$C$80</definedName>
    <definedName name="DadosExternos_458" localSheetId="3">'Cotacao 3'!$C$7:$C$81</definedName>
    <definedName name="DadosExternos_458" localSheetId="4">'Cotacao 4'!$C$7:$C$81</definedName>
    <definedName name="DadosExternos_458" localSheetId="5">'Cotacao 5'!$C$7:$C$81</definedName>
    <definedName name="DadosExternos_459" localSheetId="3">'Cotacao 3'!$C$7:$C$81</definedName>
    <definedName name="DadosExternos_459" localSheetId="4">'Cotacao 4'!$C$7:$C$81</definedName>
    <definedName name="DadosExternos_459" localSheetId="5">'Cotacao 5'!$C$7:$C$81</definedName>
    <definedName name="DadosExternos_46" localSheetId="1">Cotacao!$C$7:$C$77</definedName>
    <definedName name="DadosExternos_46" localSheetId="2">'Cotacao 2'!$C$7:$C$77</definedName>
    <definedName name="DadosExternos_46" localSheetId="3">'Cotacao 3'!$C$7:$C$77</definedName>
    <definedName name="DadosExternos_46" localSheetId="4">'Cotacao 4'!$C$7:$C$77</definedName>
    <definedName name="DadosExternos_46" localSheetId="5">'Cotacao 5'!$C$7:$C$77</definedName>
    <definedName name="DadosExternos_460" localSheetId="3">'Cotacao 3'!$C$7:$C$82</definedName>
    <definedName name="DadosExternos_460" localSheetId="4">'Cotacao 4'!$C$7:$C$82</definedName>
    <definedName name="DadosExternos_460" localSheetId="5">'Cotacao 5'!$C$7:$C$82</definedName>
    <definedName name="DadosExternos_461" localSheetId="3">'Cotacao 3'!$C$7:$C$83</definedName>
    <definedName name="DadosExternos_461" localSheetId="4">'Cotacao 4'!$C$7:$C$83</definedName>
    <definedName name="DadosExternos_461" localSheetId="5">'Cotacao 5'!$C$7:$C$83</definedName>
    <definedName name="DadosExternos_462" localSheetId="3">'Cotacao 3'!$C$7:$C$84</definedName>
    <definedName name="DadosExternos_462" localSheetId="4">'Cotacao 4'!$C$7:$C$84</definedName>
    <definedName name="DadosExternos_462" localSheetId="5">'Cotacao 5'!$C$7:$C$84</definedName>
    <definedName name="DadosExternos_463" localSheetId="3">'Cotacao 3'!$C$7:$C$85</definedName>
    <definedName name="DadosExternos_463" localSheetId="4">'Cotacao 4'!$C$7:$C$85</definedName>
    <definedName name="DadosExternos_463" localSheetId="5">'Cotacao 5'!$C$7:$C$85</definedName>
    <definedName name="DadosExternos_464" localSheetId="3">'Cotacao 3'!$C$7:$C$86</definedName>
    <definedName name="DadosExternos_464" localSheetId="4">'Cotacao 4'!$C$7:$C$86</definedName>
    <definedName name="DadosExternos_464" localSheetId="5">'Cotacao 5'!$C$7:$C$86</definedName>
    <definedName name="DadosExternos_465" localSheetId="3">'Cotacao 3'!$C$7:$C$87</definedName>
    <definedName name="DadosExternos_465" localSheetId="4">'Cotacao 4'!$C$7:$C$87</definedName>
    <definedName name="DadosExternos_465" localSheetId="5">'Cotacao 5'!$C$7:$C$87</definedName>
    <definedName name="DadosExternos_466" localSheetId="3">'Cotacao 3'!$C$7:$C$87</definedName>
    <definedName name="DadosExternos_466" localSheetId="4">'Cotacao 4'!$C$7:$C$87</definedName>
    <definedName name="DadosExternos_466" localSheetId="5">'Cotacao 5'!$C$7:$C$87</definedName>
    <definedName name="DadosExternos_467" localSheetId="3">'Cotacao 3'!$C$7:$C$88</definedName>
    <definedName name="DadosExternos_467" localSheetId="4">'Cotacao 4'!$C$7:$C$88</definedName>
    <definedName name="DadosExternos_467" localSheetId="5">'Cotacao 5'!$C$7:$C$88</definedName>
    <definedName name="DadosExternos_468" localSheetId="3">'Cotacao 3'!$C$7:$C$88</definedName>
    <definedName name="DadosExternos_468" localSheetId="4">'Cotacao 4'!$C$7:$C$88</definedName>
    <definedName name="DadosExternos_468" localSheetId="5">'Cotacao 5'!$C$7:$C$88</definedName>
    <definedName name="DadosExternos_469" localSheetId="3">'Cotacao 3'!$C$7:$C$88</definedName>
    <definedName name="DadosExternos_469" localSheetId="4">'Cotacao 4'!$C$7:$C$88</definedName>
    <definedName name="DadosExternos_469" localSheetId="5">'Cotacao 5'!$C$7:$C$88</definedName>
    <definedName name="DadosExternos_47" localSheetId="1">Cotacao!$C$7:$C$78</definedName>
    <definedName name="DadosExternos_47" localSheetId="2">'Cotacao 2'!$C$7:$C$78</definedName>
    <definedName name="DadosExternos_47" localSheetId="3">'Cotacao 3'!$C$7:$C$78</definedName>
    <definedName name="DadosExternos_47" localSheetId="4">'Cotacao 4'!$C$7:$C$78</definedName>
    <definedName name="DadosExternos_47" localSheetId="5">'Cotacao 5'!$C$7:$C$78</definedName>
    <definedName name="DadosExternos_470" localSheetId="3">'Cotacao 3'!$C$7:$C$113</definedName>
    <definedName name="DadosExternos_470" localSheetId="4">'Cotacao 4'!$C$7:$C$112</definedName>
    <definedName name="DadosExternos_470" localSheetId="5">'Cotacao 5'!$C$7:$C$98</definedName>
    <definedName name="DadosExternos_48" localSheetId="1">Cotacao!$C$7:$C$79</definedName>
    <definedName name="DadosExternos_48" localSheetId="2">'Cotacao 2'!$C$7:$C$79</definedName>
    <definedName name="DadosExternos_48" localSheetId="3">'Cotacao 3'!$C$7:$C$79</definedName>
    <definedName name="DadosExternos_48" localSheetId="4">'Cotacao 4'!$C$7:$C$79</definedName>
    <definedName name="DadosExternos_48" localSheetId="5">'Cotacao 5'!$C$7:$C$79</definedName>
    <definedName name="DadosExternos_49" localSheetId="1">Cotacao!$C$7:$C$80</definedName>
    <definedName name="DadosExternos_49" localSheetId="2">'Cotacao 2'!$C$7:$C$80</definedName>
    <definedName name="DadosExternos_49" localSheetId="3">'Cotacao 3'!$C$7:$C$80</definedName>
    <definedName name="DadosExternos_49" localSheetId="4">'Cotacao 4'!$C$7:$C$80</definedName>
    <definedName name="DadosExternos_49" localSheetId="5">'Cotacao 5'!$C$7:$C$80</definedName>
    <definedName name="DadosExternos_50" localSheetId="1">Cotacao!$C$7:$C$81</definedName>
    <definedName name="DadosExternos_50" localSheetId="2">'Cotacao 2'!$C$7:$C$81</definedName>
    <definedName name="DadosExternos_50" localSheetId="3">'Cotacao 3'!$C$7:$C$81</definedName>
    <definedName name="DadosExternos_50" localSheetId="4">'Cotacao 4'!$C$7:$C$81</definedName>
    <definedName name="DadosExternos_50" localSheetId="5">'Cotacao 5'!$C$7:$C$81</definedName>
    <definedName name="DadosExternos_51" localSheetId="1">Cotacao!$C$7:$C$82</definedName>
    <definedName name="DadosExternos_51" localSheetId="2">'Cotacao 2'!$C$7:$C$82</definedName>
    <definedName name="DadosExternos_51" localSheetId="3">'Cotacao 3'!$C$7:$C$82</definedName>
    <definedName name="DadosExternos_51" localSheetId="4">'Cotacao 4'!$C$7:$C$82</definedName>
    <definedName name="DadosExternos_51" localSheetId="5">'Cotacao 5'!$C$7:$C$82</definedName>
    <definedName name="DadosExternos_52" localSheetId="1">Cotacao!$C$7:$C$83</definedName>
    <definedName name="DadosExternos_52" localSheetId="2">'Cotacao 2'!$C$7:$C$83</definedName>
    <definedName name="DadosExternos_52" localSheetId="3">'Cotacao 3'!$C$7:$C$83</definedName>
    <definedName name="DadosExternos_52" localSheetId="4">'Cotacao 4'!$C$7:$C$83</definedName>
    <definedName name="DadosExternos_52" localSheetId="5">'Cotacao 5'!$C$7:$C$83</definedName>
    <definedName name="DadosExternos_53" localSheetId="1">Cotacao!$C$7:$C$84</definedName>
    <definedName name="DadosExternos_53" localSheetId="2">'Cotacao 2'!$C$7:$C$84</definedName>
    <definedName name="DadosExternos_53" localSheetId="3">'Cotacao 3'!$C$7:$C$84</definedName>
    <definedName name="DadosExternos_53" localSheetId="4">'Cotacao 4'!$C$7:$C$84</definedName>
    <definedName name="DadosExternos_53" localSheetId="5">'Cotacao 5'!$C$7:$C$84</definedName>
    <definedName name="DadosExternos_54" localSheetId="1">Cotacao!$C$7:$C$96</definedName>
    <definedName name="DadosExternos_54" localSheetId="2">'Cotacao 2'!$C$7:$C$96</definedName>
    <definedName name="DadosExternos_54" localSheetId="3">'Cotacao 3'!$C$7:$C$96</definedName>
    <definedName name="DadosExternos_54" localSheetId="4">'Cotacao 4'!$C$7:$C$96</definedName>
    <definedName name="DadosExternos_54" localSheetId="5">'Cotacao 5'!$C$7:$C$96</definedName>
    <definedName name="DadosExternos_55" localSheetId="1">Cotacao!$C$7:$C$96</definedName>
    <definedName name="DadosExternos_55" localSheetId="2">'Cotacao 2'!$C$7:$C$96</definedName>
    <definedName name="DadosExternos_55" localSheetId="3">'Cotacao 3'!$C$7:$C$96</definedName>
    <definedName name="DadosExternos_55" localSheetId="4">'Cotacao 4'!$C$7:$C$96</definedName>
    <definedName name="DadosExternos_55" localSheetId="5">'Cotacao 5'!$C$7:$C$96</definedName>
    <definedName name="DadosExternos_56" localSheetId="1">Cotacao!$C$7:$C$96</definedName>
    <definedName name="DadosExternos_56" localSheetId="2">'Cotacao 2'!$C$7:$C$96</definedName>
    <definedName name="DadosExternos_56" localSheetId="3">'Cotacao 3'!$C$7:$C$96</definedName>
    <definedName name="DadosExternos_56" localSheetId="4">'Cotacao 4'!$C$7:$C$96</definedName>
    <definedName name="DadosExternos_56" localSheetId="5">'Cotacao 5'!$C$7:$C$96</definedName>
    <definedName name="DadosExternos_57" localSheetId="1">Cotacao!$C$7:$C$96</definedName>
    <definedName name="DadosExternos_57" localSheetId="2">'Cotacao 2'!$C$7:$C$96</definedName>
    <definedName name="DadosExternos_57" localSheetId="3">'Cotacao 3'!$C$7:$C$96</definedName>
    <definedName name="DadosExternos_57" localSheetId="4">'Cotacao 4'!$C$7:$C$96</definedName>
    <definedName name="DadosExternos_57" localSheetId="5">'Cotacao 5'!$C$7:$C$96</definedName>
    <definedName name="DadosExternos_58" localSheetId="1">Cotacao!$C$7:$C$96</definedName>
    <definedName name="DadosExternos_58" localSheetId="2">'Cotacao 2'!$C$7:$C$96</definedName>
    <definedName name="DadosExternos_58" localSheetId="3">'Cotacao 3'!$C$7:$C$96</definedName>
    <definedName name="DadosExternos_58" localSheetId="4">'Cotacao 4'!$C$7:$C$96</definedName>
    <definedName name="DadosExternos_58" localSheetId="5">'Cotacao 5'!$C$7:$C$96</definedName>
    <definedName name="DadosExternos_59" localSheetId="1">Cotacao!$C$7:$C$96</definedName>
    <definedName name="DadosExternos_59" localSheetId="2">'Cotacao 2'!$C$7:$C$96</definedName>
    <definedName name="DadosExternos_59" localSheetId="3">'Cotacao 3'!$C$7:$C$96</definedName>
    <definedName name="DadosExternos_59" localSheetId="4">'Cotacao 4'!$C$7:$C$96</definedName>
    <definedName name="DadosExternos_59" localSheetId="5">'Cotacao 5'!$C$7:$C$96</definedName>
    <definedName name="DadosExternos_6" localSheetId="1">Cotacao!$C$7:$C$63</definedName>
    <definedName name="DadosExternos_6" localSheetId="2">'Cotacao 2'!$C$7:$C$63</definedName>
    <definedName name="DadosExternos_6" localSheetId="3">'Cotacao 3'!$C$7:$C$63</definedName>
    <definedName name="DadosExternos_6" localSheetId="4">'Cotacao 4'!$C$7:$C$63</definedName>
    <definedName name="DadosExternos_6" localSheetId="5">'Cotacao 5'!$C$7:$C$63</definedName>
    <definedName name="DadosExternos_60" localSheetId="1">Cotacao!$C$7:$C$97</definedName>
    <definedName name="DadosExternos_60" localSheetId="2">'Cotacao 2'!$C$7:$C$97</definedName>
    <definedName name="DadosExternos_60" localSheetId="3">'Cotacao 3'!$C$7:$C$97</definedName>
    <definedName name="DadosExternos_60" localSheetId="4">'Cotacao 4'!$C$7:$C$97</definedName>
    <definedName name="DadosExternos_60" localSheetId="5">'Cotacao 5'!$C$7:$C$97</definedName>
    <definedName name="DadosExternos_61" localSheetId="1">Cotacao!$C$7:$C$97</definedName>
    <definedName name="DadosExternos_61" localSheetId="2">'Cotacao 2'!$C$7:$C$97</definedName>
    <definedName name="DadosExternos_61" localSheetId="3">'Cotacao 3'!$C$7:$C$97</definedName>
    <definedName name="DadosExternos_61" localSheetId="4">'Cotacao 4'!$C$7:$C$97</definedName>
    <definedName name="DadosExternos_61" localSheetId="5">'Cotacao 5'!$C$7:$C$97</definedName>
    <definedName name="DadosExternos_62" localSheetId="1">Cotacao!$C$7:$C$103</definedName>
    <definedName name="DadosExternos_62" localSheetId="2">'Cotacao 2'!$C$7:$C$103</definedName>
    <definedName name="DadosExternos_62" localSheetId="3">'Cotacao 3'!$C$7:$C$103</definedName>
    <definedName name="DadosExternos_62" localSheetId="4">'Cotacao 4'!$C$7:$C$103</definedName>
    <definedName name="DadosExternos_62" localSheetId="5">'Cotacao 5'!$C$7:$C$103</definedName>
    <definedName name="DadosExternos_63" localSheetId="1">Cotacao!$C$7:$C$106</definedName>
    <definedName name="DadosExternos_63" localSheetId="2">'Cotacao 2'!$C$7:$C$106</definedName>
    <definedName name="DadosExternos_63" localSheetId="3">'Cotacao 3'!$C$7:$C$106</definedName>
    <definedName name="DadosExternos_63" localSheetId="4">'Cotacao 4'!$C$7:$C$106</definedName>
    <definedName name="DadosExternos_63" localSheetId="5">'Cotacao 5'!$C$7:$C$106</definedName>
    <definedName name="DadosExternos_64" localSheetId="1">Cotacao!$C$7:$C$106</definedName>
    <definedName name="DadosExternos_64" localSheetId="2">'Cotacao 2'!$C$7:$C$106</definedName>
    <definedName name="DadosExternos_64" localSheetId="3">'Cotacao 3'!$C$7:$C$106</definedName>
    <definedName name="DadosExternos_64" localSheetId="4">'Cotacao 4'!$C$7:$C$106</definedName>
    <definedName name="DadosExternos_64" localSheetId="5">'Cotacao 5'!$C$7:$C$106</definedName>
    <definedName name="DadosExternos_65" localSheetId="1">Cotacao!$C$7:$C$109</definedName>
    <definedName name="DadosExternos_65" localSheetId="2">'Cotacao 2'!$C$7:$C$109</definedName>
    <definedName name="DadosExternos_65" localSheetId="3">'Cotacao 3'!$C$7:$C$109</definedName>
    <definedName name="DadosExternos_65" localSheetId="4">'Cotacao 4'!$C$7:$C$109</definedName>
    <definedName name="DadosExternos_65" localSheetId="5">'Cotacao 5'!$C$7:$C$109</definedName>
    <definedName name="DadosExternos_66" localSheetId="1">Cotacao!$C$7:$C$111</definedName>
    <definedName name="DadosExternos_66" localSheetId="2">'Cotacao 2'!$C$7:$C$111</definedName>
    <definedName name="DadosExternos_66" localSheetId="3">'Cotacao 3'!$C$7:$C$111</definedName>
    <definedName name="DadosExternos_66" localSheetId="4">'Cotacao 4'!$C$7:$C$111</definedName>
    <definedName name="DadosExternos_66" localSheetId="5">'Cotacao 5'!$C$7:$C$111</definedName>
    <definedName name="DadosExternos_67" localSheetId="1">Cotacao!$C$7:$C$112</definedName>
    <definedName name="DadosExternos_67" localSheetId="2">'Cotacao 2'!$C$7:$C$112</definedName>
    <definedName name="DadosExternos_67" localSheetId="3">'Cotacao 3'!$C$7:$C$112</definedName>
    <definedName name="DadosExternos_67" localSheetId="4">'Cotacao 4'!$C$7:$C$112</definedName>
    <definedName name="DadosExternos_67" localSheetId="5">'Cotacao 5'!$C$7:$C$112</definedName>
    <definedName name="DadosExternos_68" localSheetId="1">Cotacao!$C$7:$C$110</definedName>
    <definedName name="DadosExternos_68" localSheetId="2">'Cotacao 2'!$C$7:$C$110</definedName>
    <definedName name="DadosExternos_68" localSheetId="3">'Cotacao 3'!$C$7:$C$110</definedName>
    <definedName name="DadosExternos_68" localSheetId="4">'Cotacao 4'!$C$7:$C$110</definedName>
    <definedName name="DadosExternos_68" localSheetId="5">'Cotacao 5'!$C$7:$C$110</definedName>
    <definedName name="DadosExternos_69" localSheetId="1">Cotacao!$C$7:$C$110</definedName>
    <definedName name="DadosExternos_69" localSheetId="2">'Cotacao 2'!$C$7:$C$110</definedName>
    <definedName name="DadosExternos_69" localSheetId="3">'Cotacao 3'!$C$7:$C$110</definedName>
    <definedName name="DadosExternos_69" localSheetId="4">'Cotacao 4'!$C$7:$C$110</definedName>
    <definedName name="DadosExternos_69" localSheetId="5">'Cotacao 5'!$C$7:$C$110</definedName>
    <definedName name="DadosExternos_7" localSheetId="1">Cotacao!$C$7:$C$63</definedName>
    <definedName name="DadosExternos_7" localSheetId="2">'Cotacao 2'!$C$7:$C$63</definedName>
    <definedName name="DadosExternos_7" localSheetId="3">'Cotacao 3'!$C$7:$C$63</definedName>
    <definedName name="DadosExternos_7" localSheetId="4">'Cotacao 4'!$C$7:$C$63</definedName>
    <definedName name="DadosExternos_7" localSheetId="5">'Cotacao 5'!$C$7:$C$63</definedName>
    <definedName name="DadosExternos_70" localSheetId="1">Cotacao!$C$7:$C$110</definedName>
    <definedName name="DadosExternos_70" localSheetId="2">'Cotacao 2'!$C$7:$C$110</definedName>
    <definedName name="DadosExternos_70" localSheetId="3">'Cotacao 3'!$C$7:$C$110</definedName>
    <definedName name="DadosExternos_70" localSheetId="4">'Cotacao 4'!$C$7:$C$110</definedName>
    <definedName name="DadosExternos_70" localSheetId="5">'Cotacao 5'!$C$7:$C$110</definedName>
    <definedName name="DadosExternos_71" localSheetId="1">Cotacao!$C$7:$C$110</definedName>
    <definedName name="DadosExternos_71" localSheetId="2">'Cotacao 2'!$C$7:$C$110</definedName>
    <definedName name="DadosExternos_71" localSheetId="3">'Cotacao 3'!$C$7:$C$110</definedName>
    <definedName name="DadosExternos_71" localSheetId="4">'Cotacao 4'!$C$7:$C$110</definedName>
    <definedName name="DadosExternos_71" localSheetId="5">'Cotacao 5'!$C$7:$C$110</definedName>
    <definedName name="DadosExternos_72" localSheetId="1">Cotacao!$C$7:$C$112</definedName>
    <definedName name="DadosExternos_72" localSheetId="2">'Cotacao 2'!$C$7:$C$112</definedName>
    <definedName name="DadosExternos_72" localSheetId="3">'Cotacao 3'!$C$7:$C$112</definedName>
    <definedName name="DadosExternos_72" localSheetId="4">'Cotacao 4'!$C$7:$C$112</definedName>
    <definedName name="DadosExternos_72" localSheetId="5">'Cotacao 5'!$C$7:$C$112</definedName>
    <definedName name="DadosExternos_73" localSheetId="1">Cotacao!$C$7:$C$114</definedName>
    <definedName name="DadosExternos_73" localSheetId="2">'Cotacao 2'!$C$7:$C$114</definedName>
    <definedName name="DadosExternos_73" localSheetId="3">'Cotacao 3'!$C$7:$C$114</definedName>
    <definedName name="DadosExternos_73" localSheetId="4">'Cotacao 4'!$C$7:$C$114</definedName>
    <definedName name="DadosExternos_73" localSheetId="5">'Cotacao 5'!$C$7:$C$114</definedName>
    <definedName name="DadosExternos_8" localSheetId="1">Cotacao!$C$7:$C$63</definedName>
    <definedName name="DadosExternos_8" localSheetId="2">'Cotacao 2'!$C$7:$C$63</definedName>
    <definedName name="DadosExternos_8" localSheetId="3">'Cotacao 3'!$C$7:$C$63</definedName>
    <definedName name="DadosExternos_8" localSheetId="4">'Cotacao 4'!$C$7:$C$63</definedName>
    <definedName name="DadosExternos_8" localSheetId="5">'Cotacao 5'!$C$7:$C$63</definedName>
    <definedName name="DadosExternos_9" localSheetId="1">Cotacao!$C$7:$C$63</definedName>
    <definedName name="DadosExternos_9" localSheetId="2">'Cotacao 2'!$C$7:$C$63</definedName>
    <definedName name="DadosExternos_9" localSheetId="3">'Cotacao 3'!$C$7:$C$63</definedName>
    <definedName name="DadosExternos_9" localSheetId="4">'Cotacao 4'!$C$7:$C$63</definedName>
    <definedName name="DadosExternos_9" localSheetId="5">'Cotacao 5'!$C$7:$C$63</definedName>
    <definedName name="DadosExternos_90" localSheetId="1">Cotacao!$C$7:$C$114</definedName>
    <definedName name="DadosExternos_90" localSheetId="2">'Cotacao 2'!$C$7:$C$114</definedName>
    <definedName name="DadosExternos_90" localSheetId="3">'Cotacao 3'!$C$7:$C$114</definedName>
    <definedName name="DadosExternos_90" localSheetId="4">'Cotacao 4'!$C$7:$C$114</definedName>
    <definedName name="DadosExternos_90" localSheetId="5">'Cotacao 5'!$C$7:$C$114</definedName>
    <definedName name="DadosExternos_96" localSheetId="1">Cotacao!$C$7:$C$114</definedName>
    <definedName name="DadosExternos_96" localSheetId="2">'Cotacao 2'!$C$7:$C$114</definedName>
    <definedName name="DadosExternos_96" localSheetId="3">'Cotacao 3'!$C$7:$C$114</definedName>
    <definedName name="DadosExternos_96" localSheetId="4">'Cotacao 4'!$C$7:$C$114</definedName>
    <definedName name="DadosExternos_96" localSheetId="5">'Cotacao 5'!$C$7:$C$114</definedName>
    <definedName name="DadosExternos_97" localSheetId="1">Cotacao!$C$7:$C$114</definedName>
    <definedName name="DadosExternos_97" localSheetId="2">'Cotacao 2'!$C$7:$C$114</definedName>
    <definedName name="DadosExternos_97" localSheetId="3">'Cotacao 3'!$C$7:$C$114</definedName>
    <definedName name="DadosExternos_97" localSheetId="4">'Cotacao 4'!$C$7:$C$114</definedName>
    <definedName name="DadosExternos_97" localSheetId="5">'Cotacao 5'!$C$7:$C$114</definedName>
    <definedName name="DadosExternos_98" localSheetId="1">Cotacao!$C$7:$C$114</definedName>
    <definedName name="DadosExternos_98" localSheetId="2">'Cotacao 2'!$C$7:$C$114</definedName>
    <definedName name="DadosExternos_98" localSheetId="3">'Cotacao 3'!$C$7:$C$114</definedName>
    <definedName name="DadosExternos_98" localSheetId="4">'Cotacao 4'!$C$7:$C$114</definedName>
    <definedName name="DadosExternos_98" localSheetId="5">'Cotacao 5'!$C$7:$C$114</definedName>
    <definedName name="ExternalData_1" localSheetId="1">Cotacao!$C$7:$C$64</definedName>
    <definedName name="ExternalData_1" localSheetId="2">'Cotacao 2'!$C$7:$C$64</definedName>
    <definedName name="ExternalData_1" localSheetId="3">'Cotacao 3'!$C$7:$C$64</definedName>
    <definedName name="ExternalData_1" localSheetId="4">'Cotacao 4'!$C$7:$C$64</definedName>
    <definedName name="ExternalData_1" localSheetId="5">'Cotacao 5'!$C$7:$C$64</definedName>
    <definedName name="ExternalData_10" localSheetId="1">Cotacao!$C$7:$C$93</definedName>
    <definedName name="ExternalData_10" localSheetId="2">'Cotacao 2'!$C$7:$C$93</definedName>
    <definedName name="ExternalData_10" localSheetId="3">'Cotacao 3'!$C$7:$C$93</definedName>
    <definedName name="ExternalData_10" localSheetId="4">'Cotacao 4'!$C$7:$C$93</definedName>
    <definedName name="ExternalData_10" localSheetId="5">'Cotacao 5'!$C$7:$C$93</definedName>
    <definedName name="ExternalData_100" localSheetId="4">'Cotacao 4'!$C$7:$C$46</definedName>
    <definedName name="ExternalData_100" localSheetId="5">'Cotacao 5'!$C$7:$C$46</definedName>
    <definedName name="ExternalData_101" localSheetId="4">'Cotacao 4'!$C$7:$C$48</definedName>
    <definedName name="ExternalData_101" localSheetId="5">'Cotacao 5'!$C$7:$C$48</definedName>
    <definedName name="ExternalData_102" localSheetId="4">'Cotacao 4'!$C$7:$C$49</definedName>
    <definedName name="ExternalData_102" localSheetId="5">'Cotacao 5'!$C$7:$C$49</definedName>
    <definedName name="ExternalData_103" localSheetId="4">'Cotacao 4'!$C$7:$C$51</definedName>
    <definedName name="ExternalData_103" localSheetId="5">'Cotacao 5'!$C$7:$C$51</definedName>
    <definedName name="ExternalData_104" localSheetId="4">'Cotacao 4'!$C$7:$C$53</definedName>
    <definedName name="ExternalData_104" localSheetId="5">'Cotacao 5'!$C$7:$C$53</definedName>
    <definedName name="ExternalData_105" localSheetId="4">'Cotacao 4'!$C$7:$C$55</definedName>
    <definedName name="ExternalData_105" localSheetId="5">'Cotacao 5'!$C$7:$C$55</definedName>
    <definedName name="ExternalData_106" localSheetId="4">'Cotacao 4'!$C$7:$C$55</definedName>
    <definedName name="ExternalData_106" localSheetId="5">'Cotacao 5'!$C$7:$C$55</definedName>
    <definedName name="ExternalData_107" localSheetId="4">'Cotacao 4'!$C$7:$C$57</definedName>
    <definedName name="ExternalData_107" localSheetId="5">'Cotacao 5'!$C$7:$C$57</definedName>
    <definedName name="ExternalData_108" localSheetId="4">'Cotacao 4'!$C$7:$C$58</definedName>
    <definedName name="ExternalData_108" localSheetId="5">'Cotacao 5'!$C$7:$C$58</definedName>
    <definedName name="ExternalData_109" localSheetId="4">'Cotacao 4'!$C$7:$C$59</definedName>
    <definedName name="ExternalData_109" localSheetId="5">'Cotacao 5'!$C$7:$C$59</definedName>
    <definedName name="ExternalData_11" localSheetId="1">Cotacao!$C$7:$C$94</definedName>
    <definedName name="ExternalData_11" localSheetId="2">'Cotacao 2'!$C$7:$C$94</definedName>
    <definedName name="ExternalData_11" localSheetId="3">'Cotacao 3'!$C$7:$C$94</definedName>
    <definedName name="ExternalData_11" localSheetId="4">'Cotacao 4'!$C$7:$C$94</definedName>
    <definedName name="ExternalData_11" localSheetId="5">'Cotacao 5'!$C$7:$C$94</definedName>
    <definedName name="ExternalData_110" localSheetId="4">'Cotacao 4'!$C$7:$C$63</definedName>
    <definedName name="ExternalData_110" localSheetId="5">'Cotacao 5'!$C$7:$C$63</definedName>
    <definedName name="ExternalData_111" localSheetId="4">'Cotacao 4'!$C$7:$C$65</definedName>
    <definedName name="ExternalData_111" localSheetId="5">'Cotacao 5'!$C$7:$C$65</definedName>
    <definedName name="ExternalData_112" localSheetId="4">'Cotacao 4'!$C$7:$C$65</definedName>
    <definedName name="ExternalData_112" localSheetId="5">'Cotacao 5'!$C$7:$C$65</definedName>
    <definedName name="ExternalData_113" localSheetId="4">'Cotacao 4'!$C$7:$C$67</definedName>
    <definedName name="ExternalData_113" localSheetId="5">'Cotacao 5'!$C$7:$C$67</definedName>
    <definedName name="ExternalData_114" localSheetId="4">'Cotacao 4'!$C$7:$C$69</definedName>
    <definedName name="ExternalData_114" localSheetId="5">'Cotacao 5'!$C$7:$C$69</definedName>
    <definedName name="ExternalData_115" localSheetId="4">'Cotacao 4'!$C$7:$C$71</definedName>
    <definedName name="ExternalData_115" localSheetId="5">'Cotacao 5'!$C$7:$C$71</definedName>
    <definedName name="ExternalData_116" localSheetId="4">'Cotacao 4'!$C$7:$C$74</definedName>
    <definedName name="ExternalData_116" localSheetId="5">'Cotacao 5'!$C$7:$C$74</definedName>
    <definedName name="ExternalData_117" localSheetId="4">'Cotacao 4'!$C$7:$C$76</definedName>
    <definedName name="ExternalData_117" localSheetId="5">'Cotacao 5'!$C$7:$C$76</definedName>
    <definedName name="ExternalData_118" localSheetId="4">'Cotacao 4'!$C$7:$C$78</definedName>
    <definedName name="ExternalData_118" localSheetId="5">'Cotacao 5'!$C$7:$C$78</definedName>
    <definedName name="ExternalData_119" localSheetId="4">'Cotacao 4'!$C$7:$C$78</definedName>
    <definedName name="ExternalData_119" localSheetId="5">'Cotacao 5'!$C$7:$C$78</definedName>
    <definedName name="ExternalData_12" localSheetId="1">Cotacao!$C$7:$C$95</definedName>
    <definedName name="ExternalData_12" localSheetId="2">'Cotacao 2'!$C$7:$C$95</definedName>
    <definedName name="ExternalData_12" localSheetId="3">'Cotacao 3'!$C$7:$C$95</definedName>
    <definedName name="ExternalData_12" localSheetId="4">'Cotacao 4'!$C$7:$C$95</definedName>
    <definedName name="ExternalData_12" localSheetId="5">'Cotacao 5'!$C$7:$C$95</definedName>
    <definedName name="ExternalData_120" localSheetId="4">'Cotacao 4'!$C$7:$C$79</definedName>
    <definedName name="ExternalData_120" localSheetId="5">'Cotacao 5'!$C$7:$C$79</definedName>
    <definedName name="ExternalData_121" localSheetId="4">'Cotacao 4'!$C$7:$C$77</definedName>
    <definedName name="ExternalData_121" localSheetId="5">'Cotacao 5'!$C$7:$C$77</definedName>
    <definedName name="ExternalData_122" localSheetId="4">'Cotacao 4'!$C$7:$C$77</definedName>
    <definedName name="ExternalData_122" localSheetId="5">'Cotacao 5'!$C$7:$C$77</definedName>
    <definedName name="ExternalData_123" localSheetId="4">'Cotacao 4'!$C$7:$C$78</definedName>
    <definedName name="ExternalData_123" localSheetId="5">'Cotacao 5'!$C$7:$C$78</definedName>
    <definedName name="ExternalData_124" localSheetId="4">'Cotacao 4'!$C$7:$C$79</definedName>
    <definedName name="ExternalData_124" localSheetId="5">'Cotacao 5'!$C$7:$C$79</definedName>
    <definedName name="ExternalData_125" localSheetId="4">'Cotacao 4'!$C$7:$C$80</definedName>
    <definedName name="ExternalData_125" localSheetId="5">'Cotacao 5'!$C$7:$C$80</definedName>
    <definedName name="ExternalData_126" localSheetId="4">'Cotacao 4'!$C$7:$C$82</definedName>
    <definedName name="ExternalData_126" localSheetId="5">'Cotacao 5'!$C$7:$C$82</definedName>
    <definedName name="ExternalData_127" localSheetId="4">'Cotacao 4'!$C$7:$C$84</definedName>
    <definedName name="ExternalData_127" localSheetId="5">'Cotacao 5'!$C$7:$C$84</definedName>
    <definedName name="ExternalData_128" localSheetId="4">'Cotacao 4'!$C$7:$C$86</definedName>
    <definedName name="ExternalData_128" localSheetId="5">'Cotacao 5'!$C$7:$C$86</definedName>
    <definedName name="ExternalData_129" localSheetId="4">'Cotacao 4'!$C$7:$C$87</definedName>
    <definedName name="ExternalData_129" localSheetId="5">'Cotacao 5'!$C$7:$C$87</definedName>
    <definedName name="ExternalData_13" localSheetId="1">Cotacao!$C$7:$C$96</definedName>
    <definedName name="ExternalData_13" localSheetId="2">'Cotacao 2'!$C$7:$C$96</definedName>
    <definedName name="ExternalData_13" localSheetId="3">'Cotacao 3'!$C$7:$C$96</definedName>
    <definedName name="ExternalData_13" localSheetId="4">'Cotacao 4'!$C$7:$C$96</definedName>
    <definedName name="ExternalData_13" localSheetId="5">'Cotacao 5'!$C$7:$C$96</definedName>
    <definedName name="ExternalData_130" localSheetId="4">'Cotacao 4'!$C$7:$C$88</definedName>
    <definedName name="ExternalData_130" localSheetId="5">'Cotacao 5'!$C$7:$C$88</definedName>
    <definedName name="ExternalData_131" localSheetId="4">'Cotacao 4'!$C$7:$C$91</definedName>
    <definedName name="ExternalData_131" localSheetId="5">'Cotacao 5'!$C$7:$C$91</definedName>
    <definedName name="ExternalData_132" localSheetId="4">'Cotacao 4'!$C$7:$C$92</definedName>
    <definedName name="ExternalData_132" localSheetId="5">'Cotacao 5'!$C$7:$C$92</definedName>
    <definedName name="ExternalData_133" localSheetId="4">'Cotacao 4'!$C$7:$C$94</definedName>
    <definedName name="ExternalData_133" localSheetId="5">'Cotacao 5'!$C$7:$C$94</definedName>
    <definedName name="ExternalData_134" localSheetId="4">'Cotacao 4'!$C$7:$C$102</definedName>
    <definedName name="ExternalData_134" localSheetId="5">'Cotacao 5'!$C$7:$C$102</definedName>
    <definedName name="ExternalData_135" localSheetId="4">'Cotacao 4'!$C$7:$C$112</definedName>
    <definedName name="ExternalData_135" localSheetId="5">'Cotacao 5'!$C$7:$C$112</definedName>
    <definedName name="ExternalData_136" localSheetId="4">'Cotacao 4'!$C$7:$C$112</definedName>
    <definedName name="ExternalData_136" localSheetId="5">'Cotacao 5'!$C$7:$C$19</definedName>
    <definedName name="ExternalData_137" localSheetId="4">'Cotacao 4'!$C$7:$C$112</definedName>
    <definedName name="ExternalData_137" localSheetId="5">'Cotacao 5'!$C$7:$C$16</definedName>
    <definedName name="ExternalData_138" localSheetId="4">'Cotacao 4'!$C$7:$C$112</definedName>
    <definedName name="ExternalData_138" localSheetId="5">'Cotacao 5'!$C$7:$C$16</definedName>
    <definedName name="ExternalData_139" localSheetId="4">'Cotacao 4'!$C$7:$C$112</definedName>
    <definedName name="ExternalData_139" localSheetId="5">'Cotacao 5'!$C$7:$C$21</definedName>
    <definedName name="ExternalData_14" localSheetId="1">Cotacao!$C$7:$C$98</definedName>
    <definedName name="ExternalData_14" localSheetId="2">'Cotacao 2'!$C$7:$C$98</definedName>
    <definedName name="ExternalData_14" localSheetId="3">'Cotacao 3'!$C$7:$C$98</definedName>
    <definedName name="ExternalData_14" localSheetId="4">'Cotacao 4'!$C$7:$C$98</definedName>
    <definedName name="ExternalData_14" localSheetId="5">'Cotacao 5'!$C$7:$C$98</definedName>
    <definedName name="ExternalData_140" localSheetId="4">'Cotacao 4'!$C$7:$C$112</definedName>
    <definedName name="ExternalData_140" localSheetId="5">'Cotacao 5'!$C$7:$C$23</definedName>
    <definedName name="ExternalData_141" localSheetId="5">'Cotacao 5'!$C$7:$C$28</definedName>
    <definedName name="ExternalData_142" localSheetId="5">'Cotacao 5'!$C$7:$C$37</definedName>
    <definedName name="ExternalData_143" localSheetId="5">'Cotacao 5'!$C$7:$C$37</definedName>
    <definedName name="ExternalData_144" localSheetId="5">'Cotacao 5'!$C$7:$C$36</definedName>
    <definedName name="ExternalData_145" localSheetId="5">'Cotacao 5'!$C$7:$C$40</definedName>
    <definedName name="ExternalData_146" localSheetId="5">'Cotacao 5'!$C$7:$C$46</definedName>
    <definedName name="ExternalData_147" localSheetId="5">'Cotacao 5'!$C$7:$C$48</definedName>
    <definedName name="ExternalData_148" localSheetId="5">'Cotacao 5'!$C$7:$C$51</definedName>
    <definedName name="ExternalData_149" localSheetId="5">'Cotacao 5'!$C$7:$C$54</definedName>
    <definedName name="ExternalData_15" localSheetId="1">Cotacao!$C$7:$C$100</definedName>
    <definedName name="ExternalData_15" localSheetId="2">'Cotacao 2'!$C$7:$C$100</definedName>
    <definedName name="ExternalData_15" localSheetId="3">'Cotacao 3'!$C$7:$C$100</definedName>
    <definedName name="ExternalData_15" localSheetId="4">'Cotacao 4'!$C$7:$C$100</definedName>
    <definedName name="ExternalData_15" localSheetId="5">'Cotacao 5'!$C$7:$C$100</definedName>
    <definedName name="ExternalData_150" localSheetId="5">'Cotacao 5'!$C$7:$C$56</definedName>
    <definedName name="ExternalData_151" localSheetId="5">'Cotacao 5'!$C$7:$C$60</definedName>
    <definedName name="ExternalData_152" localSheetId="5">'Cotacao 5'!$C$7:$C$58</definedName>
    <definedName name="ExternalData_153" localSheetId="5">'Cotacao 5'!$C$7:$C$59</definedName>
    <definedName name="ExternalData_154" localSheetId="5">'Cotacao 5'!$C$7:$C$61</definedName>
    <definedName name="ExternalData_155" localSheetId="5">'Cotacao 5'!$C$7:$C$65</definedName>
    <definedName name="ExternalData_156" localSheetId="5">'Cotacao 5'!$C$7:$C$67</definedName>
    <definedName name="ExternalData_157" localSheetId="5">'Cotacao 5'!$C$7:$C$67</definedName>
    <definedName name="ExternalData_158" localSheetId="5">'Cotacao 5'!$C$7:$C$74</definedName>
    <definedName name="ExternalData_159" localSheetId="5">'Cotacao 5'!$C$7:$C$77</definedName>
    <definedName name="ExternalData_16" localSheetId="1">Cotacao!$C$7:$C$101</definedName>
    <definedName name="ExternalData_16" localSheetId="2">'Cotacao 2'!$C$7:$C$101</definedName>
    <definedName name="ExternalData_16" localSheetId="3">'Cotacao 3'!$C$7:$C$101</definedName>
    <definedName name="ExternalData_16" localSheetId="4">'Cotacao 4'!$C$7:$C$101</definedName>
    <definedName name="ExternalData_16" localSheetId="5">'Cotacao 5'!$C$7:$C$101</definedName>
    <definedName name="ExternalData_160" localSheetId="5">'Cotacao 5'!$C$7:$C$78</definedName>
    <definedName name="ExternalData_161" localSheetId="5">'Cotacao 5'!$C$7:$C$80</definedName>
    <definedName name="ExternalData_162" localSheetId="5">'Cotacao 5'!$C$7:$C$95</definedName>
    <definedName name="ExternalData_163" localSheetId="5">'Cotacao 5'!$C$7:$C$95</definedName>
    <definedName name="ExternalData_164" localSheetId="5">'Cotacao 5'!$C$7:$C$96</definedName>
    <definedName name="ExternalData_165" localSheetId="5">'Cotacao 5'!$C$7:$C$97</definedName>
    <definedName name="ExternalData_166" localSheetId="5">'Cotacao 5'!$C$7:$C$98</definedName>
    <definedName name="ExternalData_167" localSheetId="5">'Cotacao 5'!$C$7:$C$98</definedName>
    <definedName name="ExternalData_168" localSheetId="5">'Cotacao 5'!$C$7:$C$98</definedName>
    <definedName name="ExternalData_17" localSheetId="1">Cotacao!$C$7:$C$110</definedName>
    <definedName name="ExternalData_17" localSheetId="2">'Cotacao 2'!$C$7:$C$110</definedName>
    <definedName name="ExternalData_17" localSheetId="3">'Cotacao 3'!$C$7:$C$110</definedName>
    <definedName name="ExternalData_17" localSheetId="4">'Cotacao 4'!$C$7:$C$110</definedName>
    <definedName name="ExternalData_17" localSheetId="5">'Cotacao 5'!$C$7:$C$110</definedName>
    <definedName name="ExternalData_18" localSheetId="1">Cotacao!$C$7:$C$111</definedName>
    <definedName name="ExternalData_18" localSheetId="2">'Cotacao 2'!$C$7:$C$111</definedName>
    <definedName name="ExternalData_18" localSheetId="3">'Cotacao 3'!$C$7:$C$111</definedName>
    <definedName name="ExternalData_18" localSheetId="4">'Cotacao 4'!$C$7:$C$111</definedName>
    <definedName name="ExternalData_18" localSheetId="5">'Cotacao 5'!$C$7:$C$111</definedName>
    <definedName name="ExternalData_19" localSheetId="1">Cotacao!$C$7:$C$113</definedName>
    <definedName name="ExternalData_19" localSheetId="2">'Cotacao 2'!$C$7:$C$113</definedName>
    <definedName name="ExternalData_19" localSheetId="3">'Cotacao 3'!$C$7:$C$113</definedName>
    <definedName name="ExternalData_19" localSheetId="4">'Cotacao 4'!$C$7:$C$113</definedName>
    <definedName name="ExternalData_19" localSheetId="5">'Cotacao 5'!$C$7:$C$113</definedName>
    <definedName name="ExternalData_2" localSheetId="1">Cotacao!$C$7:$C$85</definedName>
    <definedName name="ExternalData_2" localSheetId="2">'Cotacao 2'!$C$7:$C$85</definedName>
    <definedName name="ExternalData_2" localSheetId="3">'Cotacao 3'!$C$7:$C$85</definedName>
    <definedName name="ExternalData_2" localSheetId="4">'Cotacao 4'!$C$7:$C$85</definedName>
    <definedName name="ExternalData_2" localSheetId="5">'Cotacao 5'!$C$7:$C$85</definedName>
    <definedName name="ExternalData_20" localSheetId="1">Cotacao!$C$7:$C$111</definedName>
    <definedName name="ExternalData_20" localSheetId="2">'Cotacao 2'!$C$7:$C$111</definedName>
    <definedName name="ExternalData_20" localSheetId="3">'Cotacao 3'!$C$7:$C$111</definedName>
    <definedName name="ExternalData_20" localSheetId="4">'Cotacao 4'!$C$7:$C$111</definedName>
    <definedName name="ExternalData_20" localSheetId="5">'Cotacao 5'!$C$7:$C$111</definedName>
    <definedName name="ExternalData_21" localSheetId="1">Cotacao!$C$7:$C$112</definedName>
    <definedName name="ExternalData_21" localSheetId="2">'Cotacao 2'!$C$7:$C$112</definedName>
    <definedName name="ExternalData_21" localSheetId="3">'Cotacao 3'!$C$7:$C$112</definedName>
    <definedName name="ExternalData_21" localSheetId="4">'Cotacao 4'!$C$7:$C$112</definedName>
    <definedName name="ExternalData_21" localSheetId="5">'Cotacao 5'!$C$7:$C$112</definedName>
    <definedName name="ExternalData_22" localSheetId="1">Cotacao!$C$7:$C$113</definedName>
    <definedName name="ExternalData_22" localSheetId="2">'Cotacao 2'!$C$7:$C$23</definedName>
    <definedName name="ExternalData_22" localSheetId="3">'Cotacao 3'!$C$7:$C$23</definedName>
    <definedName name="ExternalData_22" localSheetId="4">'Cotacao 4'!$C$7:$C$23</definedName>
    <definedName name="ExternalData_22" localSheetId="5">'Cotacao 5'!$C$7:$C$23</definedName>
    <definedName name="ExternalData_23" localSheetId="1">Cotacao!$C$7:$C$113</definedName>
    <definedName name="ExternalData_23" localSheetId="2">'Cotacao 2'!$C$7:$C$23</definedName>
    <definedName name="ExternalData_23" localSheetId="3">'Cotacao 3'!$C$7:$C$23</definedName>
    <definedName name="ExternalData_23" localSheetId="4">'Cotacao 4'!$C$7:$C$23</definedName>
    <definedName name="ExternalData_23" localSheetId="5">'Cotacao 5'!$C$7:$C$23</definedName>
    <definedName name="ExternalData_24" localSheetId="1">Cotacao!$C$7:$C$113</definedName>
    <definedName name="ExternalData_24" localSheetId="2">'Cotacao 2'!$C$7:$C$24</definedName>
    <definedName name="ExternalData_24" localSheetId="3">'Cotacao 3'!$C$7:$C$24</definedName>
    <definedName name="ExternalData_24" localSheetId="4">'Cotacao 4'!$C$7:$C$24</definedName>
    <definedName name="ExternalData_24" localSheetId="5">'Cotacao 5'!$C$7:$C$24</definedName>
    <definedName name="ExternalData_25" localSheetId="2">'Cotacao 2'!$C$7:$C$26</definedName>
    <definedName name="ExternalData_25" localSheetId="3">'Cotacao 3'!$C$7:$C$26</definedName>
    <definedName name="ExternalData_25" localSheetId="4">'Cotacao 4'!$C$7:$C$26</definedName>
    <definedName name="ExternalData_25" localSheetId="5">'Cotacao 5'!$C$7:$C$26</definedName>
    <definedName name="ExternalData_26" localSheetId="1">Cotacao!$C$7:$C$113</definedName>
    <definedName name="ExternalData_26" localSheetId="2">'Cotacao 2'!$C$7:$C$27</definedName>
    <definedName name="ExternalData_26" localSheetId="3">'Cotacao 3'!$C$7:$C$27</definedName>
    <definedName name="ExternalData_26" localSheetId="4">'Cotacao 4'!$C$7:$C$27</definedName>
    <definedName name="ExternalData_26" localSheetId="5">'Cotacao 5'!$C$7:$C$27</definedName>
    <definedName name="ExternalData_27" localSheetId="1">Cotacao!$C$7:$C$113</definedName>
    <definedName name="ExternalData_27" localSheetId="2">'Cotacao 2'!$C$7:$C$29</definedName>
    <definedName name="ExternalData_27" localSheetId="3">'Cotacao 3'!$C$7:$C$29</definedName>
    <definedName name="ExternalData_27" localSheetId="4">'Cotacao 4'!$C$7:$C$29</definedName>
    <definedName name="ExternalData_27" localSheetId="5">'Cotacao 5'!$C$7:$C$29</definedName>
    <definedName name="ExternalData_28" localSheetId="1">Cotacao!$C$7:$C$113</definedName>
    <definedName name="ExternalData_28" localSheetId="2">'Cotacao 2'!$C$7:$C$28</definedName>
    <definedName name="ExternalData_28" localSheetId="3">'Cotacao 3'!$C$7:$C$28</definedName>
    <definedName name="ExternalData_28" localSheetId="4">'Cotacao 4'!$C$7:$C$28</definedName>
    <definedName name="ExternalData_28" localSheetId="5">'Cotacao 5'!$C$7:$C$28</definedName>
    <definedName name="ExternalData_29" localSheetId="1">Cotacao!$C$7:$C$113</definedName>
    <definedName name="ExternalData_29" localSheetId="2">'Cotacao 2'!$C$7:$C$28</definedName>
    <definedName name="ExternalData_29" localSheetId="3">'Cotacao 3'!$C$7:$C$28</definedName>
    <definedName name="ExternalData_29" localSheetId="4">'Cotacao 4'!$C$7:$C$28</definedName>
    <definedName name="ExternalData_29" localSheetId="5">'Cotacao 5'!$C$7:$C$28</definedName>
    <definedName name="ExternalData_3" localSheetId="1">Cotacao!$C$7:$C$86</definedName>
    <definedName name="ExternalData_3" localSheetId="2">'Cotacao 2'!$C$7:$C$86</definedName>
    <definedName name="ExternalData_3" localSheetId="3">'Cotacao 3'!$C$7:$C$86</definedName>
    <definedName name="ExternalData_3" localSheetId="4">'Cotacao 4'!$C$7:$C$86</definedName>
    <definedName name="ExternalData_3" localSheetId="5">'Cotacao 5'!$C$7:$C$86</definedName>
    <definedName name="ExternalData_30" localSheetId="1">Cotacao!$C$7:$C$113</definedName>
    <definedName name="ExternalData_30" localSheetId="2">'Cotacao 2'!$C$7:$C$29</definedName>
    <definedName name="ExternalData_30" localSheetId="3">'Cotacao 3'!$C$7:$C$29</definedName>
    <definedName name="ExternalData_30" localSheetId="4">'Cotacao 4'!$C$7:$C$29</definedName>
    <definedName name="ExternalData_30" localSheetId="5">'Cotacao 5'!$C$7:$C$29</definedName>
    <definedName name="ExternalData_31" localSheetId="1">Cotacao!$C$7:$C$113</definedName>
    <definedName name="ExternalData_31" localSheetId="2">'Cotacao 2'!$C$7:$C$30</definedName>
    <definedName name="ExternalData_31" localSheetId="3">'Cotacao 3'!$C$7:$C$30</definedName>
    <definedName name="ExternalData_31" localSheetId="4">'Cotacao 4'!$C$7:$C$30</definedName>
    <definedName name="ExternalData_31" localSheetId="5">'Cotacao 5'!$C$7:$C$30</definedName>
    <definedName name="ExternalData_32" localSheetId="1">Cotacao!$C$7:$C$113</definedName>
    <definedName name="ExternalData_32" localSheetId="2">'Cotacao 2'!$C$7:$C$32</definedName>
    <definedName name="ExternalData_32" localSheetId="3">'Cotacao 3'!$C$7:$C$32</definedName>
    <definedName name="ExternalData_32" localSheetId="4">'Cotacao 4'!$C$7:$C$32</definedName>
    <definedName name="ExternalData_32" localSheetId="5">'Cotacao 5'!$C$7:$C$32</definedName>
    <definedName name="ExternalData_33" localSheetId="1">Cotacao!$C$7:$C$113</definedName>
    <definedName name="ExternalData_33" localSheetId="2">'Cotacao 2'!$C$7:$C$32</definedName>
    <definedName name="ExternalData_33" localSheetId="3">'Cotacao 3'!$C$7:$C$32</definedName>
    <definedName name="ExternalData_33" localSheetId="4">'Cotacao 4'!$C$7:$C$32</definedName>
    <definedName name="ExternalData_33" localSheetId="5">'Cotacao 5'!$C$7:$C$32</definedName>
    <definedName name="ExternalData_34" localSheetId="2">'Cotacao 2'!$C$7:$C$34</definedName>
    <definedName name="ExternalData_34" localSheetId="3">'Cotacao 3'!$C$7:$C$34</definedName>
    <definedName name="ExternalData_34" localSheetId="4">'Cotacao 4'!$C$7:$C$34</definedName>
    <definedName name="ExternalData_34" localSheetId="5">'Cotacao 5'!$C$7:$C$34</definedName>
    <definedName name="ExternalData_35" localSheetId="2">'Cotacao 2'!$C$7:$C$36</definedName>
    <definedName name="ExternalData_35" localSheetId="3">'Cotacao 3'!$C$7:$C$36</definedName>
    <definedName name="ExternalData_35" localSheetId="4">'Cotacao 4'!$C$7:$C$36</definedName>
    <definedName name="ExternalData_35" localSheetId="5">'Cotacao 5'!$C$7:$C$36</definedName>
    <definedName name="ExternalData_36" localSheetId="2">'Cotacao 2'!$C$7:$C$39</definedName>
    <definedName name="ExternalData_36" localSheetId="3">'Cotacao 3'!$C$7:$C$39</definedName>
    <definedName name="ExternalData_36" localSheetId="4">'Cotacao 4'!$C$7:$C$39</definedName>
    <definedName name="ExternalData_36" localSheetId="5">'Cotacao 5'!$C$7:$C$39</definedName>
    <definedName name="ExternalData_37" localSheetId="2">'Cotacao 2'!$C$7:$C$38</definedName>
    <definedName name="ExternalData_37" localSheetId="3">'Cotacao 3'!$C$7:$C$38</definedName>
    <definedName name="ExternalData_37" localSheetId="4">'Cotacao 4'!$C$7:$C$38</definedName>
    <definedName name="ExternalData_37" localSheetId="5">'Cotacao 5'!$C$7:$C$38</definedName>
    <definedName name="ExternalData_38" localSheetId="2">'Cotacao 2'!$C$7:$C$39</definedName>
    <definedName name="ExternalData_38" localSheetId="3">'Cotacao 3'!$C$7:$C$39</definedName>
    <definedName name="ExternalData_38" localSheetId="4">'Cotacao 4'!$C$7:$C$39</definedName>
    <definedName name="ExternalData_38" localSheetId="5">'Cotacao 5'!$C$7:$C$39</definedName>
    <definedName name="ExternalData_39" localSheetId="2">'Cotacao 2'!$C$7:$C$40</definedName>
    <definedName name="ExternalData_39" localSheetId="3">'Cotacao 3'!$C$7:$C$40</definedName>
    <definedName name="ExternalData_39" localSheetId="4">'Cotacao 4'!$C$7:$C$40</definedName>
    <definedName name="ExternalData_39" localSheetId="5">'Cotacao 5'!$C$7:$C$40</definedName>
    <definedName name="ExternalData_4" localSheetId="1">Cotacao!$C$7:$C$87</definedName>
    <definedName name="ExternalData_4" localSheetId="2">'Cotacao 2'!$C$7:$C$87</definedName>
    <definedName name="ExternalData_4" localSheetId="3">'Cotacao 3'!$C$7:$C$87</definedName>
    <definedName name="ExternalData_4" localSheetId="4">'Cotacao 4'!$C$7:$C$87</definedName>
    <definedName name="ExternalData_4" localSheetId="5">'Cotacao 5'!$C$7:$C$87</definedName>
    <definedName name="ExternalData_40" localSheetId="2">'Cotacao 2'!$C$7:$C$41</definedName>
    <definedName name="ExternalData_40" localSheetId="3">'Cotacao 3'!$C$7:$C$41</definedName>
    <definedName name="ExternalData_40" localSheetId="4">'Cotacao 4'!$C$7:$C$41</definedName>
    <definedName name="ExternalData_40" localSheetId="5">'Cotacao 5'!$C$7:$C$41</definedName>
    <definedName name="ExternalData_41" localSheetId="2">'Cotacao 2'!$C$7:$C$113</definedName>
    <definedName name="ExternalData_41" localSheetId="3">'Cotacao 3'!$C$7:$C$88</definedName>
    <definedName name="ExternalData_41" localSheetId="4">'Cotacao 4'!$C$7:$C$88</definedName>
    <definedName name="ExternalData_41" localSheetId="5">'Cotacao 5'!$C$7:$C$88</definedName>
    <definedName name="ExternalData_42" localSheetId="2">'Cotacao 2'!$C$7:$C$113</definedName>
    <definedName name="ExternalData_42" localSheetId="3">'Cotacao 3'!$C$7:$C$88</definedName>
    <definedName name="ExternalData_42" localSheetId="4">'Cotacao 4'!$C$7:$C$88</definedName>
    <definedName name="ExternalData_42" localSheetId="5">'Cotacao 5'!$C$7:$C$88</definedName>
    <definedName name="ExternalData_43" localSheetId="2">'Cotacao 2'!$C$7:$C$113</definedName>
    <definedName name="ExternalData_43" localSheetId="3">'Cotacao 3'!$C$7:$C$89</definedName>
    <definedName name="ExternalData_43" localSheetId="4">'Cotacao 4'!$C$7:$C$89</definedName>
    <definedName name="ExternalData_43" localSheetId="5">'Cotacao 5'!$C$7:$C$89</definedName>
    <definedName name="ExternalData_44" localSheetId="2">'Cotacao 2'!$C$7:$C$113</definedName>
    <definedName name="ExternalData_44" localSheetId="3">'Cotacao 3'!$C$7:$C$91</definedName>
    <definedName name="ExternalData_44" localSheetId="4">'Cotacao 4'!$C$7:$C$91</definedName>
    <definedName name="ExternalData_44" localSheetId="5">'Cotacao 5'!$C$7:$C$91</definedName>
    <definedName name="ExternalData_45" localSheetId="2">'Cotacao 2'!$C$7:$C$113</definedName>
    <definedName name="ExternalData_45" localSheetId="3">'Cotacao 3'!$C$7:$C$92</definedName>
    <definedName name="ExternalData_45" localSheetId="4">'Cotacao 4'!$C$7:$C$92</definedName>
    <definedName name="ExternalData_45" localSheetId="5">'Cotacao 5'!$C$7:$C$92</definedName>
    <definedName name="ExternalData_46" localSheetId="2">'Cotacao 2'!$C$7:$C$113</definedName>
    <definedName name="ExternalData_46" localSheetId="3">'Cotacao 3'!$C$7:$C$94</definedName>
    <definedName name="ExternalData_46" localSheetId="4">'Cotacao 4'!$C$7:$C$94</definedName>
    <definedName name="ExternalData_46" localSheetId="5">'Cotacao 5'!$C$7:$C$94</definedName>
    <definedName name="ExternalData_47" localSheetId="2">'Cotacao 2'!$C$7:$C$113</definedName>
    <definedName name="ExternalData_47" localSheetId="3">'Cotacao 3'!$C$7:$C$95</definedName>
    <definedName name="ExternalData_47" localSheetId="4">'Cotacao 4'!$C$7:$C$95</definedName>
    <definedName name="ExternalData_47" localSheetId="5">'Cotacao 5'!$C$7:$C$95</definedName>
    <definedName name="ExternalData_48" localSheetId="2">'Cotacao 2'!$C$7:$C$113</definedName>
    <definedName name="ExternalData_48" localSheetId="3">'Cotacao 3'!$C$7:$C$96</definedName>
    <definedName name="ExternalData_48" localSheetId="4">'Cotacao 4'!$C$7:$C$96</definedName>
    <definedName name="ExternalData_48" localSheetId="5">'Cotacao 5'!$C$7:$C$96</definedName>
    <definedName name="ExternalData_49" localSheetId="2">'Cotacao 2'!$C$7:$C$113</definedName>
    <definedName name="ExternalData_49" localSheetId="3">'Cotacao 3'!$C$7:$C$97</definedName>
    <definedName name="ExternalData_49" localSheetId="4">'Cotacao 4'!$C$7:$C$97</definedName>
    <definedName name="ExternalData_49" localSheetId="5">'Cotacao 5'!$C$7:$C$97</definedName>
    <definedName name="ExternalData_5" localSheetId="1">Cotacao!$C$7:$C$88</definedName>
    <definedName name="ExternalData_5" localSheetId="2">'Cotacao 2'!$C$7:$C$88</definedName>
    <definedName name="ExternalData_5" localSheetId="3">'Cotacao 3'!$C$7:$C$88</definedName>
    <definedName name="ExternalData_5" localSheetId="4">'Cotacao 4'!$C$7:$C$88</definedName>
    <definedName name="ExternalData_5" localSheetId="5">'Cotacao 5'!$C$7:$C$88</definedName>
    <definedName name="ExternalData_50" localSheetId="2">'Cotacao 2'!$C$7:$C$113</definedName>
    <definedName name="ExternalData_50" localSheetId="3">'Cotacao 3'!$C$7:$C$98</definedName>
    <definedName name="ExternalData_50" localSheetId="4">'Cotacao 4'!$C$7:$C$98</definedName>
    <definedName name="ExternalData_50" localSheetId="5">'Cotacao 5'!$C$7:$C$98</definedName>
    <definedName name="ExternalData_51" localSheetId="2">'Cotacao 2'!$C$7:$C$113</definedName>
    <definedName name="ExternalData_51" localSheetId="3">'Cotacao 3'!$C$7:$C$100</definedName>
    <definedName name="ExternalData_51" localSheetId="4">'Cotacao 4'!$C$7:$C$100</definedName>
    <definedName name="ExternalData_51" localSheetId="5">'Cotacao 5'!$C$7:$C$100</definedName>
    <definedName name="ExternalData_52" localSheetId="3">'Cotacao 3'!$C$7:$C$101</definedName>
    <definedName name="ExternalData_52" localSheetId="4">'Cotacao 4'!$C$7:$C$101</definedName>
    <definedName name="ExternalData_52" localSheetId="5">'Cotacao 5'!$C$7:$C$101</definedName>
    <definedName name="ExternalData_53" localSheetId="3">'Cotacao 3'!$C$7:$C$101</definedName>
    <definedName name="ExternalData_53" localSheetId="4">'Cotacao 4'!$C$7:$C$101</definedName>
    <definedName name="ExternalData_53" localSheetId="5">'Cotacao 5'!$C$7:$C$101</definedName>
    <definedName name="ExternalData_54" localSheetId="3">'Cotacao 3'!$C$7:$C$103</definedName>
    <definedName name="ExternalData_54" localSheetId="4">'Cotacao 4'!$C$7:$C$103</definedName>
    <definedName name="ExternalData_54" localSheetId="5">'Cotacao 5'!$C$7:$C$103</definedName>
    <definedName name="ExternalData_55" localSheetId="3">'Cotacao 3'!$C$7:$C$104</definedName>
    <definedName name="ExternalData_55" localSheetId="4">'Cotacao 4'!$C$7:$C$104</definedName>
    <definedName name="ExternalData_55" localSheetId="5">'Cotacao 5'!$C$7:$C$104</definedName>
    <definedName name="ExternalData_56" localSheetId="3">'Cotacao 3'!$C$7:$C$105</definedName>
    <definedName name="ExternalData_56" localSheetId="4">'Cotacao 4'!$C$7:$C$105</definedName>
    <definedName name="ExternalData_56" localSheetId="5">'Cotacao 5'!$C$7:$C$105</definedName>
    <definedName name="ExternalData_57" localSheetId="3">'Cotacao 3'!$C$7:$C$105</definedName>
    <definedName name="ExternalData_57" localSheetId="4">'Cotacao 4'!$C$7:$C$105</definedName>
    <definedName name="ExternalData_57" localSheetId="5">'Cotacao 5'!$C$7:$C$105</definedName>
    <definedName name="ExternalData_58" localSheetId="3">'Cotacao 3'!$C$7:$C$107</definedName>
    <definedName name="ExternalData_58" localSheetId="4">'Cotacao 4'!$C$7:$C$107</definedName>
    <definedName name="ExternalData_58" localSheetId="5">'Cotacao 5'!$C$7:$C$107</definedName>
    <definedName name="ExternalData_59" localSheetId="3">'Cotacao 3'!$C$7:$C$108</definedName>
    <definedName name="ExternalData_59" localSheetId="4">'Cotacao 4'!$C$7:$C$108</definedName>
    <definedName name="ExternalData_59" localSheetId="5">'Cotacao 5'!$C$7:$C$108</definedName>
    <definedName name="ExternalData_6" localSheetId="1">Cotacao!$C$7:$C$89</definedName>
    <definedName name="ExternalData_6" localSheetId="2">'Cotacao 2'!$C$7:$C$89</definedName>
    <definedName name="ExternalData_6" localSheetId="3">'Cotacao 3'!$C$7:$C$89</definedName>
    <definedName name="ExternalData_6" localSheetId="4">'Cotacao 4'!$C$7:$C$89</definedName>
    <definedName name="ExternalData_6" localSheetId="5">'Cotacao 5'!$C$7:$C$89</definedName>
    <definedName name="ExternalData_60" localSheetId="3">'Cotacao 3'!$C$7:$C$110</definedName>
    <definedName name="ExternalData_60" localSheetId="4">'Cotacao 4'!$C$7:$C$110</definedName>
    <definedName name="ExternalData_60" localSheetId="5">'Cotacao 5'!$C$7:$C$110</definedName>
    <definedName name="ExternalData_61" localSheetId="3">'Cotacao 3'!$C$7:$C$112</definedName>
    <definedName name="ExternalData_61" localSheetId="4">'Cotacao 4'!$C$7:$C$112</definedName>
    <definedName name="ExternalData_61" localSheetId="5">'Cotacao 5'!$C$7:$C$112</definedName>
    <definedName name="ExternalData_62" localSheetId="3">'Cotacao 3'!$C$7:$C$113</definedName>
    <definedName name="ExternalData_62" localSheetId="4">'Cotacao 4'!$C$7:$C$113</definedName>
    <definedName name="ExternalData_62" localSheetId="5">'Cotacao 5'!$C$7:$C$113</definedName>
    <definedName name="ExternalData_63" localSheetId="3">'Cotacao 3'!$C$7:$C$113</definedName>
    <definedName name="ExternalData_63" localSheetId="4">'Cotacao 4'!$C$7:$C$113</definedName>
    <definedName name="ExternalData_63" localSheetId="5">'Cotacao 5'!$C$7:$C$113</definedName>
    <definedName name="ExternalData_64" localSheetId="3">'Cotacao 3'!$C$7:$C$113</definedName>
    <definedName name="ExternalData_64" localSheetId="4">'Cotacao 4'!$C$7:$C$10</definedName>
    <definedName name="ExternalData_64" localSheetId="5">'Cotacao 5'!$C$7:$C$10</definedName>
    <definedName name="ExternalData_65" localSheetId="3">'Cotacao 3'!$C$7:$C$113</definedName>
    <definedName name="ExternalData_65" localSheetId="4">'Cotacao 4'!$C$7:$C$12</definedName>
    <definedName name="ExternalData_65" localSheetId="5">'Cotacao 5'!$C$7:$C$12</definedName>
    <definedName name="ExternalData_66" localSheetId="3">'Cotacao 3'!$C$7:$C$113</definedName>
    <definedName name="ExternalData_66" localSheetId="4">'Cotacao 4'!$C$7:$C$12</definedName>
    <definedName name="ExternalData_66" localSheetId="5">'Cotacao 5'!$C$7:$C$12</definedName>
    <definedName name="ExternalData_67" localSheetId="3">'Cotacao 3'!$C$7:$C$113</definedName>
    <definedName name="ExternalData_67" localSheetId="4">'Cotacao 4'!$C$7:$C$13</definedName>
    <definedName name="ExternalData_67" localSheetId="5">'Cotacao 5'!$C$7:$C$13</definedName>
    <definedName name="ExternalData_68" localSheetId="3">'Cotacao 3'!$C$7:$C$113</definedName>
    <definedName name="ExternalData_68" localSheetId="4">'Cotacao 4'!$C$7:$C$14</definedName>
    <definedName name="ExternalData_68" localSheetId="5">'Cotacao 5'!$C$7:$C$14</definedName>
    <definedName name="ExternalData_69" localSheetId="3">'Cotacao 3'!$C$7:$C$113</definedName>
    <definedName name="ExternalData_69" localSheetId="4">'Cotacao 4'!$C$7:$C$15</definedName>
    <definedName name="ExternalData_69" localSheetId="5">'Cotacao 5'!$C$7:$C$15</definedName>
    <definedName name="ExternalData_7" localSheetId="1">Cotacao!$C$7:$C$90</definedName>
    <definedName name="ExternalData_7" localSheetId="2">'Cotacao 2'!$C$7:$C$90</definedName>
    <definedName name="ExternalData_7" localSheetId="3">'Cotacao 3'!$C$7:$C$90</definedName>
    <definedName name="ExternalData_7" localSheetId="4">'Cotacao 4'!$C$7:$C$90</definedName>
    <definedName name="ExternalData_7" localSheetId="5">'Cotacao 5'!$C$7:$C$90</definedName>
    <definedName name="ExternalData_70" localSheetId="3">'Cotacao 3'!$C$7:$C$113</definedName>
    <definedName name="ExternalData_70" localSheetId="4">'Cotacao 4'!$C$7:$C$16</definedName>
    <definedName name="ExternalData_70" localSheetId="5">'Cotacao 5'!$C$7:$C$16</definedName>
    <definedName name="ExternalData_71" localSheetId="3">'Cotacao 3'!$C$7:$C$113</definedName>
    <definedName name="ExternalData_71" localSheetId="4">'Cotacao 4'!$C$7:$C$17</definedName>
    <definedName name="ExternalData_71" localSheetId="5">'Cotacao 5'!$C$7:$C$17</definedName>
    <definedName name="ExternalData_72" localSheetId="3">'Cotacao 3'!$C$7:$C$113</definedName>
    <definedName name="ExternalData_72" localSheetId="4">'Cotacao 4'!$C$7:$C$18</definedName>
    <definedName name="ExternalData_72" localSheetId="5">'Cotacao 5'!$C$7:$C$18</definedName>
    <definedName name="ExternalData_73" localSheetId="4">'Cotacao 4'!$C$7:$C$20</definedName>
    <definedName name="ExternalData_73" localSheetId="5">'Cotacao 5'!$C$7:$C$20</definedName>
    <definedName name="ExternalData_74" localSheetId="4">'Cotacao 4'!$C$7:$C$20</definedName>
    <definedName name="ExternalData_74" localSheetId="5">'Cotacao 5'!$C$7:$C$20</definedName>
    <definedName name="ExternalData_75" localSheetId="4">'Cotacao 4'!$C$7:$C$21</definedName>
    <definedName name="ExternalData_75" localSheetId="5">'Cotacao 5'!$C$7:$C$21</definedName>
    <definedName name="ExternalData_76" localSheetId="4">'Cotacao 4'!$C$7:$C$22</definedName>
    <definedName name="ExternalData_76" localSheetId="5">'Cotacao 5'!$C$7:$C$22</definedName>
    <definedName name="ExternalData_77" localSheetId="4">'Cotacao 4'!$C$7:$C$24</definedName>
    <definedName name="ExternalData_77" localSheetId="5">'Cotacao 5'!$C$7:$C$24</definedName>
    <definedName name="ExternalData_78" localSheetId="4">'Cotacao 4'!$C$7:$C$23</definedName>
    <definedName name="ExternalData_78" localSheetId="5">'Cotacao 5'!$C$7:$C$23</definedName>
    <definedName name="ExternalData_79" localSheetId="4">'Cotacao 4'!$C$7:$C$24</definedName>
    <definedName name="ExternalData_79" localSheetId="5">'Cotacao 5'!$C$7:$C$24</definedName>
    <definedName name="ExternalData_8" localSheetId="1">Cotacao!$C$7:$C$91</definedName>
    <definedName name="ExternalData_8" localSheetId="2">'Cotacao 2'!$C$7:$C$91</definedName>
    <definedName name="ExternalData_8" localSheetId="3">'Cotacao 3'!$C$7:$C$91</definedName>
    <definedName name="ExternalData_8" localSheetId="4">'Cotacao 4'!$C$7:$C$91</definedName>
    <definedName name="ExternalData_8" localSheetId="5">'Cotacao 5'!$C$7:$C$91</definedName>
    <definedName name="ExternalData_80" localSheetId="4">'Cotacao 4'!$C$7:$C$26</definedName>
    <definedName name="ExternalData_80" localSheetId="5">'Cotacao 5'!$C$7:$C$26</definedName>
    <definedName name="ExternalData_81" localSheetId="4">'Cotacao 4'!$C$7:$C$28</definedName>
    <definedName name="ExternalData_81" localSheetId="5">'Cotacao 5'!$C$7:$C$28</definedName>
    <definedName name="ExternalData_82" localSheetId="4">'Cotacao 4'!$C$7:$C$29</definedName>
    <definedName name="ExternalData_82" localSheetId="5">'Cotacao 5'!$C$7:$C$29</definedName>
    <definedName name="ExternalData_83" localSheetId="4">'Cotacao 4'!$C$7:$C$32</definedName>
    <definedName name="ExternalData_83" localSheetId="5">'Cotacao 5'!$C$7:$C$32</definedName>
    <definedName name="ExternalData_84" localSheetId="4">'Cotacao 4'!$C$7:$C$33</definedName>
    <definedName name="ExternalData_84" localSheetId="5">'Cotacao 5'!$C$7:$C$33</definedName>
    <definedName name="ExternalData_85" localSheetId="4">'Cotacao 4'!$C$7:$C$36</definedName>
    <definedName name="ExternalData_85" localSheetId="5">'Cotacao 5'!$C$7:$C$36</definedName>
    <definedName name="ExternalData_86" localSheetId="4">'Cotacao 4'!$C$7:$C$34</definedName>
    <definedName name="ExternalData_86" localSheetId="5">'Cotacao 5'!$C$7:$C$34</definedName>
    <definedName name="ExternalData_87" localSheetId="4">'Cotacao 4'!$C$7:$C$36</definedName>
    <definedName name="ExternalData_87" localSheetId="5">'Cotacao 5'!$C$7:$C$36</definedName>
    <definedName name="ExternalData_88" localSheetId="4">'Cotacao 4'!$C$7:$C$36</definedName>
    <definedName name="ExternalData_88" localSheetId="5">'Cotacao 5'!$C$7:$C$36</definedName>
    <definedName name="ExternalData_89" localSheetId="4">'Cotacao 4'!$C$7:$C$36</definedName>
    <definedName name="ExternalData_89" localSheetId="5">'Cotacao 5'!$C$7:$C$36</definedName>
    <definedName name="ExternalData_9" localSheetId="1">Cotacao!$C$7:$C$92</definedName>
    <definedName name="ExternalData_9" localSheetId="2">'Cotacao 2'!$C$7:$C$92</definedName>
    <definedName name="ExternalData_9" localSheetId="3">'Cotacao 3'!$C$7:$C$92</definedName>
    <definedName name="ExternalData_9" localSheetId="4">'Cotacao 4'!$C$7:$C$92</definedName>
    <definedName name="ExternalData_9" localSheetId="5">'Cotacao 5'!$C$7:$C$92</definedName>
    <definedName name="ExternalData_90" localSheetId="4">'Cotacao 4'!$C$7:$C$36</definedName>
    <definedName name="ExternalData_90" localSheetId="5">'Cotacao 5'!$C$7:$C$36</definedName>
    <definedName name="ExternalData_91" localSheetId="4">'Cotacao 4'!$C$7:$C$36</definedName>
    <definedName name="ExternalData_91" localSheetId="5">'Cotacao 5'!$C$7:$C$36</definedName>
    <definedName name="ExternalData_92" localSheetId="4">'Cotacao 4'!$C$7:$C$38</definedName>
    <definedName name="ExternalData_92" localSheetId="5">'Cotacao 5'!$C$7:$C$38</definedName>
    <definedName name="ExternalData_93" localSheetId="4">'Cotacao 4'!$C$7:$C$40</definedName>
    <definedName name="ExternalData_93" localSheetId="5">'Cotacao 5'!$C$7:$C$40</definedName>
    <definedName name="ExternalData_94" localSheetId="4">'Cotacao 4'!$C$7:$C$42</definedName>
    <definedName name="ExternalData_94" localSheetId="5">'Cotacao 5'!$C$7:$C$42</definedName>
    <definedName name="ExternalData_95" localSheetId="4">'Cotacao 4'!$C$7:$C$44</definedName>
    <definedName name="ExternalData_95" localSheetId="5">'Cotacao 5'!$C$7:$C$44</definedName>
    <definedName name="ExternalData_96" localSheetId="4">'Cotacao 4'!$C$7:$C$46</definedName>
    <definedName name="ExternalData_96" localSheetId="5">'Cotacao 5'!$C$7:$C$46</definedName>
    <definedName name="ExternalData_97" localSheetId="4">'Cotacao 4'!$C$7:$C$48</definedName>
    <definedName name="ExternalData_97" localSheetId="5">'Cotacao 5'!$C$7:$C$48</definedName>
    <definedName name="ExternalData_98" localSheetId="4">'Cotacao 4'!$C$7:$C$48</definedName>
    <definedName name="ExternalData_98" localSheetId="5">'Cotacao 5'!$C$7:$C$48</definedName>
    <definedName name="ExternalData_99" localSheetId="4">'Cotacao 4'!$C$7:$C$46</definedName>
    <definedName name="ExternalData_99" localSheetId="5">'Cotacao 5'!$C$7:$C$46</definedName>
  </definedNames>
  <calcPr calcId="124519"/>
  <pivotCaches>
    <pivotCache cacheId="0" r:id="rId12"/>
  </pivotCaches>
</workbook>
</file>

<file path=xl/calcChain.xml><?xml version="1.0" encoding="utf-8"?>
<calcChain xmlns="http://schemas.openxmlformats.org/spreadsheetml/2006/main">
  <c r="R111" i="1"/>
  <c r="X111" s="1"/>
  <c r="R112"/>
  <c r="X112" s="1"/>
  <c r="R13"/>
  <c r="X13" s="1"/>
  <c r="R290"/>
  <c r="X290" s="1"/>
  <c r="R291"/>
  <c r="X291" s="1"/>
  <c r="R292"/>
  <c r="X292" s="1"/>
  <c r="R216"/>
  <c r="X216" s="1"/>
  <c r="R286"/>
  <c r="X286" s="1"/>
  <c r="R308"/>
  <c r="X308" s="1"/>
  <c r="R309"/>
  <c r="X309" s="1"/>
  <c r="R310"/>
  <c r="X310" s="1"/>
  <c r="R379"/>
  <c r="X379" s="1"/>
  <c r="R407"/>
  <c r="X407" s="1"/>
  <c r="R408"/>
  <c r="X408" s="1"/>
  <c r="R409"/>
  <c r="X409" s="1"/>
  <c r="R272"/>
  <c r="X272" s="1"/>
  <c r="R118"/>
  <c r="X118" s="1"/>
  <c r="R119"/>
  <c r="X119" s="1"/>
  <c r="R228"/>
  <c r="X228" s="1"/>
  <c r="R123"/>
  <c r="X123" s="1"/>
  <c r="R124"/>
  <c r="X124" s="1"/>
  <c r="R125"/>
  <c r="X125" s="1"/>
  <c r="R187"/>
  <c r="X187" s="1"/>
  <c r="R95"/>
  <c r="X95" s="1"/>
  <c r="R192"/>
  <c r="X192" s="1"/>
  <c r="R169"/>
  <c r="X169" s="1"/>
  <c r="R326"/>
  <c r="X326" s="1"/>
  <c r="R327"/>
  <c r="X327" s="1"/>
  <c r="R328"/>
  <c r="X328" s="1"/>
  <c r="R93"/>
  <c r="X93" s="1"/>
  <c r="R296"/>
  <c r="X296" s="1"/>
  <c r="R306"/>
  <c r="X306" s="1"/>
  <c r="R307"/>
  <c r="X307" s="1"/>
  <c r="R140"/>
  <c r="X140" s="1"/>
  <c r="R91"/>
  <c r="X91" s="1"/>
  <c r="R7"/>
  <c r="X7" s="1"/>
  <c r="R8"/>
  <c r="X8" s="1"/>
  <c r="R215"/>
  <c r="X215" s="1"/>
  <c r="R17"/>
  <c r="X17" s="1"/>
  <c r="R427"/>
  <c r="X427" s="1"/>
  <c r="R428"/>
  <c r="X428" s="1"/>
  <c r="R490"/>
  <c r="X490" s="1"/>
  <c r="R190"/>
  <c r="X190" s="1"/>
  <c r="R191"/>
  <c r="X191" s="1"/>
  <c r="R255"/>
  <c r="X255" s="1"/>
  <c r="R218"/>
  <c r="X218" s="1"/>
  <c r="R219"/>
  <c r="X219" s="1"/>
  <c r="R204"/>
  <c r="X204" s="1"/>
  <c r="R205"/>
  <c r="X205" s="1"/>
  <c r="R390"/>
  <c r="X390" s="1"/>
  <c r="R498"/>
  <c r="X498" s="1"/>
  <c r="R435"/>
  <c r="X435" s="1"/>
  <c r="R436"/>
  <c r="X436" s="1"/>
  <c r="R341"/>
  <c r="X341" s="1"/>
  <c r="R92"/>
  <c r="X92" s="1"/>
  <c r="R303"/>
  <c r="X303" s="1"/>
  <c r="R89"/>
  <c r="X89" s="1"/>
  <c r="R114"/>
  <c r="X114" s="1"/>
  <c r="R102"/>
  <c r="X102" s="1"/>
  <c r="R103"/>
  <c r="X103" s="1"/>
  <c r="R444"/>
  <c r="X444" s="1"/>
  <c r="R445"/>
  <c r="X445" s="1"/>
  <c r="R238"/>
  <c r="X238" s="1"/>
  <c r="R493"/>
  <c r="X493" s="1"/>
  <c r="R494"/>
  <c r="X494" s="1"/>
  <c r="R44"/>
  <c r="X44" s="1"/>
  <c r="R45"/>
  <c r="X45" s="1"/>
  <c r="R43"/>
  <c r="X43" s="1"/>
  <c r="R279"/>
  <c r="X279" s="1"/>
  <c r="R240"/>
  <c r="X240" s="1"/>
  <c r="R241"/>
  <c r="X241" s="1"/>
  <c r="R41"/>
  <c r="X41" s="1"/>
  <c r="R243"/>
  <c r="X243" s="1"/>
  <c r="R50"/>
  <c r="X50" s="1"/>
  <c r="R244"/>
  <c r="X244" s="1"/>
  <c r="R186"/>
  <c r="X186" s="1"/>
  <c r="R220"/>
  <c r="X220" s="1"/>
  <c r="R19"/>
  <c r="X19" s="1"/>
  <c r="R66"/>
  <c r="X66" s="1"/>
  <c r="R67"/>
  <c r="X67" s="1"/>
  <c r="R18"/>
  <c r="X18" s="1"/>
  <c r="R94"/>
  <c r="X94" s="1"/>
  <c r="R188"/>
  <c r="X188" s="1"/>
  <c r="R52"/>
  <c r="X52" s="1"/>
  <c r="R251"/>
  <c r="X251" s="1"/>
  <c r="R54"/>
  <c r="X54" s="1"/>
  <c r="R503"/>
  <c r="X503" s="1"/>
  <c r="R162"/>
  <c r="X162" s="1"/>
  <c r="R163"/>
  <c r="X163" s="1"/>
  <c r="R484"/>
  <c r="X484" s="1"/>
  <c r="R373"/>
  <c r="X373" s="1"/>
  <c r="R374"/>
  <c r="X374" s="1"/>
  <c r="R35"/>
  <c r="X35" s="1"/>
  <c r="R231"/>
  <c r="X231" s="1"/>
  <c r="R299"/>
  <c r="X299" s="1"/>
  <c r="R300"/>
  <c r="X300" s="1"/>
  <c r="R343"/>
  <c r="X343" s="1"/>
  <c r="R344"/>
  <c r="X344" s="1"/>
  <c r="R368"/>
  <c r="X368" s="1"/>
  <c r="R270"/>
  <c r="X270" s="1"/>
  <c r="R271"/>
  <c r="X271" s="1"/>
  <c r="R65"/>
  <c r="X65" s="1"/>
  <c r="R501"/>
  <c r="X501" s="1"/>
  <c r="R502"/>
  <c r="X502" s="1"/>
  <c r="R359"/>
  <c r="X359" s="1"/>
  <c r="R360"/>
  <c r="X360" s="1"/>
  <c r="R168"/>
  <c r="X168" s="1"/>
  <c r="R38"/>
  <c r="X38" s="1"/>
  <c r="R406"/>
  <c r="X406" s="1"/>
  <c r="R278"/>
  <c r="X278" s="1"/>
  <c r="R239"/>
  <c r="X239" s="1"/>
  <c r="R280"/>
  <c r="X280" s="1"/>
  <c r="R297"/>
  <c r="X297" s="1"/>
  <c r="R298"/>
  <c r="X298" s="1"/>
  <c r="R75"/>
  <c r="X75" s="1"/>
  <c r="R76"/>
  <c r="X76" s="1"/>
  <c r="R77"/>
  <c r="X77" s="1"/>
  <c r="R491"/>
  <c r="X491" s="1"/>
  <c r="R492"/>
  <c r="X492" s="1"/>
  <c r="R117"/>
  <c r="X117" s="1"/>
  <c r="R467"/>
  <c r="X467" s="1"/>
  <c r="R468"/>
  <c r="X468" s="1"/>
  <c r="R469"/>
  <c r="X469" s="1"/>
  <c r="R470"/>
  <c r="X470" s="1"/>
  <c r="R199"/>
  <c r="X199" s="1"/>
  <c r="R200"/>
  <c r="X200" s="1"/>
  <c r="R201"/>
  <c r="X201" s="1"/>
  <c r="R49"/>
  <c r="X49" s="1"/>
  <c r="R242"/>
  <c r="X242" s="1"/>
  <c r="R51"/>
  <c r="X51" s="1"/>
  <c r="R73"/>
  <c r="X73" s="1"/>
  <c r="R74"/>
  <c r="X74" s="1"/>
  <c r="R253"/>
  <c r="X253" s="1"/>
  <c r="R254"/>
  <c r="X254" s="1"/>
  <c r="R14"/>
  <c r="X14" s="1"/>
  <c r="R295"/>
  <c r="X295" s="1"/>
  <c r="R236"/>
  <c r="X236" s="1"/>
  <c r="R439"/>
  <c r="X439" s="1"/>
  <c r="R440"/>
  <c r="X440" s="1"/>
  <c r="R160"/>
  <c r="X160" s="1"/>
  <c r="R221"/>
  <c r="X221" s="1"/>
  <c r="R208"/>
  <c r="X208" s="1"/>
  <c r="R161"/>
  <c r="X161" s="1"/>
  <c r="R150"/>
  <c r="X150" s="1"/>
  <c r="R151"/>
  <c r="X151" s="1"/>
  <c r="R152"/>
  <c r="X152" s="1"/>
  <c r="R361"/>
  <c r="X361" s="1"/>
  <c r="R362"/>
  <c r="X362" s="1"/>
  <c r="R61"/>
  <c r="X61" s="1"/>
  <c r="R128"/>
  <c r="X128" s="1"/>
  <c r="R3"/>
  <c r="X3" s="1"/>
  <c r="R42"/>
  <c r="X42" s="1"/>
  <c r="R418"/>
  <c r="X418" s="1"/>
  <c r="R258"/>
  <c r="X258" s="1"/>
  <c r="R230"/>
  <c r="X230" s="1"/>
  <c r="R245"/>
  <c r="X245" s="1"/>
  <c r="R20"/>
  <c r="X20" s="1"/>
  <c r="R347"/>
  <c r="X347" s="1"/>
  <c r="R348"/>
  <c r="X348" s="1"/>
  <c r="R294"/>
  <c r="X294" s="1"/>
  <c r="R82"/>
  <c r="X82" s="1"/>
  <c r="R39"/>
  <c r="X39" s="1"/>
  <c r="R156"/>
  <c r="X156" s="1"/>
  <c r="R157"/>
  <c r="X157" s="1"/>
  <c r="R158"/>
  <c r="X158" s="1"/>
  <c r="R174"/>
  <c r="X174" s="1"/>
  <c r="R175"/>
  <c r="X175" s="1"/>
  <c r="R176"/>
  <c r="X176" s="1"/>
  <c r="R113"/>
  <c r="X113" s="1"/>
  <c r="R431"/>
  <c r="X431" s="1"/>
  <c r="R432"/>
  <c r="X432" s="1"/>
  <c r="R421"/>
  <c r="X421" s="1"/>
  <c r="R422"/>
  <c r="X422" s="1"/>
  <c r="R207"/>
  <c r="X207" s="1"/>
  <c r="R248"/>
  <c r="X248" s="1"/>
  <c r="R249"/>
  <c r="X249" s="1"/>
  <c r="R170"/>
  <c r="X170" s="1"/>
  <c r="R63"/>
  <c r="X63" s="1"/>
  <c r="R181"/>
  <c r="X181" s="1"/>
  <c r="R146"/>
  <c r="X146" s="1"/>
  <c r="R147"/>
  <c r="X147" s="1"/>
  <c r="R457"/>
  <c r="X457" s="1"/>
  <c r="R458"/>
  <c r="X458" s="1"/>
  <c r="R142"/>
  <c r="X142" s="1"/>
  <c r="R393"/>
  <c r="X393" s="1"/>
  <c r="R394"/>
  <c r="X394" s="1"/>
  <c r="R256"/>
  <c r="X256" s="1"/>
  <c r="R257"/>
  <c r="X257" s="1"/>
  <c r="R366"/>
  <c r="X366" s="1"/>
  <c r="R367"/>
  <c r="X367" s="1"/>
  <c r="R64"/>
  <c r="X64" s="1"/>
  <c r="R355"/>
  <c r="X355" s="1"/>
  <c r="R356"/>
  <c r="X356" s="1"/>
  <c r="R301"/>
  <c r="X301" s="1"/>
  <c r="R302"/>
  <c r="X302" s="1"/>
  <c r="R83"/>
  <c r="X83" s="1"/>
  <c r="R110"/>
  <c r="X110" s="1"/>
  <c r="R101"/>
  <c r="X101" s="1"/>
  <c r="R384"/>
  <c r="X384" s="1"/>
  <c r="R385"/>
  <c r="X385" s="1"/>
  <c r="R437"/>
  <c r="X437" s="1"/>
  <c r="R438"/>
  <c r="X438" s="1"/>
  <c r="R96"/>
  <c r="X96" s="1"/>
  <c r="R97"/>
  <c r="X97" s="1"/>
  <c r="R232"/>
  <c r="X232" s="1"/>
  <c r="R233"/>
  <c r="X233" s="1"/>
  <c r="R508"/>
  <c r="X508" s="1"/>
  <c r="R509"/>
  <c r="X509" s="1"/>
  <c r="R510"/>
  <c r="X510" s="1"/>
  <c r="R4"/>
  <c r="X4" s="1"/>
  <c r="R274"/>
  <c r="X274" s="1"/>
  <c r="R259"/>
  <c r="X259" s="1"/>
  <c r="R260"/>
  <c r="X260" s="1"/>
  <c r="R144"/>
  <c r="X144" s="1"/>
  <c r="R72"/>
  <c r="X72" s="1"/>
  <c r="R504"/>
  <c r="X504" s="1"/>
  <c r="R515"/>
  <c r="X515" s="1"/>
  <c r="R134"/>
  <c r="X134" s="1"/>
  <c r="R135"/>
  <c r="X135" s="1"/>
  <c r="R153"/>
  <c r="X153" s="1"/>
  <c r="R154"/>
  <c r="X154" s="1"/>
  <c r="R155"/>
  <c r="X155" s="1"/>
  <c r="R165"/>
  <c r="X165" s="1"/>
  <c r="R419"/>
  <c r="X419" s="1"/>
  <c r="R420"/>
  <c r="X420" s="1"/>
  <c r="R193"/>
  <c r="X193" s="1"/>
  <c r="R184"/>
  <c r="X184" s="1"/>
  <c r="R25"/>
  <c r="X25" s="1"/>
  <c r="R132"/>
  <c r="X132" s="1"/>
  <c r="R79"/>
  <c r="X79" s="1"/>
  <c r="R370"/>
  <c r="X370" s="1"/>
  <c r="R371"/>
  <c r="X371" s="1"/>
  <c r="R213"/>
  <c r="X213" s="1"/>
  <c r="R214"/>
  <c r="X214" s="1"/>
  <c r="R447"/>
  <c r="X447" s="1"/>
  <c r="R507"/>
  <c r="X507" s="1"/>
  <c r="R459"/>
  <c r="X459" s="1"/>
  <c r="R460"/>
  <c r="X460" s="1"/>
  <c r="R203"/>
  <c r="X203" s="1"/>
  <c r="R246"/>
  <c r="X246" s="1"/>
  <c r="R391"/>
  <c r="X391" s="1"/>
  <c r="R107"/>
  <c r="X107" s="1"/>
  <c r="R108"/>
  <c r="X108" s="1"/>
  <c r="R59"/>
  <c r="X59" s="1"/>
  <c r="R60"/>
  <c r="X60" s="1"/>
  <c r="R450"/>
  <c r="X450" s="1"/>
  <c r="R33"/>
  <c r="X33" s="1"/>
  <c r="R34"/>
  <c r="X34" s="1"/>
  <c r="R87"/>
  <c r="X87" s="1"/>
  <c r="R88"/>
  <c r="X88" s="1"/>
  <c r="R505"/>
  <c r="X505" s="1"/>
  <c r="R506"/>
  <c r="X506" s="1"/>
  <c r="R229"/>
  <c r="X229" s="1"/>
  <c r="R452"/>
  <c r="X452" s="1"/>
  <c r="R78"/>
  <c r="X78" s="1"/>
  <c r="R455"/>
  <c r="X455" s="1"/>
  <c r="R336"/>
  <c r="X336" s="1"/>
  <c r="R337"/>
  <c r="X337" s="1"/>
  <c r="R80"/>
  <c r="X80" s="1"/>
  <c r="R81"/>
  <c r="X81" s="1"/>
  <c r="R334"/>
  <c r="X334" s="1"/>
  <c r="R335"/>
  <c r="X335" s="1"/>
  <c r="R235"/>
  <c r="X235" s="1"/>
  <c r="R315"/>
  <c r="X315" s="1"/>
  <c r="R316"/>
  <c r="X316" s="1"/>
  <c r="R317"/>
  <c r="X317" s="1"/>
  <c r="R429"/>
  <c r="X429" s="1"/>
  <c r="R430"/>
  <c r="X430" s="1"/>
  <c r="R98"/>
  <c r="X98" s="1"/>
  <c r="R131"/>
  <c r="X131" s="1"/>
  <c r="R349"/>
  <c r="X349" s="1"/>
  <c r="R465"/>
  <c r="X465" s="1"/>
  <c r="R466"/>
  <c r="X466" s="1"/>
  <c r="R461"/>
  <c r="X461" s="1"/>
  <c r="R166"/>
  <c r="X166" s="1"/>
  <c r="R401"/>
  <c r="X401" s="1"/>
  <c r="R402"/>
  <c r="X402" s="1"/>
  <c r="R403"/>
  <c r="X403" s="1"/>
  <c r="R357"/>
  <c r="X357" s="1"/>
  <c r="R358"/>
  <c r="X358" s="1"/>
  <c r="R404"/>
  <c r="X404" s="1"/>
  <c r="R479"/>
  <c r="X479" s="1"/>
  <c r="R480"/>
  <c r="X480" s="1"/>
  <c r="R365"/>
  <c r="X365" s="1"/>
  <c r="R500"/>
  <c r="X500" s="1"/>
  <c r="R11"/>
  <c r="X11" s="1"/>
  <c r="R12"/>
  <c r="X12" s="1"/>
  <c r="R9"/>
  <c r="X9" s="1"/>
  <c r="R10"/>
  <c r="X10" s="1"/>
  <c r="R331"/>
  <c r="X331" s="1"/>
  <c r="R332"/>
  <c r="X332" s="1"/>
  <c r="R55"/>
  <c r="X55" s="1"/>
  <c r="R268"/>
  <c r="X268" s="1"/>
  <c r="R217"/>
  <c r="X217" s="1"/>
  <c r="R288"/>
  <c r="X288" s="1"/>
  <c r="R289"/>
  <c r="X289" s="1"/>
  <c r="R194"/>
  <c r="X194" s="1"/>
  <c r="R237"/>
  <c r="X237" s="1"/>
  <c r="R516"/>
  <c r="X516" s="1"/>
  <c r="R105"/>
  <c r="X105" s="1"/>
  <c r="R106"/>
  <c r="X106" s="1"/>
  <c r="R136"/>
  <c r="X136" s="1"/>
  <c r="R137"/>
  <c r="X137" s="1"/>
  <c r="R266"/>
  <c r="X266" s="1"/>
  <c r="R145"/>
  <c r="X145" s="1"/>
  <c r="R462"/>
  <c r="X462" s="1"/>
  <c r="R463"/>
  <c r="X463" s="1"/>
  <c r="R351"/>
  <c r="X351" s="1"/>
  <c r="R352"/>
  <c r="X352" s="1"/>
  <c r="R71"/>
  <c r="X71" s="1"/>
  <c r="R202"/>
  <c r="X202" s="1"/>
  <c r="R318"/>
  <c r="X318" s="1"/>
  <c r="R380"/>
  <c r="X380" s="1"/>
  <c r="R381"/>
  <c r="X381" s="1"/>
  <c r="R405"/>
  <c r="X405" s="1"/>
  <c r="R464"/>
  <c r="X464" s="1"/>
  <c r="R329"/>
  <c r="X329" s="1"/>
  <c r="R179"/>
  <c r="X179" s="1"/>
  <c r="R85"/>
  <c r="X85" s="1"/>
  <c r="R313"/>
  <c r="X313" s="1"/>
  <c r="R314"/>
  <c r="X314" s="1"/>
  <c r="R261"/>
  <c r="X261" s="1"/>
  <c r="R86"/>
  <c r="X86" s="1"/>
  <c r="R495"/>
  <c r="X495" s="1"/>
  <c r="R496"/>
  <c r="X496" s="1"/>
  <c r="R497"/>
  <c r="X497" s="1"/>
  <c r="R273"/>
  <c r="X273" s="1"/>
  <c r="R84"/>
  <c r="X84" s="1"/>
  <c r="R433"/>
  <c r="X433" s="1"/>
  <c r="R434"/>
  <c r="X434" s="1"/>
  <c r="R189"/>
  <c r="X189" s="1"/>
  <c r="R167"/>
  <c r="X167" s="1"/>
  <c r="R413"/>
  <c r="X413" s="1"/>
  <c r="R414"/>
  <c r="X414" s="1"/>
  <c r="R512"/>
  <c r="X512" s="1"/>
  <c r="R333"/>
  <c r="X333" s="1"/>
  <c r="R410"/>
  <c r="X410" s="1"/>
  <c r="R183"/>
  <c r="X183" s="1"/>
  <c r="R511"/>
  <c r="X511" s="1"/>
  <c r="R90"/>
  <c r="X90" s="1"/>
  <c r="R423"/>
  <c r="X423" s="1"/>
  <c r="R424"/>
  <c r="X424" s="1"/>
  <c r="R411"/>
  <c r="X411" s="1"/>
  <c r="R412"/>
  <c r="X412" s="1"/>
  <c r="R282"/>
  <c r="X282" s="1"/>
  <c r="R283"/>
  <c r="X283" s="1"/>
  <c r="R120"/>
  <c r="X120" s="1"/>
  <c r="R121"/>
  <c r="X121" s="1"/>
  <c r="R323"/>
  <c r="X323" s="1"/>
  <c r="R324"/>
  <c r="X324" s="1"/>
  <c r="R177"/>
  <c r="X177" s="1"/>
  <c r="R399"/>
  <c r="X399" s="1"/>
  <c r="R400"/>
  <c r="X400" s="1"/>
  <c r="R46"/>
  <c r="X46" s="1"/>
  <c r="R129"/>
  <c r="X129" s="1"/>
  <c r="R130"/>
  <c r="X130" s="1"/>
  <c r="R369"/>
  <c r="X369" s="1"/>
  <c r="R164"/>
  <c r="X164" s="1"/>
  <c r="R514"/>
  <c r="X514" s="1"/>
  <c r="R24"/>
  <c r="X24" s="1"/>
  <c r="R68"/>
  <c r="X68" s="1"/>
  <c r="R513"/>
  <c r="X513" s="1"/>
  <c r="R40"/>
  <c r="X40" s="1"/>
  <c r="R36"/>
  <c r="X36" s="1"/>
  <c r="R37"/>
  <c r="X37" s="1"/>
  <c r="R499"/>
  <c r="X499" s="1"/>
  <c r="R353"/>
  <c r="X353" s="1"/>
  <c r="R354"/>
  <c r="X354" s="1"/>
  <c r="R2"/>
  <c r="X2" s="1"/>
  <c r="R342"/>
  <c r="X342" s="1"/>
  <c r="R262"/>
  <c r="X262" s="1"/>
  <c r="R148"/>
  <c r="X148" s="1"/>
  <c r="R149"/>
  <c r="X149" s="1"/>
  <c r="R451"/>
  <c r="X451" s="1"/>
  <c r="R293"/>
  <c r="X293" s="1"/>
  <c r="R225"/>
  <c r="X225" s="1"/>
  <c r="R226"/>
  <c r="X226" s="1"/>
  <c r="R126"/>
  <c r="X126" s="1"/>
  <c r="R127"/>
  <c r="X127" s="1"/>
  <c r="R281"/>
  <c r="X281" s="1"/>
  <c r="R172"/>
  <c r="X172" s="1"/>
  <c r="R173"/>
  <c r="X173" s="1"/>
  <c r="R265"/>
  <c r="X265" s="1"/>
  <c r="R27"/>
  <c r="X27" s="1"/>
  <c r="R211"/>
  <c r="X211" s="1"/>
  <c r="R338"/>
  <c r="X338" s="1"/>
  <c r="R339"/>
  <c r="X339" s="1"/>
  <c r="R209"/>
  <c r="X209" s="1"/>
  <c r="R210"/>
  <c r="X210" s="1"/>
  <c r="R143"/>
  <c r="X143" s="1"/>
  <c r="R269"/>
  <c r="X269" s="1"/>
  <c r="R196"/>
  <c r="X196" s="1"/>
  <c r="R263"/>
  <c r="X263" s="1"/>
  <c r="R264"/>
  <c r="X264" s="1"/>
  <c r="R138"/>
  <c r="X138" s="1"/>
  <c r="R139"/>
  <c r="X139" s="1"/>
  <c r="R388"/>
  <c r="X388" s="1"/>
  <c r="R389"/>
  <c r="X389" s="1"/>
  <c r="R212"/>
  <c r="X212" s="1"/>
  <c r="R206"/>
  <c r="X206" s="1"/>
  <c r="R471"/>
  <c r="X471" s="1"/>
  <c r="R472"/>
  <c r="X472" s="1"/>
  <c r="R104"/>
  <c r="X104" s="1"/>
  <c r="R372"/>
  <c r="X372" s="1"/>
  <c r="R325"/>
  <c r="X325" s="1"/>
  <c r="R517"/>
  <c r="X517" s="1"/>
  <c r="R311"/>
  <c r="X311" s="1"/>
  <c r="R312"/>
  <c r="X312" s="1"/>
  <c r="R340"/>
  <c r="X340" s="1"/>
  <c r="R250"/>
  <c r="X250" s="1"/>
  <c r="R109"/>
  <c r="X109" s="1"/>
  <c r="R252"/>
  <c r="X252" s="1"/>
  <c r="R448"/>
  <c r="X448" s="1"/>
  <c r="R449"/>
  <c r="X449" s="1"/>
  <c r="R234"/>
  <c r="X234" s="1"/>
  <c r="R382"/>
  <c r="X382" s="1"/>
  <c r="R383"/>
  <c r="X383" s="1"/>
  <c r="R518"/>
  <c r="X518" s="1"/>
  <c r="R21"/>
  <c r="X21" s="1"/>
  <c r="R22"/>
  <c r="X22" s="1"/>
  <c r="R99"/>
  <c r="X99" s="1"/>
  <c r="R100"/>
  <c r="X100" s="1"/>
  <c r="R28"/>
  <c r="X28" s="1"/>
  <c r="R182"/>
  <c r="X182" s="1"/>
  <c r="R304"/>
  <c r="X304" s="1"/>
  <c r="R305"/>
  <c r="X305" s="1"/>
  <c r="R284"/>
  <c r="X284" s="1"/>
  <c r="R285"/>
  <c r="X285" s="1"/>
  <c r="R363"/>
  <c r="X363" s="1"/>
  <c r="R364"/>
  <c r="X364" s="1"/>
  <c r="R446"/>
  <c r="X446" s="1"/>
  <c r="R392"/>
  <c r="X392" s="1"/>
  <c r="R222"/>
  <c r="X222" s="1"/>
  <c r="R223"/>
  <c r="X223" s="1"/>
  <c r="R178"/>
  <c r="X178" s="1"/>
  <c r="R345"/>
  <c r="X345" s="1"/>
  <c r="R346"/>
  <c r="X346" s="1"/>
  <c r="R180"/>
  <c r="X180" s="1"/>
  <c r="R322"/>
  <c r="X322" s="1"/>
  <c r="R441"/>
  <c r="X441" s="1"/>
  <c r="R442"/>
  <c r="X442" s="1"/>
  <c r="R443"/>
  <c r="X443" s="1"/>
  <c r="R319"/>
  <c r="X319" s="1"/>
  <c r="R320"/>
  <c r="X320" s="1"/>
  <c r="R321"/>
  <c r="X321" s="1"/>
  <c r="R395"/>
  <c r="X395" s="1"/>
  <c r="R396"/>
  <c r="X396" s="1"/>
  <c r="R397"/>
  <c r="X397" s="1"/>
  <c r="R159"/>
  <c r="X159" s="1"/>
  <c r="R519"/>
  <c r="X519" s="1"/>
  <c r="R115"/>
  <c r="X115" s="1"/>
  <c r="R116"/>
  <c r="X116" s="1"/>
  <c r="R69"/>
  <c r="X69" s="1"/>
  <c r="R70"/>
  <c r="X70" s="1"/>
  <c r="R133"/>
  <c r="X133" s="1"/>
  <c r="R425"/>
  <c r="X425" s="1"/>
  <c r="R426"/>
  <c r="X426" s="1"/>
  <c r="R486"/>
  <c r="X486" s="1"/>
  <c r="R487"/>
  <c r="X487" s="1"/>
  <c r="R488"/>
  <c r="X488" s="1"/>
  <c r="R56"/>
  <c r="X56" s="1"/>
  <c r="R57"/>
  <c r="X57" s="1"/>
  <c r="R58"/>
  <c r="X58" s="1"/>
  <c r="R26"/>
  <c r="X26" s="1"/>
  <c r="R453"/>
  <c r="X453" s="1"/>
  <c r="R454"/>
  <c r="X454" s="1"/>
  <c r="R141"/>
  <c r="X141" s="1"/>
  <c r="R330"/>
  <c r="X330" s="1"/>
  <c r="R475"/>
  <c r="X475" s="1"/>
  <c r="R476"/>
  <c r="X476" s="1"/>
  <c r="R277"/>
  <c r="X277" s="1"/>
  <c r="R375"/>
  <c r="X375" s="1"/>
  <c r="R376"/>
  <c r="X376" s="1"/>
  <c r="R377"/>
  <c r="X377" s="1"/>
  <c r="R378"/>
  <c r="X378" s="1"/>
  <c r="R227"/>
  <c r="X227" s="1"/>
  <c r="R224"/>
  <c r="X224" s="1"/>
  <c r="R415"/>
  <c r="X415" s="1"/>
  <c r="R416"/>
  <c r="X416" s="1"/>
  <c r="R417"/>
  <c r="X417" s="1"/>
  <c r="R23"/>
  <c r="X23" s="1"/>
  <c r="R275"/>
  <c r="X275" s="1"/>
  <c r="R276"/>
  <c r="X276" s="1"/>
  <c r="R122"/>
  <c r="X122" s="1"/>
  <c r="R386"/>
  <c r="X386" s="1"/>
  <c r="R387"/>
  <c r="X387" s="1"/>
  <c r="R350"/>
  <c r="X350" s="1"/>
  <c r="R267"/>
  <c r="X267" s="1"/>
  <c r="R473"/>
  <c r="X473" s="1"/>
  <c r="R474"/>
  <c r="X474" s="1"/>
  <c r="R195"/>
  <c r="X195" s="1"/>
  <c r="R197"/>
  <c r="X197" s="1"/>
  <c r="R287"/>
  <c r="X287" s="1"/>
  <c r="R29"/>
  <c r="X29" s="1"/>
  <c r="R185"/>
  <c r="X185" s="1"/>
  <c r="R53"/>
  <c r="X53" s="1"/>
  <c r="R247"/>
  <c r="X247" s="1"/>
  <c r="R481"/>
  <c r="X481" s="1"/>
  <c r="R482"/>
  <c r="X482" s="1"/>
  <c r="R483"/>
  <c r="X483" s="1"/>
  <c r="R489"/>
  <c r="X489" s="1"/>
  <c r="R5"/>
  <c r="X5" s="1"/>
  <c r="R6"/>
  <c r="X6" s="1"/>
  <c r="R171"/>
  <c r="X171" s="1"/>
  <c r="R485"/>
  <c r="X485" s="1"/>
  <c r="R15"/>
  <c r="X15" s="1"/>
  <c r="R16"/>
  <c r="X16" s="1"/>
  <c r="R198"/>
  <c r="X198" s="1"/>
  <c r="R477"/>
  <c r="X477" s="1"/>
  <c r="R478"/>
  <c r="X478" s="1"/>
  <c r="R456"/>
  <c r="X456" s="1"/>
  <c r="R30"/>
  <c r="X30" s="1"/>
  <c r="R31"/>
  <c r="X31" s="1"/>
  <c r="R32"/>
  <c r="X32" s="1"/>
  <c r="R62"/>
  <c r="X62" s="1"/>
  <c r="R47"/>
  <c r="X47" s="1"/>
  <c r="R48"/>
  <c r="X48" s="1"/>
  <c r="R398"/>
  <c r="X398" s="1"/>
  <c r="V111"/>
  <c r="V112"/>
  <c r="V13"/>
  <c r="V290"/>
  <c r="V291"/>
  <c r="V292"/>
  <c r="V216"/>
  <c r="V286"/>
  <c r="V308"/>
  <c r="V309"/>
  <c r="V310"/>
  <c r="V379"/>
  <c r="V407"/>
  <c r="V408"/>
  <c r="V409"/>
  <c r="V272"/>
  <c r="V118"/>
  <c r="V119"/>
  <c r="V228"/>
  <c r="V123"/>
  <c r="V124"/>
  <c r="V125"/>
  <c r="V187"/>
  <c r="V95"/>
  <c r="V192"/>
  <c r="V169"/>
  <c r="V326"/>
  <c r="V327"/>
  <c r="V328"/>
  <c r="V93"/>
  <c r="V296"/>
  <c r="V306"/>
  <c r="V307"/>
  <c r="V140"/>
  <c r="V91"/>
  <c r="V7"/>
  <c r="V8"/>
  <c r="V215"/>
  <c r="V17"/>
  <c r="V427"/>
  <c r="V428"/>
  <c r="V490"/>
  <c r="V190"/>
  <c r="V191"/>
  <c r="V255"/>
  <c r="V218"/>
  <c r="V219"/>
  <c r="V204"/>
  <c r="V205"/>
  <c r="V390"/>
  <c r="V498"/>
  <c r="V435"/>
  <c r="V436"/>
  <c r="V341"/>
  <c r="V92"/>
  <c r="V303"/>
  <c r="V89"/>
  <c r="V114"/>
  <c r="V102"/>
  <c r="V103"/>
  <c r="V444"/>
  <c r="V445"/>
  <c r="V238"/>
  <c r="V493"/>
  <c r="V494"/>
  <c r="V44"/>
  <c r="V45"/>
  <c r="V43"/>
  <c r="V279"/>
  <c r="V240"/>
  <c r="V241"/>
  <c r="V41"/>
  <c r="V243"/>
  <c r="V50"/>
  <c r="V244"/>
  <c r="V186"/>
  <c r="V220"/>
  <c r="V19"/>
  <c r="V66"/>
  <c r="V67"/>
  <c r="V18"/>
  <c r="V94"/>
  <c r="V188"/>
  <c r="V52"/>
  <c r="V251"/>
  <c r="V54"/>
  <c r="V503"/>
  <c r="V162"/>
  <c r="V163"/>
  <c r="V484"/>
  <c r="V373"/>
  <c r="V374"/>
  <c r="V35"/>
  <c r="V231"/>
  <c r="V299"/>
  <c r="V300"/>
  <c r="V343"/>
  <c r="V344"/>
  <c r="V368"/>
  <c r="V270"/>
  <c r="V271"/>
  <c r="V65"/>
  <c r="V501"/>
  <c r="V502"/>
  <c r="V359"/>
  <c r="V360"/>
  <c r="V168"/>
  <c r="V38"/>
  <c r="V406"/>
  <c r="V278"/>
  <c r="V239"/>
  <c r="V280"/>
  <c r="V297"/>
  <c r="V298"/>
  <c r="V75"/>
  <c r="V76"/>
  <c r="V77"/>
  <c r="V491"/>
  <c r="V492"/>
  <c r="V117"/>
  <c r="V467"/>
  <c r="V468"/>
  <c r="V469"/>
  <c r="V470"/>
  <c r="V199"/>
  <c r="V200"/>
  <c r="V201"/>
  <c r="V49"/>
  <c r="V242"/>
  <c r="V51"/>
  <c r="V73"/>
  <c r="V74"/>
  <c r="V253"/>
  <c r="V254"/>
  <c r="V14"/>
  <c r="V295"/>
  <c r="V236"/>
  <c r="V439"/>
  <c r="V440"/>
  <c r="V160"/>
  <c r="V221"/>
  <c r="V208"/>
  <c r="V161"/>
  <c r="V150"/>
  <c r="V151"/>
  <c r="V152"/>
  <c r="V361"/>
  <c r="V362"/>
  <c r="V61"/>
  <c r="V128"/>
  <c r="V3"/>
  <c r="V42"/>
  <c r="V418"/>
  <c r="V258"/>
  <c r="V230"/>
  <c r="V245"/>
  <c r="V20"/>
  <c r="V347"/>
  <c r="V348"/>
  <c r="V294"/>
  <c r="V82"/>
  <c r="V39"/>
  <c r="V156"/>
  <c r="V157"/>
  <c r="V158"/>
  <c r="V174"/>
  <c r="V175"/>
  <c r="V176"/>
  <c r="V113"/>
  <c r="V431"/>
  <c r="V432"/>
  <c r="V421"/>
  <c r="V422"/>
  <c r="V207"/>
  <c r="V248"/>
  <c r="V249"/>
  <c r="V170"/>
  <c r="V63"/>
  <c r="V181"/>
  <c r="V146"/>
  <c r="V147"/>
  <c r="V457"/>
  <c r="V458"/>
  <c r="V142"/>
  <c r="V393"/>
  <c r="V394"/>
  <c r="V256"/>
  <c r="V257"/>
  <c r="V366"/>
  <c r="V367"/>
  <c r="V64"/>
  <c r="V355"/>
  <c r="V356"/>
  <c r="V301"/>
  <c r="V302"/>
  <c r="V83"/>
  <c r="V110"/>
  <c r="V101"/>
  <c r="V384"/>
  <c r="V385"/>
  <c r="V437"/>
  <c r="V438"/>
  <c r="V96"/>
  <c r="V97"/>
  <c r="V232"/>
  <c r="V233"/>
  <c r="V508"/>
  <c r="V509"/>
  <c r="V510"/>
  <c r="V4"/>
  <c r="V274"/>
  <c r="V259"/>
  <c r="V260"/>
  <c r="V144"/>
  <c r="V72"/>
  <c r="V504"/>
  <c r="V515"/>
  <c r="V134"/>
  <c r="V135"/>
  <c r="V153"/>
  <c r="V154"/>
  <c r="V155"/>
  <c r="V165"/>
  <c r="V419"/>
  <c r="V420"/>
  <c r="V193"/>
  <c r="V184"/>
  <c r="V25"/>
  <c r="V132"/>
  <c r="V79"/>
  <c r="V370"/>
  <c r="V371"/>
  <c r="V213"/>
  <c r="V214"/>
  <c r="V447"/>
  <c r="V507"/>
  <c r="V459"/>
  <c r="V460"/>
  <c r="V203"/>
  <c r="V246"/>
  <c r="V391"/>
  <c r="V107"/>
  <c r="V108"/>
  <c r="V59"/>
  <c r="V60"/>
  <c r="V450"/>
  <c r="V33"/>
  <c r="V34"/>
  <c r="V87"/>
  <c r="V88"/>
  <c r="V505"/>
  <c r="V506"/>
  <c r="V229"/>
  <c r="V452"/>
  <c r="V78"/>
  <c r="V455"/>
  <c r="V336"/>
  <c r="V337"/>
  <c r="V80"/>
  <c r="V81"/>
  <c r="V334"/>
  <c r="V335"/>
  <c r="V235"/>
  <c r="V315"/>
  <c r="V316"/>
  <c r="V317"/>
  <c r="V429"/>
  <c r="V430"/>
  <c r="V98"/>
  <c r="V131"/>
  <c r="V349"/>
  <c r="V465"/>
  <c r="V466"/>
  <c r="V461"/>
  <c r="V166"/>
  <c r="V401"/>
  <c r="V402"/>
  <c r="V403"/>
  <c r="V357"/>
  <c r="V358"/>
  <c r="V404"/>
  <c r="V479"/>
  <c r="V480"/>
  <c r="V365"/>
  <c r="V500"/>
  <c r="V11"/>
  <c r="V12"/>
  <c r="V9"/>
  <c r="V10"/>
  <c r="V331"/>
  <c r="V332"/>
  <c r="V55"/>
  <c r="V268"/>
  <c r="V217"/>
  <c r="V288"/>
  <c r="V289"/>
  <c r="V194"/>
  <c r="V237"/>
  <c r="V516"/>
  <c r="V105"/>
  <c r="V106"/>
  <c r="V136"/>
  <c r="V137"/>
  <c r="V266"/>
  <c r="V145"/>
  <c r="V462"/>
  <c r="V463"/>
  <c r="V351"/>
  <c r="V352"/>
  <c r="V71"/>
  <c r="V202"/>
  <c r="V318"/>
  <c r="V380"/>
  <c r="V381"/>
  <c r="V405"/>
  <c r="V464"/>
  <c r="V329"/>
  <c r="V179"/>
  <c r="V85"/>
  <c r="V313"/>
  <c r="V314"/>
  <c r="V261"/>
  <c r="V86"/>
  <c r="V495"/>
  <c r="V496"/>
  <c r="V497"/>
  <c r="V273"/>
  <c r="V84"/>
  <c r="V433"/>
  <c r="V434"/>
  <c r="V189"/>
  <c r="V167"/>
  <c r="V413"/>
  <c r="V414"/>
  <c r="V512"/>
  <c r="V333"/>
  <c r="V410"/>
  <c r="V183"/>
  <c r="V511"/>
  <c r="V90"/>
  <c r="V423"/>
  <c r="V424"/>
  <c r="V411"/>
  <c r="V412"/>
  <c r="V282"/>
  <c r="V283"/>
  <c r="V120"/>
  <c r="V121"/>
  <c r="V323"/>
  <c r="V324"/>
  <c r="V177"/>
  <c r="V399"/>
  <c r="V400"/>
  <c r="V46"/>
  <c r="V129"/>
  <c r="V130"/>
  <c r="V369"/>
  <c r="V164"/>
  <c r="V514"/>
  <c r="V24"/>
  <c r="V68"/>
  <c r="V513"/>
  <c r="V40"/>
  <c r="V36"/>
  <c r="V37"/>
  <c r="V499"/>
  <c r="V353"/>
  <c r="V354"/>
  <c r="V2"/>
  <c r="V342"/>
  <c r="V262"/>
  <c r="V148"/>
  <c r="V149"/>
  <c r="V451"/>
  <c r="V293"/>
  <c r="V225"/>
  <c r="V226"/>
  <c r="V126"/>
  <c r="V127"/>
  <c r="V281"/>
  <c r="V172"/>
  <c r="V173"/>
  <c r="V265"/>
  <c r="V27"/>
  <c r="V211"/>
  <c r="V338"/>
  <c r="V339"/>
  <c r="V209"/>
  <c r="V210"/>
  <c r="V143"/>
  <c r="V269"/>
  <c r="V196"/>
  <c r="V263"/>
  <c r="V264"/>
  <c r="V138"/>
  <c r="V139"/>
  <c r="V388"/>
  <c r="V389"/>
  <c r="V212"/>
  <c r="V206"/>
  <c r="V471"/>
  <c r="V472"/>
  <c r="V104"/>
  <c r="V372"/>
  <c r="V325"/>
  <c r="V517"/>
  <c r="V311"/>
  <c r="V312"/>
  <c r="V340"/>
  <c r="V250"/>
  <c r="V109"/>
  <c r="V252"/>
  <c r="V448"/>
  <c r="V449"/>
  <c r="V234"/>
  <c r="V382"/>
  <c r="V383"/>
  <c r="V518"/>
  <c r="V21"/>
  <c r="V22"/>
  <c r="V99"/>
  <c r="V100"/>
  <c r="V28"/>
  <c r="V182"/>
  <c r="V304"/>
  <c r="V305"/>
  <c r="V284"/>
  <c r="V285"/>
  <c r="V363"/>
  <c r="V364"/>
  <c r="V446"/>
  <c r="V392"/>
  <c r="V222"/>
  <c r="V223"/>
  <c r="V178"/>
  <c r="V345"/>
  <c r="V346"/>
  <c r="V180"/>
  <c r="V322"/>
  <c r="V441"/>
  <c r="V442"/>
  <c r="V443"/>
  <c r="V319"/>
  <c r="V320"/>
  <c r="V321"/>
  <c r="V395"/>
  <c r="V396"/>
  <c r="V397"/>
  <c r="V159"/>
  <c r="V519"/>
  <c r="V115"/>
  <c r="V116"/>
  <c r="V69"/>
  <c r="V70"/>
  <c r="V133"/>
  <c r="V425"/>
  <c r="V426"/>
  <c r="V486"/>
  <c r="V487"/>
  <c r="V488"/>
  <c r="V56"/>
  <c r="V57"/>
  <c r="V58"/>
  <c r="V26"/>
  <c r="V453"/>
  <c r="V454"/>
  <c r="V141"/>
  <c r="V330"/>
  <c r="V475"/>
  <c r="V476"/>
  <c r="V277"/>
  <c r="V375"/>
  <c r="V376"/>
  <c r="V377"/>
  <c r="V378"/>
  <c r="V227"/>
  <c r="V224"/>
  <c r="V415"/>
  <c r="V416"/>
  <c r="V417"/>
  <c r="V23"/>
  <c r="V275"/>
  <c r="V276"/>
  <c r="V122"/>
  <c r="V386"/>
  <c r="V387"/>
  <c r="V350"/>
  <c r="V267"/>
  <c r="V473"/>
  <c r="V474"/>
  <c r="V195"/>
  <c r="V197"/>
  <c r="V287"/>
  <c r="V29"/>
  <c r="V185"/>
  <c r="V53"/>
  <c r="V247"/>
  <c r="V481"/>
  <c r="V482"/>
  <c r="V483"/>
  <c r="V489"/>
  <c r="V5"/>
  <c r="V6"/>
  <c r="V171"/>
  <c r="V485"/>
  <c r="V15"/>
  <c r="V16"/>
  <c r="V198"/>
  <c r="V477"/>
  <c r="V478"/>
  <c r="V456"/>
  <c r="V30"/>
  <c r="V31"/>
  <c r="V32"/>
  <c r="V62"/>
  <c r="V47"/>
  <c r="V48"/>
  <c r="V398"/>
  <c r="T111"/>
  <c r="T112"/>
  <c r="T13"/>
  <c r="T290"/>
  <c r="T291"/>
  <c r="T292"/>
  <c r="T216"/>
  <c r="T286"/>
  <c r="T308"/>
  <c r="T309"/>
  <c r="T310"/>
  <c r="T379"/>
  <c r="T407"/>
  <c r="T408"/>
  <c r="T409"/>
  <c r="T272"/>
  <c r="T118"/>
  <c r="T119"/>
  <c r="T228"/>
  <c r="T123"/>
  <c r="T124"/>
  <c r="T125"/>
  <c r="T187"/>
  <c r="T95"/>
  <c r="T192"/>
  <c r="T169"/>
  <c r="T326"/>
  <c r="T327"/>
  <c r="T328"/>
  <c r="T93"/>
  <c r="T296"/>
  <c r="T306"/>
  <c r="T307"/>
  <c r="T140"/>
  <c r="T91"/>
  <c r="T7"/>
  <c r="T8"/>
  <c r="T215"/>
  <c r="T17"/>
  <c r="T427"/>
  <c r="T428"/>
  <c r="T490"/>
  <c r="T190"/>
  <c r="T191"/>
  <c r="T255"/>
  <c r="T218"/>
  <c r="T219"/>
  <c r="T204"/>
  <c r="T205"/>
  <c r="T390"/>
  <c r="T498"/>
  <c r="T435"/>
  <c r="T436"/>
  <c r="T341"/>
  <c r="T92"/>
  <c r="T303"/>
  <c r="T89"/>
  <c r="T114"/>
  <c r="T102"/>
  <c r="T103"/>
  <c r="T444"/>
  <c r="T445"/>
  <c r="T238"/>
  <c r="T493"/>
  <c r="T494"/>
  <c r="T44"/>
  <c r="T45"/>
  <c r="T43"/>
  <c r="T279"/>
  <c r="T240"/>
  <c r="T241"/>
  <c r="T41"/>
  <c r="T243"/>
  <c r="T50"/>
  <c r="T244"/>
  <c r="T186"/>
  <c r="T220"/>
  <c r="T19"/>
  <c r="T66"/>
  <c r="T67"/>
  <c r="T18"/>
  <c r="T94"/>
  <c r="T188"/>
  <c r="T52"/>
  <c r="T251"/>
  <c r="T54"/>
  <c r="T503"/>
  <c r="T162"/>
  <c r="T163"/>
  <c r="T484"/>
  <c r="T373"/>
  <c r="T374"/>
  <c r="T35"/>
  <c r="T231"/>
  <c r="T299"/>
  <c r="T300"/>
  <c r="T343"/>
  <c r="T344"/>
  <c r="T368"/>
  <c r="T270"/>
  <c r="T271"/>
  <c r="T65"/>
  <c r="T501"/>
  <c r="T502"/>
  <c r="T359"/>
  <c r="T360"/>
  <c r="T168"/>
  <c r="T38"/>
  <c r="T406"/>
  <c r="T278"/>
  <c r="T239"/>
  <c r="T280"/>
  <c r="T297"/>
  <c r="T298"/>
  <c r="T75"/>
  <c r="T76"/>
  <c r="T77"/>
  <c r="T491"/>
  <c r="T492"/>
  <c r="T117"/>
  <c r="T467"/>
  <c r="T468"/>
  <c r="T469"/>
  <c r="T470"/>
  <c r="T199"/>
  <c r="T200"/>
  <c r="T201"/>
  <c r="T49"/>
  <c r="T242"/>
  <c r="T51"/>
  <c r="T73"/>
  <c r="T74"/>
  <c r="T253"/>
  <c r="T254"/>
  <c r="T14"/>
  <c r="T295"/>
  <c r="T236"/>
  <c r="T439"/>
  <c r="T440"/>
  <c r="T160"/>
  <c r="T221"/>
  <c r="T208"/>
  <c r="T161"/>
  <c r="T150"/>
  <c r="T151"/>
  <c r="T152"/>
  <c r="T361"/>
  <c r="T362"/>
  <c r="T61"/>
  <c r="T128"/>
  <c r="T3"/>
  <c r="T42"/>
  <c r="T418"/>
  <c r="T258"/>
  <c r="T230"/>
  <c r="T245"/>
  <c r="T20"/>
  <c r="T347"/>
  <c r="T348"/>
  <c r="T294"/>
  <c r="T82"/>
  <c r="T39"/>
  <c r="T156"/>
  <c r="T157"/>
  <c r="T158"/>
  <c r="T174"/>
  <c r="T175"/>
  <c r="T176"/>
  <c r="T113"/>
  <c r="T431"/>
  <c r="T432"/>
  <c r="T421"/>
  <c r="T422"/>
  <c r="T207"/>
  <c r="T248"/>
  <c r="T249"/>
  <c r="T170"/>
  <c r="T63"/>
  <c r="T181"/>
  <c r="T146"/>
  <c r="T147"/>
  <c r="T457"/>
  <c r="T458"/>
  <c r="T142"/>
  <c r="T393"/>
  <c r="T394"/>
  <c r="T256"/>
  <c r="T257"/>
  <c r="T366"/>
  <c r="T367"/>
  <c r="T64"/>
  <c r="T355"/>
  <c r="T356"/>
  <c r="T301"/>
  <c r="T302"/>
  <c r="T83"/>
  <c r="T110"/>
  <c r="T101"/>
  <c r="T384"/>
  <c r="T385"/>
  <c r="T437"/>
  <c r="T438"/>
  <c r="T96"/>
  <c r="T97"/>
  <c r="T232"/>
  <c r="T233"/>
  <c r="T508"/>
  <c r="T509"/>
  <c r="T510"/>
  <c r="T4"/>
  <c r="T274"/>
  <c r="T259"/>
  <c r="T260"/>
  <c r="T144"/>
  <c r="T72"/>
  <c r="T504"/>
  <c r="T515"/>
  <c r="T134"/>
  <c r="T135"/>
  <c r="T153"/>
  <c r="T154"/>
  <c r="T155"/>
  <c r="T165"/>
  <c r="T419"/>
  <c r="T420"/>
  <c r="T193"/>
  <c r="T184"/>
  <c r="T25"/>
  <c r="T132"/>
  <c r="T79"/>
  <c r="T370"/>
  <c r="T371"/>
  <c r="T213"/>
  <c r="T214"/>
  <c r="T447"/>
  <c r="T507"/>
  <c r="T459"/>
  <c r="T460"/>
  <c r="T203"/>
  <c r="T246"/>
  <c r="T391"/>
  <c r="T107"/>
  <c r="T108"/>
  <c r="T59"/>
  <c r="T60"/>
  <c r="T450"/>
  <c r="T33"/>
  <c r="T34"/>
  <c r="T87"/>
  <c r="T88"/>
  <c r="T505"/>
  <c r="T506"/>
  <c r="T229"/>
  <c r="T452"/>
  <c r="T78"/>
  <c r="T455"/>
  <c r="T336"/>
  <c r="T337"/>
  <c r="T80"/>
  <c r="T81"/>
  <c r="T334"/>
  <c r="T335"/>
  <c r="T235"/>
  <c r="T315"/>
  <c r="T316"/>
  <c r="T317"/>
  <c r="T429"/>
  <c r="T430"/>
  <c r="T98"/>
  <c r="T131"/>
  <c r="T349"/>
  <c r="T465"/>
  <c r="T466"/>
  <c r="T461"/>
  <c r="T166"/>
  <c r="T401"/>
  <c r="T402"/>
  <c r="T403"/>
  <c r="T357"/>
  <c r="T358"/>
  <c r="T404"/>
  <c r="T479"/>
  <c r="T480"/>
  <c r="T365"/>
  <c r="T500"/>
  <c r="T11"/>
  <c r="T12"/>
  <c r="T9"/>
  <c r="T10"/>
  <c r="T331"/>
  <c r="T332"/>
  <c r="T55"/>
  <c r="T268"/>
  <c r="T217"/>
  <c r="T288"/>
  <c r="T289"/>
  <c r="T194"/>
  <c r="T237"/>
  <c r="T516"/>
  <c r="T105"/>
  <c r="T106"/>
  <c r="T136"/>
  <c r="T137"/>
  <c r="T266"/>
  <c r="T145"/>
  <c r="T462"/>
  <c r="T463"/>
  <c r="T351"/>
  <c r="T352"/>
  <c r="T71"/>
  <c r="T202"/>
  <c r="T318"/>
  <c r="T380"/>
  <c r="T381"/>
  <c r="T405"/>
  <c r="T464"/>
  <c r="T329"/>
  <c r="T179"/>
  <c r="T85"/>
  <c r="T313"/>
  <c r="T314"/>
  <c r="T261"/>
  <c r="T86"/>
  <c r="T495"/>
  <c r="T496"/>
  <c r="T497"/>
  <c r="T273"/>
  <c r="T84"/>
  <c r="T433"/>
  <c r="T434"/>
  <c r="T189"/>
  <c r="T167"/>
  <c r="T413"/>
  <c r="T414"/>
  <c r="T512"/>
  <c r="T333"/>
  <c r="T410"/>
  <c r="T183"/>
  <c r="T511"/>
  <c r="T90"/>
  <c r="T423"/>
  <c r="T424"/>
  <c r="T411"/>
  <c r="T412"/>
  <c r="T282"/>
  <c r="T283"/>
  <c r="T120"/>
  <c r="T121"/>
  <c r="T323"/>
  <c r="T324"/>
  <c r="T177"/>
  <c r="T399"/>
  <c r="T400"/>
  <c r="T46"/>
  <c r="T129"/>
  <c r="T130"/>
  <c r="T369"/>
  <c r="T164"/>
  <c r="T514"/>
  <c r="T24"/>
  <c r="T68"/>
  <c r="T513"/>
  <c r="T40"/>
  <c r="T36"/>
  <c r="T37"/>
  <c r="T499"/>
  <c r="T353"/>
  <c r="T354"/>
  <c r="T2"/>
  <c r="T342"/>
  <c r="T262"/>
  <c r="T148"/>
  <c r="T149"/>
  <c r="T451"/>
  <c r="T293"/>
  <c r="T225"/>
  <c r="T226"/>
  <c r="T126"/>
  <c r="T127"/>
  <c r="T281"/>
  <c r="T172"/>
  <c r="T173"/>
  <c r="T265"/>
  <c r="T27"/>
  <c r="T211"/>
  <c r="T338"/>
  <c r="T339"/>
  <c r="T209"/>
  <c r="T210"/>
  <c r="T143"/>
  <c r="T269"/>
  <c r="T196"/>
  <c r="T263"/>
  <c r="T264"/>
  <c r="T138"/>
  <c r="T139"/>
  <c r="T388"/>
  <c r="T389"/>
  <c r="T212"/>
  <c r="T206"/>
  <c r="T471"/>
  <c r="T472"/>
  <c r="T104"/>
  <c r="T372"/>
  <c r="T325"/>
  <c r="T517"/>
  <c r="T311"/>
  <c r="T312"/>
  <c r="T340"/>
  <c r="T250"/>
  <c r="T109"/>
  <c r="T252"/>
  <c r="T448"/>
  <c r="T449"/>
  <c r="T234"/>
  <c r="T382"/>
  <c r="T383"/>
  <c r="T518"/>
  <c r="T21"/>
  <c r="T22"/>
  <c r="T99"/>
  <c r="T100"/>
  <c r="T28"/>
  <c r="T182"/>
  <c r="T304"/>
  <c r="T305"/>
  <c r="T284"/>
  <c r="T285"/>
  <c r="T363"/>
  <c r="T364"/>
  <c r="T446"/>
  <c r="T392"/>
  <c r="T222"/>
  <c r="T223"/>
  <c r="T178"/>
  <c r="T345"/>
  <c r="T346"/>
  <c r="T180"/>
  <c r="T322"/>
  <c r="T441"/>
  <c r="T442"/>
  <c r="T443"/>
  <c r="T319"/>
  <c r="T320"/>
  <c r="T321"/>
  <c r="T395"/>
  <c r="T396"/>
  <c r="T397"/>
  <c r="T159"/>
  <c r="T519"/>
  <c r="T115"/>
  <c r="T116"/>
  <c r="T69"/>
  <c r="T70"/>
  <c r="T133"/>
  <c r="T425"/>
  <c r="T426"/>
  <c r="T486"/>
  <c r="T487"/>
  <c r="T488"/>
  <c r="T56"/>
  <c r="T57"/>
  <c r="T58"/>
  <c r="T26"/>
  <c r="T453"/>
  <c r="T454"/>
  <c r="T141"/>
  <c r="T330"/>
  <c r="T475"/>
  <c r="T476"/>
  <c r="T277"/>
  <c r="T375"/>
  <c r="T376"/>
  <c r="T377"/>
  <c r="T378"/>
  <c r="T227"/>
  <c r="T224"/>
  <c r="T415"/>
  <c r="T416"/>
  <c r="T417"/>
  <c r="T23"/>
  <c r="T275"/>
  <c r="T276"/>
  <c r="T122"/>
  <c r="T386"/>
  <c r="T387"/>
  <c r="T350"/>
  <c r="T267"/>
  <c r="T473"/>
  <c r="T474"/>
  <c r="T195"/>
  <c r="T197"/>
  <c r="T287"/>
  <c r="T29"/>
  <c r="T185"/>
  <c r="T53"/>
  <c r="T247"/>
  <c r="T481"/>
  <c r="T482"/>
  <c r="T483"/>
  <c r="T489"/>
  <c r="T5"/>
  <c r="T6"/>
  <c r="T171"/>
  <c r="T485"/>
  <c r="T15"/>
  <c r="T16"/>
  <c r="T198"/>
  <c r="T477"/>
  <c r="T478"/>
  <c r="T456"/>
  <c r="T30"/>
  <c r="T31"/>
  <c r="T32"/>
  <c r="T62"/>
  <c r="T47"/>
  <c r="T48"/>
  <c r="T398"/>
  <c r="F12"/>
  <c r="F11"/>
  <c r="A520"/>
  <c r="C389"/>
  <c r="Z389"/>
  <c r="AA389" s="1"/>
  <c r="AB389"/>
  <c r="AC389" s="1"/>
  <c r="C127"/>
  <c r="Z127"/>
  <c r="AA127" s="1"/>
  <c r="AB127" s="1"/>
  <c r="AC127" s="1"/>
  <c r="C246"/>
  <c r="Z246"/>
  <c r="AA246" s="1"/>
  <c r="AB246" s="1"/>
  <c r="C169"/>
  <c r="C457"/>
  <c r="C458"/>
  <c r="C177"/>
  <c r="C145"/>
  <c r="C126"/>
  <c r="C382"/>
  <c r="C383"/>
  <c r="C451"/>
  <c r="C138"/>
  <c r="C139"/>
  <c r="C388"/>
  <c r="C197"/>
  <c r="C323"/>
  <c r="C324"/>
  <c r="Z169"/>
  <c r="AA169" s="1"/>
  <c r="AB169" s="1"/>
  <c r="Z457"/>
  <c r="AA457" s="1"/>
  <c r="AB457" s="1"/>
  <c r="Z458"/>
  <c r="AA458" s="1"/>
  <c r="AB458" s="1"/>
  <c r="Z177"/>
  <c r="AA177" s="1"/>
  <c r="AB177" s="1"/>
  <c r="AC177" s="1"/>
  <c r="Z145"/>
  <c r="AA145" s="1"/>
  <c r="AB145" s="1"/>
  <c r="Z126"/>
  <c r="AA126" s="1"/>
  <c r="AB126" s="1"/>
  <c r="Z382"/>
  <c r="AA382" s="1"/>
  <c r="AB382" s="1"/>
  <c r="AC382" s="1"/>
  <c r="Z383"/>
  <c r="AA383" s="1"/>
  <c r="AB383" s="1"/>
  <c r="Z451"/>
  <c r="AA451" s="1"/>
  <c r="AB451" s="1"/>
  <c r="Z138"/>
  <c r="AA138" s="1"/>
  <c r="AB138" s="1"/>
  <c r="Z139"/>
  <c r="AA139" s="1"/>
  <c r="AB139" s="1"/>
  <c r="Z388"/>
  <c r="AA388" s="1"/>
  <c r="AB388" s="1"/>
  <c r="AC388" s="1"/>
  <c r="Z197"/>
  <c r="AA197" s="1"/>
  <c r="AB197" s="1"/>
  <c r="Z323"/>
  <c r="AA323" s="1"/>
  <c r="AB323" s="1"/>
  <c r="Z324"/>
  <c r="AA324" s="1"/>
  <c r="AB324" s="1"/>
  <c r="AC324" s="1"/>
  <c r="C502"/>
  <c r="Z502"/>
  <c r="AA502" s="1"/>
  <c r="AB502"/>
  <c r="AC502" s="1"/>
  <c r="C501"/>
  <c r="Z501"/>
  <c r="AA501" s="1"/>
  <c r="AB501" s="1"/>
  <c r="C144"/>
  <c r="Z144"/>
  <c r="AA144" s="1"/>
  <c r="AB144" s="1"/>
  <c r="AC144" s="1"/>
  <c r="C62"/>
  <c r="Z62"/>
  <c r="AA62" s="1"/>
  <c r="AB62" s="1"/>
  <c r="C223"/>
  <c r="Z223"/>
  <c r="AA223" s="1"/>
  <c r="AB223" s="1"/>
  <c r="AC223" s="1"/>
  <c r="C222"/>
  <c r="Z222"/>
  <c r="AA222" s="1"/>
  <c r="AB222" s="1"/>
  <c r="C427"/>
  <c r="C428"/>
  <c r="C340"/>
  <c r="C479"/>
  <c r="C480"/>
  <c r="C237"/>
  <c r="Z427"/>
  <c r="AA427" s="1"/>
  <c r="AB427" s="1"/>
  <c r="Z428"/>
  <c r="AA428" s="1"/>
  <c r="AB428" s="1"/>
  <c r="Z340"/>
  <c r="AA340" s="1"/>
  <c r="AB340" s="1"/>
  <c r="Z479"/>
  <c r="AA479" s="1"/>
  <c r="AB479" s="1"/>
  <c r="Z480"/>
  <c r="AA480" s="1"/>
  <c r="AB480" s="1"/>
  <c r="Z237"/>
  <c r="AA237" s="1"/>
  <c r="AB237" s="1"/>
  <c r="AB359"/>
  <c r="AC359" s="1"/>
  <c r="AB360"/>
  <c r="C295"/>
  <c r="C296"/>
  <c r="Z295"/>
  <c r="AA295" s="1"/>
  <c r="AB295" s="1"/>
  <c r="Z296"/>
  <c r="AA296" s="1"/>
  <c r="AB296" s="1"/>
  <c r="C301"/>
  <c r="C302"/>
  <c r="C282"/>
  <c r="C283"/>
  <c r="Z301"/>
  <c r="AA301" s="1"/>
  <c r="AB301" s="1"/>
  <c r="AC301" s="1"/>
  <c r="Z302"/>
  <c r="AA302" s="1"/>
  <c r="AB302" s="1"/>
  <c r="AC302" s="1"/>
  <c r="Z282"/>
  <c r="AA282" s="1"/>
  <c r="AB282" s="1"/>
  <c r="AC282" s="1"/>
  <c r="Z283"/>
  <c r="AA283" s="1"/>
  <c r="AB283" s="1"/>
  <c r="AC283" s="1"/>
  <c r="C460"/>
  <c r="Z460"/>
  <c r="AA460" s="1"/>
  <c r="AB460" s="1"/>
  <c r="C459"/>
  <c r="Z459"/>
  <c r="AA459" s="1"/>
  <c r="AB459" s="1"/>
  <c r="AC459" s="1"/>
  <c r="C391"/>
  <c r="Z391"/>
  <c r="AA391" s="1"/>
  <c r="AB391"/>
  <c r="AC391" s="1"/>
  <c r="C284"/>
  <c r="C285"/>
  <c r="Z284"/>
  <c r="AA284" s="1"/>
  <c r="AB284" s="1"/>
  <c r="Z285"/>
  <c r="AA285" s="1"/>
  <c r="AB285" s="1"/>
  <c r="C224"/>
  <c r="Z224"/>
  <c r="AA224" s="1"/>
  <c r="AB224" s="1"/>
  <c r="C194"/>
  <c r="Z194"/>
  <c r="AA194" s="1"/>
  <c r="AB194" s="1"/>
  <c r="C314"/>
  <c r="Z314"/>
  <c r="AA314" s="1"/>
  <c r="AB314" s="1"/>
  <c r="C313"/>
  <c r="Z313"/>
  <c r="AA313" s="1"/>
  <c r="AB313" s="1"/>
  <c r="C329"/>
  <c r="Z329"/>
  <c r="AA329" s="1"/>
  <c r="AB329" s="1"/>
  <c r="C478"/>
  <c r="Z478"/>
  <c r="AA478" s="1"/>
  <c r="AB478"/>
  <c r="AC478" s="1"/>
  <c r="C477"/>
  <c r="Z477"/>
  <c r="AA477" s="1"/>
  <c r="AB477" s="1"/>
  <c r="C272"/>
  <c r="Z272"/>
  <c r="AA272" s="1"/>
  <c r="AB272" s="1"/>
  <c r="C506"/>
  <c r="Z506"/>
  <c r="AA506" s="1"/>
  <c r="AB506"/>
  <c r="AC506" s="1"/>
  <c r="C505"/>
  <c r="Z505"/>
  <c r="AA505" s="1"/>
  <c r="AB505"/>
  <c r="AC505" s="1"/>
  <c r="C116"/>
  <c r="Z116"/>
  <c r="AA116" s="1"/>
  <c r="AB116" s="1"/>
  <c r="AC116" s="1"/>
  <c r="C115"/>
  <c r="Z115"/>
  <c r="AA115" s="1"/>
  <c r="AB115" s="1"/>
  <c r="AC115" s="1"/>
  <c r="C519"/>
  <c r="Z519"/>
  <c r="AA519" s="1"/>
  <c r="AB519" s="1"/>
  <c r="AC519" s="1"/>
  <c r="C464"/>
  <c r="Z464"/>
  <c r="AA464" s="1"/>
  <c r="AB464" s="1"/>
  <c r="C358"/>
  <c r="Z358"/>
  <c r="AA358" s="1"/>
  <c r="AB358" s="1"/>
  <c r="AC358" s="1"/>
  <c r="C357"/>
  <c r="Z357"/>
  <c r="AA357" s="1"/>
  <c r="AB357" s="1"/>
  <c r="AC357" s="1"/>
  <c r="C95"/>
  <c r="C38"/>
  <c r="C101"/>
  <c r="C350"/>
  <c r="Z95"/>
  <c r="AA95" s="1"/>
  <c r="AB95" s="1"/>
  <c r="AC95" s="1"/>
  <c r="Z38"/>
  <c r="AA38" s="1"/>
  <c r="AB38" s="1"/>
  <c r="AC38" s="1"/>
  <c r="Z101"/>
  <c r="AA101" s="1"/>
  <c r="AB101" s="1"/>
  <c r="AC101" s="1"/>
  <c r="Z350"/>
  <c r="AA350" s="1"/>
  <c r="AB350" s="1"/>
  <c r="AC350" s="1"/>
  <c r="C174"/>
  <c r="C175"/>
  <c r="C176"/>
  <c r="C368"/>
  <c r="C366"/>
  <c r="C367"/>
  <c r="C167"/>
  <c r="C198"/>
  <c r="Z174"/>
  <c r="AA174" s="1"/>
  <c r="AB174" s="1"/>
  <c r="AC174" s="1"/>
  <c r="Z175"/>
  <c r="AA175" s="1"/>
  <c r="AB175" s="1"/>
  <c r="AC175" s="1"/>
  <c r="Z176"/>
  <c r="AA176" s="1"/>
  <c r="AB176" s="1"/>
  <c r="AC176" s="1"/>
  <c r="Z368"/>
  <c r="AA368" s="1"/>
  <c r="AB368" s="1"/>
  <c r="AC368" s="1"/>
  <c r="Z366"/>
  <c r="AA366" s="1"/>
  <c r="AB366" s="1"/>
  <c r="AC366" s="1"/>
  <c r="Z367"/>
  <c r="AA367" s="1"/>
  <c r="AB367" s="1"/>
  <c r="AC367" s="1"/>
  <c r="Z167"/>
  <c r="AA167" s="1"/>
  <c r="AB167" s="1"/>
  <c r="AC167" s="1"/>
  <c r="Z198"/>
  <c r="AA198" s="1"/>
  <c r="AB198" s="1"/>
  <c r="AC198" s="1"/>
  <c r="C359"/>
  <c r="C360"/>
  <c r="C334"/>
  <c r="C335"/>
  <c r="C211"/>
  <c r="Z359"/>
  <c r="AA359" s="1"/>
  <c r="Z360"/>
  <c r="AA360" s="1"/>
  <c r="Z334"/>
  <c r="AA334" s="1"/>
  <c r="AB334" s="1"/>
  <c r="Z335"/>
  <c r="AA335" s="1"/>
  <c r="AB335" s="1"/>
  <c r="Z211"/>
  <c r="AA211" s="1"/>
  <c r="C215"/>
  <c r="C179"/>
  <c r="Z215"/>
  <c r="AA215" s="1"/>
  <c r="AB215" s="1"/>
  <c r="Z179"/>
  <c r="AA179" s="1"/>
  <c r="AB179" s="1"/>
  <c r="C319"/>
  <c r="C320"/>
  <c r="C321"/>
  <c r="C453"/>
  <c r="C454"/>
  <c r="Z319"/>
  <c r="AA319" s="1"/>
  <c r="AB319" s="1"/>
  <c r="AC319" s="1"/>
  <c r="Z320"/>
  <c r="AA320" s="1"/>
  <c r="AB320" s="1"/>
  <c r="Z321"/>
  <c r="AA321" s="1"/>
  <c r="AB321" s="1"/>
  <c r="Z453"/>
  <c r="AA453" s="1"/>
  <c r="AB453" s="1"/>
  <c r="Z454"/>
  <c r="AA454" s="1"/>
  <c r="AB454" s="1"/>
  <c r="AC454" s="1"/>
  <c r="C326"/>
  <c r="C327"/>
  <c r="C380"/>
  <c r="C381"/>
  <c r="C495"/>
  <c r="C496"/>
  <c r="C497"/>
  <c r="C425"/>
  <c r="C426"/>
  <c r="Z326"/>
  <c r="AA326" s="1"/>
  <c r="AB326" s="1"/>
  <c r="Z327"/>
  <c r="AA327" s="1"/>
  <c r="AB327" s="1"/>
  <c r="Z380"/>
  <c r="AA380" s="1"/>
  <c r="AB380" s="1"/>
  <c r="Z381"/>
  <c r="AA381" s="1"/>
  <c r="AB381" s="1"/>
  <c r="Z495"/>
  <c r="AA495" s="1"/>
  <c r="AB495" s="1"/>
  <c r="Z496"/>
  <c r="AA496" s="1"/>
  <c r="AB496" s="1"/>
  <c r="Z497"/>
  <c r="AA497" s="1"/>
  <c r="AB497" s="1"/>
  <c r="Z425"/>
  <c r="AA425" s="1"/>
  <c r="AB425" s="1"/>
  <c r="Z426"/>
  <c r="AA426" s="1"/>
  <c r="AB426" s="1"/>
  <c r="M172" i="21"/>
  <c r="V156" s="1"/>
  <c r="L172"/>
  <c r="U156" s="1"/>
  <c r="K172"/>
  <c r="T156" s="1"/>
  <c r="J172"/>
  <c r="S156" s="1"/>
  <c r="M171"/>
  <c r="V155" s="1"/>
  <c r="L171"/>
  <c r="U155" s="1"/>
  <c r="K171"/>
  <c r="T155" s="1"/>
  <c r="J171"/>
  <c r="S155" s="1"/>
  <c r="M170"/>
  <c r="V154" s="1"/>
  <c r="L170"/>
  <c r="U154" s="1"/>
  <c r="K170"/>
  <c r="T154" s="1"/>
  <c r="J170"/>
  <c r="S154" s="1"/>
  <c r="M169"/>
  <c r="V153" s="1"/>
  <c r="L169"/>
  <c r="U153" s="1"/>
  <c r="K169"/>
  <c r="T153" s="1"/>
  <c r="J169"/>
  <c r="S153" s="1"/>
  <c r="M168"/>
  <c r="V152" s="1"/>
  <c r="L168"/>
  <c r="U152" s="1"/>
  <c r="K168"/>
  <c r="T152" s="1"/>
  <c r="J168"/>
  <c r="S152" s="1"/>
  <c r="M167"/>
  <c r="V151" s="1"/>
  <c r="L167"/>
  <c r="U151" s="1"/>
  <c r="K167"/>
  <c r="T151" s="1"/>
  <c r="J167"/>
  <c r="S151" s="1"/>
  <c r="M166"/>
  <c r="V150" s="1"/>
  <c r="L166"/>
  <c r="U150" s="1"/>
  <c r="K166"/>
  <c r="T150" s="1"/>
  <c r="J166"/>
  <c r="S150" s="1"/>
  <c r="M165"/>
  <c r="V149" s="1"/>
  <c r="L165"/>
  <c r="U149" s="1"/>
  <c r="K165"/>
  <c r="T149" s="1"/>
  <c r="J165"/>
  <c r="S149" s="1"/>
  <c r="M164"/>
  <c r="V148" s="1"/>
  <c r="L164"/>
  <c r="U148" s="1"/>
  <c r="K164"/>
  <c r="T148" s="1"/>
  <c r="J164"/>
  <c r="S148" s="1"/>
  <c r="M163"/>
  <c r="V147" s="1"/>
  <c r="L163"/>
  <c r="U147" s="1"/>
  <c r="K163"/>
  <c r="T147" s="1"/>
  <c r="J163"/>
  <c r="S147" s="1"/>
  <c r="M162"/>
  <c r="V146" s="1"/>
  <c r="L162"/>
  <c r="U146" s="1"/>
  <c r="K162"/>
  <c r="T146" s="1"/>
  <c r="J162"/>
  <c r="S146" s="1"/>
  <c r="M161"/>
  <c r="V145" s="1"/>
  <c r="L161"/>
  <c r="U145" s="1"/>
  <c r="K161"/>
  <c r="T145" s="1"/>
  <c r="J161"/>
  <c r="S145" s="1"/>
  <c r="M160"/>
  <c r="V144" s="1"/>
  <c r="L160"/>
  <c r="U144" s="1"/>
  <c r="K160"/>
  <c r="T144" s="1"/>
  <c r="J160"/>
  <c r="S144" s="1"/>
  <c r="M159"/>
  <c r="V143" s="1"/>
  <c r="L159"/>
  <c r="U143" s="1"/>
  <c r="K159"/>
  <c r="T143" s="1"/>
  <c r="J159"/>
  <c r="S143" s="1"/>
  <c r="V158"/>
  <c r="U158"/>
  <c r="T158"/>
  <c r="S158"/>
  <c r="R158"/>
  <c r="Q158"/>
  <c r="P158"/>
  <c r="M158"/>
  <c r="V142" s="1"/>
  <c r="L158"/>
  <c r="U142" s="1"/>
  <c r="K158"/>
  <c r="T142" s="1"/>
  <c r="J158"/>
  <c r="S142" s="1"/>
  <c r="V157"/>
  <c r="U157"/>
  <c r="T157"/>
  <c r="S157"/>
  <c r="R157"/>
  <c r="Q157"/>
  <c r="P157"/>
  <c r="M157"/>
  <c r="V141" s="1"/>
  <c r="L157"/>
  <c r="U141" s="1"/>
  <c r="K157"/>
  <c r="T141" s="1"/>
  <c r="J157"/>
  <c r="S141" s="1"/>
  <c r="R156"/>
  <c r="Q156"/>
  <c r="P156"/>
  <c r="M156"/>
  <c r="V140" s="1"/>
  <c r="L156"/>
  <c r="U140" s="1"/>
  <c r="K156"/>
  <c r="T140" s="1"/>
  <c r="J156"/>
  <c r="S140" s="1"/>
  <c r="R155"/>
  <c r="Q155"/>
  <c r="P155"/>
  <c r="M155"/>
  <c r="V139" s="1"/>
  <c r="L155"/>
  <c r="U139" s="1"/>
  <c r="K155"/>
  <c r="T139" s="1"/>
  <c r="J155"/>
  <c r="S139" s="1"/>
  <c r="R154"/>
  <c r="Q154"/>
  <c r="P154"/>
  <c r="M154"/>
  <c r="V138" s="1"/>
  <c r="L154"/>
  <c r="U138" s="1"/>
  <c r="K154"/>
  <c r="T138" s="1"/>
  <c r="J154"/>
  <c r="S138" s="1"/>
  <c r="R153"/>
  <c r="Q153"/>
  <c r="P153"/>
  <c r="M153"/>
  <c r="V137" s="1"/>
  <c r="L153"/>
  <c r="U137" s="1"/>
  <c r="K153"/>
  <c r="T137" s="1"/>
  <c r="J153"/>
  <c r="S137" s="1"/>
  <c r="R152"/>
  <c r="Q152"/>
  <c r="P152"/>
  <c r="M152"/>
  <c r="V136" s="1"/>
  <c r="L152"/>
  <c r="U136" s="1"/>
  <c r="K152"/>
  <c r="T136" s="1"/>
  <c r="J152"/>
  <c r="S136" s="1"/>
  <c r="R151"/>
  <c r="Q151"/>
  <c r="P151"/>
  <c r="M151"/>
  <c r="V135" s="1"/>
  <c r="L151"/>
  <c r="U135" s="1"/>
  <c r="K151"/>
  <c r="T135" s="1"/>
  <c r="J151"/>
  <c r="S135" s="1"/>
  <c r="R150"/>
  <c r="Q150"/>
  <c r="P150"/>
  <c r="M150"/>
  <c r="V134" s="1"/>
  <c r="L150"/>
  <c r="U134" s="1"/>
  <c r="K150"/>
  <c r="T134" s="1"/>
  <c r="J150"/>
  <c r="S134" s="1"/>
  <c r="R149"/>
  <c r="Q149"/>
  <c r="P149"/>
  <c r="M149"/>
  <c r="V133" s="1"/>
  <c r="L149"/>
  <c r="U133" s="1"/>
  <c r="K149"/>
  <c r="T133" s="1"/>
  <c r="J149"/>
  <c r="S133" s="1"/>
  <c r="R148"/>
  <c r="Q148"/>
  <c r="P148"/>
  <c r="M148"/>
  <c r="V132" s="1"/>
  <c r="L148"/>
  <c r="U132" s="1"/>
  <c r="K148"/>
  <c r="T132" s="1"/>
  <c r="J148"/>
  <c r="S132" s="1"/>
  <c r="R147"/>
  <c r="Q147"/>
  <c r="P147"/>
  <c r="M147"/>
  <c r="L147"/>
  <c r="K147"/>
  <c r="J147"/>
  <c r="R146"/>
  <c r="Q146"/>
  <c r="P146"/>
  <c r="M146"/>
  <c r="L146"/>
  <c r="K146"/>
  <c r="J146"/>
  <c r="R145"/>
  <c r="Q145"/>
  <c r="P145"/>
  <c r="M145"/>
  <c r="L145"/>
  <c r="K145"/>
  <c r="J145"/>
  <c r="R144"/>
  <c r="Q144"/>
  <c r="P144"/>
  <c r="M144"/>
  <c r="L144"/>
  <c r="K144"/>
  <c r="J144"/>
  <c r="R143"/>
  <c r="Q143"/>
  <c r="P143"/>
  <c r="M143"/>
  <c r="L143"/>
  <c r="K143"/>
  <c r="J143"/>
  <c r="R142"/>
  <c r="Q142"/>
  <c r="P142"/>
  <c r="M142"/>
  <c r="L142"/>
  <c r="K142"/>
  <c r="J142"/>
  <c r="R141"/>
  <c r="Q141"/>
  <c r="P141"/>
  <c r="M141"/>
  <c r="L141"/>
  <c r="K141"/>
  <c r="J141"/>
  <c r="R140"/>
  <c r="Q140"/>
  <c r="P140"/>
  <c r="M140"/>
  <c r="L140"/>
  <c r="K140"/>
  <c r="J140"/>
  <c r="R139"/>
  <c r="Q139"/>
  <c r="P139"/>
  <c r="M139"/>
  <c r="L139"/>
  <c r="K139"/>
  <c r="J139"/>
  <c r="R138"/>
  <c r="Q138"/>
  <c r="P138"/>
  <c r="M138"/>
  <c r="L138"/>
  <c r="K138"/>
  <c r="J138"/>
  <c r="R137"/>
  <c r="Q137"/>
  <c r="P137"/>
  <c r="M137"/>
  <c r="L137"/>
  <c r="K137"/>
  <c r="J137"/>
  <c r="R136"/>
  <c r="Q136"/>
  <c r="P136"/>
  <c r="M136"/>
  <c r="L136"/>
  <c r="K136"/>
  <c r="J136"/>
  <c r="R135"/>
  <c r="Q135"/>
  <c r="P135"/>
  <c r="M135"/>
  <c r="V131" s="1"/>
  <c r="L135"/>
  <c r="U131" s="1"/>
  <c r="K135"/>
  <c r="T131" s="1"/>
  <c r="J135"/>
  <c r="S131" s="1"/>
  <c r="R134"/>
  <c r="Q134"/>
  <c r="P134"/>
  <c r="M134"/>
  <c r="V130" s="1"/>
  <c r="L134"/>
  <c r="U130" s="1"/>
  <c r="K134"/>
  <c r="T130" s="1"/>
  <c r="J134"/>
  <c r="S130" s="1"/>
  <c r="R133"/>
  <c r="Q133"/>
  <c r="P133"/>
  <c r="A133"/>
  <c r="M133" s="1"/>
  <c r="V129" s="1"/>
  <c r="R132"/>
  <c r="Q132"/>
  <c r="P132"/>
  <c r="A132"/>
  <c r="M132" s="1"/>
  <c r="V128" s="1"/>
  <c r="R131"/>
  <c r="Q131"/>
  <c r="A131"/>
  <c r="Q127" s="1"/>
  <c r="R130"/>
  <c r="Q130"/>
  <c r="A130"/>
  <c r="A129"/>
  <c r="M129" s="1"/>
  <c r="V125" s="1"/>
  <c r="A128"/>
  <c r="M128" s="1"/>
  <c r="V124" s="1"/>
  <c r="A127"/>
  <c r="Q123" s="1"/>
  <c r="A126"/>
  <c r="A125"/>
  <c r="M125" s="1"/>
  <c r="V121" s="1"/>
  <c r="A124"/>
  <c r="M124" s="1"/>
  <c r="V120" s="1"/>
  <c r="A123"/>
  <c r="M123" s="1"/>
  <c r="V119" s="1"/>
  <c r="A122"/>
  <c r="M122" s="1"/>
  <c r="V118" s="1"/>
  <c r="A121"/>
  <c r="M121" s="1"/>
  <c r="V117" s="1"/>
  <c r="M120"/>
  <c r="V116" s="1"/>
  <c r="L120"/>
  <c r="U116" s="1"/>
  <c r="K120"/>
  <c r="T116" s="1"/>
  <c r="J120"/>
  <c r="S116" s="1"/>
  <c r="M119"/>
  <c r="V115" s="1"/>
  <c r="L119"/>
  <c r="U115" s="1"/>
  <c r="K119"/>
  <c r="T115" s="1"/>
  <c r="J119"/>
  <c r="S115" s="1"/>
  <c r="M118"/>
  <c r="L118"/>
  <c r="U114" s="1"/>
  <c r="K118"/>
  <c r="T114" s="1"/>
  <c r="J118"/>
  <c r="S114" s="1"/>
  <c r="M117"/>
  <c r="V113" s="1"/>
  <c r="L117"/>
  <c r="U113" s="1"/>
  <c r="K117"/>
  <c r="T113" s="1"/>
  <c r="J117"/>
  <c r="S113" s="1"/>
  <c r="R116"/>
  <c r="Q116"/>
  <c r="M116"/>
  <c r="L116"/>
  <c r="K116"/>
  <c r="J116"/>
  <c r="R115"/>
  <c r="Q115"/>
  <c r="M115"/>
  <c r="L115"/>
  <c r="K115"/>
  <c r="J115"/>
  <c r="V114"/>
  <c r="R114"/>
  <c r="Q114"/>
  <c r="M114"/>
  <c r="L114"/>
  <c r="K114"/>
  <c r="J114"/>
  <c r="R113"/>
  <c r="Q113"/>
  <c r="M113"/>
  <c r="L113"/>
  <c r="K113"/>
  <c r="J113"/>
  <c r="A112"/>
  <c r="M112" s="1"/>
  <c r="V112" s="1"/>
  <c r="A111"/>
  <c r="M111" s="1"/>
  <c r="V111" s="1"/>
  <c r="A110"/>
  <c r="A109"/>
  <c r="Q109" s="1"/>
  <c r="A108"/>
  <c r="M108" s="1"/>
  <c r="V108" s="1"/>
  <c r="A107"/>
  <c r="M107" s="1"/>
  <c r="V107" s="1"/>
  <c r="A106"/>
  <c r="L106" s="1"/>
  <c r="U106" s="1"/>
  <c r="A105"/>
  <c r="Q105" s="1"/>
  <c r="A104"/>
  <c r="M104" s="1"/>
  <c r="V104" s="1"/>
  <c r="A103"/>
  <c r="A102"/>
  <c r="A101"/>
  <c r="M101" s="1"/>
  <c r="V101" s="1"/>
  <c r="A100"/>
  <c r="M100" s="1"/>
  <c r="V100" s="1"/>
  <c r="A99"/>
  <c r="L99" s="1"/>
  <c r="U99" s="1"/>
  <c r="A98"/>
  <c r="L98" s="1"/>
  <c r="U98" s="1"/>
  <c r="A97"/>
  <c r="K97" s="1"/>
  <c r="T97" s="1"/>
  <c r="A96"/>
  <c r="M96" s="1"/>
  <c r="V96" s="1"/>
  <c r="A95"/>
  <c r="M95" s="1"/>
  <c r="V95" s="1"/>
  <c r="A94"/>
  <c r="M94" s="1"/>
  <c r="V94" s="1"/>
  <c r="A93"/>
  <c r="Q93" s="1"/>
  <c r="A92"/>
  <c r="Q92" s="1"/>
  <c r="A91"/>
  <c r="R91" s="1"/>
  <c r="A90"/>
  <c r="M90" s="1"/>
  <c r="V90" s="1"/>
  <c r="A89"/>
  <c r="Q89" s="1"/>
  <c r="A88"/>
  <c r="Q88" s="1"/>
  <c r="A87"/>
  <c r="R87" s="1"/>
  <c r="A86"/>
  <c r="M86" s="1"/>
  <c r="V86" s="1"/>
  <c r="A85"/>
  <c r="Q85" s="1"/>
  <c r="A84"/>
  <c r="Q84" s="1"/>
  <c r="A83"/>
  <c r="R83" s="1"/>
  <c r="A82"/>
  <c r="M82" s="1"/>
  <c r="V82" s="1"/>
  <c r="A81"/>
  <c r="Q81" s="1"/>
  <c r="A80"/>
  <c r="Q80" s="1"/>
  <c r="A79"/>
  <c r="R79" s="1"/>
  <c r="A78"/>
  <c r="M78" s="1"/>
  <c r="V78" s="1"/>
  <c r="A77"/>
  <c r="Q77" s="1"/>
  <c r="A76"/>
  <c r="Q76" s="1"/>
  <c r="A75"/>
  <c r="R75" s="1"/>
  <c r="A74"/>
  <c r="M74" s="1"/>
  <c r="V74" s="1"/>
  <c r="A73"/>
  <c r="Q73" s="1"/>
  <c r="A72"/>
  <c r="Q72" s="1"/>
  <c r="A71"/>
  <c r="R71" s="1"/>
  <c r="A70"/>
  <c r="Q70" s="1"/>
  <c r="A69"/>
  <c r="Q69" s="1"/>
  <c r="A68"/>
  <c r="Q68" s="1"/>
  <c r="A67"/>
  <c r="R67" s="1"/>
  <c r="A66"/>
  <c r="M66" s="1"/>
  <c r="V66" s="1"/>
  <c r="A65"/>
  <c r="Q65" s="1"/>
  <c r="A64"/>
  <c r="Q64" s="1"/>
  <c r="A63"/>
  <c r="R63" s="1"/>
  <c r="A62"/>
  <c r="M62" s="1"/>
  <c r="V62" s="1"/>
  <c r="A61"/>
  <c r="Q61" s="1"/>
  <c r="A60"/>
  <c r="Q60" s="1"/>
  <c r="A59"/>
  <c r="R59" s="1"/>
  <c r="A58"/>
  <c r="M58" s="1"/>
  <c r="V58" s="1"/>
  <c r="A57"/>
  <c r="Q57" s="1"/>
  <c r="A56"/>
  <c r="A55"/>
  <c r="R55" s="1"/>
  <c r="A54"/>
  <c r="Q54" s="1"/>
  <c r="A53"/>
  <c r="K53" s="1"/>
  <c r="T53" s="1"/>
  <c r="A52"/>
  <c r="A51"/>
  <c r="L51" s="1"/>
  <c r="U51" s="1"/>
  <c r="A50"/>
  <c r="M50" s="1"/>
  <c r="V50" s="1"/>
  <c r="A49"/>
  <c r="A48"/>
  <c r="Q48" s="1"/>
  <c r="A47"/>
  <c r="L47" s="1"/>
  <c r="U47" s="1"/>
  <c r="A46"/>
  <c r="M46" s="1"/>
  <c r="V46" s="1"/>
  <c r="A45"/>
  <c r="Q45" s="1"/>
  <c r="A44"/>
  <c r="L44" s="1"/>
  <c r="U44" s="1"/>
  <c r="A43"/>
  <c r="R43" s="1"/>
  <c r="A42"/>
  <c r="Q42" s="1"/>
  <c r="A41"/>
  <c r="Q41" s="1"/>
  <c r="A40"/>
  <c r="L40" s="1"/>
  <c r="U40" s="1"/>
  <c r="A39"/>
  <c r="M39" s="1"/>
  <c r="V39" s="1"/>
  <c r="A38"/>
  <c r="L38" s="1"/>
  <c r="U38" s="1"/>
  <c r="A37"/>
  <c r="Q37" s="1"/>
  <c r="A36"/>
  <c r="A35"/>
  <c r="A34"/>
  <c r="Q34" s="1"/>
  <c r="A33"/>
  <c r="Q33" s="1"/>
  <c r="A32"/>
  <c r="Q32" s="1"/>
  <c r="A31"/>
  <c r="M31" s="1"/>
  <c r="V31" s="1"/>
  <c r="A30"/>
  <c r="Q30" s="1"/>
  <c r="A29"/>
  <c r="M29" s="1"/>
  <c r="V29" s="1"/>
  <c r="A28"/>
  <c r="A27"/>
  <c r="M27" s="1"/>
  <c r="V27" s="1"/>
  <c r="A26"/>
  <c r="Q26" s="1"/>
  <c r="A25"/>
  <c r="M25" s="1"/>
  <c r="V25" s="1"/>
  <c r="A24"/>
  <c r="M24" s="1"/>
  <c r="V24" s="1"/>
  <c r="A23"/>
  <c r="M23" s="1"/>
  <c r="V23" s="1"/>
  <c r="A22"/>
  <c r="Q22" s="1"/>
  <c r="A21"/>
  <c r="A20"/>
  <c r="A19"/>
  <c r="A18"/>
  <c r="Q18" s="1"/>
  <c r="A17"/>
  <c r="K17" s="1"/>
  <c r="T17" s="1"/>
  <c r="A16"/>
  <c r="Q16" s="1"/>
  <c r="A15"/>
  <c r="A14"/>
  <c r="R14" s="1"/>
  <c r="A13"/>
  <c r="M13" s="1"/>
  <c r="A12"/>
  <c r="L12" s="1"/>
  <c r="A11"/>
  <c r="L11" s="1"/>
  <c r="A10"/>
  <c r="L10" s="1"/>
  <c r="A9"/>
  <c r="M9" s="1"/>
  <c r="A8"/>
  <c r="A7"/>
  <c r="Q7" s="1"/>
  <c r="C268" i="1"/>
  <c r="C90"/>
  <c r="C499"/>
  <c r="C212"/>
  <c r="C234"/>
  <c r="C363"/>
  <c r="C364"/>
  <c r="C141"/>
  <c r="C267"/>
  <c r="C485"/>
  <c r="Z268"/>
  <c r="AA268" s="1"/>
  <c r="AB268" s="1"/>
  <c r="Z90"/>
  <c r="AA90" s="1"/>
  <c r="AB90" s="1"/>
  <c r="Z499"/>
  <c r="AA499" s="1"/>
  <c r="AB499" s="1"/>
  <c r="Z212"/>
  <c r="AA212" s="1"/>
  <c r="AB212" s="1"/>
  <c r="AC212" s="1"/>
  <c r="Z234"/>
  <c r="AA234" s="1"/>
  <c r="AB234" s="1"/>
  <c r="Z363"/>
  <c r="AA363" s="1"/>
  <c r="AB363" s="1"/>
  <c r="Z364"/>
  <c r="AA364" s="1"/>
  <c r="AB364" s="1"/>
  <c r="Z141"/>
  <c r="AA141" s="1"/>
  <c r="AB141" s="1"/>
  <c r="Z267"/>
  <c r="AA267" s="1"/>
  <c r="AB267" s="1"/>
  <c r="Z485"/>
  <c r="AA485" s="1"/>
  <c r="AB485" s="1"/>
  <c r="C217"/>
  <c r="Z217"/>
  <c r="AA217" s="1"/>
  <c r="AB217" s="1"/>
  <c r="AC217" s="1"/>
  <c r="C128"/>
  <c r="Z128"/>
  <c r="AA128" s="1"/>
  <c r="AB128" s="1"/>
  <c r="AC128" s="1"/>
  <c r="C450"/>
  <c r="Z450"/>
  <c r="AA450" s="1"/>
  <c r="AB450" s="1"/>
  <c r="AC450" s="1"/>
  <c r="C79"/>
  <c r="Z79"/>
  <c r="AA79" s="1"/>
  <c r="AB79" s="1"/>
  <c r="AC79" s="1"/>
  <c r="C132"/>
  <c r="Z132"/>
  <c r="AA132" s="1"/>
  <c r="AB132" s="1"/>
  <c r="AC132" s="1"/>
  <c r="C142"/>
  <c r="Z142"/>
  <c r="AA142" s="1"/>
  <c r="AB142" s="1"/>
  <c r="C63"/>
  <c r="Z63"/>
  <c r="AA63" s="1"/>
  <c r="AB63" s="1"/>
  <c r="AC63" s="1"/>
  <c r="C418"/>
  <c r="Z418"/>
  <c r="AA418" s="1"/>
  <c r="AB418" s="1"/>
  <c r="C300"/>
  <c r="Z300"/>
  <c r="AA300" s="1"/>
  <c r="AB300" s="1"/>
  <c r="AC300" s="1"/>
  <c r="C299"/>
  <c r="Z299"/>
  <c r="AA299" s="1"/>
  <c r="AB299" s="1"/>
  <c r="AC299" s="1"/>
  <c r="C498"/>
  <c r="Z498"/>
  <c r="AA498" s="1"/>
  <c r="AB498" s="1"/>
  <c r="C397"/>
  <c r="Z397"/>
  <c r="AA397" s="1"/>
  <c r="AB397" s="1"/>
  <c r="C396"/>
  <c r="Z396"/>
  <c r="AA396" s="1"/>
  <c r="AB396" s="1"/>
  <c r="AC396" s="1"/>
  <c r="C395"/>
  <c r="Z395"/>
  <c r="AA395" s="1"/>
  <c r="AB395"/>
  <c r="AC395" s="1"/>
  <c r="C187"/>
  <c r="Z187"/>
  <c r="AA187" s="1"/>
  <c r="AB187" s="1"/>
  <c r="C85"/>
  <c r="Z85"/>
  <c r="AA85" s="1"/>
  <c r="AB85" s="1"/>
  <c r="AC85" s="1"/>
  <c r="C352"/>
  <c r="Z352"/>
  <c r="AA352" s="1"/>
  <c r="AB352" s="1"/>
  <c r="C351"/>
  <c r="Z351"/>
  <c r="AA351" s="1"/>
  <c r="AB351" s="1"/>
  <c r="AC351" s="1"/>
  <c r="C81"/>
  <c r="Z81"/>
  <c r="AA81" s="1"/>
  <c r="AB81" s="1"/>
  <c r="AC81" s="1"/>
  <c r="C80"/>
  <c r="Z80"/>
  <c r="AA80" s="1"/>
  <c r="AB80" s="1"/>
  <c r="AC80" s="1"/>
  <c r="C254"/>
  <c r="Z254"/>
  <c r="AA254" s="1"/>
  <c r="AB254" s="1"/>
  <c r="AC254" s="1"/>
  <c r="C253"/>
  <c r="Z253"/>
  <c r="AA253" s="1"/>
  <c r="AB253" s="1"/>
  <c r="C192"/>
  <c r="Z192"/>
  <c r="AA192" s="1"/>
  <c r="AB192" s="1"/>
  <c r="AC192" s="1"/>
  <c r="C405"/>
  <c r="Z405"/>
  <c r="AA405" s="1"/>
  <c r="AB405"/>
  <c r="AC405" s="1"/>
  <c r="C104"/>
  <c r="Z104"/>
  <c r="AA104" s="1"/>
  <c r="AB104" s="1"/>
  <c r="C404"/>
  <c r="Z404"/>
  <c r="AA404" s="1"/>
  <c r="AB404" s="1"/>
  <c r="W31" l="1"/>
  <c r="Y412"/>
  <c r="Y130"/>
  <c r="Y353"/>
  <c r="Y265"/>
  <c r="Y269"/>
  <c r="Y311"/>
  <c r="Y234"/>
  <c r="Y446"/>
  <c r="Y322"/>
  <c r="Y115"/>
  <c r="Y90"/>
  <c r="Y399"/>
  <c r="Y208"/>
  <c r="Y293"/>
  <c r="Y339"/>
  <c r="Y212"/>
  <c r="Y251"/>
  <c r="Y28"/>
  <c r="Y178"/>
  <c r="Y396"/>
  <c r="Y179"/>
  <c r="Y414"/>
  <c r="Y121"/>
  <c r="Y24"/>
  <c r="Y262"/>
  <c r="Y127"/>
  <c r="Y138"/>
  <c r="Y104"/>
  <c r="Y21"/>
  <c r="Y284"/>
  <c r="Y319"/>
  <c r="Y133"/>
  <c r="Y495"/>
  <c r="Y433"/>
  <c r="Y6"/>
  <c r="Y350"/>
  <c r="Y277"/>
  <c r="W427"/>
  <c r="Y62"/>
  <c r="Y482"/>
  <c r="Y276"/>
  <c r="Y141"/>
  <c r="Y456"/>
  <c r="Y91"/>
  <c r="Y416"/>
  <c r="Y58"/>
  <c r="Y286"/>
  <c r="Y16"/>
  <c r="Y195"/>
  <c r="Y378"/>
  <c r="Y487"/>
  <c r="Y272"/>
  <c r="Y380"/>
  <c r="Y351"/>
  <c r="Y136"/>
  <c r="Y194"/>
  <c r="Y55"/>
  <c r="Y11"/>
  <c r="Y404"/>
  <c r="Y401"/>
  <c r="Y430"/>
  <c r="Y455"/>
  <c r="Y246"/>
  <c r="Y419"/>
  <c r="Y509"/>
  <c r="Y355"/>
  <c r="Y249"/>
  <c r="Y294"/>
  <c r="Y150"/>
  <c r="Y49"/>
  <c r="Y280"/>
  <c r="Y300"/>
  <c r="Y66"/>
  <c r="Y238"/>
  <c r="Y204"/>
  <c r="Y306"/>
  <c r="Y398"/>
  <c r="Y32"/>
  <c r="Y478"/>
  <c r="Y15"/>
  <c r="Y5"/>
  <c r="Y481"/>
  <c r="Y29"/>
  <c r="Y474"/>
  <c r="Y387"/>
  <c r="Y275"/>
  <c r="Y415"/>
  <c r="Y377"/>
  <c r="Y476"/>
  <c r="Y454"/>
  <c r="Y57"/>
  <c r="Y486"/>
  <c r="Y70"/>
  <c r="Y519"/>
  <c r="Y395"/>
  <c r="Y443"/>
  <c r="Y180"/>
  <c r="Y223"/>
  <c r="Y364"/>
  <c r="Y305"/>
  <c r="Y100"/>
  <c r="Y518"/>
  <c r="Y449"/>
  <c r="Y250"/>
  <c r="Y517"/>
  <c r="Y472"/>
  <c r="Y389"/>
  <c r="Y264"/>
  <c r="Y143"/>
  <c r="Y338"/>
  <c r="Y173"/>
  <c r="Y126"/>
  <c r="Y451"/>
  <c r="Y3"/>
  <c r="Y499"/>
  <c r="Y207"/>
  <c r="Y514"/>
  <c r="Y129"/>
  <c r="Y177"/>
  <c r="Y120"/>
  <c r="Y411"/>
  <c r="Y183"/>
  <c r="Y413"/>
  <c r="Y274"/>
  <c r="Y261"/>
  <c r="Y329"/>
  <c r="Y318"/>
  <c r="Y462"/>
  <c r="Y106"/>
  <c r="Y289"/>
  <c r="Y331"/>
  <c r="Y500"/>
  <c r="Y358"/>
  <c r="Y466"/>
  <c r="Y316"/>
  <c r="Y506"/>
  <c r="Y507"/>
  <c r="Y153"/>
  <c r="Y97"/>
  <c r="Y257"/>
  <c r="Y421"/>
  <c r="Y231"/>
  <c r="Y160"/>
  <c r="Y470"/>
  <c r="Y38"/>
  <c r="Y373"/>
  <c r="Y245"/>
  <c r="Y103"/>
  <c r="Y191"/>
  <c r="Y327"/>
  <c r="Y379"/>
  <c r="Y48"/>
  <c r="Y31"/>
  <c r="Y477"/>
  <c r="Y485"/>
  <c r="Y489"/>
  <c r="Y93"/>
  <c r="Y287"/>
  <c r="Y473"/>
  <c r="Y386"/>
  <c r="Y23"/>
  <c r="Y224"/>
  <c r="Y376"/>
  <c r="Y475"/>
  <c r="Y453"/>
  <c r="Y56"/>
  <c r="Y426"/>
  <c r="Y69"/>
  <c r="Y159"/>
  <c r="Y321"/>
  <c r="Y442"/>
  <c r="Y346"/>
  <c r="Y222"/>
  <c r="Y363"/>
  <c r="Y304"/>
  <c r="Y99"/>
  <c r="Y383"/>
  <c r="Y448"/>
  <c r="Y340"/>
  <c r="Y325"/>
  <c r="Y471"/>
  <c r="Y388"/>
  <c r="Y263"/>
  <c r="Y210"/>
  <c r="Y211"/>
  <c r="Y172"/>
  <c r="Y226"/>
  <c r="Y149"/>
  <c r="Y2"/>
  <c r="Y37"/>
  <c r="Y513"/>
  <c r="Y164"/>
  <c r="Y46"/>
  <c r="Y324"/>
  <c r="Y283"/>
  <c r="Y424"/>
  <c r="Y410"/>
  <c r="Y167"/>
  <c r="Y497"/>
  <c r="Y314"/>
  <c r="Y464"/>
  <c r="Y71"/>
  <c r="Y145"/>
  <c r="Y105"/>
  <c r="Y217"/>
  <c r="Y10"/>
  <c r="Y365"/>
  <c r="Y403"/>
  <c r="Y465"/>
  <c r="Y315"/>
  <c r="Y34"/>
  <c r="Y371"/>
  <c r="Y504"/>
  <c r="Y385"/>
  <c r="Y142"/>
  <c r="Y176"/>
  <c r="Y42"/>
  <c r="Y235"/>
  <c r="Y117"/>
  <c r="Y502"/>
  <c r="Y503"/>
  <c r="Y241"/>
  <c r="Y303"/>
  <c r="Y427"/>
  <c r="Y95"/>
  <c r="Y111"/>
  <c r="Y291"/>
  <c r="Y308"/>
  <c r="Y407"/>
  <c r="Y118"/>
  <c r="Y124"/>
  <c r="Y192"/>
  <c r="Y328"/>
  <c r="Y307"/>
  <c r="Y8"/>
  <c r="Y428"/>
  <c r="Y255"/>
  <c r="Y205"/>
  <c r="Y436"/>
  <c r="Y89"/>
  <c r="Y444"/>
  <c r="Y493"/>
  <c r="Y43"/>
  <c r="Y242"/>
  <c r="Y186"/>
  <c r="Y67"/>
  <c r="Y52"/>
  <c r="Y162"/>
  <c r="Y374"/>
  <c r="Y343"/>
  <c r="Y271"/>
  <c r="Y359"/>
  <c r="Y406"/>
  <c r="Y297"/>
  <c r="Y77"/>
  <c r="Y467"/>
  <c r="Y199"/>
  <c r="Y50"/>
  <c r="Y253"/>
  <c r="Y236"/>
  <c r="Y161"/>
  <c r="Y151"/>
  <c r="Y61"/>
  <c r="Y418"/>
  <c r="Y20"/>
  <c r="Y82"/>
  <c r="Y158"/>
  <c r="Y113"/>
  <c r="Y422"/>
  <c r="Y170"/>
  <c r="Y147"/>
  <c r="Y393"/>
  <c r="Y366"/>
  <c r="Y356"/>
  <c r="Y84"/>
  <c r="Y437"/>
  <c r="Y232"/>
  <c r="Y510"/>
  <c r="Y260"/>
  <c r="Y515"/>
  <c r="Y154"/>
  <c r="Y420"/>
  <c r="Y132"/>
  <c r="Y213"/>
  <c r="Y459"/>
  <c r="Y391"/>
  <c r="Y60"/>
  <c r="Y87"/>
  <c r="Y229"/>
  <c r="Y336"/>
  <c r="Y334"/>
  <c r="Y112"/>
  <c r="Y292"/>
  <c r="Y309"/>
  <c r="Y408"/>
  <c r="Y119"/>
  <c r="Y125"/>
  <c r="Y169"/>
  <c r="Y295"/>
  <c r="Y140"/>
  <c r="Y215"/>
  <c r="Y490"/>
  <c r="Y218"/>
  <c r="Y390"/>
  <c r="Y341"/>
  <c r="Y114"/>
  <c r="Y445"/>
  <c r="Y494"/>
  <c r="Y239"/>
  <c r="Y243"/>
  <c r="Y220"/>
  <c r="Y68"/>
  <c r="Y53"/>
  <c r="Y163"/>
  <c r="Y35"/>
  <c r="Y344"/>
  <c r="Y65"/>
  <c r="Y360"/>
  <c r="Y278"/>
  <c r="Y298"/>
  <c r="Y491"/>
  <c r="Y468"/>
  <c r="Y200"/>
  <c r="Y51"/>
  <c r="Y254"/>
  <c r="Y439"/>
  <c r="Y18"/>
  <c r="Y152"/>
  <c r="Y40"/>
  <c r="Y258"/>
  <c r="Y347"/>
  <c r="Y39"/>
  <c r="Y174"/>
  <c r="Y431"/>
  <c r="Y247"/>
  <c r="Y63"/>
  <c r="Y457"/>
  <c r="Y394"/>
  <c r="Y367"/>
  <c r="Y301"/>
  <c r="Y101"/>
  <c r="Y438"/>
  <c r="Y233"/>
  <c r="Y109"/>
  <c r="Y144"/>
  <c r="Y134"/>
  <c r="Y155"/>
  <c r="Y193"/>
  <c r="Y79"/>
  <c r="Y214"/>
  <c r="Y460"/>
  <c r="Y107"/>
  <c r="Y450"/>
  <c r="Y88"/>
  <c r="Y452"/>
  <c r="Y337"/>
  <c r="Y335"/>
  <c r="Y317"/>
  <c r="Y131"/>
  <c r="Y461"/>
  <c r="Y13"/>
  <c r="Y216"/>
  <c r="Y310"/>
  <c r="Y409"/>
  <c r="Y228"/>
  <c r="Y187"/>
  <c r="Y326"/>
  <c r="Y296"/>
  <c r="Y4"/>
  <c r="Y17"/>
  <c r="Y190"/>
  <c r="Y219"/>
  <c r="Y498"/>
  <c r="Y342"/>
  <c r="Y102"/>
  <c r="Y44"/>
  <c r="Y240"/>
  <c r="Y244"/>
  <c r="Y221"/>
  <c r="Y94"/>
  <c r="Y54"/>
  <c r="Y484"/>
  <c r="Y299"/>
  <c r="Y368"/>
  <c r="Y501"/>
  <c r="Y168"/>
  <c r="Y279"/>
  <c r="Y75"/>
  <c r="Y492"/>
  <c r="Y469"/>
  <c r="Y201"/>
  <c r="Y73"/>
  <c r="Y14"/>
  <c r="Y440"/>
  <c r="Y19"/>
  <c r="Y361"/>
  <c r="Y41"/>
  <c r="Y230"/>
  <c r="Y348"/>
  <c r="Y156"/>
  <c r="Y175"/>
  <c r="Y432"/>
  <c r="Y248"/>
  <c r="Y181"/>
  <c r="Y458"/>
  <c r="Y256"/>
  <c r="Y64"/>
  <c r="Y302"/>
  <c r="Y384"/>
  <c r="Y96"/>
  <c r="Y508"/>
  <c r="Y110"/>
  <c r="Y72"/>
  <c r="Y135"/>
  <c r="Y165"/>
  <c r="Y184"/>
  <c r="Y370"/>
  <c r="Y447"/>
  <c r="Y203"/>
  <c r="Y108"/>
  <c r="Y33"/>
  <c r="Y505"/>
  <c r="Y78"/>
  <c r="Y80"/>
  <c r="Y128"/>
  <c r="Y429"/>
  <c r="Y349"/>
  <c r="Y166"/>
  <c r="Y357"/>
  <c r="Y480"/>
  <c r="Y12"/>
  <c r="Y332"/>
  <c r="Y288"/>
  <c r="Y516"/>
  <c r="Y137"/>
  <c r="Y463"/>
  <c r="Y202"/>
  <c r="Y405"/>
  <c r="Y85"/>
  <c r="Y86"/>
  <c r="Y273"/>
  <c r="Y189"/>
  <c r="Y512"/>
  <c r="Y511"/>
  <c r="Y47"/>
  <c r="Y30"/>
  <c r="Y198"/>
  <c r="Y171"/>
  <c r="Y483"/>
  <c r="Y92"/>
  <c r="Y197"/>
  <c r="Y267"/>
  <c r="Y122"/>
  <c r="Y417"/>
  <c r="Y227"/>
  <c r="Y375"/>
  <c r="Y330"/>
  <c r="Y26"/>
  <c r="Y488"/>
  <c r="Y425"/>
  <c r="Y116"/>
  <c r="Y397"/>
  <c r="Y320"/>
  <c r="Y441"/>
  <c r="Y345"/>
  <c r="Y392"/>
  <c r="Y285"/>
  <c r="Y182"/>
  <c r="Y22"/>
  <c r="Y382"/>
  <c r="Y252"/>
  <c r="Y312"/>
  <c r="Y372"/>
  <c r="Y206"/>
  <c r="Y139"/>
  <c r="Y196"/>
  <c r="Y209"/>
  <c r="Y27"/>
  <c r="Y281"/>
  <c r="Y225"/>
  <c r="Y148"/>
  <c r="Y354"/>
  <c r="Y36"/>
  <c r="Y25"/>
  <c r="Y369"/>
  <c r="Y400"/>
  <c r="Y323"/>
  <c r="Y282"/>
  <c r="Y423"/>
  <c r="Y333"/>
  <c r="Y434"/>
  <c r="Y496"/>
  <c r="Y313"/>
  <c r="Y381"/>
  <c r="Y352"/>
  <c r="Y266"/>
  <c r="Y237"/>
  <c r="Y268"/>
  <c r="Y9"/>
  <c r="Y479"/>
  <c r="Y402"/>
  <c r="Y98"/>
  <c r="Y81"/>
  <c r="Y59"/>
  <c r="Y185"/>
  <c r="Y259"/>
  <c r="Y83"/>
  <c r="Y146"/>
  <c r="Y157"/>
  <c r="Y362"/>
  <c r="Y74"/>
  <c r="Y76"/>
  <c r="Y270"/>
  <c r="Y188"/>
  <c r="Y45"/>
  <c r="Y435"/>
  <c r="Y7"/>
  <c r="Y123"/>
  <c r="Y290"/>
  <c r="W111"/>
  <c r="W291"/>
  <c r="W308"/>
  <c r="W407"/>
  <c r="W118"/>
  <c r="W124"/>
  <c r="W192"/>
  <c r="W328"/>
  <c r="W307"/>
  <c r="W8"/>
  <c r="W428"/>
  <c r="W255"/>
  <c r="W205"/>
  <c r="W436"/>
  <c r="W89"/>
  <c r="W444"/>
  <c r="W493"/>
  <c r="W43"/>
  <c r="W242"/>
  <c r="W186"/>
  <c r="W67"/>
  <c r="W52"/>
  <c r="W162"/>
  <c r="W374"/>
  <c r="W343"/>
  <c r="W271"/>
  <c r="W359"/>
  <c r="W406"/>
  <c r="W297"/>
  <c r="W77"/>
  <c r="W467"/>
  <c r="W199"/>
  <c r="W50"/>
  <c r="W253"/>
  <c r="W236"/>
  <c r="W161"/>
  <c r="W151"/>
  <c r="W61"/>
  <c r="W418"/>
  <c r="W20"/>
  <c r="W82"/>
  <c r="W158"/>
  <c r="W113"/>
  <c r="W422"/>
  <c r="W170"/>
  <c r="W147"/>
  <c r="W393"/>
  <c r="W366"/>
  <c r="W356"/>
  <c r="W84"/>
  <c r="W437"/>
  <c r="W232"/>
  <c r="W510"/>
  <c r="W260"/>
  <c r="W515"/>
  <c r="W154"/>
  <c r="W420"/>
  <c r="W132"/>
  <c r="W213"/>
  <c r="W459"/>
  <c r="W391"/>
  <c r="W60"/>
  <c r="W87"/>
  <c r="W229"/>
  <c r="W336"/>
  <c r="W334"/>
  <c r="W316"/>
  <c r="W98"/>
  <c r="W466"/>
  <c r="W402"/>
  <c r="W404"/>
  <c r="W500"/>
  <c r="W10"/>
  <c r="W268"/>
  <c r="W194"/>
  <c r="W106"/>
  <c r="W145"/>
  <c r="W352"/>
  <c r="W380"/>
  <c r="W329"/>
  <c r="W314"/>
  <c r="W496"/>
  <c r="W433"/>
  <c r="W413"/>
  <c r="W13"/>
  <c r="W216"/>
  <c r="W310"/>
  <c r="W409"/>
  <c r="W228"/>
  <c r="W187"/>
  <c r="W326"/>
  <c r="W296"/>
  <c r="W4"/>
  <c r="W17"/>
  <c r="W190"/>
  <c r="W219"/>
  <c r="W498"/>
  <c r="W342"/>
  <c r="W102"/>
  <c r="W44"/>
  <c r="W240"/>
  <c r="W244"/>
  <c r="W221"/>
  <c r="W94"/>
  <c r="W54"/>
  <c r="W484"/>
  <c r="W299"/>
  <c r="W368"/>
  <c r="W501"/>
  <c r="W168"/>
  <c r="W279"/>
  <c r="W75"/>
  <c r="W492"/>
  <c r="W469"/>
  <c r="W201"/>
  <c r="W73"/>
  <c r="W14"/>
  <c r="W440"/>
  <c r="W19"/>
  <c r="W361"/>
  <c r="W41"/>
  <c r="W230"/>
  <c r="W348"/>
  <c r="W156"/>
  <c r="W175"/>
  <c r="W432"/>
  <c r="W248"/>
  <c r="W181"/>
  <c r="W458"/>
  <c r="W256"/>
  <c r="W64"/>
  <c r="W302"/>
  <c r="W384"/>
  <c r="W96"/>
  <c r="W508"/>
  <c r="W110"/>
  <c r="W72"/>
  <c r="W135"/>
  <c r="W165"/>
  <c r="W184"/>
  <c r="W370"/>
  <c r="W447"/>
  <c r="W203"/>
  <c r="W108"/>
  <c r="W33"/>
  <c r="W505"/>
  <c r="W78"/>
  <c r="W80"/>
  <c r="W128"/>
  <c r="W429"/>
  <c r="W349"/>
  <c r="W166"/>
  <c r="W357"/>
  <c r="W480"/>
  <c r="W12"/>
  <c r="W332"/>
  <c r="W288"/>
  <c r="W516"/>
  <c r="W137"/>
  <c r="W463"/>
  <c r="W202"/>
  <c r="W405"/>
  <c r="W85"/>
  <c r="W86"/>
  <c r="W273"/>
  <c r="W189"/>
  <c r="W512"/>
  <c r="W511"/>
  <c r="W112"/>
  <c r="W309"/>
  <c r="W119"/>
  <c r="W169"/>
  <c r="W140"/>
  <c r="W490"/>
  <c r="W390"/>
  <c r="W114"/>
  <c r="W494"/>
  <c r="W243"/>
  <c r="W68"/>
  <c r="W163"/>
  <c r="W344"/>
  <c r="W360"/>
  <c r="W298"/>
  <c r="W468"/>
  <c r="W51"/>
  <c r="W439"/>
  <c r="W152"/>
  <c r="W258"/>
  <c r="W39"/>
  <c r="W431"/>
  <c r="W63"/>
  <c r="W394"/>
  <c r="W301"/>
  <c r="W438"/>
  <c r="W109"/>
  <c r="W134"/>
  <c r="W193"/>
  <c r="W214"/>
  <c r="W107"/>
  <c r="W88"/>
  <c r="W337"/>
  <c r="W317"/>
  <c r="W461"/>
  <c r="W479"/>
  <c r="W331"/>
  <c r="W237"/>
  <c r="W462"/>
  <c r="W381"/>
  <c r="W261"/>
  <c r="W434"/>
  <c r="W410"/>
  <c r="W424"/>
  <c r="W283"/>
  <c r="W324"/>
  <c r="W46"/>
  <c r="W164"/>
  <c r="W513"/>
  <c r="W37"/>
  <c r="W2"/>
  <c r="W149"/>
  <c r="W226"/>
  <c r="W172"/>
  <c r="W211"/>
  <c r="W210"/>
  <c r="W263"/>
  <c r="W388"/>
  <c r="W471"/>
  <c r="W325"/>
  <c r="W340"/>
  <c r="W448"/>
  <c r="W383"/>
  <c r="W99"/>
  <c r="W304"/>
  <c r="W363"/>
  <c r="W222"/>
  <c r="W346"/>
  <c r="W442"/>
  <c r="W321"/>
  <c r="W159"/>
  <c r="W69"/>
  <c r="W426"/>
  <c r="W56"/>
  <c r="W453"/>
  <c r="W475"/>
  <c r="W376"/>
  <c r="W224"/>
  <c r="W23"/>
  <c r="W386"/>
  <c r="W473"/>
  <c r="W290"/>
  <c r="W379"/>
  <c r="W123"/>
  <c r="W327"/>
  <c r="W7"/>
  <c r="W191"/>
  <c r="W435"/>
  <c r="W103"/>
  <c r="W45"/>
  <c r="W245"/>
  <c r="W188"/>
  <c r="W373"/>
  <c r="W270"/>
  <c r="W38"/>
  <c r="W76"/>
  <c r="W470"/>
  <c r="W74"/>
  <c r="W160"/>
  <c r="W362"/>
  <c r="W231"/>
  <c r="W157"/>
  <c r="W421"/>
  <c r="W146"/>
  <c r="W257"/>
  <c r="W83"/>
  <c r="W97"/>
  <c r="W259"/>
  <c r="W153"/>
  <c r="W185"/>
  <c r="W507"/>
  <c r="W59"/>
  <c r="W506"/>
  <c r="W81"/>
  <c r="W430"/>
  <c r="W401"/>
  <c r="W365"/>
  <c r="W55"/>
  <c r="W105"/>
  <c r="W351"/>
  <c r="W464"/>
  <c r="W495"/>
  <c r="W167"/>
  <c r="W183"/>
  <c r="W411"/>
  <c r="W120"/>
  <c r="W177"/>
  <c r="W129"/>
  <c r="W514"/>
  <c r="W207"/>
  <c r="W499"/>
  <c r="W3"/>
  <c r="W451"/>
  <c r="W126"/>
  <c r="W173"/>
  <c r="W338"/>
  <c r="W143"/>
  <c r="W264"/>
  <c r="W389"/>
  <c r="W472"/>
  <c r="W517"/>
  <c r="W250"/>
  <c r="W449"/>
  <c r="W518"/>
  <c r="W100"/>
  <c r="W305"/>
  <c r="W364"/>
  <c r="W223"/>
  <c r="W180"/>
  <c r="W443"/>
  <c r="W395"/>
  <c r="W519"/>
  <c r="W70"/>
  <c r="W486"/>
  <c r="W57"/>
  <c r="W454"/>
  <c r="W476"/>
  <c r="W377"/>
  <c r="W415"/>
  <c r="W275"/>
  <c r="W387"/>
  <c r="W474"/>
  <c r="W29"/>
  <c r="W481"/>
  <c r="W5"/>
  <c r="W15"/>
  <c r="W292"/>
  <c r="W408"/>
  <c r="W125"/>
  <c r="W295"/>
  <c r="W215"/>
  <c r="W218"/>
  <c r="W341"/>
  <c r="W445"/>
  <c r="W239"/>
  <c r="W220"/>
  <c r="W53"/>
  <c r="W35"/>
  <c r="W65"/>
  <c r="W278"/>
  <c r="W491"/>
  <c r="W200"/>
  <c r="W254"/>
  <c r="W18"/>
  <c r="W40"/>
  <c r="W347"/>
  <c r="W174"/>
  <c r="W247"/>
  <c r="W457"/>
  <c r="W367"/>
  <c r="W101"/>
  <c r="W233"/>
  <c r="W144"/>
  <c r="W155"/>
  <c r="W79"/>
  <c r="W460"/>
  <c r="W450"/>
  <c r="W452"/>
  <c r="W335"/>
  <c r="W131"/>
  <c r="W403"/>
  <c r="W11"/>
  <c r="W217"/>
  <c r="W136"/>
  <c r="W71"/>
  <c r="W179"/>
  <c r="W497"/>
  <c r="W414"/>
  <c r="W90"/>
  <c r="W412"/>
  <c r="W121"/>
  <c r="W399"/>
  <c r="W130"/>
  <c r="W24"/>
  <c r="W208"/>
  <c r="W353"/>
  <c r="W262"/>
  <c r="W293"/>
  <c r="W127"/>
  <c r="W265"/>
  <c r="W339"/>
  <c r="W269"/>
  <c r="W138"/>
  <c r="W212"/>
  <c r="W104"/>
  <c r="W311"/>
  <c r="W251"/>
  <c r="W234"/>
  <c r="W21"/>
  <c r="W28"/>
  <c r="W284"/>
  <c r="W446"/>
  <c r="W178"/>
  <c r="W322"/>
  <c r="W319"/>
  <c r="W396"/>
  <c r="W115"/>
  <c r="W133"/>
  <c r="W487"/>
  <c r="W58"/>
  <c r="W141"/>
  <c r="W277"/>
  <c r="W378"/>
  <c r="W416"/>
  <c r="W276"/>
  <c r="W350"/>
  <c r="W195"/>
  <c r="W91"/>
  <c r="W482"/>
  <c r="W6"/>
  <c r="W16"/>
  <c r="W456"/>
  <c r="W62"/>
  <c r="W286"/>
  <c r="W198"/>
  <c r="W483"/>
  <c r="W197"/>
  <c r="W227"/>
  <c r="W488"/>
  <c r="W320"/>
  <c r="W285"/>
  <c r="W252"/>
  <c r="W139"/>
  <c r="W281"/>
  <c r="W36"/>
  <c r="W323"/>
  <c r="W274"/>
  <c r="W289"/>
  <c r="W315"/>
  <c r="W371"/>
  <c r="W385"/>
  <c r="W176"/>
  <c r="W235"/>
  <c r="W502"/>
  <c r="W241"/>
  <c r="U111"/>
  <c r="W48"/>
  <c r="W30"/>
  <c r="W485"/>
  <c r="W93"/>
  <c r="W267"/>
  <c r="W375"/>
  <c r="W425"/>
  <c r="W441"/>
  <c r="W182"/>
  <c r="W312"/>
  <c r="W196"/>
  <c r="W225"/>
  <c r="W25"/>
  <c r="W282"/>
  <c r="W313"/>
  <c r="W9"/>
  <c r="W455"/>
  <c r="W419"/>
  <c r="W355"/>
  <c r="W294"/>
  <c r="W49"/>
  <c r="W300"/>
  <c r="W238"/>
  <c r="W306"/>
  <c r="W504"/>
  <c r="W398"/>
  <c r="W47"/>
  <c r="W478"/>
  <c r="W171"/>
  <c r="W92"/>
  <c r="W122"/>
  <c r="W330"/>
  <c r="W116"/>
  <c r="W345"/>
  <c r="W22"/>
  <c r="W372"/>
  <c r="W209"/>
  <c r="W148"/>
  <c r="W369"/>
  <c r="W423"/>
  <c r="W318"/>
  <c r="W358"/>
  <c r="W34"/>
  <c r="W142"/>
  <c r="W42"/>
  <c r="W117"/>
  <c r="W503"/>
  <c r="W303"/>
  <c r="W95"/>
  <c r="W32"/>
  <c r="W477"/>
  <c r="W489"/>
  <c r="W287"/>
  <c r="W417"/>
  <c r="W26"/>
  <c r="W397"/>
  <c r="W392"/>
  <c r="W382"/>
  <c r="W206"/>
  <c r="W27"/>
  <c r="W354"/>
  <c r="W400"/>
  <c r="W333"/>
  <c r="W266"/>
  <c r="W465"/>
  <c r="W246"/>
  <c r="W509"/>
  <c r="W249"/>
  <c r="W150"/>
  <c r="W280"/>
  <c r="W66"/>
  <c r="W204"/>
  <c r="W272"/>
  <c r="U31"/>
  <c r="U62"/>
  <c r="U379"/>
  <c r="U95"/>
  <c r="U427"/>
  <c r="U303"/>
  <c r="U241"/>
  <c r="U503"/>
  <c r="U502"/>
  <c r="U117"/>
  <c r="U235"/>
  <c r="U42"/>
  <c r="U176"/>
  <c r="U142"/>
  <c r="U385"/>
  <c r="U504"/>
  <c r="U371"/>
  <c r="U34"/>
  <c r="U315"/>
  <c r="U358"/>
  <c r="U289"/>
  <c r="U318"/>
  <c r="U274"/>
  <c r="U424"/>
  <c r="U324"/>
  <c r="U164"/>
  <c r="U37"/>
  <c r="U149"/>
  <c r="U172"/>
  <c r="U210"/>
  <c r="U388"/>
  <c r="U325"/>
  <c r="U448"/>
  <c r="U99"/>
  <c r="U363"/>
  <c r="U346"/>
  <c r="U321"/>
  <c r="U69"/>
  <c r="U56"/>
  <c r="U475"/>
  <c r="U224"/>
  <c r="U386"/>
  <c r="U287"/>
  <c r="U286"/>
  <c r="U306"/>
  <c r="U204"/>
  <c r="U238"/>
  <c r="U66"/>
  <c r="U300"/>
  <c r="U280"/>
  <c r="U49"/>
  <c r="U150"/>
  <c r="U294"/>
  <c r="U249"/>
  <c r="U355"/>
  <c r="U509"/>
  <c r="U419"/>
  <c r="U246"/>
  <c r="U455"/>
  <c r="U465"/>
  <c r="U9"/>
  <c r="U266"/>
  <c r="U313"/>
  <c r="U333"/>
  <c r="U283"/>
  <c r="U46"/>
  <c r="U513"/>
  <c r="U2"/>
  <c r="U226"/>
  <c r="U211"/>
  <c r="U263"/>
  <c r="U471"/>
  <c r="U340"/>
  <c r="U383"/>
  <c r="U304"/>
  <c r="U222"/>
  <c r="U442"/>
  <c r="U159"/>
  <c r="U426"/>
  <c r="U453"/>
  <c r="U376"/>
  <c r="U23"/>
  <c r="U473"/>
  <c r="U93"/>
  <c r="U485"/>
  <c r="U456"/>
  <c r="U272"/>
  <c r="U477"/>
  <c r="U48"/>
  <c r="U489"/>
  <c r="U398"/>
  <c r="U32"/>
  <c r="U478"/>
  <c r="U6"/>
  <c r="U91"/>
  <c r="U350"/>
  <c r="U416"/>
  <c r="U277"/>
  <c r="U58"/>
  <c r="U133"/>
  <c r="U396"/>
  <c r="U322"/>
  <c r="U446"/>
  <c r="U28"/>
  <c r="U234"/>
  <c r="U311"/>
  <c r="U212"/>
  <c r="U269"/>
  <c r="U265"/>
  <c r="U293"/>
  <c r="U353"/>
  <c r="U24"/>
  <c r="U399"/>
  <c r="U412"/>
  <c r="U167"/>
  <c r="U464"/>
  <c r="U105"/>
  <c r="U365"/>
  <c r="U430"/>
  <c r="U506"/>
  <c r="U507"/>
  <c r="U153"/>
  <c r="U97"/>
  <c r="U257"/>
  <c r="U421"/>
  <c r="U231"/>
  <c r="U160"/>
  <c r="U470"/>
  <c r="U38"/>
  <c r="U373"/>
  <c r="U245"/>
  <c r="U103"/>
  <c r="U191"/>
  <c r="U327"/>
  <c r="U291"/>
  <c r="U308"/>
  <c r="U407"/>
  <c r="U118"/>
  <c r="U124"/>
  <c r="U192"/>
  <c r="U328"/>
  <c r="U307"/>
  <c r="U8"/>
  <c r="U428"/>
  <c r="U255"/>
  <c r="U205"/>
  <c r="U436"/>
  <c r="U89"/>
  <c r="U444"/>
  <c r="U493"/>
  <c r="U43"/>
  <c r="U242"/>
  <c r="U186"/>
  <c r="U67"/>
  <c r="U52"/>
  <c r="U162"/>
  <c r="U374"/>
  <c r="U343"/>
  <c r="U271"/>
  <c r="U359"/>
  <c r="U406"/>
  <c r="U297"/>
  <c r="U77"/>
  <c r="U467"/>
  <c r="U199"/>
  <c r="U50"/>
  <c r="U253"/>
  <c r="U236"/>
  <c r="U161"/>
  <c r="U151"/>
  <c r="U61"/>
  <c r="U418"/>
  <c r="U20"/>
  <c r="U82"/>
  <c r="U158"/>
  <c r="U113"/>
  <c r="U422"/>
  <c r="U170"/>
  <c r="U147"/>
  <c r="U393"/>
  <c r="U366"/>
  <c r="U356"/>
  <c r="U84"/>
  <c r="U437"/>
  <c r="U232"/>
  <c r="U510"/>
  <c r="U260"/>
  <c r="U515"/>
  <c r="U154"/>
  <c r="U420"/>
  <c r="U132"/>
  <c r="U213"/>
  <c r="U459"/>
  <c r="U391"/>
  <c r="U60"/>
  <c r="U87"/>
  <c r="U229"/>
  <c r="U336"/>
  <c r="U334"/>
  <c r="U316"/>
  <c r="U98"/>
  <c r="U466"/>
  <c r="U402"/>
  <c r="U404"/>
  <c r="U500"/>
  <c r="U10"/>
  <c r="U268"/>
  <c r="U194"/>
  <c r="U106"/>
  <c r="U145"/>
  <c r="U352"/>
  <c r="U380"/>
  <c r="U329"/>
  <c r="U314"/>
  <c r="U496"/>
  <c r="U433"/>
  <c r="U413"/>
  <c r="U410"/>
  <c r="U112"/>
  <c r="U292"/>
  <c r="U309"/>
  <c r="U408"/>
  <c r="U119"/>
  <c r="U125"/>
  <c r="U169"/>
  <c r="U295"/>
  <c r="U140"/>
  <c r="U215"/>
  <c r="U490"/>
  <c r="U218"/>
  <c r="U390"/>
  <c r="U341"/>
  <c r="U114"/>
  <c r="U445"/>
  <c r="U494"/>
  <c r="U239"/>
  <c r="U243"/>
  <c r="U220"/>
  <c r="U68"/>
  <c r="U53"/>
  <c r="U163"/>
  <c r="U35"/>
  <c r="U344"/>
  <c r="U65"/>
  <c r="U360"/>
  <c r="U278"/>
  <c r="U298"/>
  <c r="U491"/>
  <c r="U468"/>
  <c r="U200"/>
  <c r="U51"/>
  <c r="U254"/>
  <c r="U439"/>
  <c r="U18"/>
  <c r="U152"/>
  <c r="U40"/>
  <c r="U258"/>
  <c r="U347"/>
  <c r="U39"/>
  <c r="U174"/>
  <c r="U431"/>
  <c r="U247"/>
  <c r="U63"/>
  <c r="U457"/>
  <c r="U394"/>
  <c r="U367"/>
  <c r="U301"/>
  <c r="U101"/>
  <c r="U438"/>
  <c r="U233"/>
  <c r="U109"/>
  <c r="U144"/>
  <c r="U134"/>
  <c r="U155"/>
  <c r="U193"/>
  <c r="U79"/>
  <c r="U214"/>
  <c r="U460"/>
  <c r="U107"/>
  <c r="U450"/>
  <c r="U88"/>
  <c r="U452"/>
  <c r="U337"/>
  <c r="U335"/>
  <c r="U317"/>
  <c r="U131"/>
  <c r="U461"/>
  <c r="U403"/>
  <c r="U479"/>
  <c r="U11"/>
  <c r="U331"/>
  <c r="U217"/>
  <c r="U237"/>
  <c r="U136"/>
  <c r="U462"/>
  <c r="U71"/>
  <c r="U381"/>
  <c r="U179"/>
  <c r="U261"/>
  <c r="U497"/>
  <c r="U434"/>
  <c r="U414"/>
  <c r="U183"/>
  <c r="U13"/>
  <c r="U310"/>
  <c r="U228"/>
  <c r="U326"/>
  <c r="U4"/>
  <c r="U190"/>
  <c r="U498"/>
  <c r="U102"/>
  <c r="U44"/>
  <c r="U244"/>
  <c r="U94"/>
  <c r="U484"/>
  <c r="U368"/>
  <c r="U168"/>
  <c r="U75"/>
  <c r="U469"/>
  <c r="U73"/>
  <c r="U440"/>
  <c r="U361"/>
  <c r="U230"/>
  <c r="U156"/>
  <c r="U432"/>
  <c r="U181"/>
  <c r="U256"/>
  <c r="U302"/>
  <c r="U96"/>
  <c r="U110"/>
  <c r="U135"/>
  <c r="U184"/>
  <c r="U447"/>
  <c r="U108"/>
  <c r="U505"/>
  <c r="U80"/>
  <c r="U429"/>
  <c r="U166"/>
  <c r="U480"/>
  <c r="U332"/>
  <c r="U516"/>
  <c r="U463"/>
  <c r="U405"/>
  <c r="U86"/>
  <c r="U189"/>
  <c r="U511"/>
  <c r="U411"/>
  <c r="U120"/>
  <c r="U177"/>
  <c r="U129"/>
  <c r="U514"/>
  <c r="U207"/>
  <c r="U499"/>
  <c r="U3"/>
  <c r="U451"/>
  <c r="U126"/>
  <c r="U173"/>
  <c r="U338"/>
  <c r="U143"/>
  <c r="U264"/>
  <c r="U389"/>
  <c r="U472"/>
  <c r="U517"/>
  <c r="U250"/>
  <c r="U449"/>
  <c r="U518"/>
  <c r="U100"/>
  <c r="U305"/>
  <c r="U364"/>
  <c r="U223"/>
  <c r="U180"/>
  <c r="U443"/>
  <c r="U395"/>
  <c r="U519"/>
  <c r="U70"/>
  <c r="U486"/>
  <c r="U57"/>
  <c r="U454"/>
  <c r="U476"/>
  <c r="U377"/>
  <c r="U415"/>
  <c r="U275"/>
  <c r="U387"/>
  <c r="U474"/>
  <c r="U29"/>
  <c r="U481"/>
  <c r="U5"/>
  <c r="U15"/>
  <c r="U216"/>
  <c r="U409"/>
  <c r="U187"/>
  <c r="U296"/>
  <c r="U17"/>
  <c r="U219"/>
  <c r="U342"/>
  <c r="U240"/>
  <c r="U221"/>
  <c r="U54"/>
  <c r="U299"/>
  <c r="U501"/>
  <c r="U279"/>
  <c r="U492"/>
  <c r="U201"/>
  <c r="U14"/>
  <c r="U19"/>
  <c r="U41"/>
  <c r="U348"/>
  <c r="U175"/>
  <c r="U248"/>
  <c r="U458"/>
  <c r="U64"/>
  <c r="U384"/>
  <c r="U508"/>
  <c r="U72"/>
  <c r="U165"/>
  <c r="U370"/>
  <c r="U203"/>
  <c r="U33"/>
  <c r="U78"/>
  <c r="U128"/>
  <c r="U349"/>
  <c r="U357"/>
  <c r="U12"/>
  <c r="U288"/>
  <c r="U137"/>
  <c r="U202"/>
  <c r="U85"/>
  <c r="U273"/>
  <c r="U512"/>
  <c r="U423"/>
  <c r="U282"/>
  <c r="U323"/>
  <c r="U400"/>
  <c r="U369"/>
  <c r="U25"/>
  <c r="U36"/>
  <c r="U354"/>
  <c r="U148"/>
  <c r="U225"/>
  <c r="U281"/>
  <c r="U27"/>
  <c r="U209"/>
  <c r="U196"/>
  <c r="U139"/>
  <c r="U206"/>
  <c r="U372"/>
  <c r="U312"/>
  <c r="U252"/>
  <c r="U382"/>
  <c r="U22"/>
  <c r="U182"/>
  <c r="U285"/>
  <c r="U392"/>
  <c r="U345"/>
  <c r="U441"/>
  <c r="U320"/>
  <c r="U397"/>
  <c r="U116"/>
  <c r="U425"/>
  <c r="U488"/>
  <c r="U26"/>
  <c r="U330"/>
  <c r="U375"/>
  <c r="U227"/>
  <c r="U417"/>
  <c r="U122"/>
  <c r="U267"/>
  <c r="U197"/>
  <c r="U92"/>
  <c r="U483"/>
  <c r="U171"/>
  <c r="U198"/>
  <c r="U47"/>
  <c r="U30"/>
  <c r="U16"/>
  <c r="U482"/>
  <c r="U195"/>
  <c r="U276"/>
  <c r="U378"/>
  <c r="U141"/>
  <c r="U487"/>
  <c r="U115"/>
  <c r="U319"/>
  <c r="U178"/>
  <c r="U284"/>
  <c r="U21"/>
  <c r="U251"/>
  <c r="U104"/>
  <c r="U138"/>
  <c r="U339"/>
  <c r="U127"/>
  <c r="U262"/>
  <c r="U208"/>
  <c r="U130"/>
  <c r="U121"/>
  <c r="U90"/>
  <c r="U495"/>
  <c r="U351"/>
  <c r="U55"/>
  <c r="U401"/>
  <c r="U81"/>
  <c r="U59"/>
  <c r="U185"/>
  <c r="U259"/>
  <c r="U83"/>
  <c r="U146"/>
  <c r="U157"/>
  <c r="U362"/>
  <c r="U74"/>
  <c r="U76"/>
  <c r="U270"/>
  <c r="U188"/>
  <c r="U45"/>
  <c r="U435"/>
  <c r="U7"/>
  <c r="U123"/>
  <c r="U290"/>
  <c r="R128" i="21"/>
  <c r="Q121"/>
  <c r="Q118"/>
  <c r="Q112"/>
  <c r="K133"/>
  <c r="T129" s="1"/>
  <c r="Q129"/>
  <c r="J123"/>
  <c r="S119" s="1"/>
  <c r="L125"/>
  <c r="U121" s="1"/>
  <c r="J128"/>
  <c r="S124" s="1"/>
  <c r="K132"/>
  <c r="T128" s="1"/>
  <c r="M99"/>
  <c r="V99" s="1"/>
  <c r="R120"/>
  <c r="K124"/>
  <c r="T120" s="1"/>
  <c r="Q117"/>
  <c r="R124"/>
  <c r="K128"/>
  <c r="T124" s="1"/>
  <c r="R129"/>
  <c r="J132"/>
  <c r="S128" s="1"/>
  <c r="J133"/>
  <c r="S129" s="1"/>
  <c r="K99"/>
  <c r="T99" s="1"/>
  <c r="R118"/>
  <c r="L121"/>
  <c r="U117" s="1"/>
  <c r="J124"/>
  <c r="S120" s="1"/>
  <c r="J98"/>
  <c r="S98" s="1"/>
  <c r="Q125"/>
  <c r="M131"/>
  <c r="V127" s="1"/>
  <c r="R22"/>
  <c r="M98"/>
  <c r="V98" s="1"/>
  <c r="Q111"/>
  <c r="R117"/>
  <c r="Q120"/>
  <c r="J121"/>
  <c r="S117" s="1"/>
  <c r="R121"/>
  <c r="Q124"/>
  <c r="J125"/>
  <c r="S121" s="1"/>
  <c r="R125"/>
  <c r="Q128"/>
  <c r="K129"/>
  <c r="T125" s="1"/>
  <c r="K39"/>
  <c r="T39" s="1"/>
  <c r="J129"/>
  <c r="S125" s="1"/>
  <c r="R26"/>
  <c r="K121"/>
  <c r="T117" s="1"/>
  <c r="K125"/>
  <c r="T121" s="1"/>
  <c r="L129"/>
  <c r="U125" s="1"/>
  <c r="J95"/>
  <c r="S95" s="1"/>
  <c r="AC246" i="1"/>
  <c r="AC197"/>
  <c r="AC451"/>
  <c r="AC169"/>
  <c r="AC139"/>
  <c r="AC457"/>
  <c r="AC458"/>
  <c r="AC145"/>
  <c r="AC126"/>
  <c r="AC138"/>
  <c r="AC383"/>
  <c r="AC323"/>
  <c r="L90" i="21"/>
  <c r="U90" s="1"/>
  <c r="R90"/>
  <c r="K82"/>
  <c r="T82" s="1"/>
  <c r="L82"/>
  <c r="U82" s="1"/>
  <c r="J82"/>
  <c r="S82" s="1"/>
  <c r="K78"/>
  <c r="T78" s="1"/>
  <c r="AC501" i="1"/>
  <c r="AC62"/>
  <c r="AC222"/>
  <c r="AC479"/>
  <c r="AC480"/>
  <c r="AC427"/>
  <c r="AC428"/>
  <c r="AC340"/>
  <c r="AC237"/>
  <c r="AC335"/>
  <c r="AB211"/>
  <c r="AC211" s="1"/>
  <c r="AC296"/>
  <c r="AC295"/>
  <c r="AC460"/>
  <c r="AC285"/>
  <c r="AC284"/>
  <c r="R58" i="21"/>
  <c r="M55"/>
  <c r="V55" s="1"/>
  <c r="AC224" i="1"/>
  <c r="AC194"/>
  <c r="AC313"/>
  <c r="AC314"/>
  <c r="AC329"/>
  <c r="AC477"/>
  <c r="AC272"/>
  <c r="AC464"/>
  <c r="L39" i="21"/>
  <c r="U39" s="1"/>
  <c r="J39"/>
  <c r="S39" s="1"/>
  <c r="K34"/>
  <c r="T34" s="1"/>
  <c r="R34"/>
  <c r="AC360" i="1"/>
  <c r="AC334"/>
  <c r="L25" i="21"/>
  <c r="U25" s="1"/>
  <c r="R25"/>
  <c r="AC179" i="1"/>
  <c r="AC215"/>
  <c r="AC320"/>
  <c r="AC321"/>
  <c r="AC453"/>
  <c r="AC381"/>
  <c r="AC497"/>
  <c r="AC380"/>
  <c r="AC327"/>
  <c r="AC425"/>
  <c r="AC426"/>
  <c r="AC495"/>
  <c r="AC326"/>
  <c r="AC496"/>
  <c r="R66" i="21"/>
  <c r="K18"/>
  <c r="T18" s="1"/>
  <c r="J29"/>
  <c r="S29" s="1"/>
  <c r="K30"/>
  <c r="T30" s="1"/>
  <c r="U12"/>
  <c r="L13"/>
  <c r="U10" s="1"/>
  <c r="K22"/>
  <c r="T22" s="1"/>
  <c r="L23"/>
  <c r="U23" s="1"/>
  <c r="L27"/>
  <c r="U27" s="1"/>
  <c r="L29"/>
  <c r="U29" s="1"/>
  <c r="R30"/>
  <c r="K38"/>
  <c r="T38" s="1"/>
  <c r="M41"/>
  <c r="V41" s="1"/>
  <c r="L46"/>
  <c r="U46" s="1"/>
  <c r="M48"/>
  <c r="V48" s="1"/>
  <c r="L50"/>
  <c r="U50" s="1"/>
  <c r="R51"/>
  <c r="J58"/>
  <c r="S58" s="1"/>
  <c r="K66"/>
  <c r="T66" s="1"/>
  <c r="L74"/>
  <c r="U74" s="1"/>
  <c r="K94"/>
  <c r="T94" s="1"/>
  <c r="L104"/>
  <c r="U104" s="1"/>
  <c r="L108"/>
  <c r="U108" s="1"/>
  <c r="J112"/>
  <c r="S112" s="1"/>
  <c r="R10"/>
  <c r="L22"/>
  <c r="U22" s="1"/>
  <c r="J25"/>
  <c r="S25" s="1"/>
  <c r="K26"/>
  <c r="T26" s="1"/>
  <c r="R29"/>
  <c r="R39"/>
  <c r="R46"/>
  <c r="R50"/>
  <c r="L58"/>
  <c r="U58" s="1"/>
  <c r="L66"/>
  <c r="U66" s="1"/>
  <c r="R74"/>
  <c r="R82"/>
  <c r="J90"/>
  <c r="S90" s="1"/>
  <c r="J99"/>
  <c r="S99" s="1"/>
  <c r="K100"/>
  <c r="T100" s="1"/>
  <c r="R104"/>
  <c r="Q107"/>
  <c r="R108"/>
  <c r="J111"/>
  <c r="S111" s="1"/>
  <c r="K112"/>
  <c r="T112" s="1"/>
  <c r="J46"/>
  <c r="S46" s="1"/>
  <c r="J50"/>
  <c r="S50" s="1"/>
  <c r="K51"/>
  <c r="T51" s="1"/>
  <c r="K62"/>
  <c r="T62" s="1"/>
  <c r="J66"/>
  <c r="S66" s="1"/>
  <c r="J74"/>
  <c r="S74" s="1"/>
  <c r="J104"/>
  <c r="S104" s="1"/>
  <c r="J108"/>
  <c r="S108" s="1"/>
  <c r="R112"/>
  <c r="R18"/>
  <c r="M11"/>
  <c r="V13" s="1"/>
  <c r="J11"/>
  <c r="L18"/>
  <c r="U18" s="1"/>
  <c r="J13"/>
  <c r="M12"/>
  <c r="V9" s="1"/>
  <c r="J12"/>
  <c r="J9"/>
  <c r="R11"/>
  <c r="L9"/>
  <c r="U11" s="1"/>
  <c r="M21"/>
  <c r="V21" s="1"/>
  <c r="R21"/>
  <c r="J21"/>
  <c r="S21" s="1"/>
  <c r="L21"/>
  <c r="U21" s="1"/>
  <c r="K42"/>
  <c r="T42" s="1"/>
  <c r="J20"/>
  <c r="S20" s="1"/>
  <c r="Q20"/>
  <c r="Q21"/>
  <c r="M33"/>
  <c r="V33" s="1"/>
  <c r="R33"/>
  <c r="J33"/>
  <c r="S33" s="1"/>
  <c r="L33"/>
  <c r="U33" s="1"/>
  <c r="J36"/>
  <c r="S36" s="1"/>
  <c r="Q36"/>
  <c r="M54"/>
  <c r="V54" s="1"/>
  <c r="R54"/>
  <c r="J54"/>
  <c r="S54" s="1"/>
  <c r="L54"/>
  <c r="U54" s="1"/>
  <c r="M37"/>
  <c r="V37" s="1"/>
  <c r="R37"/>
  <c r="J37"/>
  <c r="S37" s="1"/>
  <c r="L37"/>
  <c r="U37" s="1"/>
  <c r="M42"/>
  <c r="V42" s="1"/>
  <c r="L42"/>
  <c r="U42" s="1"/>
  <c r="R42"/>
  <c r="J42"/>
  <c r="S42" s="1"/>
  <c r="Q44"/>
  <c r="J44"/>
  <c r="S44" s="1"/>
  <c r="J53"/>
  <c r="S53" s="1"/>
  <c r="Q53"/>
  <c r="M17"/>
  <c r="V17" s="1"/>
  <c r="R17"/>
  <c r="J17"/>
  <c r="S17" s="1"/>
  <c r="L17"/>
  <c r="U17" s="1"/>
  <c r="K21"/>
  <c r="T21" s="1"/>
  <c r="K37"/>
  <c r="T37" s="1"/>
  <c r="M10"/>
  <c r="K10"/>
  <c r="Q17"/>
  <c r="M20"/>
  <c r="V20" s="1"/>
  <c r="Q24"/>
  <c r="J24"/>
  <c r="S24" s="1"/>
  <c r="K33"/>
  <c r="T33" s="1"/>
  <c r="M36"/>
  <c r="V36" s="1"/>
  <c r="R45"/>
  <c r="K54"/>
  <c r="T54" s="1"/>
  <c r="M70"/>
  <c r="V70" s="1"/>
  <c r="R70"/>
  <c r="J70"/>
  <c r="S70" s="1"/>
  <c r="L70"/>
  <c r="U70" s="1"/>
  <c r="K70"/>
  <c r="T70" s="1"/>
  <c r="Q62"/>
  <c r="Q78"/>
  <c r="K86"/>
  <c r="T86" s="1"/>
  <c r="Q94"/>
  <c r="K96"/>
  <c r="T96" s="1"/>
  <c r="L97"/>
  <c r="U97" s="1"/>
  <c r="Q100"/>
  <c r="L105"/>
  <c r="U105" s="1"/>
  <c r="L109"/>
  <c r="U109" s="1"/>
  <c r="Q11"/>
  <c r="R9"/>
  <c r="K13"/>
  <c r="K25"/>
  <c r="T25" s="1"/>
  <c r="L26"/>
  <c r="U26" s="1"/>
  <c r="K29"/>
  <c r="T29" s="1"/>
  <c r="L30"/>
  <c r="U30" s="1"/>
  <c r="Q39"/>
  <c r="K46"/>
  <c r="T46" s="1"/>
  <c r="K50"/>
  <c r="T50" s="1"/>
  <c r="K58"/>
  <c r="T58" s="1"/>
  <c r="J62"/>
  <c r="S62" s="1"/>
  <c r="R62"/>
  <c r="Q66"/>
  <c r="K74"/>
  <c r="T74" s="1"/>
  <c r="J78"/>
  <c r="S78" s="1"/>
  <c r="R78"/>
  <c r="Q82"/>
  <c r="L86"/>
  <c r="U86" s="1"/>
  <c r="K90"/>
  <c r="T90" s="1"/>
  <c r="J94"/>
  <c r="S94" s="1"/>
  <c r="R94"/>
  <c r="Q95"/>
  <c r="L96"/>
  <c r="U96" s="1"/>
  <c r="M97"/>
  <c r="V97" s="1"/>
  <c r="R99"/>
  <c r="J100"/>
  <c r="S100" s="1"/>
  <c r="R100"/>
  <c r="K104"/>
  <c r="T104" s="1"/>
  <c r="R105"/>
  <c r="K108"/>
  <c r="T108" s="1"/>
  <c r="R109"/>
  <c r="Q86"/>
  <c r="Q96"/>
  <c r="K9"/>
  <c r="K12"/>
  <c r="Q10"/>
  <c r="Q25"/>
  <c r="Q29"/>
  <c r="L34"/>
  <c r="U34" s="1"/>
  <c r="M38"/>
  <c r="V38" s="1"/>
  <c r="Q46"/>
  <c r="Q50"/>
  <c r="Q58"/>
  <c r="L62"/>
  <c r="U62" s="1"/>
  <c r="Q74"/>
  <c r="L78"/>
  <c r="U78" s="1"/>
  <c r="J86"/>
  <c r="S86" s="1"/>
  <c r="R86"/>
  <c r="Q90"/>
  <c r="L94"/>
  <c r="U94" s="1"/>
  <c r="J96"/>
  <c r="S96" s="1"/>
  <c r="R96"/>
  <c r="L100"/>
  <c r="U100" s="1"/>
  <c r="Q104"/>
  <c r="K105"/>
  <c r="T105" s="1"/>
  <c r="Q108"/>
  <c r="K109"/>
  <c r="T109" s="1"/>
  <c r="L8"/>
  <c r="U8" s="1"/>
  <c r="M8"/>
  <c r="V8" s="1"/>
  <c r="R8"/>
  <c r="J8"/>
  <c r="S8" s="1"/>
  <c r="K8"/>
  <c r="T8" s="1"/>
  <c r="R15"/>
  <c r="K15"/>
  <c r="T15" s="1"/>
  <c r="M15"/>
  <c r="V15" s="1"/>
  <c r="J15"/>
  <c r="S15" s="1"/>
  <c r="L15"/>
  <c r="U15" s="1"/>
  <c r="Q8"/>
  <c r="Q15"/>
  <c r="R7"/>
  <c r="K7"/>
  <c r="T7" s="1"/>
  <c r="M7"/>
  <c r="V7" s="1"/>
  <c r="J7"/>
  <c r="S7" s="1"/>
  <c r="L7"/>
  <c r="U7" s="1"/>
  <c r="Q14"/>
  <c r="J14"/>
  <c r="S14" s="1"/>
  <c r="M14"/>
  <c r="V14" s="1"/>
  <c r="K14"/>
  <c r="T14" s="1"/>
  <c r="L14"/>
  <c r="U14" s="1"/>
  <c r="L16"/>
  <c r="U16" s="1"/>
  <c r="R16"/>
  <c r="M16"/>
  <c r="V16" s="1"/>
  <c r="J16"/>
  <c r="S16" s="1"/>
  <c r="K16"/>
  <c r="T16" s="1"/>
  <c r="L28"/>
  <c r="U28" s="1"/>
  <c r="R28"/>
  <c r="K28"/>
  <c r="T28" s="1"/>
  <c r="L49"/>
  <c r="U49" s="1"/>
  <c r="R49"/>
  <c r="J49"/>
  <c r="S49" s="1"/>
  <c r="Q49"/>
  <c r="M49"/>
  <c r="V49" s="1"/>
  <c r="R52"/>
  <c r="K52"/>
  <c r="T52" s="1"/>
  <c r="M52"/>
  <c r="V52" s="1"/>
  <c r="L52"/>
  <c r="U52" s="1"/>
  <c r="J52"/>
  <c r="S52" s="1"/>
  <c r="R56"/>
  <c r="K56"/>
  <c r="T56" s="1"/>
  <c r="J56"/>
  <c r="S56" s="1"/>
  <c r="Q56"/>
  <c r="M56"/>
  <c r="V56" s="1"/>
  <c r="R19"/>
  <c r="K19"/>
  <c r="T19" s="1"/>
  <c r="J19"/>
  <c r="S19" s="1"/>
  <c r="Q19"/>
  <c r="L31"/>
  <c r="U31" s="1"/>
  <c r="L32"/>
  <c r="U32" s="1"/>
  <c r="R32"/>
  <c r="K32"/>
  <c r="T32" s="1"/>
  <c r="R35"/>
  <c r="K35"/>
  <c r="T35" s="1"/>
  <c r="Q35"/>
  <c r="J35"/>
  <c r="S35" s="1"/>
  <c r="Q52"/>
  <c r="K126"/>
  <c r="T122" s="1"/>
  <c r="R122"/>
  <c r="J126"/>
  <c r="S122" s="1"/>
  <c r="Q122"/>
  <c r="L126"/>
  <c r="U122" s="1"/>
  <c r="Q12"/>
  <c r="J10"/>
  <c r="R12"/>
  <c r="R13"/>
  <c r="K11"/>
  <c r="Q13"/>
  <c r="Q9"/>
  <c r="L19"/>
  <c r="U19" s="1"/>
  <c r="L20"/>
  <c r="U20" s="1"/>
  <c r="R20"/>
  <c r="K20"/>
  <c r="T20" s="1"/>
  <c r="R23"/>
  <c r="K23"/>
  <c r="T23" s="1"/>
  <c r="Q23"/>
  <c r="J23"/>
  <c r="S23" s="1"/>
  <c r="M28"/>
  <c r="V28" s="1"/>
  <c r="J32"/>
  <c r="S32" s="1"/>
  <c r="L35"/>
  <c r="U35" s="1"/>
  <c r="L36"/>
  <c r="U36" s="1"/>
  <c r="R36"/>
  <c r="K36"/>
  <c r="T36" s="1"/>
  <c r="R110"/>
  <c r="K110"/>
  <c r="T110" s="1"/>
  <c r="Q110"/>
  <c r="J110"/>
  <c r="S110" s="1"/>
  <c r="L110"/>
  <c r="U110" s="1"/>
  <c r="M110"/>
  <c r="V110" s="1"/>
  <c r="M126"/>
  <c r="V122" s="1"/>
  <c r="R31"/>
  <c r="K31"/>
  <c r="T31" s="1"/>
  <c r="Q31"/>
  <c r="J31"/>
  <c r="S31" s="1"/>
  <c r="R40"/>
  <c r="K40"/>
  <c r="T40" s="1"/>
  <c r="J40"/>
  <c r="S40" s="1"/>
  <c r="Q40"/>
  <c r="M40"/>
  <c r="V40" s="1"/>
  <c r="L103"/>
  <c r="U103" s="1"/>
  <c r="K103"/>
  <c r="T103" s="1"/>
  <c r="Q103"/>
  <c r="J103"/>
  <c r="S103" s="1"/>
  <c r="R103"/>
  <c r="M103"/>
  <c r="V103" s="1"/>
  <c r="J28"/>
  <c r="S28" s="1"/>
  <c r="Q47"/>
  <c r="J47"/>
  <c r="S47" s="1"/>
  <c r="K47"/>
  <c r="T47" s="1"/>
  <c r="R47"/>
  <c r="M47"/>
  <c r="V47" s="1"/>
  <c r="K49"/>
  <c r="T49" s="1"/>
  <c r="L56"/>
  <c r="U56" s="1"/>
  <c r="M19"/>
  <c r="V19" s="1"/>
  <c r="L24"/>
  <c r="U24" s="1"/>
  <c r="K24"/>
  <c r="T24" s="1"/>
  <c r="R24"/>
  <c r="R27"/>
  <c r="K27"/>
  <c r="T27" s="1"/>
  <c r="Q27"/>
  <c r="J27"/>
  <c r="S27" s="1"/>
  <c r="Q28"/>
  <c r="M32"/>
  <c r="V32" s="1"/>
  <c r="M35"/>
  <c r="V35" s="1"/>
  <c r="Q43"/>
  <c r="J43"/>
  <c r="S43" s="1"/>
  <c r="M43"/>
  <c r="V43" s="1"/>
  <c r="L43"/>
  <c r="U43" s="1"/>
  <c r="K43"/>
  <c r="T43" s="1"/>
  <c r="L45"/>
  <c r="U45" s="1"/>
  <c r="M45"/>
  <c r="V45" s="1"/>
  <c r="K45"/>
  <c r="T45" s="1"/>
  <c r="J45"/>
  <c r="S45" s="1"/>
  <c r="M22"/>
  <c r="V22" s="1"/>
  <c r="M26"/>
  <c r="V26" s="1"/>
  <c r="M30"/>
  <c r="V30" s="1"/>
  <c r="Q38"/>
  <c r="L57"/>
  <c r="U57" s="1"/>
  <c r="M57"/>
  <c r="V57" s="1"/>
  <c r="R57"/>
  <c r="J57"/>
  <c r="S57" s="1"/>
  <c r="R60"/>
  <c r="K60"/>
  <c r="T60" s="1"/>
  <c r="J60"/>
  <c r="S60" s="1"/>
  <c r="M60"/>
  <c r="V60" s="1"/>
  <c r="L61"/>
  <c r="U61" s="1"/>
  <c r="R61"/>
  <c r="J61"/>
  <c r="S61" s="1"/>
  <c r="M61"/>
  <c r="V61" s="1"/>
  <c r="Q63"/>
  <c r="J63"/>
  <c r="S63" s="1"/>
  <c r="M63"/>
  <c r="V63" s="1"/>
  <c r="K63"/>
  <c r="T63" s="1"/>
  <c r="R64"/>
  <c r="K64"/>
  <c r="T64" s="1"/>
  <c r="M64"/>
  <c r="V64" s="1"/>
  <c r="J64"/>
  <c r="S64" s="1"/>
  <c r="L65"/>
  <c r="U65" s="1"/>
  <c r="M65"/>
  <c r="V65" s="1"/>
  <c r="R65"/>
  <c r="J65"/>
  <c r="S65" s="1"/>
  <c r="Q67"/>
  <c r="J67"/>
  <c r="S67" s="1"/>
  <c r="K67"/>
  <c r="T67" s="1"/>
  <c r="M67"/>
  <c r="V67" s="1"/>
  <c r="R68"/>
  <c r="K68"/>
  <c r="T68" s="1"/>
  <c r="J68"/>
  <c r="S68" s="1"/>
  <c r="M68"/>
  <c r="V68" s="1"/>
  <c r="L69"/>
  <c r="U69" s="1"/>
  <c r="R69"/>
  <c r="J69"/>
  <c r="S69" s="1"/>
  <c r="M69"/>
  <c r="V69" s="1"/>
  <c r="Q71"/>
  <c r="J71"/>
  <c r="S71" s="1"/>
  <c r="M71"/>
  <c r="V71" s="1"/>
  <c r="K71"/>
  <c r="T71" s="1"/>
  <c r="R72"/>
  <c r="K72"/>
  <c r="T72" s="1"/>
  <c r="M72"/>
  <c r="V72" s="1"/>
  <c r="J72"/>
  <c r="S72" s="1"/>
  <c r="L73"/>
  <c r="U73" s="1"/>
  <c r="M73"/>
  <c r="V73" s="1"/>
  <c r="R73"/>
  <c r="J73"/>
  <c r="S73" s="1"/>
  <c r="Q75"/>
  <c r="J75"/>
  <c r="S75" s="1"/>
  <c r="K75"/>
  <c r="T75" s="1"/>
  <c r="M75"/>
  <c r="V75" s="1"/>
  <c r="R76"/>
  <c r="K76"/>
  <c r="T76" s="1"/>
  <c r="J76"/>
  <c r="S76" s="1"/>
  <c r="M76"/>
  <c r="V76" s="1"/>
  <c r="L77"/>
  <c r="U77" s="1"/>
  <c r="R77"/>
  <c r="J77"/>
  <c r="S77" s="1"/>
  <c r="M77"/>
  <c r="V77" s="1"/>
  <c r="Q79"/>
  <c r="J79"/>
  <c r="S79" s="1"/>
  <c r="M79"/>
  <c r="V79" s="1"/>
  <c r="K79"/>
  <c r="T79" s="1"/>
  <c r="R80"/>
  <c r="K80"/>
  <c r="T80" s="1"/>
  <c r="M80"/>
  <c r="V80" s="1"/>
  <c r="J80"/>
  <c r="S80" s="1"/>
  <c r="L81"/>
  <c r="U81" s="1"/>
  <c r="M81"/>
  <c r="V81" s="1"/>
  <c r="R81"/>
  <c r="J81"/>
  <c r="S81" s="1"/>
  <c r="Q83"/>
  <c r="J83"/>
  <c r="S83" s="1"/>
  <c r="K83"/>
  <c r="T83" s="1"/>
  <c r="M83"/>
  <c r="V83" s="1"/>
  <c r="R84"/>
  <c r="K84"/>
  <c r="T84" s="1"/>
  <c r="J84"/>
  <c r="S84" s="1"/>
  <c r="M84"/>
  <c r="V84" s="1"/>
  <c r="L85"/>
  <c r="U85" s="1"/>
  <c r="R85"/>
  <c r="J85"/>
  <c r="S85" s="1"/>
  <c r="M85"/>
  <c r="V85" s="1"/>
  <c r="Q87"/>
  <c r="J87"/>
  <c r="S87" s="1"/>
  <c r="M87"/>
  <c r="V87" s="1"/>
  <c r="K87"/>
  <c r="T87" s="1"/>
  <c r="R88"/>
  <c r="K88"/>
  <c r="T88" s="1"/>
  <c r="M88"/>
  <c r="V88" s="1"/>
  <c r="J88"/>
  <c r="S88" s="1"/>
  <c r="L89"/>
  <c r="U89" s="1"/>
  <c r="M89"/>
  <c r="V89" s="1"/>
  <c r="R89"/>
  <c r="J89"/>
  <c r="S89" s="1"/>
  <c r="Q91"/>
  <c r="J91"/>
  <c r="S91" s="1"/>
  <c r="K91"/>
  <c r="T91" s="1"/>
  <c r="M91"/>
  <c r="V91" s="1"/>
  <c r="R92"/>
  <c r="K92"/>
  <c r="T92" s="1"/>
  <c r="J92"/>
  <c r="S92" s="1"/>
  <c r="M92"/>
  <c r="V92" s="1"/>
  <c r="L93"/>
  <c r="U93" s="1"/>
  <c r="R93"/>
  <c r="J93"/>
  <c r="S93" s="1"/>
  <c r="M93"/>
  <c r="V93" s="1"/>
  <c r="R102"/>
  <c r="K102"/>
  <c r="T102" s="1"/>
  <c r="L102"/>
  <c r="U102" s="1"/>
  <c r="J102"/>
  <c r="S102" s="1"/>
  <c r="Q102"/>
  <c r="L127"/>
  <c r="U123" s="1"/>
  <c r="K127"/>
  <c r="T123" s="1"/>
  <c r="R123"/>
  <c r="M127"/>
  <c r="V123" s="1"/>
  <c r="J127"/>
  <c r="S123" s="1"/>
  <c r="K130"/>
  <c r="T126" s="1"/>
  <c r="R126"/>
  <c r="J130"/>
  <c r="S126" s="1"/>
  <c r="Q126"/>
  <c r="L130"/>
  <c r="U126" s="1"/>
  <c r="M130"/>
  <c r="V126" s="1"/>
  <c r="M18"/>
  <c r="V18" s="1"/>
  <c r="M34"/>
  <c r="V34" s="1"/>
  <c r="L41"/>
  <c r="U41" s="1"/>
  <c r="R41"/>
  <c r="J41"/>
  <c r="S41" s="1"/>
  <c r="R48"/>
  <c r="K48"/>
  <c r="T48" s="1"/>
  <c r="J48"/>
  <c r="S48" s="1"/>
  <c r="Q55"/>
  <c r="J55"/>
  <c r="S55" s="1"/>
  <c r="K55"/>
  <c r="T55" s="1"/>
  <c r="Q59"/>
  <c r="J59"/>
  <c r="S59" s="1"/>
  <c r="K59"/>
  <c r="T59" s="1"/>
  <c r="M59"/>
  <c r="V59" s="1"/>
  <c r="J18"/>
  <c r="S18" s="1"/>
  <c r="J22"/>
  <c r="S22" s="1"/>
  <c r="J26"/>
  <c r="S26" s="1"/>
  <c r="J30"/>
  <c r="S30" s="1"/>
  <c r="J34"/>
  <c r="S34" s="1"/>
  <c r="J38"/>
  <c r="S38" s="1"/>
  <c r="R38"/>
  <c r="K41"/>
  <c r="T41" s="1"/>
  <c r="R44"/>
  <c r="K44"/>
  <c r="T44" s="1"/>
  <c r="M44"/>
  <c r="V44" s="1"/>
  <c r="L48"/>
  <c r="U48" s="1"/>
  <c r="Q51"/>
  <c r="J51"/>
  <c r="S51" s="1"/>
  <c r="M51"/>
  <c r="V51" s="1"/>
  <c r="L53"/>
  <c r="U53" s="1"/>
  <c r="M53"/>
  <c r="V53" s="1"/>
  <c r="R53"/>
  <c r="L55"/>
  <c r="U55" s="1"/>
  <c r="K57"/>
  <c r="T57" s="1"/>
  <c r="L59"/>
  <c r="U59" s="1"/>
  <c r="L60"/>
  <c r="U60" s="1"/>
  <c r="K61"/>
  <c r="T61" s="1"/>
  <c r="L63"/>
  <c r="U63" s="1"/>
  <c r="L64"/>
  <c r="U64" s="1"/>
  <c r="K65"/>
  <c r="T65" s="1"/>
  <c r="L67"/>
  <c r="U67" s="1"/>
  <c r="L68"/>
  <c r="U68" s="1"/>
  <c r="K69"/>
  <c r="T69" s="1"/>
  <c r="L71"/>
  <c r="U71" s="1"/>
  <c r="L72"/>
  <c r="U72" s="1"/>
  <c r="K73"/>
  <c r="T73" s="1"/>
  <c r="L75"/>
  <c r="U75" s="1"/>
  <c r="L76"/>
  <c r="U76" s="1"/>
  <c r="K77"/>
  <c r="T77" s="1"/>
  <c r="L79"/>
  <c r="U79" s="1"/>
  <c r="L80"/>
  <c r="U80" s="1"/>
  <c r="K81"/>
  <c r="T81" s="1"/>
  <c r="L83"/>
  <c r="U83" s="1"/>
  <c r="L84"/>
  <c r="U84" s="1"/>
  <c r="K85"/>
  <c r="T85" s="1"/>
  <c r="L87"/>
  <c r="U87" s="1"/>
  <c r="L88"/>
  <c r="U88" s="1"/>
  <c r="K89"/>
  <c r="T89" s="1"/>
  <c r="L91"/>
  <c r="U91" s="1"/>
  <c r="L92"/>
  <c r="U92" s="1"/>
  <c r="K93"/>
  <c r="T93" s="1"/>
  <c r="Q101"/>
  <c r="J101"/>
  <c r="S101" s="1"/>
  <c r="L101"/>
  <c r="U101" s="1"/>
  <c r="R101"/>
  <c r="K101"/>
  <c r="T101" s="1"/>
  <c r="M102"/>
  <c r="V102" s="1"/>
  <c r="R106"/>
  <c r="K106"/>
  <c r="T106" s="1"/>
  <c r="Q106"/>
  <c r="J106"/>
  <c r="S106" s="1"/>
  <c r="M106"/>
  <c r="V106" s="1"/>
  <c r="L107"/>
  <c r="U107" s="1"/>
  <c r="R107"/>
  <c r="K107"/>
  <c r="T107" s="1"/>
  <c r="J107"/>
  <c r="S107" s="1"/>
  <c r="K122"/>
  <c r="T118" s="1"/>
  <c r="J122"/>
  <c r="S118" s="1"/>
  <c r="L122"/>
  <c r="U118" s="1"/>
  <c r="L95"/>
  <c r="U95" s="1"/>
  <c r="K95"/>
  <c r="T95" s="1"/>
  <c r="R95"/>
  <c r="L131"/>
  <c r="U127" s="1"/>
  <c r="K131"/>
  <c r="T127" s="1"/>
  <c r="R127"/>
  <c r="J131"/>
  <c r="S127" s="1"/>
  <c r="Q97"/>
  <c r="J97"/>
  <c r="S97" s="1"/>
  <c r="R97"/>
  <c r="R98"/>
  <c r="K98"/>
  <c r="T98" s="1"/>
  <c r="Q98"/>
  <c r="Q99"/>
  <c r="L111"/>
  <c r="U111" s="1"/>
  <c r="R111"/>
  <c r="K111"/>
  <c r="T111" s="1"/>
  <c r="L123"/>
  <c r="U119" s="1"/>
  <c r="R119"/>
  <c r="K123"/>
  <c r="T119" s="1"/>
  <c r="Q119"/>
  <c r="M105"/>
  <c r="V105" s="1"/>
  <c r="M109"/>
  <c r="V109" s="1"/>
  <c r="L112"/>
  <c r="U112" s="1"/>
  <c r="L124"/>
  <c r="U120" s="1"/>
  <c r="L128"/>
  <c r="U124" s="1"/>
  <c r="L132"/>
  <c r="U128" s="1"/>
  <c r="L133"/>
  <c r="U129" s="1"/>
  <c r="J105"/>
  <c r="S105" s="1"/>
  <c r="J109"/>
  <c r="S109" s="1"/>
  <c r="AC485" i="1"/>
  <c r="AC363"/>
  <c r="AC90"/>
  <c r="AC364"/>
  <c r="AC267"/>
  <c r="AC234"/>
  <c r="AC268"/>
  <c r="AC141"/>
  <c r="AC499"/>
  <c r="AC142"/>
  <c r="AC418"/>
  <c r="AC498"/>
  <c r="AC397"/>
  <c r="AC187"/>
  <c r="AC352"/>
  <c r="AC253"/>
  <c r="AC104"/>
  <c r="AC404"/>
  <c r="P3" i="19"/>
  <c r="Q3" s="1"/>
  <c r="Q2"/>
  <c r="Q1"/>
  <c r="C346" i="1"/>
  <c r="Z346"/>
  <c r="AA346" s="1"/>
  <c r="AB346" s="1"/>
  <c r="C345"/>
  <c r="Z345"/>
  <c r="AA345" s="1"/>
  <c r="AB345" s="1"/>
  <c r="C292"/>
  <c r="Z292"/>
  <c r="AA292" s="1"/>
  <c r="AB292" s="1"/>
  <c r="C291"/>
  <c r="Z291"/>
  <c r="AA291" s="1"/>
  <c r="AB291" s="1"/>
  <c r="AC291" s="1"/>
  <c r="C290"/>
  <c r="Z290"/>
  <c r="AA290" s="1"/>
  <c r="AB290" s="1"/>
  <c r="C130"/>
  <c r="Z130"/>
  <c r="AA130" s="1"/>
  <c r="AB130" s="1"/>
  <c r="C129"/>
  <c r="Z129"/>
  <c r="AA129" s="1"/>
  <c r="AB129" s="1"/>
  <c r="AC129" s="1"/>
  <c r="C330"/>
  <c r="Z330"/>
  <c r="AA330" s="1"/>
  <c r="AB330" s="1"/>
  <c r="C333"/>
  <c r="Z333"/>
  <c r="AA333" s="1"/>
  <c r="AB333" s="1"/>
  <c r="S9" i="21" l="1"/>
  <c r="T9"/>
  <c r="T13"/>
  <c r="V12"/>
  <c r="S13"/>
  <c r="V10"/>
  <c r="U13"/>
  <c r="V11"/>
  <c r="S12"/>
  <c r="T11"/>
  <c r="T10"/>
  <c r="S10"/>
  <c r="T12"/>
  <c r="S11"/>
  <c r="U9"/>
  <c r="Q4" i="19"/>
  <c r="R4" s="1"/>
  <c r="AC346" i="1"/>
  <c r="AC345"/>
  <c r="AC292"/>
  <c r="AC290"/>
  <c r="AC130"/>
  <c r="AC330"/>
  <c r="AC333"/>
  <c r="BB502" l="1"/>
  <c r="BB127"/>
  <c r="BB389"/>
  <c r="BB169"/>
  <c r="BB246"/>
  <c r="BB388"/>
  <c r="BB382"/>
  <c r="BB457"/>
  <c r="BB197"/>
  <c r="BB383"/>
  <c r="BB323"/>
  <c r="BB177"/>
  <c r="BB451"/>
  <c r="BB138"/>
  <c r="BB324"/>
  <c r="BB145"/>
  <c r="BB139"/>
  <c r="BB126"/>
  <c r="BB458"/>
  <c r="BB237"/>
  <c r="BB335"/>
  <c r="BB144"/>
  <c r="BB501"/>
  <c r="BB360"/>
  <c r="BB340"/>
  <c r="BB427"/>
  <c r="BB62"/>
  <c r="BB223"/>
  <c r="BB479"/>
  <c r="BB480"/>
  <c r="BB428"/>
  <c r="BB222"/>
  <c r="BB283"/>
  <c r="BB301"/>
  <c r="BB211"/>
  <c r="BB334"/>
  <c r="BB359"/>
  <c r="BB295"/>
  <c r="BB391"/>
  <c r="BB282"/>
  <c r="BB296"/>
  <c r="BB193"/>
  <c r="BB302"/>
  <c r="BB284"/>
  <c r="BB459"/>
  <c r="BB460"/>
  <c r="BB194"/>
  <c r="BB285"/>
  <c r="BB272"/>
  <c r="BB313"/>
  <c r="BB224"/>
  <c r="BB329"/>
  <c r="BB314"/>
  <c r="BB478"/>
  <c r="BB101"/>
  <c r="BB175"/>
  <c r="BB477"/>
  <c r="BB505"/>
  <c r="BB506"/>
  <c r="BB198"/>
  <c r="BB95"/>
  <c r="BB38"/>
  <c r="BB368"/>
  <c r="BB357"/>
  <c r="BB350"/>
  <c r="BB519"/>
  <c r="BB358"/>
  <c r="BB115"/>
  <c r="BB116"/>
  <c r="BB464"/>
  <c r="BB366"/>
  <c r="BB174"/>
  <c r="BB167"/>
  <c r="BB367"/>
  <c r="BB176"/>
  <c r="BB179"/>
  <c r="BB321"/>
  <c r="BB215"/>
  <c r="BB319"/>
  <c r="BB320"/>
  <c r="BB268"/>
  <c r="BB454"/>
  <c r="BB209"/>
  <c r="BB453"/>
  <c r="BB119"/>
  <c r="BB445"/>
  <c r="BB35"/>
  <c r="BB74"/>
  <c r="BB431"/>
  <c r="BB110"/>
  <c r="BB229"/>
  <c r="BB516"/>
  <c r="BB400"/>
  <c r="BB210"/>
  <c r="BB346"/>
  <c r="BB490"/>
  <c r="BB244"/>
  <c r="BB297"/>
  <c r="BB361"/>
  <c r="BB220"/>
  <c r="BB76"/>
  <c r="BB40"/>
  <c r="BB355"/>
  <c r="BB185"/>
  <c r="BB461"/>
  <c r="BB434"/>
  <c r="BB2"/>
  <c r="BB252"/>
  <c r="BB408"/>
  <c r="BB102"/>
  <c r="BB484"/>
  <c r="BB50"/>
  <c r="BB157"/>
  <c r="BB509"/>
  <c r="BB93"/>
  <c r="BB109"/>
  <c r="BB456"/>
  <c r="BB178"/>
  <c r="BB87"/>
  <c r="BB307"/>
  <c r="BB227"/>
  <c r="BB61"/>
  <c r="BB267"/>
  <c r="BB15"/>
  <c r="BB100"/>
  <c r="BB203"/>
  <c r="BB380"/>
  <c r="BB442"/>
  <c r="BB436"/>
  <c r="BB409"/>
  <c r="BB5"/>
  <c r="BB265"/>
  <c r="BB233"/>
  <c r="BB89"/>
  <c r="BB269"/>
  <c r="BB260"/>
  <c r="BB238"/>
  <c r="BB338"/>
  <c r="BB55"/>
  <c r="BB256"/>
  <c r="BB330"/>
  <c r="BB75"/>
  <c r="BB92"/>
  <c r="BB339"/>
  <c r="BB510"/>
  <c r="BB363"/>
  <c r="BB251"/>
  <c r="BB496"/>
  <c r="BB450"/>
  <c r="BB91"/>
  <c r="BB226"/>
  <c r="BB438"/>
  <c r="BB300"/>
  <c r="BB514"/>
  <c r="BB51"/>
  <c r="BB326"/>
  <c r="BB276"/>
  <c r="BB411"/>
  <c r="BB39"/>
  <c r="BB379"/>
  <c r="BB129"/>
  <c r="BB421"/>
  <c r="BB123"/>
  <c r="BB37"/>
  <c r="BB349"/>
  <c r="BB485"/>
  <c r="BB275"/>
  <c r="BB121"/>
  <c r="BB158"/>
  <c r="BB85"/>
  <c r="BB433"/>
  <c r="BB63"/>
  <c r="BB396"/>
  <c r="BB23"/>
  <c r="BB183"/>
  <c r="BB347"/>
  <c r="BB31"/>
  <c r="BB315"/>
  <c r="BB373"/>
  <c r="BB142"/>
  <c r="BB58"/>
  <c r="BB331"/>
  <c r="BB201"/>
  <c r="BB475"/>
  <c r="BB106"/>
  <c r="BB235"/>
  <c r="BB392"/>
  <c r="BB120"/>
  <c r="BB34"/>
  <c r="BB17"/>
  <c r="BB254"/>
  <c r="BB289"/>
  <c r="BB397"/>
  <c r="BB26"/>
  <c r="BB288"/>
  <c r="BB65"/>
  <c r="BB6"/>
  <c r="BB184"/>
  <c r="BB48"/>
  <c r="BB405"/>
  <c r="BB56"/>
  <c r="BB11"/>
  <c r="BB374"/>
  <c r="BB386"/>
  <c r="BB249"/>
  <c r="BB103"/>
  <c r="BB253"/>
  <c r="BB305"/>
  <c r="BB60"/>
  <c r="BB162"/>
  <c r="BB322"/>
  <c r="BB78"/>
  <c r="BB312"/>
  <c r="BB273"/>
  <c r="BB420"/>
  <c r="BB255"/>
  <c r="BB111"/>
  <c r="BB498"/>
  <c r="BB122"/>
  <c r="BB399"/>
  <c r="BB113"/>
  <c r="BB217"/>
  <c r="BB489"/>
  <c r="BB378"/>
  <c r="BB250"/>
  <c r="BB274"/>
  <c r="BB161"/>
  <c r="BB497"/>
  <c r="BB398"/>
  <c r="BB133"/>
  <c r="BB466"/>
  <c r="BB186"/>
  <c r="BB352"/>
  <c r="BB212"/>
  <c r="BB81"/>
  <c r="BB483"/>
  <c r="BB375"/>
  <c r="BB471"/>
  <c r="BB463"/>
  <c r="BB135"/>
  <c r="BB73"/>
  <c r="BB141"/>
  <c r="BB171"/>
  <c r="BB99"/>
  <c r="BB507"/>
  <c r="BB286"/>
  <c r="BB188"/>
  <c r="BB216"/>
  <c r="BB299"/>
  <c r="BB481"/>
  <c r="BB487"/>
  <c r="BB148"/>
  <c r="BB402"/>
  <c r="BB84"/>
  <c r="BB492"/>
  <c r="BB204"/>
  <c r="BB57"/>
  <c r="BB173"/>
  <c r="BB10"/>
  <c r="BB232"/>
  <c r="BB200"/>
  <c r="BB303"/>
  <c r="BB182"/>
  <c r="BB172"/>
  <c r="BB423"/>
  <c r="BB9"/>
  <c r="BB108"/>
  <c r="BB97"/>
  <c r="BB294"/>
  <c r="BB199"/>
  <c r="BB54"/>
  <c r="BB342"/>
  <c r="BB309"/>
  <c r="BB311"/>
  <c r="BB36"/>
  <c r="BB86"/>
  <c r="BB131"/>
  <c r="BB419"/>
  <c r="BB394"/>
  <c r="BB152"/>
  <c r="BB280"/>
  <c r="BB243"/>
  <c r="BB291"/>
  <c r="BB125"/>
  <c r="BB205"/>
  <c r="BB494"/>
  <c r="BB68"/>
  <c r="BB344"/>
  <c r="BB117"/>
  <c r="BB439"/>
  <c r="BB230"/>
  <c r="BB247"/>
  <c r="BB384"/>
  <c r="BB504"/>
  <c r="BB214"/>
  <c r="BB336"/>
  <c r="BB403"/>
  <c r="BB137"/>
  <c r="BB512"/>
  <c r="BB369"/>
  <c r="BB149"/>
  <c r="BB263"/>
  <c r="BB21"/>
  <c r="BB112"/>
  <c r="BB228"/>
  <c r="BB218"/>
  <c r="BB221"/>
  <c r="BB77"/>
  <c r="BB14"/>
  <c r="BB41"/>
  <c r="BB432"/>
  <c r="BB356"/>
  <c r="BB259"/>
  <c r="BB370"/>
  <c r="BB452"/>
  <c r="BB166"/>
  <c r="BB105"/>
  <c r="BB189"/>
  <c r="BB46"/>
  <c r="BB3"/>
  <c r="BB143"/>
  <c r="BB448"/>
  <c r="BB180"/>
  <c r="BB7"/>
  <c r="BB241"/>
  <c r="BB278"/>
  <c r="BB150"/>
  <c r="BB147"/>
  <c r="BB155"/>
  <c r="BB430"/>
  <c r="BB318"/>
  <c r="BB207"/>
  <c r="BB325"/>
  <c r="BB159"/>
  <c r="BB376"/>
  <c r="BB124"/>
  <c r="BB493"/>
  <c r="BB343"/>
  <c r="BB236"/>
  <c r="BB422"/>
  <c r="BB72"/>
  <c r="BB455"/>
  <c r="BB136"/>
  <c r="BB130"/>
  <c r="BB196"/>
  <c r="BB441"/>
  <c r="BB476"/>
  <c r="BB473"/>
  <c r="BB16"/>
  <c r="BB351"/>
  <c r="BB128"/>
  <c r="BB495"/>
  <c r="BB306"/>
  <c r="BB45"/>
  <c r="BB271"/>
  <c r="BB160"/>
  <c r="BB52"/>
  <c r="BB437"/>
  <c r="BB500"/>
  <c r="BB225"/>
  <c r="BB488"/>
  <c r="BB287"/>
  <c r="BB104"/>
  <c r="BB79"/>
  <c r="BB425"/>
  <c r="BB308"/>
  <c r="BB140"/>
  <c r="BB341"/>
  <c r="BB239"/>
  <c r="BB53"/>
  <c r="BB168"/>
  <c r="BB470"/>
  <c r="BB18"/>
  <c r="BB348"/>
  <c r="BB181"/>
  <c r="BB96"/>
  <c r="BB153"/>
  <c r="BB107"/>
  <c r="BB317"/>
  <c r="BB12"/>
  <c r="BB71"/>
  <c r="BB511"/>
  <c r="BB25"/>
  <c r="BB281"/>
  <c r="BB472"/>
  <c r="BB28"/>
  <c r="BB292"/>
  <c r="BB328"/>
  <c r="BB390"/>
  <c r="BB44"/>
  <c r="BB94"/>
  <c r="BB270"/>
  <c r="BB467"/>
  <c r="BB440"/>
  <c r="BB231"/>
  <c r="BB248"/>
  <c r="BB385"/>
  <c r="BB515"/>
  <c r="BB447"/>
  <c r="BB337"/>
  <c r="BB365"/>
  <c r="BB266"/>
  <c r="BB333"/>
  <c r="BB164"/>
  <c r="BB293"/>
  <c r="BB264"/>
  <c r="BB22"/>
  <c r="BB13"/>
  <c r="BB219"/>
  <c r="BB66"/>
  <c r="BB491"/>
  <c r="BB42"/>
  <c r="BB83"/>
  <c r="BB371"/>
  <c r="BB401"/>
  <c r="BB413"/>
  <c r="BB262"/>
  <c r="BB449"/>
  <c r="BB486"/>
  <c r="BB415"/>
  <c r="BB8"/>
  <c r="BB242"/>
  <c r="BB279"/>
  <c r="BB151"/>
  <c r="BB393"/>
  <c r="BB165"/>
  <c r="BB98"/>
  <c r="BB261"/>
  <c r="BB208"/>
  <c r="BB517"/>
  <c r="BB69"/>
  <c r="BB377"/>
  <c r="BB29"/>
  <c r="BB32"/>
  <c r="BB395"/>
  <c r="BB499"/>
  <c r="BB426"/>
  <c r="BB190"/>
  <c r="BB245"/>
  <c r="BB298"/>
  <c r="BB362"/>
  <c r="BB469"/>
  <c r="BB134"/>
  <c r="BB462"/>
  <c r="BB206"/>
  <c r="BB277"/>
  <c r="BB482"/>
  <c r="BB80"/>
  <c r="BB90"/>
  <c r="BB118"/>
  <c r="BB327"/>
  <c r="BB30"/>
  <c r="BB345"/>
  <c r="BB88"/>
  <c r="BB191"/>
  <c r="BB192"/>
  <c r="BB474"/>
  <c r="BB70"/>
  <c r="BB353"/>
  <c r="BB465"/>
  <c r="BB257"/>
  <c r="BB43"/>
  <c r="BB132"/>
  <c r="BB195"/>
  <c r="BB354"/>
  <c r="BB64"/>
  <c r="BB234"/>
  <c r="BB381"/>
  <c r="BB418"/>
  <c r="BB47"/>
  <c r="BB387"/>
  <c r="BB443"/>
  <c r="BB24"/>
  <c r="BB316"/>
  <c r="BB170"/>
  <c r="BB444"/>
  <c r="BB187"/>
  <c r="BB417"/>
  <c r="BB410"/>
  <c r="BB20"/>
  <c r="BB468"/>
  <c r="BB435"/>
  <c r="BB364"/>
  <c r="BB404"/>
  <c r="BB416"/>
  <c r="BB518"/>
  <c r="BB414"/>
  <c r="BB213"/>
  <c r="BB258"/>
  <c r="BB67"/>
  <c r="BB290"/>
  <c r="BB304"/>
  <c r="BB424"/>
  <c r="BB59"/>
  <c r="BB82"/>
  <c r="BB503"/>
  <c r="BB310"/>
  <c r="BB372"/>
  <c r="BB513"/>
  <c r="BB202"/>
  <c r="BB429"/>
  <c r="BB154"/>
  <c r="BB146"/>
  <c r="BB19"/>
  <c r="BB406"/>
  <c r="BB240"/>
  <c r="BB4"/>
  <c r="BB446"/>
  <c r="BB27"/>
  <c r="BB412"/>
  <c r="BB332"/>
  <c r="BB33"/>
  <c r="BB508"/>
  <c r="BB156"/>
  <c r="BB49"/>
  <c r="BB163"/>
  <c r="BB114"/>
  <c r="BB407"/>
  <c r="C456"/>
  <c r="Z456"/>
  <c r="AA456" s="1"/>
  <c r="AB456"/>
  <c r="AC456" s="1"/>
  <c r="C78"/>
  <c r="Z78"/>
  <c r="AA78" s="1"/>
  <c r="AB78" s="1"/>
  <c r="C344"/>
  <c r="Z344"/>
  <c r="AA344" s="1"/>
  <c r="AB344" s="1"/>
  <c r="AC344" s="1"/>
  <c r="C343"/>
  <c r="Z343"/>
  <c r="AA343" s="1"/>
  <c r="AB343" s="1"/>
  <c r="C119"/>
  <c r="Z119"/>
  <c r="AA119" s="1"/>
  <c r="AB119" s="1"/>
  <c r="C118"/>
  <c r="Z118"/>
  <c r="AA118" s="1"/>
  <c r="AB118" s="1"/>
  <c r="AC118" s="1"/>
  <c r="C378"/>
  <c r="Z378"/>
  <c r="AA378" s="1"/>
  <c r="AB378" s="1"/>
  <c r="C377"/>
  <c r="Z377"/>
  <c r="AA377" s="1"/>
  <c r="AB377" s="1"/>
  <c r="C376"/>
  <c r="Z376"/>
  <c r="AA376" s="1"/>
  <c r="AB376" s="1"/>
  <c r="C375"/>
  <c r="Z375"/>
  <c r="AA375" s="1"/>
  <c r="AB375" s="1"/>
  <c r="AC375" s="1"/>
  <c r="C446"/>
  <c r="Z446"/>
  <c r="AA446" s="1"/>
  <c r="AB446"/>
  <c r="AC446" s="1"/>
  <c r="C398"/>
  <c r="Z398"/>
  <c r="AA398" s="1"/>
  <c r="AB398"/>
  <c r="AC398" s="1"/>
  <c r="C339"/>
  <c r="Z339"/>
  <c r="AA339" s="1"/>
  <c r="AB339" s="1"/>
  <c r="C338"/>
  <c r="Z338"/>
  <c r="AA338" s="1"/>
  <c r="AB338" s="1"/>
  <c r="C432"/>
  <c r="Z432"/>
  <c r="AA432" s="1"/>
  <c r="AB432"/>
  <c r="AC432" s="1"/>
  <c r="C431"/>
  <c r="Z431"/>
  <c r="AA431" s="1"/>
  <c r="AB431" s="1"/>
  <c r="AC431" s="1"/>
  <c r="C385"/>
  <c r="Z385"/>
  <c r="AA385" s="1"/>
  <c r="AB385" s="1"/>
  <c r="C384"/>
  <c r="Z384"/>
  <c r="AA384" s="1"/>
  <c r="AB384" s="1"/>
  <c r="C257"/>
  <c r="Z257"/>
  <c r="AA257" s="1"/>
  <c r="AB257" s="1"/>
  <c r="C256"/>
  <c r="Z256"/>
  <c r="AA256" s="1"/>
  <c r="AB256" s="1"/>
  <c r="AC256" s="1"/>
  <c r="C249"/>
  <c r="Z249"/>
  <c r="AA249" s="1"/>
  <c r="AB249" s="1"/>
  <c r="AC249" s="1"/>
  <c r="C248"/>
  <c r="Z248"/>
  <c r="AA248" s="1"/>
  <c r="AB248" s="1"/>
  <c r="C247"/>
  <c r="Z247"/>
  <c r="AA247" s="1"/>
  <c r="AB247" s="1"/>
  <c r="C422"/>
  <c r="Z422"/>
  <c r="AA422" s="1"/>
  <c r="AB422"/>
  <c r="AC422" s="1"/>
  <c r="C421"/>
  <c r="Z421"/>
  <c r="AA421" s="1"/>
  <c r="AB421" s="1"/>
  <c r="AC421" s="1"/>
  <c r="C430"/>
  <c r="Z430"/>
  <c r="AA430" s="1"/>
  <c r="AB430"/>
  <c r="AC430" s="1"/>
  <c r="C429"/>
  <c r="Z429"/>
  <c r="AA429" s="1"/>
  <c r="AB429" s="1"/>
  <c r="C400"/>
  <c r="Z400"/>
  <c r="AA400" s="1"/>
  <c r="AB400"/>
  <c r="AC400" s="1"/>
  <c r="C399"/>
  <c r="Z399"/>
  <c r="AA399" s="1"/>
  <c r="AB399" s="1"/>
  <c r="C420"/>
  <c r="Z420"/>
  <c r="AA420" s="1"/>
  <c r="AB420" s="1"/>
  <c r="C419"/>
  <c r="Z419"/>
  <c r="AA419" s="1"/>
  <c r="AB419" s="1"/>
  <c r="AC419" s="1"/>
  <c r="C387"/>
  <c r="Z387"/>
  <c r="AA387" s="1"/>
  <c r="AB387"/>
  <c r="AC387" s="1"/>
  <c r="C386"/>
  <c r="Z386"/>
  <c r="AA386" s="1"/>
  <c r="AB386" s="1"/>
  <c r="AC386" s="1"/>
  <c r="AC78" l="1"/>
  <c r="AC343"/>
  <c r="AC119"/>
  <c r="AC378"/>
  <c r="AC377"/>
  <c r="AC376"/>
  <c r="AC339"/>
  <c r="AC338"/>
  <c r="AC385"/>
  <c r="AC384"/>
  <c r="AC257"/>
  <c r="AC248"/>
  <c r="AC247"/>
  <c r="AC429"/>
  <c r="AC399"/>
  <c r="AC420"/>
  <c r="J2" i="19"/>
  <c r="E4" i="20" l="1"/>
  <c r="F4"/>
  <c r="G4" s="1"/>
  <c r="H4" s="1"/>
  <c r="I4" s="1"/>
  <c r="E3"/>
  <c r="F3"/>
  <c r="G3" s="1"/>
  <c r="H3" s="1"/>
  <c r="I3" s="1"/>
  <c r="F2"/>
  <c r="G2" s="1"/>
  <c r="H2" s="1"/>
  <c r="I2" s="1"/>
  <c r="E2"/>
  <c r="B3" i="19"/>
  <c r="C2"/>
  <c r="D2" s="1"/>
  <c r="B4" l="1"/>
  <c r="B5" s="1"/>
  <c r="J3"/>
  <c r="E2"/>
  <c r="F2" s="1"/>
  <c r="C298" i="1"/>
  <c r="Z298"/>
  <c r="AA298" s="1"/>
  <c r="AB298" s="1"/>
  <c r="AC298" s="1"/>
  <c r="C297"/>
  <c r="Z297"/>
  <c r="AA297" s="1"/>
  <c r="AB297" s="1"/>
  <c r="C98"/>
  <c r="Z98"/>
  <c r="AA98" s="1"/>
  <c r="AB98" s="1"/>
  <c r="C461"/>
  <c r="Z461"/>
  <c r="AA461" s="1"/>
  <c r="AB461" s="1"/>
  <c r="C32"/>
  <c r="Z32"/>
  <c r="AA32" s="1"/>
  <c r="AB32" s="1"/>
  <c r="AC32" s="1"/>
  <c r="C31"/>
  <c r="Z31"/>
  <c r="AA31" s="1"/>
  <c r="AB31" s="1"/>
  <c r="C30"/>
  <c r="Z30"/>
  <c r="AA30" s="1"/>
  <c r="AB30" s="1"/>
  <c r="C189"/>
  <c r="Z189"/>
  <c r="AA189" s="1"/>
  <c r="AB189" s="1"/>
  <c r="AC189" s="1"/>
  <c r="C114"/>
  <c r="Z114"/>
  <c r="AA114" s="1"/>
  <c r="AB114" s="1"/>
  <c r="C89"/>
  <c r="Z89"/>
  <c r="AA89" s="1"/>
  <c r="AB89" s="1"/>
  <c r="AC89" s="1"/>
  <c r="C48"/>
  <c r="Z48"/>
  <c r="AA48" s="1"/>
  <c r="AB48" s="1"/>
  <c r="C47"/>
  <c r="Z47"/>
  <c r="AA47" s="1"/>
  <c r="AB47" s="1"/>
  <c r="C287"/>
  <c r="Z287"/>
  <c r="AA287" s="1"/>
  <c r="AB287" s="1"/>
  <c r="C303"/>
  <c r="Z303"/>
  <c r="AA303" s="1"/>
  <c r="AB303" s="1"/>
  <c r="AC303" s="1"/>
  <c r="C392"/>
  <c r="Z392"/>
  <c r="AA392" s="1"/>
  <c r="AB392"/>
  <c r="AC392" s="1"/>
  <c r="C407"/>
  <c r="C408"/>
  <c r="C409"/>
  <c r="Z407"/>
  <c r="AA407" s="1"/>
  <c r="AB407" s="1"/>
  <c r="Z408"/>
  <c r="AA408" s="1"/>
  <c r="AB408" s="1"/>
  <c r="Z409"/>
  <c r="AA409" s="1"/>
  <c r="AB409"/>
  <c r="C170"/>
  <c r="Z170"/>
  <c r="AA170" s="1"/>
  <c r="AB170" s="1"/>
  <c r="AC170" s="1"/>
  <c r="H2" i="19" l="1"/>
  <c r="B6"/>
  <c r="J5"/>
  <c r="J4"/>
  <c r="G2"/>
  <c r="C3"/>
  <c r="D3" s="1"/>
  <c r="E3" s="1"/>
  <c r="F3" s="1"/>
  <c r="G3" s="1"/>
  <c r="AC297" i="1"/>
  <c r="AC98"/>
  <c r="AC461"/>
  <c r="AC31"/>
  <c r="AC30"/>
  <c r="AC114"/>
  <c r="AC48"/>
  <c r="AC47"/>
  <c r="AC287"/>
  <c r="AC407"/>
  <c r="AC408"/>
  <c r="AC409"/>
  <c r="C178"/>
  <c r="Z178"/>
  <c r="AA178" s="1"/>
  <c r="AB178" s="1"/>
  <c r="AC178" s="1"/>
  <c r="C325"/>
  <c r="Z325"/>
  <c r="AA325" s="1"/>
  <c r="AB325" s="1"/>
  <c r="AC325" s="1"/>
  <c r="C489"/>
  <c r="Z489"/>
  <c r="AA489" s="1"/>
  <c r="AB489" s="1"/>
  <c r="C503"/>
  <c r="Z503"/>
  <c r="AA503" s="1"/>
  <c r="AB503" s="1"/>
  <c r="C86"/>
  <c r="Z86"/>
  <c r="AA86" s="1"/>
  <c r="AB86" s="1"/>
  <c r="C289"/>
  <c r="Z289"/>
  <c r="AA289" s="1"/>
  <c r="AB289" s="1"/>
  <c r="AC289" s="1"/>
  <c r="C288"/>
  <c r="Z288"/>
  <c r="AA288" s="1"/>
  <c r="AB288" s="1"/>
  <c r="C403"/>
  <c r="Z403"/>
  <c r="AA403" s="1"/>
  <c r="AB403"/>
  <c r="AC403" s="1"/>
  <c r="C402"/>
  <c r="Z402"/>
  <c r="AA402" s="1"/>
  <c r="AB402" s="1"/>
  <c r="C401"/>
  <c r="Z401"/>
  <c r="AA401" s="1"/>
  <c r="AB401" s="1"/>
  <c r="AC401" s="1"/>
  <c r="M172" i="18"/>
  <c r="V156" s="1"/>
  <c r="L172"/>
  <c r="U156" s="1"/>
  <c r="K172"/>
  <c r="T156" s="1"/>
  <c r="J172"/>
  <c r="S156" s="1"/>
  <c r="M171"/>
  <c r="V155" s="1"/>
  <c r="L171"/>
  <c r="U155" s="1"/>
  <c r="K171"/>
  <c r="T155" s="1"/>
  <c r="J171"/>
  <c r="S155" s="1"/>
  <c r="M170"/>
  <c r="L170"/>
  <c r="U154" s="1"/>
  <c r="K170"/>
  <c r="T154" s="1"/>
  <c r="J170"/>
  <c r="S154" s="1"/>
  <c r="M169"/>
  <c r="V153" s="1"/>
  <c r="L169"/>
  <c r="U153" s="1"/>
  <c r="K169"/>
  <c r="T153" s="1"/>
  <c r="J169"/>
  <c r="S153" s="1"/>
  <c r="M168"/>
  <c r="V152" s="1"/>
  <c r="L168"/>
  <c r="U152" s="1"/>
  <c r="K168"/>
  <c r="T152" s="1"/>
  <c r="J168"/>
  <c r="S152" s="1"/>
  <c r="M167"/>
  <c r="V151" s="1"/>
  <c r="L167"/>
  <c r="U151" s="1"/>
  <c r="K167"/>
  <c r="T151" s="1"/>
  <c r="J167"/>
  <c r="S151" s="1"/>
  <c r="M166"/>
  <c r="V150" s="1"/>
  <c r="L166"/>
  <c r="U150" s="1"/>
  <c r="K166"/>
  <c r="T150" s="1"/>
  <c r="J166"/>
  <c r="S150" s="1"/>
  <c r="M165"/>
  <c r="V149" s="1"/>
  <c r="L165"/>
  <c r="U149" s="1"/>
  <c r="K165"/>
  <c r="T149" s="1"/>
  <c r="J165"/>
  <c r="S149" s="1"/>
  <c r="M164"/>
  <c r="V148" s="1"/>
  <c r="L164"/>
  <c r="U148" s="1"/>
  <c r="K164"/>
  <c r="T148" s="1"/>
  <c r="J164"/>
  <c r="S148" s="1"/>
  <c r="M163"/>
  <c r="V147" s="1"/>
  <c r="L163"/>
  <c r="U147" s="1"/>
  <c r="K163"/>
  <c r="T147" s="1"/>
  <c r="J163"/>
  <c r="S147" s="1"/>
  <c r="M162"/>
  <c r="V146" s="1"/>
  <c r="L162"/>
  <c r="U146" s="1"/>
  <c r="K162"/>
  <c r="T146" s="1"/>
  <c r="J162"/>
  <c r="S146" s="1"/>
  <c r="M161"/>
  <c r="V145" s="1"/>
  <c r="L161"/>
  <c r="U145" s="1"/>
  <c r="K161"/>
  <c r="T145" s="1"/>
  <c r="J161"/>
  <c r="S145" s="1"/>
  <c r="M160"/>
  <c r="V144" s="1"/>
  <c r="L160"/>
  <c r="U144" s="1"/>
  <c r="K160"/>
  <c r="T144" s="1"/>
  <c r="J160"/>
  <c r="S144" s="1"/>
  <c r="M159"/>
  <c r="V143" s="1"/>
  <c r="L159"/>
  <c r="U143" s="1"/>
  <c r="K159"/>
  <c r="T143" s="1"/>
  <c r="J159"/>
  <c r="S143" s="1"/>
  <c r="V158"/>
  <c r="U158"/>
  <c r="T158"/>
  <c r="S158"/>
  <c r="R158"/>
  <c r="Q158"/>
  <c r="P158"/>
  <c r="M158"/>
  <c r="V142" s="1"/>
  <c r="L158"/>
  <c r="U142" s="1"/>
  <c r="K158"/>
  <c r="T142" s="1"/>
  <c r="J158"/>
  <c r="S142" s="1"/>
  <c r="V157"/>
  <c r="U157"/>
  <c r="T157"/>
  <c r="S157"/>
  <c r="R157"/>
  <c r="Q157"/>
  <c r="P157"/>
  <c r="M157"/>
  <c r="V141" s="1"/>
  <c r="L157"/>
  <c r="U141" s="1"/>
  <c r="K157"/>
  <c r="T141" s="1"/>
  <c r="J157"/>
  <c r="S141" s="1"/>
  <c r="R156"/>
  <c r="Q156"/>
  <c r="P156"/>
  <c r="M156"/>
  <c r="V140" s="1"/>
  <c r="L156"/>
  <c r="U140" s="1"/>
  <c r="K156"/>
  <c r="T140" s="1"/>
  <c r="J156"/>
  <c r="S140" s="1"/>
  <c r="R155"/>
  <c r="Q155"/>
  <c r="P155"/>
  <c r="M155"/>
  <c r="V139" s="1"/>
  <c r="L155"/>
  <c r="U139" s="1"/>
  <c r="K155"/>
  <c r="T139" s="1"/>
  <c r="J155"/>
  <c r="S139" s="1"/>
  <c r="V154"/>
  <c r="R154"/>
  <c r="Q154"/>
  <c r="P154"/>
  <c r="M154"/>
  <c r="V138" s="1"/>
  <c r="L154"/>
  <c r="U138" s="1"/>
  <c r="K154"/>
  <c r="T138" s="1"/>
  <c r="J154"/>
  <c r="S138" s="1"/>
  <c r="R153"/>
  <c r="Q153"/>
  <c r="P153"/>
  <c r="M153"/>
  <c r="V137" s="1"/>
  <c r="L153"/>
  <c r="U137" s="1"/>
  <c r="K153"/>
  <c r="T137" s="1"/>
  <c r="J153"/>
  <c r="S137" s="1"/>
  <c r="R152"/>
  <c r="Q152"/>
  <c r="P152"/>
  <c r="M152"/>
  <c r="V136" s="1"/>
  <c r="L152"/>
  <c r="U136" s="1"/>
  <c r="K152"/>
  <c r="T136" s="1"/>
  <c r="J152"/>
  <c r="S136" s="1"/>
  <c r="R151"/>
  <c r="Q151"/>
  <c r="P151"/>
  <c r="M151"/>
  <c r="V135" s="1"/>
  <c r="L151"/>
  <c r="U135" s="1"/>
  <c r="K151"/>
  <c r="T135" s="1"/>
  <c r="J151"/>
  <c r="S135" s="1"/>
  <c r="R150"/>
  <c r="Q150"/>
  <c r="P150"/>
  <c r="M150"/>
  <c r="V134" s="1"/>
  <c r="L150"/>
  <c r="U134" s="1"/>
  <c r="K150"/>
  <c r="T134" s="1"/>
  <c r="J150"/>
  <c r="S134" s="1"/>
  <c r="R149"/>
  <c r="Q149"/>
  <c r="P149"/>
  <c r="M149"/>
  <c r="V133" s="1"/>
  <c r="L149"/>
  <c r="U133" s="1"/>
  <c r="K149"/>
  <c r="T133" s="1"/>
  <c r="J149"/>
  <c r="S133" s="1"/>
  <c r="R148"/>
  <c r="Q148"/>
  <c r="P148"/>
  <c r="M148"/>
  <c r="V132" s="1"/>
  <c r="L148"/>
  <c r="U132" s="1"/>
  <c r="K148"/>
  <c r="T132" s="1"/>
  <c r="J148"/>
  <c r="S132" s="1"/>
  <c r="R147"/>
  <c r="Q147"/>
  <c r="P147"/>
  <c r="M147"/>
  <c r="L147"/>
  <c r="K147"/>
  <c r="J147"/>
  <c r="R146"/>
  <c r="Q146"/>
  <c r="P146"/>
  <c r="M146"/>
  <c r="L146"/>
  <c r="K146"/>
  <c r="J146"/>
  <c r="R145"/>
  <c r="Q145"/>
  <c r="P145"/>
  <c r="M145"/>
  <c r="L145"/>
  <c r="K145"/>
  <c r="J145"/>
  <c r="R144"/>
  <c r="Q144"/>
  <c r="P144"/>
  <c r="M144"/>
  <c r="L144"/>
  <c r="K144"/>
  <c r="J144"/>
  <c r="R143"/>
  <c r="Q143"/>
  <c r="P143"/>
  <c r="M143"/>
  <c r="L143"/>
  <c r="K143"/>
  <c r="J143"/>
  <c r="R142"/>
  <c r="Q142"/>
  <c r="P142"/>
  <c r="M142"/>
  <c r="L142"/>
  <c r="K142"/>
  <c r="J142"/>
  <c r="R141"/>
  <c r="Q141"/>
  <c r="P141"/>
  <c r="M141"/>
  <c r="L141"/>
  <c r="K141"/>
  <c r="J141"/>
  <c r="R140"/>
  <c r="Q140"/>
  <c r="P140"/>
  <c r="M140"/>
  <c r="L140"/>
  <c r="K140"/>
  <c r="J140"/>
  <c r="R139"/>
  <c r="Q139"/>
  <c r="P139"/>
  <c r="M139"/>
  <c r="L139"/>
  <c r="K139"/>
  <c r="J139"/>
  <c r="R138"/>
  <c r="Q138"/>
  <c r="P138"/>
  <c r="M138"/>
  <c r="L138"/>
  <c r="K138"/>
  <c r="J138"/>
  <c r="R137"/>
  <c r="Q137"/>
  <c r="P137"/>
  <c r="M137"/>
  <c r="L137"/>
  <c r="K137"/>
  <c r="J137"/>
  <c r="R136"/>
  <c r="Q136"/>
  <c r="P136"/>
  <c r="M136"/>
  <c r="L136"/>
  <c r="K136"/>
  <c r="J136"/>
  <c r="R135"/>
  <c r="Q135"/>
  <c r="P135"/>
  <c r="M135"/>
  <c r="V131" s="1"/>
  <c r="L135"/>
  <c r="U131" s="1"/>
  <c r="K135"/>
  <c r="T131" s="1"/>
  <c r="J135"/>
  <c r="S131" s="1"/>
  <c r="R134"/>
  <c r="Q134"/>
  <c r="P134"/>
  <c r="M134"/>
  <c r="V130" s="1"/>
  <c r="L134"/>
  <c r="U130" s="1"/>
  <c r="K134"/>
  <c r="T130" s="1"/>
  <c r="J134"/>
  <c r="S130" s="1"/>
  <c r="R133"/>
  <c r="Q133"/>
  <c r="P133"/>
  <c r="A133"/>
  <c r="Q129" s="1"/>
  <c r="R132"/>
  <c r="Q132"/>
  <c r="P132"/>
  <c r="A132"/>
  <c r="R131"/>
  <c r="Q131"/>
  <c r="A131"/>
  <c r="J131" s="1"/>
  <c r="S127" s="1"/>
  <c r="R130"/>
  <c r="Q130"/>
  <c r="A130"/>
  <c r="M130" s="1"/>
  <c r="V126" s="1"/>
  <c r="A129"/>
  <c r="J129" s="1"/>
  <c r="S125" s="1"/>
  <c r="A128"/>
  <c r="A127"/>
  <c r="J127" s="1"/>
  <c r="S123" s="1"/>
  <c r="A126"/>
  <c r="M126" s="1"/>
  <c r="V122" s="1"/>
  <c r="A125"/>
  <c r="A124"/>
  <c r="M124" s="1"/>
  <c r="V120" s="1"/>
  <c r="A123"/>
  <c r="J123" s="1"/>
  <c r="S119" s="1"/>
  <c r="A122"/>
  <c r="M122" s="1"/>
  <c r="V118" s="1"/>
  <c r="A121"/>
  <c r="J121" s="1"/>
  <c r="S117" s="1"/>
  <c r="M120"/>
  <c r="V116" s="1"/>
  <c r="L120"/>
  <c r="U116" s="1"/>
  <c r="K120"/>
  <c r="T116" s="1"/>
  <c r="J120"/>
  <c r="S116" s="1"/>
  <c r="M119"/>
  <c r="V115" s="1"/>
  <c r="L119"/>
  <c r="U115" s="1"/>
  <c r="K119"/>
  <c r="T115" s="1"/>
  <c r="J119"/>
  <c r="S115" s="1"/>
  <c r="M118"/>
  <c r="V114" s="1"/>
  <c r="L118"/>
  <c r="U114" s="1"/>
  <c r="K118"/>
  <c r="T114" s="1"/>
  <c r="J118"/>
  <c r="S114" s="1"/>
  <c r="M117"/>
  <c r="V113" s="1"/>
  <c r="L117"/>
  <c r="U113" s="1"/>
  <c r="K117"/>
  <c r="T113" s="1"/>
  <c r="J117"/>
  <c r="S113" s="1"/>
  <c r="R116"/>
  <c r="Q116"/>
  <c r="M116"/>
  <c r="L116"/>
  <c r="K116"/>
  <c r="J116"/>
  <c r="R115"/>
  <c r="Q115"/>
  <c r="M115"/>
  <c r="L115"/>
  <c r="K115"/>
  <c r="J115"/>
  <c r="R114"/>
  <c r="Q114"/>
  <c r="M114"/>
  <c r="L114"/>
  <c r="K114"/>
  <c r="J114"/>
  <c r="R113"/>
  <c r="Q113"/>
  <c r="M113"/>
  <c r="L113"/>
  <c r="K113"/>
  <c r="J113"/>
  <c r="A112"/>
  <c r="M112" s="1"/>
  <c r="V112" s="1"/>
  <c r="A111"/>
  <c r="A110"/>
  <c r="A109"/>
  <c r="M109" s="1"/>
  <c r="A108"/>
  <c r="M108" s="1"/>
  <c r="A107"/>
  <c r="K107" s="1"/>
  <c r="A106"/>
  <c r="A105"/>
  <c r="A104"/>
  <c r="L104" s="1"/>
  <c r="A103"/>
  <c r="A102"/>
  <c r="A101"/>
  <c r="A100"/>
  <c r="J100" s="1"/>
  <c r="A99"/>
  <c r="K99" s="1"/>
  <c r="A98"/>
  <c r="M98" s="1"/>
  <c r="A97"/>
  <c r="K97" s="1"/>
  <c r="A96"/>
  <c r="M96" s="1"/>
  <c r="A95"/>
  <c r="M95" s="1"/>
  <c r="A94"/>
  <c r="A93"/>
  <c r="M93" s="1"/>
  <c r="A92"/>
  <c r="M92" s="1"/>
  <c r="A91"/>
  <c r="K91" s="1"/>
  <c r="A90"/>
  <c r="M90" s="1"/>
  <c r="A89"/>
  <c r="L89" s="1"/>
  <c r="A88"/>
  <c r="A87"/>
  <c r="A86"/>
  <c r="A85"/>
  <c r="A84"/>
  <c r="M84" s="1"/>
  <c r="A83"/>
  <c r="A82"/>
  <c r="M82" s="1"/>
  <c r="A81"/>
  <c r="L81" s="1"/>
  <c r="A80"/>
  <c r="A79"/>
  <c r="A78"/>
  <c r="A77"/>
  <c r="A76"/>
  <c r="M76" s="1"/>
  <c r="A75"/>
  <c r="M75" s="1"/>
  <c r="A74"/>
  <c r="L74" s="1"/>
  <c r="A73"/>
  <c r="A72"/>
  <c r="K72" s="1"/>
  <c r="A71"/>
  <c r="L71" s="1"/>
  <c r="A70"/>
  <c r="M70" s="1"/>
  <c r="A69"/>
  <c r="L69" s="1"/>
  <c r="A68"/>
  <c r="A67"/>
  <c r="K67" s="1"/>
  <c r="A66"/>
  <c r="L66" s="1"/>
  <c r="A65"/>
  <c r="L65" s="1"/>
  <c r="A64"/>
  <c r="A63"/>
  <c r="L63" s="1"/>
  <c r="A62"/>
  <c r="L62" s="1"/>
  <c r="A61"/>
  <c r="L61" s="1"/>
  <c r="A60"/>
  <c r="M60" s="1"/>
  <c r="A59"/>
  <c r="L59" s="1"/>
  <c r="A58"/>
  <c r="L58" s="1"/>
  <c r="A57"/>
  <c r="M57" s="1"/>
  <c r="A56"/>
  <c r="M56" s="1"/>
  <c r="A55"/>
  <c r="A54"/>
  <c r="M54" s="1"/>
  <c r="A53"/>
  <c r="A52"/>
  <c r="A51"/>
  <c r="M51" s="1"/>
  <c r="A50"/>
  <c r="A49"/>
  <c r="K49" s="1"/>
  <c r="A48"/>
  <c r="M48" s="1"/>
  <c r="A47"/>
  <c r="A46"/>
  <c r="A45"/>
  <c r="A44"/>
  <c r="A43"/>
  <c r="K43" s="1"/>
  <c r="A42"/>
  <c r="A41"/>
  <c r="M41" s="1"/>
  <c r="A40"/>
  <c r="M40" s="1"/>
  <c r="A39"/>
  <c r="M39" s="1"/>
  <c r="A38"/>
  <c r="M38" s="1"/>
  <c r="A37"/>
  <c r="M37" s="1"/>
  <c r="A36"/>
  <c r="Q100" s="1"/>
  <c r="A35"/>
  <c r="M35" s="1"/>
  <c r="A34"/>
  <c r="A33"/>
  <c r="K33" s="1"/>
  <c r="A32"/>
  <c r="R56" s="1"/>
  <c r="A31"/>
  <c r="A30"/>
  <c r="A29"/>
  <c r="A28"/>
  <c r="A27"/>
  <c r="K27" s="1"/>
  <c r="A26"/>
  <c r="L26" s="1"/>
  <c r="A25"/>
  <c r="A24"/>
  <c r="M24" s="1"/>
  <c r="A23"/>
  <c r="M23" s="1"/>
  <c r="A22"/>
  <c r="A21"/>
  <c r="M21" s="1"/>
  <c r="A20"/>
  <c r="M20" s="1"/>
  <c r="A19"/>
  <c r="M19" s="1"/>
  <c r="A18"/>
  <c r="M18" s="1"/>
  <c r="A17"/>
  <c r="L17" s="1"/>
  <c r="A16"/>
  <c r="M16" s="1"/>
  <c r="A15"/>
  <c r="L15" s="1"/>
  <c r="A14"/>
  <c r="A13"/>
  <c r="A12"/>
  <c r="M12" s="1"/>
  <c r="A11"/>
  <c r="A10"/>
  <c r="L10" s="1"/>
  <c r="A9"/>
  <c r="L9" s="1"/>
  <c r="A8"/>
  <c r="M8" s="1"/>
  <c r="A7"/>
  <c r="L7" s="1"/>
  <c r="C490" i="1"/>
  <c r="Z490"/>
  <c r="AA490" s="1"/>
  <c r="AB490" s="1"/>
  <c r="C511"/>
  <c r="Z511"/>
  <c r="AA511" s="1"/>
  <c r="AB511" s="1"/>
  <c r="C307"/>
  <c r="Z307"/>
  <c r="AA307" s="1"/>
  <c r="AB307" s="1"/>
  <c r="C306"/>
  <c r="Z306"/>
  <c r="AA306" s="1"/>
  <c r="AB306" s="1"/>
  <c r="C410"/>
  <c r="Z410"/>
  <c r="AA410" s="1"/>
  <c r="AB410" s="1"/>
  <c r="C440"/>
  <c r="Z440"/>
  <c r="AA440" s="1"/>
  <c r="AB440"/>
  <c r="AC440" s="1"/>
  <c r="C439"/>
  <c r="Z439"/>
  <c r="AA439" s="1"/>
  <c r="AB439"/>
  <c r="AC439" s="1"/>
  <c r="C171"/>
  <c r="Z171"/>
  <c r="AA171" s="1"/>
  <c r="AB171" s="1"/>
  <c r="C13"/>
  <c r="Z13"/>
  <c r="AA13" s="1"/>
  <c r="AB13" s="1"/>
  <c r="C37"/>
  <c r="Z37"/>
  <c r="AA37" s="1"/>
  <c r="AB37" s="1"/>
  <c r="C36"/>
  <c r="Z36"/>
  <c r="AA36" s="1"/>
  <c r="AB36" s="1"/>
  <c r="C262"/>
  <c r="Z262"/>
  <c r="AA262" s="1"/>
  <c r="AB262" s="1"/>
  <c r="C226"/>
  <c r="Z226"/>
  <c r="AA226" s="1"/>
  <c r="AB226" s="1"/>
  <c r="AC226" s="1"/>
  <c r="C225"/>
  <c r="Z225"/>
  <c r="AA225" s="1"/>
  <c r="AB225" s="1"/>
  <c r="C238"/>
  <c r="Z238"/>
  <c r="AA238" s="1"/>
  <c r="AB238" s="1"/>
  <c r="C196"/>
  <c r="Z196"/>
  <c r="AA196" s="1"/>
  <c r="AB196" s="1"/>
  <c r="AC196" s="1"/>
  <c r="C131"/>
  <c r="Z131"/>
  <c r="AA131" s="1"/>
  <c r="AB131" s="1"/>
  <c r="C484"/>
  <c r="Z484"/>
  <c r="AA484" s="1"/>
  <c r="AB484"/>
  <c r="AC484" s="1"/>
  <c r="C137"/>
  <c r="Z137"/>
  <c r="AA137" s="1"/>
  <c r="AB137" s="1"/>
  <c r="C136"/>
  <c r="Z136"/>
  <c r="AA136" s="1"/>
  <c r="AB136" s="1"/>
  <c r="C20"/>
  <c r="Z20"/>
  <c r="AA20" s="1"/>
  <c r="AB20" s="1"/>
  <c r="AC20" s="1"/>
  <c r="C445"/>
  <c r="Z445"/>
  <c r="AA445" s="1"/>
  <c r="AB445" s="1"/>
  <c r="AC445" s="1"/>
  <c r="C444"/>
  <c r="Z444"/>
  <c r="AA444" s="1"/>
  <c r="AB444" s="1"/>
  <c r="C46"/>
  <c r="Z46"/>
  <c r="AA46" s="1"/>
  <c r="AB46" s="1"/>
  <c r="AC46" s="1"/>
  <c r="R108" i="18" l="1"/>
  <c r="R36"/>
  <c r="Q16"/>
  <c r="R110"/>
  <c r="V90"/>
  <c r="U74"/>
  <c r="U59"/>
  <c r="U81"/>
  <c r="Q15"/>
  <c r="V39"/>
  <c r="T49"/>
  <c r="Q105"/>
  <c r="V12"/>
  <c r="V109"/>
  <c r="Q69"/>
  <c r="R33"/>
  <c r="V37"/>
  <c r="Q44"/>
  <c r="V60"/>
  <c r="V40"/>
  <c r="V84"/>
  <c r="R31"/>
  <c r="V23"/>
  <c r="U63"/>
  <c r="Q107"/>
  <c r="Q35"/>
  <c r="V75"/>
  <c r="V93"/>
  <c r="V48"/>
  <c r="Q82"/>
  <c r="H3" i="19"/>
  <c r="B7"/>
  <c r="J7" s="1"/>
  <c r="I2"/>
  <c r="R20" i="18"/>
  <c r="R43"/>
  <c r="R15"/>
  <c r="Q127"/>
  <c r="J56"/>
  <c r="R8"/>
  <c r="J82"/>
  <c r="M100"/>
  <c r="L131"/>
  <c r="U127" s="1"/>
  <c r="R87"/>
  <c r="M27"/>
  <c r="V20" s="1"/>
  <c r="R41"/>
  <c r="M89"/>
  <c r="V92" s="1"/>
  <c r="L96"/>
  <c r="K131"/>
  <c r="T127" s="1"/>
  <c r="R54"/>
  <c r="L82"/>
  <c r="R40"/>
  <c r="M43"/>
  <c r="V54" s="1"/>
  <c r="M49"/>
  <c r="V41" s="1"/>
  <c r="K51"/>
  <c r="T43" s="1"/>
  <c r="K56"/>
  <c r="M71"/>
  <c r="V8" s="1"/>
  <c r="J87"/>
  <c r="K89"/>
  <c r="J30"/>
  <c r="L76"/>
  <c r="K95"/>
  <c r="M107"/>
  <c r="Q117"/>
  <c r="Q123"/>
  <c r="L124"/>
  <c r="U120" s="1"/>
  <c r="J126"/>
  <c r="S122" s="1"/>
  <c r="J130"/>
  <c r="S126" s="1"/>
  <c r="J75"/>
  <c r="L90"/>
  <c r="R39"/>
  <c r="K106"/>
  <c r="Q118"/>
  <c r="Q122"/>
  <c r="R123"/>
  <c r="K126"/>
  <c r="T122" s="1"/>
  <c r="K127"/>
  <c r="T123" s="1"/>
  <c r="K130"/>
  <c r="T126" s="1"/>
  <c r="Q89"/>
  <c r="Q93"/>
  <c r="R119"/>
  <c r="R122"/>
  <c r="R126"/>
  <c r="L127"/>
  <c r="U123" s="1"/>
  <c r="K17"/>
  <c r="Q32"/>
  <c r="J79"/>
  <c r="J92"/>
  <c r="J98"/>
  <c r="J104"/>
  <c r="J108"/>
  <c r="J122"/>
  <c r="S118" s="1"/>
  <c r="R12"/>
  <c r="Q45"/>
  <c r="L40"/>
  <c r="J71"/>
  <c r="K76"/>
  <c r="L84"/>
  <c r="U65" s="1"/>
  <c r="J90"/>
  <c r="R22"/>
  <c r="J96"/>
  <c r="L100"/>
  <c r="Q119"/>
  <c r="M121"/>
  <c r="V117" s="1"/>
  <c r="L123"/>
  <c r="U119" s="1"/>
  <c r="R65"/>
  <c r="J62"/>
  <c r="R60"/>
  <c r="K81"/>
  <c r="J84"/>
  <c r="K111"/>
  <c r="R118"/>
  <c r="M17"/>
  <c r="V38" s="1"/>
  <c r="J20"/>
  <c r="L38"/>
  <c r="U38" s="1"/>
  <c r="K40"/>
  <c r="T72" s="1"/>
  <c r="R37"/>
  <c r="R97"/>
  <c r="J76"/>
  <c r="R16"/>
  <c r="M81"/>
  <c r="K84"/>
  <c r="L92"/>
  <c r="U92" s="1"/>
  <c r="Q48"/>
  <c r="R105"/>
  <c r="R117"/>
  <c r="K122"/>
  <c r="T118" s="1"/>
  <c r="K123"/>
  <c r="T119" s="1"/>
  <c r="Q126"/>
  <c r="R127"/>
  <c r="L130"/>
  <c r="U126" s="1"/>
  <c r="M133"/>
  <c r="V129" s="1"/>
  <c r="K69"/>
  <c r="R70"/>
  <c r="K65"/>
  <c r="M65"/>
  <c r="V24" s="1"/>
  <c r="J63"/>
  <c r="R13"/>
  <c r="K61"/>
  <c r="J60"/>
  <c r="L60"/>
  <c r="M59"/>
  <c r="V96" s="1"/>
  <c r="J59"/>
  <c r="K59"/>
  <c r="K57"/>
  <c r="R111"/>
  <c r="L56"/>
  <c r="R78"/>
  <c r="L54"/>
  <c r="J54"/>
  <c r="K52"/>
  <c r="J48"/>
  <c r="L48"/>
  <c r="J46"/>
  <c r="J40"/>
  <c r="R72"/>
  <c r="J38"/>
  <c r="J6" i="19"/>
  <c r="I3"/>
  <c r="C4"/>
  <c r="D4" s="1"/>
  <c r="E4" s="1"/>
  <c r="F4" s="1"/>
  <c r="M33" i="18"/>
  <c r="R55"/>
  <c r="J28"/>
  <c r="K28"/>
  <c r="Q19"/>
  <c r="M25"/>
  <c r="K25"/>
  <c r="K20"/>
  <c r="Q10"/>
  <c r="K19"/>
  <c r="R11"/>
  <c r="J16"/>
  <c r="K16"/>
  <c r="M15"/>
  <c r="AC489" i="1"/>
  <c r="AC503"/>
  <c r="L12" i="18"/>
  <c r="AC86" i="1"/>
  <c r="AC288"/>
  <c r="AC402"/>
  <c r="K9" i="18"/>
  <c r="M9"/>
  <c r="V59" s="1"/>
  <c r="J8"/>
  <c r="K8"/>
  <c r="R58"/>
  <c r="M7"/>
  <c r="V57" s="1"/>
  <c r="L11"/>
  <c r="R64"/>
  <c r="M11"/>
  <c r="V11" s="1"/>
  <c r="J11"/>
  <c r="M22"/>
  <c r="V18" s="1"/>
  <c r="Q18"/>
  <c r="L22"/>
  <c r="J22"/>
  <c r="M13"/>
  <c r="V21" s="1"/>
  <c r="L13"/>
  <c r="K13"/>
  <c r="M14"/>
  <c r="L14"/>
  <c r="U104" s="1"/>
  <c r="J14"/>
  <c r="M29"/>
  <c r="K29"/>
  <c r="M42"/>
  <c r="J42"/>
  <c r="M55"/>
  <c r="K55"/>
  <c r="M64"/>
  <c r="L64"/>
  <c r="R14"/>
  <c r="J64"/>
  <c r="M88"/>
  <c r="L88"/>
  <c r="R91"/>
  <c r="J88"/>
  <c r="M102"/>
  <c r="L102"/>
  <c r="U61" s="1"/>
  <c r="R61"/>
  <c r="J102"/>
  <c r="R81"/>
  <c r="R109"/>
  <c r="Q109"/>
  <c r="M32"/>
  <c r="K32"/>
  <c r="M44"/>
  <c r="L44"/>
  <c r="Q67"/>
  <c r="J78"/>
  <c r="M94"/>
  <c r="J94"/>
  <c r="Q30"/>
  <c r="L103"/>
  <c r="U71" s="1"/>
  <c r="K103"/>
  <c r="L105"/>
  <c r="J105"/>
  <c r="M105"/>
  <c r="M110"/>
  <c r="L110"/>
  <c r="R102"/>
  <c r="J110"/>
  <c r="R57"/>
  <c r="Q90"/>
  <c r="J24"/>
  <c r="R106"/>
  <c r="J32"/>
  <c r="M34"/>
  <c r="Q26"/>
  <c r="M36"/>
  <c r="R100"/>
  <c r="J36"/>
  <c r="S100" s="1"/>
  <c r="K39"/>
  <c r="K41"/>
  <c r="L42"/>
  <c r="J44"/>
  <c r="M45"/>
  <c r="K45"/>
  <c r="M50"/>
  <c r="J50"/>
  <c r="Q42"/>
  <c r="R77"/>
  <c r="K64"/>
  <c r="M68"/>
  <c r="V95" s="1"/>
  <c r="L68"/>
  <c r="R95"/>
  <c r="J68"/>
  <c r="K73"/>
  <c r="M73"/>
  <c r="M80"/>
  <c r="L80"/>
  <c r="R28"/>
  <c r="J80"/>
  <c r="L83"/>
  <c r="J83"/>
  <c r="M83"/>
  <c r="V51" s="1"/>
  <c r="K88"/>
  <c r="T91" s="1"/>
  <c r="L94"/>
  <c r="L101"/>
  <c r="U62" s="1"/>
  <c r="J101"/>
  <c r="M101"/>
  <c r="K102"/>
  <c r="T61" s="1"/>
  <c r="M103"/>
  <c r="K105"/>
  <c r="K110"/>
  <c r="J7"/>
  <c r="L8"/>
  <c r="J10"/>
  <c r="S63" s="1"/>
  <c r="J12"/>
  <c r="R90"/>
  <c r="J15"/>
  <c r="L16"/>
  <c r="J18"/>
  <c r="L20"/>
  <c r="K21"/>
  <c r="K23"/>
  <c r="K24"/>
  <c r="M30"/>
  <c r="V107" s="1"/>
  <c r="L30"/>
  <c r="M31"/>
  <c r="V108" s="1"/>
  <c r="K31"/>
  <c r="L32"/>
  <c r="U56" s="1"/>
  <c r="J34"/>
  <c r="K35"/>
  <c r="T27" s="1"/>
  <c r="K36"/>
  <c r="K37"/>
  <c r="R46"/>
  <c r="R73"/>
  <c r="Q53"/>
  <c r="K44"/>
  <c r="T33" s="1"/>
  <c r="R34"/>
  <c r="L50"/>
  <c r="M53"/>
  <c r="K53"/>
  <c r="M58"/>
  <c r="Q85"/>
  <c r="J58"/>
  <c r="Q14"/>
  <c r="L67"/>
  <c r="J67"/>
  <c r="M67"/>
  <c r="V70" s="1"/>
  <c r="K68"/>
  <c r="L73"/>
  <c r="U7" s="1"/>
  <c r="K80"/>
  <c r="K83"/>
  <c r="R66"/>
  <c r="K85"/>
  <c r="Q91"/>
  <c r="K93"/>
  <c r="R23"/>
  <c r="K101"/>
  <c r="Q61"/>
  <c r="R79"/>
  <c r="Q102"/>
  <c r="M72"/>
  <c r="R9"/>
  <c r="J72"/>
  <c r="L72"/>
  <c r="U9" s="1"/>
  <c r="K7"/>
  <c r="Q58"/>
  <c r="M10"/>
  <c r="K12"/>
  <c r="K15"/>
  <c r="Q87"/>
  <c r="L18"/>
  <c r="U10" s="1"/>
  <c r="Q12"/>
  <c r="R86"/>
  <c r="R103"/>
  <c r="L24"/>
  <c r="M26"/>
  <c r="V19" s="1"/>
  <c r="J26"/>
  <c r="M28"/>
  <c r="L28"/>
  <c r="U69" s="1"/>
  <c r="R69"/>
  <c r="Q56"/>
  <c r="L34"/>
  <c r="U26" s="1"/>
  <c r="R27"/>
  <c r="L36"/>
  <c r="R101"/>
  <c r="Q33"/>
  <c r="M46"/>
  <c r="L46"/>
  <c r="M47"/>
  <c r="K47"/>
  <c r="T47" s="1"/>
  <c r="M52"/>
  <c r="L52"/>
  <c r="R44"/>
  <c r="J52"/>
  <c r="S44" s="1"/>
  <c r="M66"/>
  <c r="V25" s="1"/>
  <c r="J66"/>
  <c r="Q95"/>
  <c r="L70"/>
  <c r="J70"/>
  <c r="Q9"/>
  <c r="J74"/>
  <c r="M74"/>
  <c r="R80"/>
  <c r="K77"/>
  <c r="Q28"/>
  <c r="R51"/>
  <c r="Q68"/>
  <c r="J86"/>
  <c r="R62"/>
  <c r="M106"/>
  <c r="V82" s="1"/>
  <c r="L106"/>
  <c r="R82"/>
  <c r="J106"/>
  <c r="Q72"/>
  <c r="K48"/>
  <c r="Q78"/>
  <c r="R96"/>
  <c r="K60"/>
  <c r="T97" s="1"/>
  <c r="M61"/>
  <c r="V98" s="1"/>
  <c r="M62"/>
  <c r="M63"/>
  <c r="M69"/>
  <c r="V74" s="1"/>
  <c r="K75"/>
  <c r="Q60"/>
  <c r="Q65"/>
  <c r="K92"/>
  <c r="K96"/>
  <c r="L98"/>
  <c r="M104"/>
  <c r="V76" s="1"/>
  <c r="L111"/>
  <c r="U105" s="1"/>
  <c r="Q37"/>
  <c r="Q97"/>
  <c r="R89"/>
  <c r="Q22"/>
  <c r="Q40"/>
  <c r="Q57"/>
  <c r="K11"/>
  <c r="T64" s="1"/>
  <c r="Q21"/>
  <c r="J13"/>
  <c r="R21"/>
  <c r="R104"/>
  <c r="K14"/>
  <c r="Q104"/>
  <c r="Q81"/>
  <c r="Q11"/>
  <c r="J19"/>
  <c r="L19"/>
  <c r="L25"/>
  <c r="Q110"/>
  <c r="J25"/>
  <c r="Q20"/>
  <c r="J27"/>
  <c r="L27"/>
  <c r="L33"/>
  <c r="Q55"/>
  <c r="J33"/>
  <c r="Q27"/>
  <c r="J35"/>
  <c r="L35"/>
  <c r="L41"/>
  <c r="Q73"/>
  <c r="J41"/>
  <c r="Q54"/>
  <c r="J43"/>
  <c r="L43"/>
  <c r="L49"/>
  <c r="Q41"/>
  <c r="J49"/>
  <c r="Q43"/>
  <c r="J51"/>
  <c r="L51"/>
  <c r="L57"/>
  <c r="Q111"/>
  <c r="J57"/>
  <c r="Q59"/>
  <c r="J9"/>
  <c r="S59" s="1"/>
  <c r="R59"/>
  <c r="R63"/>
  <c r="K10"/>
  <c r="Q63"/>
  <c r="Q64"/>
  <c r="Q38"/>
  <c r="J17"/>
  <c r="R38"/>
  <c r="L21"/>
  <c r="Q86"/>
  <c r="J21"/>
  <c r="Q103"/>
  <c r="J23"/>
  <c r="L23"/>
  <c r="L29"/>
  <c r="Q106"/>
  <c r="J29"/>
  <c r="S106" s="1"/>
  <c r="Q108"/>
  <c r="J31"/>
  <c r="L31"/>
  <c r="L37"/>
  <c r="U101" s="1"/>
  <c r="Q101"/>
  <c r="J37"/>
  <c r="Q46"/>
  <c r="J39"/>
  <c r="L39"/>
  <c r="L45"/>
  <c r="Q34"/>
  <c r="J45"/>
  <c r="S34" s="1"/>
  <c r="Q36"/>
  <c r="J47"/>
  <c r="L47"/>
  <c r="U36" s="1"/>
  <c r="L53"/>
  <c r="Q31"/>
  <c r="J53"/>
  <c r="S31" s="1"/>
  <c r="Q77"/>
  <c r="J55"/>
  <c r="L55"/>
  <c r="K132"/>
  <c r="T128" s="1"/>
  <c r="R128"/>
  <c r="J132"/>
  <c r="S128" s="1"/>
  <c r="Q128"/>
  <c r="L132"/>
  <c r="U128" s="1"/>
  <c r="M132"/>
  <c r="V128" s="1"/>
  <c r="K18"/>
  <c r="R10"/>
  <c r="K22"/>
  <c r="R18"/>
  <c r="K26"/>
  <c r="R19"/>
  <c r="K30"/>
  <c r="T107" s="1"/>
  <c r="R107"/>
  <c r="K34"/>
  <c r="R26"/>
  <c r="K38"/>
  <c r="R45"/>
  <c r="K42"/>
  <c r="R53"/>
  <c r="K46"/>
  <c r="R35"/>
  <c r="K50"/>
  <c r="R42"/>
  <c r="K54"/>
  <c r="R32"/>
  <c r="K58"/>
  <c r="T85" s="1"/>
  <c r="R85"/>
  <c r="Q96"/>
  <c r="K63"/>
  <c r="Q24"/>
  <c r="J65"/>
  <c r="R24"/>
  <c r="R25"/>
  <c r="K66"/>
  <c r="Q25"/>
  <c r="Q70"/>
  <c r="K71"/>
  <c r="Q7"/>
  <c r="J73"/>
  <c r="R7"/>
  <c r="R88"/>
  <c r="K74"/>
  <c r="Q88"/>
  <c r="L125"/>
  <c r="U121" s="1"/>
  <c r="K125"/>
  <c r="T121" s="1"/>
  <c r="R121"/>
  <c r="J125"/>
  <c r="S121" s="1"/>
  <c r="M125"/>
  <c r="V121" s="1"/>
  <c r="Q121"/>
  <c r="Q98"/>
  <c r="J61"/>
  <c r="S98" s="1"/>
  <c r="R98"/>
  <c r="R99"/>
  <c r="K62"/>
  <c r="T99" s="1"/>
  <c r="Q99"/>
  <c r="Q13"/>
  <c r="Q74"/>
  <c r="J69"/>
  <c r="S74" s="1"/>
  <c r="R74"/>
  <c r="R75"/>
  <c r="K70"/>
  <c r="T70" s="1"/>
  <c r="Q75"/>
  <c r="Q8"/>
  <c r="Q80"/>
  <c r="J77"/>
  <c r="M77"/>
  <c r="L77"/>
  <c r="R67"/>
  <c r="K78"/>
  <c r="T67" s="1"/>
  <c r="M78"/>
  <c r="L78"/>
  <c r="L79"/>
  <c r="M79"/>
  <c r="V16" s="1"/>
  <c r="K79"/>
  <c r="Q66"/>
  <c r="J85"/>
  <c r="M85"/>
  <c r="L85"/>
  <c r="R68"/>
  <c r="K86"/>
  <c r="M86"/>
  <c r="L86"/>
  <c r="L87"/>
  <c r="U15" s="1"/>
  <c r="M87"/>
  <c r="K87"/>
  <c r="Q17"/>
  <c r="J91"/>
  <c r="L91"/>
  <c r="U17" s="1"/>
  <c r="R17"/>
  <c r="M91"/>
  <c r="L97"/>
  <c r="Q47"/>
  <c r="J97"/>
  <c r="R47"/>
  <c r="M97"/>
  <c r="V97" s="1"/>
  <c r="Q49"/>
  <c r="J99"/>
  <c r="S49" s="1"/>
  <c r="L99"/>
  <c r="R49"/>
  <c r="M99"/>
  <c r="V49" s="1"/>
  <c r="K128"/>
  <c r="T124" s="1"/>
  <c r="R124"/>
  <c r="J128"/>
  <c r="S124" s="1"/>
  <c r="Q124"/>
  <c r="L128"/>
  <c r="U124" s="1"/>
  <c r="M128"/>
  <c r="V124" s="1"/>
  <c r="L75"/>
  <c r="U89" s="1"/>
  <c r="Q29"/>
  <c r="J81"/>
  <c r="R29"/>
  <c r="R50"/>
  <c r="K82"/>
  <c r="Q50"/>
  <c r="Q51"/>
  <c r="Q92"/>
  <c r="J89"/>
  <c r="R92"/>
  <c r="L93"/>
  <c r="Q23"/>
  <c r="J93"/>
  <c r="Q39"/>
  <c r="J95"/>
  <c r="L95"/>
  <c r="R112"/>
  <c r="K112"/>
  <c r="T112" s="1"/>
  <c r="Q112"/>
  <c r="J112"/>
  <c r="S112" s="1"/>
  <c r="L112"/>
  <c r="U112" s="1"/>
  <c r="L109"/>
  <c r="U94" s="1"/>
  <c r="R94"/>
  <c r="K109"/>
  <c r="Q94"/>
  <c r="J109"/>
  <c r="K133"/>
  <c r="T129" s="1"/>
  <c r="J133"/>
  <c r="S129" s="1"/>
  <c r="R129"/>
  <c r="L133"/>
  <c r="U129" s="1"/>
  <c r="K90"/>
  <c r="R93"/>
  <c r="K94"/>
  <c r="T30" s="1"/>
  <c r="R30"/>
  <c r="K98"/>
  <c r="R48"/>
  <c r="R52"/>
  <c r="K100"/>
  <c r="T52" s="1"/>
  <c r="Q52"/>
  <c r="Q62"/>
  <c r="Q83"/>
  <c r="J107"/>
  <c r="R83"/>
  <c r="R84"/>
  <c r="K108"/>
  <c r="T84" s="1"/>
  <c r="Q84"/>
  <c r="L129"/>
  <c r="U125" s="1"/>
  <c r="K129"/>
  <c r="T125" s="1"/>
  <c r="R125"/>
  <c r="Q71"/>
  <c r="J103"/>
  <c r="S71" s="1"/>
  <c r="R71"/>
  <c r="R76"/>
  <c r="K104"/>
  <c r="Q76"/>
  <c r="Q79"/>
  <c r="L107"/>
  <c r="L108"/>
  <c r="L121"/>
  <c r="U117" s="1"/>
  <c r="K121"/>
  <c r="T117" s="1"/>
  <c r="K124"/>
  <c r="T120" s="1"/>
  <c r="R120"/>
  <c r="J124"/>
  <c r="S120" s="1"/>
  <c r="Q120"/>
  <c r="Q125"/>
  <c r="M129"/>
  <c r="V125" s="1"/>
  <c r="M111"/>
  <c r="L122"/>
  <c r="U118" s="1"/>
  <c r="M123"/>
  <c r="V119" s="1"/>
  <c r="L126"/>
  <c r="U122" s="1"/>
  <c r="M127"/>
  <c r="V123" s="1"/>
  <c r="M131"/>
  <c r="V127" s="1"/>
  <c r="J111"/>
  <c r="S105" s="1"/>
  <c r="AC490" i="1"/>
  <c r="AC511"/>
  <c r="AC307"/>
  <c r="AC306"/>
  <c r="AC410"/>
  <c r="AC171"/>
  <c r="AC13"/>
  <c r="AC37"/>
  <c r="AC36"/>
  <c r="AC262"/>
  <c r="AC225"/>
  <c r="AC238"/>
  <c r="AC131"/>
  <c r="AC137"/>
  <c r="AC136"/>
  <c r="AC444"/>
  <c r="R11" i="15"/>
  <c r="B3"/>
  <c r="C3"/>
  <c r="D3"/>
  <c r="L3"/>
  <c r="M3"/>
  <c r="N3" s="1"/>
  <c r="C390" i="1"/>
  <c r="Z390"/>
  <c r="AA390" s="1"/>
  <c r="AB390" s="1"/>
  <c r="C258"/>
  <c r="Z258"/>
  <c r="AA258" s="1"/>
  <c r="AB258" s="1"/>
  <c r="C269"/>
  <c r="Z269"/>
  <c r="AA269" s="1"/>
  <c r="AB269" s="1"/>
  <c r="C164"/>
  <c r="Z164"/>
  <c r="AA164" s="1"/>
  <c r="AB164" s="1"/>
  <c r="C203"/>
  <c r="Z203"/>
  <c r="AA203" s="1"/>
  <c r="AB203" s="1"/>
  <c r="C181"/>
  <c r="Z181"/>
  <c r="AA181" s="1"/>
  <c r="AB181" s="1"/>
  <c r="C277"/>
  <c r="Z277"/>
  <c r="AA277" s="1"/>
  <c r="AB277" s="1"/>
  <c r="C121"/>
  <c r="Z121"/>
  <c r="AA121" s="1"/>
  <c r="AB121" s="1"/>
  <c r="C455"/>
  <c r="Z455"/>
  <c r="AA455" s="1"/>
  <c r="AB455" s="1"/>
  <c r="C362"/>
  <c r="Z362"/>
  <c r="AA362" s="1"/>
  <c r="AB362" s="1"/>
  <c r="C361"/>
  <c r="Z361"/>
  <c r="AA361" s="1"/>
  <c r="AB361" s="1"/>
  <c r="C379"/>
  <c r="Z379"/>
  <c r="AA379" s="1"/>
  <c r="AB379" s="1"/>
  <c r="C332"/>
  <c r="Z332"/>
  <c r="AA332" s="1"/>
  <c r="AB332" s="1"/>
  <c r="AC332" s="1"/>
  <c r="C331"/>
  <c r="Z331"/>
  <c r="AA331" s="1"/>
  <c r="AB331" s="1"/>
  <c r="AC331" s="1"/>
  <c r="C394"/>
  <c r="Z394"/>
  <c r="AA394" s="1"/>
  <c r="AB394"/>
  <c r="AC394" s="1"/>
  <c r="C393"/>
  <c r="Z393"/>
  <c r="AA393" s="1"/>
  <c r="AB393"/>
  <c r="AC393" s="1"/>
  <c r="C316"/>
  <c r="Z316"/>
  <c r="AA316" s="1"/>
  <c r="AB316" s="1"/>
  <c r="AC316" s="1"/>
  <c r="C315"/>
  <c r="Z315"/>
  <c r="AA315" s="1"/>
  <c r="AB315" s="1"/>
  <c r="AC315" s="1"/>
  <c r="C374"/>
  <c r="Z374"/>
  <c r="AA374" s="1"/>
  <c r="AB374"/>
  <c r="AC374" s="1"/>
  <c r="C373"/>
  <c r="Z373"/>
  <c r="AA373" s="1"/>
  <c r="AB373"/>
  <c r="AC373" s="1"/>
  <c r="C70"/>
  <c r="Z70"/>
  <c r="AA70" s="1"/>
  <c r="AB70" s="1"/>
  <c r="AC70" s="1"/>
  <c r="C69"/>
  <c r="Z69"/>
  <c r="AA69" s="1"/>
  <c r="AB69" s="1"/>
  <c r="AC69" s="1"/>
  <c r="C354"/>
  <c r="Z354"/>
  <c r="AA354" s="1"/>
  <c r="AB354" s="1"/>
  <c r="AC354" s="1"/>
  <c r="C353"/>
  <c r="Z353"/>
  <c r="AA353" s="1"/>
  <c r="AB353" s="1"/>
  <c r="AC353" s="1"/>
  <c r="C412"/>
  <c r="Z412"/>
  <c r="AA412" s="1"/>
  <c r="AB412"/>
  <c r="AC412" s="1"/>
  <c r="C411"/>
  <c r="Z411"/>
  <c r="AA411" s="1"/>
  <c r="AB411"/>
  <c r="AC411" s="1"/>
  <c r="C209"/>
  <c r="Z209"/>
  <c r="AA209" s="1"/>
  <c r="AB209" s="1"/>
  <c r="AC209" s="1"/>
  <c r="C184"/>
  <c r="Z184"/>
  <c r="AA184" s="1"/>
  <c r="AB184" s="1"/>
  <c r="AC184" s="1"/>
  <c r="C486"/>
  <c r="Z486"/>
  <c r="AA486" s="1"/>
  <c r="AB486"/>
  <c r="AC486" s="1"/>
  <c r="C516"/>
  <c r="Z516"/>
  <c r="AA516" s="1"/>
  <c r="AB516" s="1"/>
  <c r="AC516" s="1"/>
  <c r="C507"/>
  <c r="Z507"/>
  <c r="AA507" s="1"/>
  <c r="AB507"/>
  <c r="AC507" s="1"/>
  <c r="C424"/>
  <c r="Z424"/>
  <c r="AA424" s="1"/>
  <c r="AB424"/>
  <c r="AC424" s="1"/>
  <c r="C423"/>
  <c r="Z423"/>
  <c r="AA423" s="1"/>
  <c r="AB423"/>
  <c r="AC423" s="1"/>
  <c r="C443"/>
  <c r="Z443"/>
  <c r="AA443" s="1"/>
  <c r="AB443"/>
  <c r="AC443" s="1"/>
  <c r="C442"/>
  <c r="Z442"/>
  <c r="AA442" s="1"/>
  <c r="AB442"/>
  <c r="AC442" s="1"/>
  <c r="C441"/>
  <c r="Z441"/>
  <c r="AA441" s="1"/>
  <c r="AB441"/>
  <c r="AC441" s="1"/>
  <c r="C512"/>
  <c r="Z512"/>
  <c r="AA512" s="1"/>
  <c r="AB512"/>
  <c r="AC512" s="1"/>
  <c r="C5"/>
  <c r="Z5"/>
  <c r="AA5" s="1"/>
  <c r="AB5" s="1"/>
  <c r="AC5" s="1"/>
  <c r="C406"/>
  <c r="Z406"/>
  <c r="AA406" s="1"/>
  <c r="AB406"/>
  <c r="AC406" s="1"/>
  <c r="C369"/>
  <c r="Z369"/>
  <c r="AA369" s="1"/>
  <c r="AB369"/>
  <c r="AC369" s="1"/>
  <c r="C447"/>
  <c r="Z447"/>
  <c r="AA447" s="1"/>
  <c r="AB447"/>
  <c r="AC447" s="1"/>
  <c r="C372"/>
  <c r="Z372"/>
  <c r="AA372" s="1"/>
  <c r="AB372"/>
  <c r="AC372" s="1"/>
  <c r="C452"/>
  <c r="Z452"/>
  <c r="AA452" s="1"/>
  <c r="AB452"/>
  <c r="AC452" s="1"/>
  <c r="C417"/>
  <c r="Z417"/>
  <c r="AA417" s="1"/>
  <c r="AB417"/>
  <c r="AC417" s="1"/>
  <c r="C416"/>
  <c r="Z416"/>
  <c r="AA416" s="1"/>
  <c r="AB416"/>
  <c r="AC416" s="1"/>
  <c r="C415"/>
  <c r="Z415"/>
  <c r="AA415" s="1"/>
  <c r="AB415"/>
  <c r="AC415" s="1"/>
  <c r="C293"/>
  <c r="Z293"/>
  <c r="AA293" s="1"/>
  <c r="AB293" s="1"/>
  <c r="AC293" s="1"/>
  <c r="C275"/>
  <c r="Z275"/>
  <c r="AA275" s="1"/>
  <c r="AB275" s="1"/>
  <c r="AC275" s="1"/>
  <c r="C356"/>
  <c r="Z356"/>
  <c r="AA356" s="1"/>
  <c r="AB356" s="1"/>
  <c r="AC356" s="1"/>
  <c r="C355"/>
  <c r="Z355"/>
  <c r="AA355" s="1"/>
  <c r="AB355" s="1"/>
  <c r="AC355" s="1"/>
  <c r="C434"/>
  <c r="Z434"/>
  <c r="AA434" s="1"/>
  <c r="AB434"/>
  <c r="AC434" s="1"/>
  <c r="C433"/>
  <c r="Z433"/>
  <c r="AA433" s="1"/>
  <c r="AB433"/>
  <c r="AC433" s="1"/>
  <c r="C370"/>
  <c r="C371"/>
  <c r="Z370"/>
  <c r="AA370" s="1"/>
  <c r="Z371"/>
  <c r="AA371" s="1"/>
  <c r="AB370"/>
  <c r="AC370" s="1"/>
  <c r="AB371"/>
  <c r="AC371" s="1"/>
  <c r="C88"/>
  <c r="Z88"/>
  <c r="AA88" s="1"/>
  <c r="AB88" s="1"/>
  <c r="AC88" s="1"/>
  <c r="C87"/>
  <c r="Z87"/>
  <c r="AA87" s="1"/>
  <c r="AB87" s="1"/>
  <c r="AC87" s="1"/>
  <c r="C34"/>
  <c r="Z34"/>
  <c r="AA34" s="1"/>
  <c r="AB34" s="1"/>
  <c r="AC34" s="1"/>
  <c r="C33"/>
  <c r="Z33"/>
  <c r="AA33" s="1"/>
  <c r="AB33" s="1"/>
  <c r="AC33" s="1"/>
  <c r="C483"/>
  <c r="Z483"/>
  <c r="AA483" s="1"/>
  <c r="AB483"/>
  <c r="AC483" s="1"/>
  <c r="C482"/>
  <c r="Z482"/>
  <c r="AA482" s="1"/>
  <c r="AB482"/>
  <c r="AC482" s="1"/>
  <c r="C481"/>
  <c r="Z481"/>
  <c r="AA481" s="1"/>
  <c r="AB481"/>
  <c r="AC481" s="1"/>
  <c r="C39"/>
  <c r="Z39"/>
  <c r="AA39" s="1"/>
  <c r="AB39" s="1"/>
  <c r="AC39" s="1"/>
  <c r="C513"/>
  <c r="Z513"/>
  <c r="AA513" s="1"/>
  <c r="AB513"/>
  <c r="AC513" s="1"/>
  <c r="C449"/>
  <c r="Z449"/>
  <c r="AA449" s="1"/>
  <c r="AB449"/>
  <c r="AC449" s="1"/>
  <c r="C448"/>
  <c r="Z448"/>
  <c r="AA448" s="1"/>
  <c r="AB448"/>
  <c r="AC448" s="1"/>
  <c r="C514"/>
  <c r="Z514"/>
  <c r="AA514" s="1"/>
  <c r="AB514"/>
  <c r="AC514" s="1"/>
  <c r="C281"/>
  <c r="Z281"/>
  <c r="AA281" s="1"/>
  <c r="AB281"/>
  <c r="AC281" s="1"/>
  <c r="C500"/>
  <c r="Z500"/>
  <c r="AA500" s="1"/>
  <c r="AB500"/>
  <c r="AC500" s="1"/>
  <c r="C255"/>
  <c r="Z255"/>
  <c r="AA255" s="1"/>
  <c r="AB255" s="1"/>
  <c r="AC255" s="1"/>
  <c r="C122"/>
  <c r="Z122"/>
  <c r="AA122" s="1"/>
  <c r="AB122" s="1"/>
  <c r="AC122" s="1"/>
  <c r="C322"/>
  <c r="Z322"/>
  <c r="AA322" s="1"/>
  <c r="AB322" s="1"/>
  <c r="AC322" s="1"/>
  <c r="C476"/>
  <c r="Z476"/>
  <c r="AA476" s="1"/>
  <c r="AB476"/>
  <c r="AC476" s="1"/>
  <c r="C475"/>
  <c r="Z475"/>
  <c r="AA475" s="1"/>
  <c r="AB475"/>
  <c r="AC475" s="1"/>
  <c r="C202"/>
  <c r="Z202"/>
  <c r="AA202" s="1"/>
  <c r="AB202" s="1"/>
  <c r="AC202" s="1"/>
  <c r="C349"/>
  <c r="Z349"/>
  <c r="AA349" s="1"/>
  <c r="AB349" s="1"/>
  <c r="AC349" s="1"/>
  <c r="C172"/>
  <c r="Z172"/>
  <c r="AA172" s="1"/>
  <c r="AB172" s="1"/>
  <c r="AC172" s="1"/>
  <c r="C304"/>
  <c r="Z304"/>
  <c r="AA304" s="1"/>
  <c r="AB304" s="1"/>
  <c r="AC304" s="1"/>
  <c r="C22"/>
  <c r="Z22"/>
  <c r="AA22" s="1"/>
  <c r="AB22" s="1"/>
  <c r="AC22" s="1"/>
  <c r="C21"/>
  <c r="Z21"/>
  <c r="AA21" s="1"/>
  <c r="AB21" s="1"/>
  <c r="AC21" s="1"/>
  <c r="C518"/>
  <c r="Z518"/>
  <c r="AA518" s="1"/>
  <c r="AB518" s="1"/>
  <c r="AC518" s="1"/>
  <c r="C494"/>
  <c r="Z494"/>
  <c r="AA494" s="1"/>
  <c r="AB494"/>
  <c r="AC494" s="1"/>
  <c r="C493"/>
  <c r="Z493"/>
  <c r="AA493" s="1"/>
  <c r="AB493"/>
  <c r="AC493" s="1"/>
  <c r="C436"/>
  <c r="Z436"/>
  <c r="AA436" s="1"/>
  <c r="AB436"/>
  <c r="AC436" s="1"/>
  <c r="C435"/>
  <c r="Z435"/>
  <c r="AA435" s="1"/>
  <c r="AB435"/>
  <c r="AC435" s="1"/>
  <c r="C466"/>
  <c r="Z466"/>
  <c r="AA466" s="1"/>
  <c r="AB466"/>
  <c r="AC466" s="1"/>
  <c r="C465"/>
  <c r="Z465"/>
  <c r="AA465" s="1"/>
  <c r="AB465"/>
  <c r="AC465" s="1"/>
  <c r="C146"/>
  <c r="Z146"/>
  <c r="AA146" s="1"/>
  <c r="AB146" s="1"/>
  <c r="AC146" s="1"/>
  <c r="M172" i="17"/>
  <c r="V156" s="1"/>
  <c r="L172"/>
  <c r="U156" s="1"/>
  <c r="K172"/>
  <c r="T156" s="1"/>
  <c r="J172"/>
  <c r="S156" s="1"/>
  <c r="M171"/>
  <c r="V155" s="1"/>
  <c r="L171"/>
  <c r="U155" s="1"/>
  <c r="K171"/>
  <c r="T155" s="1"/>
  <c r="J171"/>
  <c r="S155" s="1"/>
  <c r="M170"/>
  <c r="V154" s="1"/>
  <c r="L170"/>
  <c r="U154" s="1"/>
  <c r="K170"/>
  <c r="T154" s="1"/>
  <c r="J170"/>
  <c r="S154" s="1"/>
  <c r="M169"/>
  <c r="V153" s="1"/>
  <c r="L169"/>
  <c r="U153" s="1"/>
  <c r="K169"/>
  <c r="T153" s="1"/>
  <c r="J169"/>
  <c r="S153" s="1"/>
  <c r="M168"/>
  <c r="V152" s="1"/>
  <c r="L168"/>
  <c r="U152" s="1"/>
  <c r="K168"/>
  <c r="T152" s="1"/>
  <c r="J168"/>
  <c r="S152" s="1"/>
  <c r="M167"/>
  <c r="V151" s="1"/>
  <c r="L167"/>
  <c r="U151" s="1"/>
  <c r="K167"/>
  <c r="T151" s="1"/>
  <c r="J167"/>
  <c r="S151" s="1"/>
  <c r="M166"/>
  <c r="V150" s="1"/>
  <c r="L166"/>
  <c r="U150" s="1"/>
  <c r="K166"/>
  <c r="T150" s="1"/>
  <c r="J166"/>
  <c r="S150" s="1"/>
  <c r="M165"/>
  <c r="V149" s="1"/>
  <c r="L165"/>
  <c r="U149" s="1"/>
  <c r="K165"/>
  <c r="T149" s="1"/>
  <c r="J165"/>
  <c r="S149" s="1"/>
  <c r="M164"/>
  <c r="V148" s="1"/>
  <c r="L164"/>
  <c r="U148" s="1"/>
  <c r="K164"/>
  <c r="T148" s="1"/>
  <c r="J164"/>
  <c r="S148" s="1"/>
  <c r="M163"/>
  <c r="V147" s="1"/>
  <c r="L163"/>
  <c r="U147" s="1"/>
  <c r="K163"/>
  <c r="T147" s="1"/>
  <c r="J163"/>
  <c r="S147" s="1"/>
  <c r="M162"/>
  <c r="V146" s="1"/>
  <c r="L162"/>
  <c r="U146" s="1"/>
  <c r="K162"/>
  <c r="T146" s="1"/>
  <c r="J162"/>
  <c r="S146" s="1"/>
  <c r="M161"/>
  <c r="V145" s="1"/>
  <c r="L161"/>
  <c r="U145" s="1"/>
  <c r="K161"/>
  <c r="T145" s="1"/>
  <c r="J161"/>
  <c r="S145" s="1"/>
  <c r="M160"/>
  <c r="V144" s="1"/>
  <c r="L160"/>
  <c r="U144" s="1"/>
  <c r="K160"/>
  <c r="T144" s="1"/>
  <c r="J160"/>
  <c r="S144" s="1"/>
  <c r="M159"/>
  <c r="V143" s="1"/>
  <c r="L159"/>
  <c r="U143" s="1"/>
  <c r="K159"/>
  <c r="T143" s="1"/>
  <c r="J159"/>
  <c r="S143" s="1"/>
  <c r="V158"/>
  <c r="U158"/>
  <c r="T158"/>
  <c r="S158"/>
  <c r="R158"/>
  <c r="Q158"/>
  <c r="P158"/>
  <c r="M158"/>
  <c r="V142" s="1"/>
  <c r="L158"/>
  <c r="U142" s="1"/>
  <c r="K158"/>
  <c r="T142" s="1"/>
  <c r="J158"/>
  <c r="S142" s="1"/>
  <c r="V157"/>
  <c r="U157"/>
  <c r="T157"/>
  <c r="S157"/>
  <c r="R157"/>
  <c r="Q157"/>
  <c r="P157"/>
  <c r="M157"/>
  <c r="V141" s="1"/>
  <c r="L157"/>
  <c r="U141" s="1"/>
  <c r="K157"/>
  <c r="T141" s="1"/>
  <c r="J157"/>
  <c r="S141" s="1"/>
  <c r="R156"/>
  <c r="Q156"/>
  <c r="P156"/>
  <c r="M156"/>
  <c r="V140" s="1"/>
  <c r="L156"/>
  <c r="U140" s="1"/>
  <c r="K156"/>
  <c r="T140" s="1"/>
  <c r="J156"/>
  <c r="S140" s="1"/>
  <c r="R155"/>
  <c r="Q155"/>
  <c r="P155"/>
  <c r="M155"/>
  <c r="V139" s="1"/>
  <c r="L155"/>
  <c r="U139" s="1"/>
  <c r="K155"/>
  <c r="T139" s="1"/>
  <c r="J155"/>
  <c r="S139" s="1"/>
  <c r="R154"/>
  <c r="Q154"/>
  <c r="P154"/>
  <c r="M154"/>
  <c r="V138" s="1"/>
  <c r="L154"/>
  <c r="U138" s="1"/>
  <c r="K154"/>
  <c r="T138" s="1"/>
  <c r="J154"/>
  <c r="S138" s="1"/>
  <c r="R153"/>
  <c r="Q153"/>
  <c r="P153"/>
  <c r="M153"/>
  <c r="V137" s="1"/>
  <c r="L153"/>
  <c r="U137" s="1"/>
  <c r="K153"/>
  <c r="T137" s="1"/>
  <c r="J153"/>
  <c r="S137" s="1"/>
  <c r="R152"/>
  <c r="Q152"/>
  <c r="P152"/>
  <c r="M152"/>
  <c r="V136" s="1"/>
  <c r="L152"/>
  <c r="U136" s="1"/>
  <c r="K152"/>
  <c r="T136" s="1"/>
  <c r="J152"/>
  <c r="S136" s="1"/>
  <c r="R151"/>
  <c r="Q151"/>
  <c r="P151"/>
  <c r="M151"/>
  <c r="V135" s="1"/>
  <c r="L151"/>
  <c r="U135" s="1"/>
  <c r="K151"/>
  <c r="T135" s="1"/>
  <c r="J151"/>
  <c r="S135" s="1"/>
  <c r="R150"/>
  <c r="Q150"/>
  <c r="P150"/>
  <c r="M150"/>
  <c r="V134" s="1"/>
  <c r="L150"/>
  <c r="U134" s="1"/>
  <c r="K150"/>
  <c r="T134" s="1"/>
  <c r="J150"/>
  <c r="S134" s="1"/>
  <c r="R149"/>
  <c r="Q149"/>
  <c r="P149"/>
  <c r="M149"/>
  <c r="V133" s="1"/>
  <c r="L149"/>
  <c r="U133" s="1"/>
  <c r="K149"/>
  <c r="T133" s="1"/>
  <c r="J149"/>
  <c r="S133" s="1"/>
  <c r="R148"/>
  <c r="Q148"/>
  <c r="P148"/>
  <c r="M148"/>
  <c r="V132" s="1"/>
  <c r="L148"/>
  <c r="U132" s="1"/>
  <c r="K148"/>
  <c r="T132" s="1"/>
  <c r="J148"/>
  <c r="S132" s="1"/>
  <c r="R147"/>
  <c r="Q147"/>
  <c r="P147"/>
  <c r="M147"/>
  <c r="L147"/>
  <c r="K147"/>
  <c r="J147"/>
  <c r="R146"/>
  <c r="Q146"/>
  <c r="P146"/>
  <c r="M146"/>
  <c r="L146"/>
  <c r="K146"/>
  <c r="J146"/>
  <c r="R145"/>
  <c r="Q145"/>
  <c r="P145"/>
  <c r="M145"/>
  <c r="L145"/>
  <c r="K145"/>
  <c r="J145"/>
  <c r="R144"/>
  <c r="Q144"/>
  <c r="P144"/>
  <c r="M144"/>
  <c r="L144"/>
  <c r="K144"/>
  <c r="J144"/>
  <c r="R143"/>
  <c r="Q143"/>
  <c r="P143"/>
  <c r="M143"/>
  <c r="L143"/>
  <c r="K143"/>
  <c r="J143"/>
  <c r="R142"/>
  <c r="Q142"/>
  <c r="P142"/>
  <c r="M142"/>
  <c r="L142"/>
  <c r="K142"/>
  <c r="J142"/>
  <c r="R141"/>
  <c r="Q141"/>
  <c r="P141"/>
  <c r="M141"/>
  <c r="L141"/>
  <c r="K141"/>
  <c r="J141"/>
  <c r="R140"/>
  <c r="Q140"/>
  <c r="P140"/>
  <c r="M140"/>
  <c r="L140"/>
  <c r="K140"/>
  <c r="J140"/>
  <c r="R139"/>
  <c r="Q139"/>
  <c r="P139"/>
  <c r="M139"/>
  <c r="L139"/>
  <c r="K139"/>
  <c r="J139"/>
  <c r="R138"/>
  <c r="Q138"/>
  <c r="P138"/>
  <c r="M138"/>
  <c r="L138"/>
  <c r="K138"/>
  <c r="J138"/>
  <c r="R137"/>
  <c r="Q137"/>
  <c r="P137"/>
  <c r="M137"/>
  <c r="L137"/>
  <c r="K137"/>
  <c r="J137"/>
  <c r="R136"/>
  <c r="Q136"/>
  <c r="P136"/>
  <c r="M136"/>
  <c r="L136"/>
  <c r="K136"/>
  <c r="J136"/>
  <c r="R135"/>
  <c r="Q135"/>
  <c r="P135"/>
  <c r="M135"/>
  <c r="V131" s="1"/>
  <c r="L135"/>
  <c r="U131" s="1"/>
  <c r="K135"/>
  <c r="T131" s="1"/>
  <c r="J135"/>
  <c r="S131" s="1"/>
  <c r="R134"/>
  <c r="Q134"/>
  <c r="P134"/>
  <c r="M134"/>
  <c r="V130" s="1"/>
  <c r="L134"/>
  <c r="U130" s="1"/>
  <c r="K134"/>
  <c r="T130" s="1"/>
  <c r="J134"/>
  <c r="S130" s="1"/>
  <c r="R133"/>
  <c r="Q133"/>
  <c r="P133"/>
  <c r="A133"/>
  <c r="Q129" s="1"/>
  <c r="R132"/>
  <c r="Q132"/>
  <c r="P132"/>
  <c r="A132"/>
  <c r="R131"/>
  <c r="Q131"/>
  <c r="A131"/>
  <c r="M131" s="1"/>
  <c r="V127" s="1"/>
  <c r="R130"/>
  <c r="Q130"/>
  <c r="A130"/>
  <c r="M130" s="1"/>
  <c r="V126" s="1"/>
  <c r="A129"/>
  <c r="Q125" s="1"/>
  <c r="A128"/>
  <c r="A127"/>
  <c r="M127" s="1"/>
  <c r="V123" s="1"/>
  <c r="A126"/>
  <c r="M126" s="1"/>
  <c r="V122" s="1"/>
  <c r="A125"/>
  <c r="Q121" s="1"/>
  <c r="A124"/>
  <c r="A123"/>
  <c r="M123" s="1"/>
  <c r="V119" s="1"/>
  <c r="A122"/>
  <c r="M122" s="1"/>
  <c r="V118" s="1"/>
  <c r="A121"/>
  <c r="M121" s="1"/>
  <c r="V117" s="1"/>
  <c r="M120"/>
  <c r="V116" s="1"/>
  <c r="L120"/>
  <c r="U116" s="1"/>
  <c r="K120"/>
  <c r="T116" s="1"/>
  <c r="J120"/>
  <c r="S116" s="1"/>
  <c r="M119"/>
  <c r="V115" s="1"/>
  <c r="L119"/>
  <c r="U115" s="1"/>
  <c r="K119"/>
  <c r="T115" s="1"/>
  <c r="J119"/>
  <c r="S115" s="1"/>
  <c r="M118"/>
  <c r="V114" s="1"/>
  <c r="L118"/>
  <c r="U114" s="1"/>
  <c r="K118"/>
  <c r="T114" s="1"/>
  <c r="J118"/>
  <c r="S114" s="1"/>
  <c r="M117"/>
  <c r="V113" s="1"/>
  <c r="L117"/>
  <c r="U113" s="1"/>
  <c r="K117"/>
  <c r="T113" s="1"/>
  <c r="J117"/>
  <c r="S113" s="1"/>
  <c r="R116"/>
  <c r="Q116"/>
  <c r="M116"/>
  <c r="L116"/>
  <c r="K116"/>
  <c r="J116"/>
  <c r="R115"/>
  <c r="Q115"/>
  <c r="M115"/>
  <c r="L115"/>
  <c r="K115"/>
  <c r="J115"/>
  <c r="R114"/>
  <c r="Q114"/>
  <c r="M114"/>
  <c r="L114"/>
  <c r="K114"/>
  <c r="J114"/>
  <c r="R113"/>
  <c r="Q113"/>
  <c r="M113"/>
  <c r="L113"/>
  <c r="K113"/>
  <c r="J113"/>
  <c r="A112"/>
  <c r="R112" s="1"/>
  <c r="A111"/>
  <c r="R111" s="1"/>
  <c r="A110"/>
  <c r="R110" s="1"/>
  <c r="A109"/>
  <c r="R109" s="1"/>
  <c r="A108"/>
  <c r="R108" s="1"/>
  <c r="A107"/>
  <c r="R107" s="1"/>
  <c r="A106"/>
  <c r="R106" s="1"/>
  <c r="A105"/>
  <c r="R105" s="1"/>
  <c r="A104"/>
  <c r="R104" s="1"/>
  <c r="A103"/>
  <c r="R103" s="1"/>
  <c r="A102"/>
  <c r="R102" s="1"/>
  <c r="A101"/>
  <c r="R101" s="1"/>
  <c r="A100"/>
  <c r="R100" s="1"/>
  <c r="A99"/>
  <c r="R99" s="1"/>
  <c r="A98"/>
  <c r="R98" s="1"/>
  <c r="A97"/>
  <c r="R97" s="1"/>
  <c r="A96"/>
  <c r="R96" s="1"/>
  <c r="A95"/>
  <c r="R95" s="1"/>
  <c r="A94"/>
  <c r="R94" s="1"/>
  <c r="A93"/>
  <c r="R93" s="1"/>
  <c r="A92"/>
  <c r="R92" s="1"/>
  <c r="A91"/>
  <c r="R91" s="1"/>
  <c r="A90"/>
  <c r="R90" s="1"/>
  <c r="A89"/>
  <c r="R89" s="1"/>
  <c r="A88"/>
  <c r="R88" s="1"/>
  <c r="A87"/>
  <c r="R87" s="1"/>
  <c r="A86"/>
  <c r="R86" s="1"/>
  <c r="A85"/>
  <c r="R85" s="1"/>
  <c r="A84"/>
  <c r="R84" s="1"/>
  <c r="A83"/>
  <c r="R83" s="1"/>
  <c r="A82"/>
  <c r="R82" s="1"/>
  <c r="A81"/>
  <c r="R81" s="1"/>
  <c r="A80"/>
  <c r="R80" s="1"/>
  <c r="A79"/>
  <c r="R79" s="1"/>
  <c r="A78"/>
  <c r="R78" s="1"/>
  <c r="A77"/>
  <c r="R77" s="1"/>
  <c r="A76"/>
  <c r="R76" s="1"/>
  <c r="A75"/>
  <c r="R75" s="1"/>
  <c r="A74"/>
  <c r="R74" s="1"/>
  <c r="A73"/>
  <c r="R73" s="1"/>
  <c r="A72"/>
  <c r="R72" s="1"/>
  <c r="A71"/>
  <c r="R71" s="1"/>
  <c r="A70"/>
  <c r="R70" s="1"/>
  <c r="A69"/>
  <c r="R69" s="1"/>
  <c r="A68"/>
  <c r="R68" s="1"/>
  <c r="A67"/>
  <c r="R67" s="1"/>
  <c r="A66"/>
  <c r="R66" s="1"/>
  <c r="A65"/>
  <c r="R65" s="1"/>
  <c r="A64"/>
  <c r="R64" s="1"/>
  <c r="A63"/>
  <c r="R63" s="1"/>
  <c r="A62"/>
  <c r="R62" s="1"/>
  <c r="A61"/>
  <c r="R61" s="1"/>
  <c r="A60"/>
  <c r="R60" s="1"/>
  <c r="A59"/>
  <c r="R59" s="1"/>
  <c r="A58"/>
  <c r="R58" s="1"/>
  <c r="A57"/>
  <c r="R57" s="1"/>
  <c r="A56"/>
  <c r="R56" s="1"/>
  <c r="A55"/>
  <c r="R55" s="1"/>
  <c r="A54"/>
  <c r="R54" s="1"/>
  <c r="A53"/>
  <c r="R53" s="1"/>
  <c r="A52"/>
  <c r="R52" s="1"/>
  <c r="A51"/>
  <c r="R51" s="1"/>
  <c r="A50"/>
  <c r="R50" s="1"/>
  <c r="A49"/>
  <c r="R49" s="1"/>
  <c r="A48"/>
  <c r="R48" s="1"/>
  <c r="A47"/>
  <c r="R47" s="1"/>
  <c r="A46"/>
  <c r="R46" s="1"/>
  <c r="A45"/>
  <c r="R45" s="1"/>
  <c r="A44"/>
  <c r="R44" s="1"/>
  <c r="A43"/>
  <c r="R43" s="1"/>
  <c r="A42"/>
  <c r="R42" s="1"/>
  <c r="A41"/>
  <c r="R41" s="1"/>
  <c r="A40"/>
  <c r="R40" s="1"/>
  <c r="A39"/>
  <c r="R39" s="1"/>
  <c r="A38"/>
  <c r="R38" s="1"/>
  <c r="A37"/>
  <c r="R37" s="1"/>
  <c r="A36"/>
  <c r="R36" s="1"/>
  <c r="A35"/>
  <c r="R35" s="1"/>
  <c r="A34"/>
  <c r="R34" s="1"/>
  <c r="A33"/>
  <c r="R33" s="1"/>
  <c r="A32"/>
  <c r="R32" s="1"/>
  <c r="A31"/>
  <c r="R31" s="1"/>
  <c r="A30"/>
  <c r="R30" s="1"/>
  <c r="A29"/>
  <c r="R29" s="1"/>
  <c r="A28"/>
  <c r="R28" s="1"/>
  <c r="A27"/>
  <c r="R27" s="1"/>
  <c r="A26"/>
  <c r="R26" s="1"/>
  <c r="A25"/>
  <c r="R25" s="1"/>
  <c r="A24"/>
  <c r="R24" s="1"/>
  <c r="A23"/>
  <c r="R23" s="1"/>
  <c r="A22"/>
  <c r="R22" s="1"/>
  <c r="A21"/>
  <c r="R21" s="1"/>
  <c r="A20"/>
  <c r="R20" s="1"/>
  <c r="A19"/>
  <c r="R19" s="1"/>
  <c r="A18"/>
  <c r="R18" s="1"/>
  <c r="A17"/>
  <c r="R17" s="1"/>
  <c r="A16"/>
  <c r="R16" s="1"/>
  <c r="A15"/>
  <c r="R15" s="1"/>
  <c r="A14"/>
  <c r="R14" s="1"/>
  <c r="A13"/>
  <c r="R13" s="1"/>
  <c r="A12"/>
  <c r="R12" s="1"/>
  <c r="A11"/>
  <c r="R11" s="1"/>
  <c r="A10"/>
  <c r="R10" s="1"/>
  <c r="A9"/>
  <c r="R9" s="1"/>
  <c r="A8"/>
  <c r="R8" s="1"/>
  <c r="A7"/>
  <c r="R7" s="1"/>
  <c r="C462" i="1"/>
  <c r="C463"/>
  <c r="Z462"/>
  <c r="AA462" s="1"/>
  <c r="Z463"/>
  <c r="AA463" s="1"/>
  <c r="AB462"/>
  <c r="AC462" s="1"/>
  <c r="AB463"/>
  <c r="AC463" s="1"/>
  <c r="C414"/>
  <c r="Z414"/>
  <c r="AA414" s="1"/>
  <c r="AB414"/>
  <c r="AC414" s="1"/>
  <c r="C413"/>
  <c r="Z413"/>
  <c r="AA413" s="1"/>
  <c r="AB413"/>
  <c r="AC413" s="1"/>
  <c r="C83"/>
  <c r="Z83"/>
  <c r="AA83" s="1"/>
  <c r="AB83" s="1"/>
  <c r="AC83" s="1"/>
  <c r="C365"/>
  <c r="Z365"/>
  <c r="AA365" s="1"/>
  <c r="AB365"/>
  <c r="AC365" s="1"/>
  <c r="C117"/>
  <c r="Z117"/>
  <c r="AA117" s="1"/>
  <c r="AB117" s="1"/>
  <c r="AC117" s="1"/>
  <c r="C74"/>
  <c r="Z74"/>
  <c r="AA74" s="1"/>
  <c r="AB74" s="1"/>
  <c r="AC74" s="1"/>
  <c r="C73"/>
  <c r="Z73"/>
  <c r="AA73" s="1"/>
  <c r="AB73" s="1"/>
  <c r="AC73" s="1"/>
  <c r="C271"/>
  <c r="Z271"/>
  <c r="AA271" s="1"/>
  <c r="AB271" s="1"/>
  <c r="AC271" s="1"/>
  <c r="C58"/>
  <c r="Z58"/>
  <c r="AA58" s="1"/>
  <c r="AB58" s="1"/>
  <c r="AC58" s="1"/>
  <c r="C57"/>
  <c r="Z57"/>
  <c r="AA57" s="1"/>
  <c r="AB57" s="1"/>
  <c r="AC57" s="1"/>
  <c r="C312"/>
  <c r="Z312"/>
  <c r="AA312" s="1"/>
  <c r="AB312" s="1"/>
  <c r="AC312" s="1"/>
  <c r="C517"/>
  <c r="C311"/>
  <c r="Z517"/>
  <c r="AA517" s="1"/>
  <c r="AB517" s="1"/>
  <c r="AC517" s="1"/>
  <c r="Z311"/>
  <c r="AA311" s="1"/>
  <c r="AB311" s="1"/>
  <c r="AC311" s="1"/>
  <c r="C472"/>
  <c r="Z472"/>
  <c r="AA472" s="1"/>
  <c r="AB472"/>
  <c r="AC472" s="1"/>
  <c r="C471"/>
  <c r="Z471"/>
  <c r="AA471" s="1"/>
  <c r="AB471"/>
  <c r="AC471" s="1"/>
  <c r="C504"/>
  <c r="Z504"/>
  <c r="AA504" s="1"/>
  <c r="AB504"/>
  <c r="AC504" s="1"/>
  <c r="C259"/>
  <c r="Z259"/>
  <c r="AA259" s="1"/>
  <c r="AB259" s="1"/>
  <c r="AC259" s="1"/>
  <c r="C97"/>
  <c r="Z97"/>
  <c r="AA97" s="1"/>
  <c r="AB97" s="1"/>
  <c r="AC97" s="1"/>
  <c r="C96"/>
  <c r="Z96"/>
  <c r="AA96" s="1"/>
  <c r="AB96" s="1"/>
  <c r="AC96" s="1"/>
  <c r="C492"/>
  <c r="Z492"/>
  <c r="AA492" s="1"/>
  <c r="AB492"/>
  <c r="AC492" s="1"/>
  <c r="C491"/>
  <c r="Z491"/>
  <c r="AA491" s="1"/>
  <c r="AB491"/>
  <c r="AC491" s="1"/>
  <c r="C155"/>
  <c r="Z155"/>
  <c r="AA155" s="1"/>
  <c r="AB155" s="1"/>
  <c r="AC155" s="1"/>
  <c r="C154"/>
  <c r="Z154"/>
  <c r="AA154" s="1"/>
  <c r="AB154" s="1"/>
  <c r="AC154" s="1"/>
  <c r="C152"/>
  <c r="Z152"/>
  <c r="AA152" s="1"/>
  <c r="AB152" s="1"/>
  <c r="AC152" s="1"/>
  <c r="C199"/>
  <c r="Z199"/>
  <c r="AA199" s="1"/>
  <c r="AB199" s="1"/>
  <c r="AC199" s="1"/>
  <c r="C77"/>
  <c r="Z77"/>
  <c r="AA77" s="1"/>
  <c r="AB77" s="1"/>
  <c r="AC77" s="1"/>
  <c r="C229"/>
  <c r="Z229"/>
  <c r="AA229" s="1"/>
  <c r="AB229" s="1"/>
  <c r="AC229" s="1"/>
  <c r="C470"/>
  <c r="Z470"/>
  <c r="AA470" s="1"/>
  <c r="AB470"/>
  <c r="AC470" s="1"/>
  <c r="C469"/>
  <c r="Z469"/>
  <c r="AA469" s="1"/>
  <c r="AB469"/>
  <c r="AC469" s="1"/>
  <c r="C468"/>
  <c r="Z468"/>
  <c r="AA468" s="1"/>
  <c r="AB468"/>
  <c r="AC468" s="1"/>
  <c r="C467"/>
  <c r="Z467"/>
  <c r="AA467" s="1"/>
  <c r="AB467"/>
  <c r="AC467" s="1"/>
  <c r="C160"/>
  <c r="Z160"/>
  <c r="AA160" s="1"/>
  <c r="AB160" s="1"/>
  <c r="AC160" s="1"/>
  <c r="C509"/>
  <c r="Z509"/>
  <c r="AA509" s="1"/>
  <c r="AB509"/>
  <c r="AC509" s="1"/>
  <c r="C65"/>
  <c r="Z65"/>
  <c r="AA65" s="1"/>
  <c r="AB65" s="1"/>
  <c r="AC65" s="1"/>
  <c r="C125"/>
  <c r="Z125"/>
  <c r="AA125" s="1"/>
  <c r="AB125" s="1"/>
  <c r="AC125" s="1"/>
  <c r="C124"/>
  <c r="Z124"/>
  <c r="AA124" s="1"/>
  <c r="AB124" s="1"/>
  <c r="AC124" s="1"/>
  <c r="C123"/>
  <c r="Z123"/>
  <c r="AA123" s="1"/>
  <c r="AB123" s="1"/>
  <c r="AC123" s="1"/>
  <c r="C286"/>
  <c r="Z286"/>
  <c r="AA286" s="1"/>
  <c r="AB286" s="1"/>
  <c r="AC286" s="1"/>
  <c r="C310"/>
  <c r="Z310"/>
  <c r="AA310" s="1"/>
  <c r="AB310" s="1"/>
  <c r="AC310" s="1"/>
  <c r="C309"/>
  <c r="Z309"/>
  <c r="AA309" s="1"/>
  <c r="AB309" s="1"/>
  <c r="AC309" s="1"/>
  <c r="C308"/>
  <c r="Z308"/>
  <c r="AA308" s="1"/>
  <c r="AB308" s="1"/>
  <c r="AC308" s="1"/>
  <c r="C111"/>
  <c r="Z111"/>
  <c r="AA111" s="1"/>
  <c r="AB111" s="1"/>
  <c r="C93"/>
  <c r="Z93"/>
  <c r="AA93" s="1"/>
  <c r="AB93" s="1"/>
  <c r="U39" i="18" l="1"/>
  <c r="S39"/>
  <c r="T42"/>
  <c r="T26"/>
  <c r="U16"/>
  <c r="T35"/>
  <c r="S36"/>
  <c r="U34"/>
  <c r="S101"/>
  <c r="S38"/>
  <c r="S75"/>
  <c r="T23"/>
  <c r="V31"/>
  <c r="T109"/>
  <c r="S10"/>
  <c r="U95"/>
  <c r="S61"/>
  <c r="S91"/>
  <c r="V81"/>
  <c r="S35"/>
  <c r="S65"/>
  <c r="V80"/>
  <c r="T25"/>
  <c r="T53"/>
  <c r="U20"/>
  <c r="V13"/>
  <c r="V36"/>
  <c r="S56"/>
  <c r="U23"/>
  <c r="V17"/>
  <c r="T16"/>
  <c r="S77"/>
  <c r="U31"/>
  <c r="U54"/>
  <c r="S82"/>
  <c r="S19"/>
  <c r="T81"/>
  <c r="T57"/>
  <c r="U70"/>
  <c r="S81"/>
  <c r="S51"/>
  <c r="T14"/>
  <c r="V102"/>
  <c r="T71"/>
  <c r="V33"/>
  <c r="U14"/>
  <c r="T12"/>
  <c r="T69"/>
  <c r="S97"/>
  <c r="S8"/>
  <c r="S107"/>
  <c r="T78"/>
  <c r="U40"/>
  <c r="T76"/>
  <c r="S94"/>
  <c r="V68"/>
  <c r="T13"/>
  <c r="U111"/>
  <c r="S41"/>
  <c r="U110"/>
  <c r="U48"/>
  <c r="T80"/>
  <c r="U44"/>
  <c r="U12"/>
  <c r="S96"/>
  <c r="T93"/>
  <c r="S46"/>
  <c r="S104"/>
  <c r="T48"/>
  <c r="U68"/>
  <c r="T88"/>
  <c r="T19"/>
  <c r="S88"/>
  <c r="S87"/>
  <c r="T10"/>
  <c r="U107"/>
  <c r="T86"/>
  <c r="U28"/>
  <c r="S53"/>
  <c r="S25"/>
  <c r="T73"/>
  <c r="V43"/>
  <c r="T41"/>
  <c r="V86"/>
  <c r="V22"/>
  <c r="U83"/>
  <c r="S92"/>
  <c r="T68"/>
  <c r="S66"/>
  <c r="T45"/>
  <c r="S108"/>
  <c r="S86"/>
  <c r="T63"/>
  <c r="T40"/>
  <c r="T89"/>
  <c r="T37"/>
  <c r="U82"/>
  <c r="S9"/>
  <c r="T100"/>
  <c r="S90"/>
  <c r="T102"/>
  <c r="S28"/>
  <c r="S109"/>
  <c r="S79"/>
  <c r="T106"/>
  <c r="T65"/>
  <c r="U52"/>
  <c r="S76"/>
  <c r="U47"/>
  <c r="S7"/>
  <c r="U46"/>
  <c r="U103"/>
  <c r="S110"/>
  <c r="V88"/>
  <c r="S62"/>
  <c r="S52"/>
  <c r="U66"/>
  <c r="U85"/>
  <c r="V67"/>
  <c r="V78"/>
  <c r="S103"/>
  <c r="T62"/>
  <c r="V85"/>
  <c r="V58"/>
  <c r="V71"/>
  <c r="V103"/>
  <c r="S95"/>
  <c r="U53"/>
  <c r="V30"/>
  <c r="V94"/>
  <c r="T32"/>
  <c r="T54"/>
  <c r="T18"/>
  <c r="S21"/>
  <c r="V44"/>
  <c r="V7"/>
  <c r="V73"/>
  <c r="T46"/>
  <c r="V56"/>
  <c r="V32"/>
  <c r="S14"/>
  <c r="T77"/>
  <c r="T55"/>
  <c r="V104"/>
  <c r="S18"/>
  <c r="S64"/>
  <c r="T11"/>
  <c r="V110"/>
  <c r="V105"/>
  <c r="V111"/>
  <c r="U49"/>
  <c r="U99"/>
  <c r="U86"/>
  <c r="V9"/>
  <c r="V72"/>
  <c r="T66"/>
  <c r="S26"/>
  <c r="U58"/>
  <c r="U8"/>
  <c r="V42"/>
  <c r="V50"/>
  <c r="U91"/>
  <c r="U88"/>
  <c r="U21"/>
  <c r="U13"/>
  <c r="S23"/>
  <c r="T50"/>
  <c r="V15"/>
  <c r="V87"/>
  <c r="U106"/>
  <c r="U29"/>
  <c r="U43"/>
  <c r="U27"/>
  <c r="U11"/>
  <c r="U19"/>
  <c r="V35"/>
  <c r="V46"/>
  <c r="U109"/>
  <c r="U24"/>
  <c r="V63"/>
  <c r="V10"/>
  <c r="T51"/>
  <c r="T83"/>
  <c r="S85"/>
  <c r="T108"/>
  <c r="V62"/>
  <c r="V101"/>
  <c r="V34"/>
  <c r="V45"/>
  <c r="S32"/>
  <c r="S12"/>
  <c r="U93"/>
  <c r="T39"/>
  <c r="S15"/>
  <c r="V52"/>
  <c r="T20"/>
  <c r="T94"/>
  <c r="V47"/>
  <c r="S17"/>
  <c r="U67"/>
  <c r="U80"/>
  <c r="S24"/>
  <c r="U77"/>
  <c r="S111"/>
  <c r="S43"/>
  <c r="U41"/>
  <c r="S73"/>
  <c r="S27"/>
  <c r="U55"/>
  <c r="S11"/>
  <c r="T104"/>
  <c r="T22"/>
  <c r="U75"/>
  <c r="T36"/>
  <c r="V69"/>
  <c r="T28"/>
  <c r="S70"/>
  <c r="U42"/>
  <c r="T103"/>
  <c r="U87"/>
  <c r="T79"/>
  <c r="T7"/>
  <c r="S42"/>
  <c r="S33"/>
  <c r="V26"/>
  <c r="U102"/>
  <c r="U79"/>
  <c r="S30"/>
  <c r="U33"/>
  <c r="V77"/>
  <c r="V106"/>
  <c r="T21"/>
  <c r="U18"/>
  <c r="V64"/>
  <c r="T59"/>
  <c r="U90"/>
  <c r="T87"/>
  <c r="V55"/>
  <c r="S45"/>
  <c r="U37"/>
  <c r="U32"/>
  <c r="T111"/>
  <c r="U97"/>
  <c r="S13"/>
  <c r="T74"/>
  <c r="V29"/>
  <c r="T29"/>
  <c r="S40"/>
  <c r="T60"/>
  <c r="S48"/>
  <c r="T38"/>
  <c r="S89"/>
  <c r="U60"/>
  <c r="S50"/>
  <c r="U25"/>
  <c r="U98"/>
  <c r="T9"/>
  <c r="T17"/>
  <c r="T58"/>
  <c r="S37"/>
  <c r="T96"/>
  <c r="S22"/>
  <c r="T82"/>
  <c r="U84"/>
  <c r="S83"/>
  <c r="S29"/>
  <c r="S47"/>
  <c r="T15"/>
  <c r="V66"/>
  <c r="S80"/>
  <c r="T75"/>
  <c r="T8"/>
  <c r="U108"/>
  <c r="S54"/>
  <c r="U73"/>
  <c r="S55"/>
  <c r="S20"/>
  <c r="V99"/>
  <c r="S68"/>
  <c r="U35"/>
  <c r="U100"/>
  <c r="T90"/>
  <c r="T95"/>
  <c r="T31"/>
  <c r="T101"/>
  <c r="S57"/>
  <c r="U30"/>
  <c r="U51"/>
  <c r="V28"/>
  <c r="T34"/>
  <c r="V100"/>
  <c r="S102"/>
  <c r="V79"/>
  <c r="S67"/>
  <c r="T56"/>
  <c r="V61"/>
  <c r="V91"/>
  <c r="V14"/>
  <c r="V53"/>
  <c r="U64"/>
  <c r="S58"/>
  <c r="T110"/>
  <c r="S69"/>
  <c r="S72"/>
  <c r="T44"/>
  <c r="U78"/>
  <c r="T98"/>
  <c r="T24"/>
  <c r="U22"/>
  <c r="S60"/>
  <c r="U45"/>
  <c r="T105"/>
  <c r="S99"/>
  <c r="S93"/>
  <c r="U72"/>
  <c r="S84"/>
  <c r="S16"/>
  <c r="V83"/>
  <c r="T92"/>
  <c r="U50"/>
  <c r="S78"/>
  <c r="U76"/>
  <c r="V65"/>
  <c r="V89"/>
  <c r="U96"/>
  <c r="V27"/>
  <c r="U57"/>
  <c r="H4" i="19"/>
  <c r="B8"/>
  <c r="B9" s="1"/>
  <c r="B10" s="1"/>
  <c r="B11" s="1"/>
  <c r="B12" s="1"/>
  <c r="B13" s="1"/>
  <c r="B14" s="1"/>
  <c r="B15" s="1"/>
  <c r="B16" s="1"/>
  <c r="B17" s="1"/>
  <c r="B18" s="1"/>
  <c r="B19" s="1"/>
  <c r="B20" s="1"/>
  <c r="B21" s="1"/>
  <c r="B22" s="1"/>
  <c r="B23" s="1"/>
  <c r="B24" s="1"/>
  <c r="B25" s="1"/>
  <c r="G4"/>
  <c r="I4" s="1"/>
  <c r="R119" i="17"/>
  <c r="R118"/>
  <c r="Q123"/>
  <c r="R117"/>
  <c r="R123"/>
  <c r="Q122"/>
  <c r="Q126"/>
  <c r="Q127"/>
  <c r="R126"/>
  <c r="C5" i="19"/>
  <c r="D5" s="1"/>
  <c r="E5" s="1"/>
  <c r="C6" s="1"/>
  <c r="D6" s="1"/>
  <c r="E6" s="1"/>
  <c r="R122" i="17"/>
  <c r="R127"/>
  <c r="Q119"/>
  <c r="AC390" i="1"/>
  <c r="AC258"/>
  <c r="AC269"/>
  <c r="AC164"/>
  <c r="AC203"/>
  <c r="AC181"/>
  <c r="AC277"/>
  <c r="AC121"/>
  <c r="AC455"/>
  <c r="AC362"/>
  <c r="AC361"/>
  <c r="AC379"/>
  <c r="M124" i="17"/>
  <c r="V120" s="1"/>
  <c r="Q120"/>
  <c r="R120"/>
  <c r="M132"/>
  <c r="V128" s="1"/>
  <c r="Q128"/>
  <c r="R128"/>
  <c r="M129"/>
  <c r="V125" s="1"/>
  <c r="R125"/>
  <c r="M133"/>
  <c r="V129" s="1"/>
  <c r="R129"/>
  <c r="M125"/>
  <c r="V121" s="1"/>
  <c r="R121"/>
  <c r="M128"/>
  <c r="V124" s="1"/>
  <c r="Q124"/>
  <c r="R124"/>
  <c r="Q117"/>
  <c r="Q118"/>
  <c r="AC93" i="1"/>
  <c r="AC111"/>
  <c r="J7" i="17"/>
  <c r="S7" s="1"/>
  <c r="K7"/>
  <c r="T7" s="1"/>
  <c r="L7"/>
  <c r="U7" s="1"/>
  <c r="M7"/>
  <c r="V7" s="1"/>
  <c r="Q7"/>
  <c r="J8"/>
  <c r="S8" s="1"/>
  <c r="K8"/>
  <c r="T8" s="1"/>
  <c r="L8"/>
  <c r="U8" s="1"/>
  <c r="M8"/>
  <c r="V8" s="1"/>
  <c r="Q8"/>
  <c r="J9"/>
  <c r="S9" s="1"/>
  <c r="K9"/>
  <c r="T9" s="1"/>
  <c r="L9"/>
  <c r="U9" s="1"/>
  <c r="M9"/>
  <c r="V9" s="1"/>
  <c r="Q9"/>
  <c r="J10"/>
  <c r="S10" s="1"/>
  <c r="K10"/>
  <c r="T10" s="1"/>
  <c r="L10"/>
  <c r="U10" s="1"/>
  <c r="M10"/>
  <c r="V10" s="1"/>
  <c r="Q10"/>
  <c r="J11"/>
  <c r="S11" s="1"/>
  <c r="K11"/>
  <c r="T11" s="1"/>
  <c r="L11"/>
  <c r="U11" s="1"/>
  <c r="M11"/>
  <c r="V11" s="1"/>
  <c r="Q11"/>
  <c r="J12"/>
  <c r="S12" s="1"/>
  <c r="K12"/>
  <c r="T12" s="1"/>
  <c r="L12"/>
  <c r="U12" s="1"/>
  <c r="M12"/>
  <c r="V12" s="1"/>
  <c r="Q12"/>
  <c r="J13"/>
  <c r="S13" s="1"/>
  <c r="K13"/>
  <c r="T13" s="1"/>
  <c r="L13"/>
  <c r="U13" s="1"/>
  <c r="M13"/>
  <c r="V13" s="1"/>
  <c r="Q13"/>
  <c r="J14"/>
  <c r="S14" s="1"/>
  <c r="K14"/>
  <c r="T14" s="1"/>
  <c r="L14"/>
  <c r="U14" s="1"/>
  <c r="M14"/>
  <c r="V14" s="1"/>
  <c r="Q14"/>
  <c r="J15"/>
  <c r="S15" s="1"/>
  <c r="K15"/>
  <c r="T15" s="1"/>
  <c r="L15"/>
  <c r="U15" s="1"/>
  <c r="M15"/>
  <c r="V15" s="1"/>
  <c r="Q15"/>
  <c r="J16"/>
  <c r="S16" s="1"/>
  <c r="K16"/>
  <c r="T16" s="1"/>
  <c r="L16"/>
  <c r="U16" s="1"/>
  <c r="M16"/>
  <c r="V16" s="1"/>
  <c r="Q16"/>
  <c r="J17"/>
  <c r="S17" s="1"/>
  <c r="K17"/>
  <c r="T17" s="1"/>
  <c r="L17"/>
  <c r="U17" s="1"/>
  <c r="M17"/>
  <c r="V17" s="1"/>
  <c r="Q17"/>
  <c r="J18"/>
  <c r="S18" s="1"/>
  <c r="K18"/>
  <c r="T18" s="1"/>
  <c r="L18"/>
  <c r="U18" s="1"/>
  <c r="M18"/>
  <c r="V18" s="1"/>
  <c r="Q18"/>
  <c r="J19"/>
  <c r="S19" s="1"/>
  <c r="K19"/>
  <c r="T19" s="1"/>
  <c r="L19"/>
  <c r="U19" s="1"/>
  <c r="M19"/>
  <c r="V19" s="1"/>
  <c r="Q19"/>
  <c r="J20"/>
  <c r="S20" s="1"/>
  <c r="K20"/>
  <c r="T20" s="1"/>
  <c r="L20"/>
  <c r="U20" s="1"/>
  <c r="M20"/>
  <c r="V20" s="1"/>
  <c r="Q20"/>
  <c r="J21"/>
  <c r="S21" s="1"/>
  <c r="K21"/>
  <c r="T21" s="1"/>
  <c r="L21"/>
  <c r="U21" s="1"/>
  <c r="M21"/>
  <c r="V21" s="1"/>
  <c r="Q21"/>
  <c r="J22"/>
  <c r="S22" s="1"/>
  <c r="K22"/>
  <c r="T22" s="1"/>
  <c r="L22"/>
  <c r="U22" s="1"/>
  <c r="M22"/>
  <c r="V22" s="1"/>
  <c r="Q22"/>
  <c r="J23"/>
  <c r="S23" s="1"/>
  <c r="K23"/>
  <c r="T23" s="1"/>
  <c r="L23"/>
  <c r="U23" s="1"/>
  <c r="M23"/>
  <c r="V23" s="1"/>
  <c r="Q23"/>
  <c r="J24"/>
  <c r="S24" s="1"/>
  <c r="K24"/>
  <c r="T24" s="1"/>
  <c r="L24"/>
  <c r="U24" s="1"/>
  <c r="M24"/>
  <c r="V24" s="1"/>
  <c r="Q24"/>
  <c r="J25"/>
  <c r="S25" s="1"/>
  <c r="K25"/>
  <c r="T25" s="1"/>
  <c r="L25"/>
  <c r="U25" s="1"/>
  <c r="M25"/>
  <c r="V25" s="1"/>
  <c r="Q25"/>
  <c r="J26"/>
  <c r="S26" s="1"/>
  <c r="K26"/>
  <c r="T26" s="1"/>
  <c r="L26"/>
  <c r="U26" s="1"/>
  <c r="M26"/>
  <c r="V26" s="1"/>
  <c r="Q26"/>
  <c r="J27"/>
  <c r="S27" s="1"/>
  <c r="K27"/>
  <c r="T27" s="1"/>
  <c r="L27"/>
  <c r="U27" s="1"/>
  <c r="M27"/>
  <c r="V27" s="1"/>
  <c r="Q27"/>
  <c r="J28"/>
  <c r="S28" s="1"/>
  <c r="K28"/>
  <c r="T28" s="1"/>
  <c r="L28"/>
  <c r="U28" s="1"/>
  <c r="M28"/>
  <c r="V28" s="1"/>
  <c r="Q28"/>
  <c r="J29"/>
  <c r="S29" s="1"/>
  <c r="K29"/>
  <c r="T29" s="1"/>
  <c r="L29"/>
  <c r="U29" s="1"/>
  <c r="M29"/>
  <c r="V29" s="1"/>
  <c r="Q29"/>
  <c r="J30"/>
  <c r="S30" s="1"/>
  <c r="K30"/>
  <c r="T30" s="1"/>
  <c r="L30"/>
  <c r="U30" s="1"/>
  <c r="M30"/>
  <c r="V30" s="1"/>
  <c r="Q30"/>
  <c r="J31"/>
  <c r="S31" s="1"/>
  <c r="K31"/>
  <c r="T31" s="1"/>
  <c r="L31"/>
  <c r="U31" s="1"/>
  <c r="M31"/>
  <c r="V31" s="1"/>
  <c r="Q31"/>
  <c r="J32"/>
  <c r="S32" s="1"/>
  <c r="K32"/>
  <c r="T32" s="1"/>
  <c r="L32"/>
  <c r="U32" s="1"/>
  <c r="M32"/>
  <c r="V32" s="1"/>
  <c r="Q32"/>
  <c r="J33"/>
  <c r="S33" s="1"/>
  <c r="K33"/>
  <c r="T33" s="1"/>
  <c r="L33"/>
  <c r="U33" s="1"/>
  <c r="M33"/>
  <c r="V33" s="1"/>
  <c r="Q33"/>
  <c r="J34"/>
  <c r="S34" s="1"/>
  <c r="K34"/>
  <c r="T34" s="1"/>
  <c r="L34"/>
  <c r="U34" s="1"/>
  <c r="M34"/>
  <c r="V34" s="1"/>
  <c r="Q34"/>
  <c r="J35"/>
  <c r="S35" s="1"/>
  <c r="K35"/>
  <c r="T35" s="1"/>
  <c r="L35"/>
  <c r="U35" s="1"/>
  <c r="M35"/>
  <c r="V35" s="1"/>
  <c r="Q35"/>
  <c r="J36"/>
  <c r="S36" s="1"/>
  <c r="K36"/>
  <c r="T36" s="1"/>
  <c r="L36"/>
  <c r="U36" s="1"/>
  <c r="M36"/>
  <c r="V36" s="1"/>
  <c r="Q36"/>
  <c r="J37"/>
  <c r="S37" s="1"/>
  <c r="K37"/>
  <c r="T37" s="1"/>
  <c r="L37"/>
  <c r="U37" s="1"/>
  <c r="M37"/>
  <c r="V37" s="1"/>
  <c r="Q37"/>
  <c r="J38"/>
  <c r="S38" s="1"/>
  <c r="K38"/>
  <c r="T38" s="1"/>
  <c r="L38"/>
  <c r="U38" s="1"/>
  <c r="M38"/>
  <c r="V38" s="1"/>
  <c r="Q38"/>
  <c r="J39"/>
  <c r="S39" s="1"/>
  <c r="K39"/>
  <c r="T39" s="1"/>
  <c r="L39"/>
  <c r="U39" s="1"/>
  <c r="M39"/>
  <c r="V39" s="1"/>
  <c r="Q39"/>
  <c r="J40"/>
  <c r="S40" s="1"/>
  <c r="K40"/>
  <c r="T40" s="1"/>
  <c r="L40"/>
  <c r="U40" s="1"/>
  <c r="M40"/>
  <c r="V40" s="1"/>
  <c r="Q40"/>
  <c r="J41"/>
  <c r="S41" s="1"/>
  <c r="K41"/>
  <c r="T41" s="1"/>
  <c r="L41"/>
  <c r="U41" s="1"/>
  <c r="M41"/>
  <c r="V41" s="1"/>
  <c r="Q41"/>
  <c r="J42"/>
  <c r="S42" s="1"/>
  <c r="K42"/>
  <c r="T42" s="1"/>
  <c r="L42"/>
  <c r="U42" s="1"/>
  <c r="M42"/>
  <c r="V42" s="1"/>
  <c r="Q42"/>
  <c r="J43"/>
  <c r="S43" s="1"/>
  <c r="K43"/>
  <c r="T43" s="1"/>
  <c r="L43"/>
  <c r="U43" s="1"/>
  <c r="M43"/>
  <c r="V43" s="1"/>
  <c r="Q43"/>
  <c r="J44"/>
  <c r="S44" s="1"/>
  <c r="K44"/>
  <c r="T44" s="1"/>
  <c r="L44"/>
  <c r="U44" s="1"/>
  <c r="M44"/>
  <c r="V44" s="1"/>
  <c r="Q44"/>
  <c r="J45"/>
  <c r="S45" s="1"/>
  <c r="K45"/>
  <c r="T45" s="1"/>
  <c r="L45"/>
  <c r="U45" s="1"/>
  <c r="M45"/>
  <c r="V45" s="1"/>
  <c r="Q45"/>
  <c r="J46"/>
  <c r="S46" s="1"/>
  <c r="K46"/>
  <c r="T46" s="1"/>
  <c r="L46"/>
  <c r="U46" s="1"/>
  <c r="M46"/>
  <c r="V46" s="1"/>
  <c r="Q46"/>
  <c r="J47"/>
  <c r="S47" s="1"/>
  <c r="K47"/>
  <c r="T47" s="1"/>
  <c r="L47"/>
  <c r="U47" s="1"/>
  <c r="M47"/>
  <c r="V47" s="1"/>
  <c r="Q47"/>
  <c r="J48"/>
  <c r="S48" s="1"/>
  <c r="K48"/>
  <c r="T48" s="1"/>
  <c r="L48"/>
  <c r="U48" s="1"/>
  <c r="M48"/>
  <c r="V48" s="1"/>
  <c r="Q48"/>
  <c r="J49"/>
  <c r="S49" s="1"/>
  <c r="K49"/>
  <c r="T49" s="1"/>
  <c r="L49"/>
  <c r="U49" s="1"/>
  <c r="M49"/>
  <c r="V49" s="1"/>
  <c r="Q49"/>
  <c r="J50"/>
  <c r="S50" s="1"/>
  <c r="K50"/>
  <c r="T50" s="1"/>
  <c r="L50"/>
  <c r="U50" s="1"/>
  <c r="M50"/>
  <c r="V50" s="1"/>
  <c r="Q50"/>
  <c r="J51"/>
  <c r="S51" s="1"/>
  <c r="K51"/>
  <c r="T51" s="1"/>
  <c r="L51"/>
  <c r="U51" s="1"/>
  <c r="M51"/>
  <c r="V51" s="1"/>
  <c r="Q51"/>
  <c r="J52"/>
  <c r="S52" s="1"/>
  <c r="K52"/>
  <c r="T52" s="1"/>
  <c r="L52"/>
  <c r="U52" s="1"/>
  <c r="M52"/>
  <c r="V52" s="1"/>
  <c r="Q52"/>
  <c r="J53"/>
  <c r="S53" s="1"/>
  <c r="K53"/>
  <c r="T53" s="1"/>
  <c r="L53"/>
  <c r="U53" s="1"/>
  <c r="M53"/>
  <c r="V53" s="1"/>
  <c r="Q53"/>
  <c r="J54"/>
  <c r="S54" s="1"/>
  <c r="K54"/>
  <c r="T54" s="1"/>
  <c r="L54"/>
  <c r="U54" s="1"/>
  <c r="M54"/>
  <c r="V54" s="1"/>
  <c r="Q54"/>
  <c r="J55"/>
  <c r="S55" s="1"/>
  <c r="K55"/>
  <c r="T55" s="1"/>
  <c r="L55"/>
  <c r="U55" s="1"/>
  <c r="M55"/>
  <c r="V55" s="1"/>
  <c r="Q55"/>
  <c r="J56"/>
  <c r="S56" s="1"/>
  <c r="K56"/>
  <c r="T56" s="1"/>
  <c r="L56"/>
  <c r="U56" s="1"/>
  <c r="M56"/>
  <c r="V56" s="1"/>
  <c r="Q56"/>
  <c r="J57"/>
  <c r="S57" s="1"/>
  <c r="K57"/>
  <c r="T57" s="1"/>
  <c r="L57"/>
  <c r="U57" s="1"/>
  <c r="M57"/>
  <c r="V57" s="1"/>
  <c r="Q57"/>
  <c r="J58"/>
  <c r="S58" s="1"/>
  <c r="K58"/>
  <c r="T58" s="1"/>
  <c r="L58"/>
  <c r="U58" s="1"/>
  <c r="M58"/>
  <c r="V58" s="1"/>
  <c r="Q58"/>
  <c r="J59"/>
  <c r="S59" s="1"/>
  <c r="K59"/>
  <c r="T59" s="1"/>
  <c r="L59"/>
  <c r="U59" s="1"/>
  <c r="M59"/>
  <c r="V59" s="1"/>
  <c r="Q59"/>
  <c r="J60"/>
  <c r="S60" s="1"/>
  <c r="K60"/>
  <c r="T60" s="1"/>
  <c r="L60"/>
  <c r="U60" s="1"/>
  <c r="M60"/>
  <c r="V60" s="1"/>
  <c r="Q60"/>
  <c r="J61"/>
  <c r="S61" s="1"/>
  <c r="K61"/>
  <c r="T61" s="1"/>
  <c r="L61"/>
  <c r="U61" s="1"/>
  <c r="M61"/>
  <c r="V61" s="1"/>
  <c r="Q61"/>
  <c r="J62"/>
  <c r="S62" s="1"/>
  <c r="K62"/>
  <c r="T62" s="1"/>
  <c r="L62"/>
  <c r="U62" s="1"/>
  <c r="M62"/>
  <c r="V62" s="1"/>
  <c r="Q62"/>
  <c r="J63"/>
  <c r="S63" s="1"/>
  <c r="K63"/>
  <c r="T63" s="1"/>
  <c r="L63"/>
  <c r="U63" s="1"/>
  <c r="M63"/>
  <c r="V63" s="1"/>
  <c r="Q63"/>
  <c r="J64"/>
  <c r="S64" s="1"/>
  <c r="K64"/>
  <c r="T64" s="1"/>
  <c r="L64"/>
  <c r="U64" s="1"/>
  <c r="M64"/>
  <c r="V64" s="1"/>
  <c r="Q64"/>
  <c r="J65"/>
  <c r="S65" s="1"/>
  <c r="K65"/>
  <c r="T65" s="1"/>
  <c r="L65"/>
  <c r="U65" s="1"/>
  <c r="M65"/>
  <c r="V65" s="1"/>
  <c r="Q65"/>
  <c r="J66"/>
  <c r="S66" s="1"/>
  <c r="K66"/>
  <c r="T66" s="1"/>
  <c r="L66"/>
  <c r="U66" s="1"/>
  <c r="M66"/>
  <c r="V66" s="1"/>
  <c r="Q66"/>
  <c r="J67"/>
  <c r="S67" s="1"/>
  <c r="K67"/>
  <c r="T67" s="1"/>
  <c r="L67"/>
  <c r="U67" s="1"/>
  <c r="M67"/>
  <c r="V67" s="1"/>
  <c r="Q67"/>
  <c r="J68"/>
  <c r="S68" s="1"/>
  <c r="K68"/>
  <c r="T68" s="1"/>
  <c r="L68"/>
  <c r="U68" s="1"/>
  <c r="M68"/>
  <c r="V68" s="1"/>
  <c r="Q68"/>
  <c r="J69"/>
  <c r="S69" s="1"/>
  <c r="K69"/>
  <c r="T69" s="1"/>
  <c r="L69"/>
  <c r="U69" s="1"/>
  <c r="M69"/>
  <c r="V69" s="1"/>
  <c r="Q69"/>
  <c r="J70"/>
  <c r="S70" s="1"/>
  <c r="K70"/>
  <c r="T70" s="1"/>
  <c r="L70"/>
  <c r="U70" s="1"/>
  <c r="M70"/>
  <c r="V70" s="1"/>
  <c r="Q70"/>
  <c r="J71"/>
  <c r="S71" s="1"/>
  <c r="K71"/>
  <c r="T71" s="1"/>
  <c r="L71"/>
  <c r="U71" s="1"/>
  <c r="M71"/>
  <c r="V71" s="1"/>
  <c r="Q71"/>
  <c r="J72"/>
  <c r="S72" s="1"/>
  <c r="K72"/>
  <c r="T72" s="1"/>
  <c r="L72"/>
  <c r="U72" s="1"/>
  <c r="M72"/>
  <c r="V72" s="1"/>
  <c r="Q72"/>
  <c r="J73"/>
  <c r="S73" s="1"/>
  <c r="K73"/>
  <c r="T73" s="1"/>
  <c r="L73"/>
  <c r="U73" s="1"/>
  <c r="M73"/>
  <c r="V73" s="1"/>
  <c r="Q73"/>
  <c r="J74"/>
  <c r="S74" s="1"/>
  <c r="K74"/>
  <c r="T74" s="1"/>
  <c r="L74"/>
  <c r="U74" s="1"/>
  <c r="M74"/>
  <c r="V74" s="1"/>
  <c r="Q74"/>
  <c r="J75"/>
  <c r="S75" s="1"/>
  <c r="K75"/>
  <c r="T75" s="1"/>
  <c r="L75"/>
  <c r="U75" s="1"/>
  <c r="M75"/>
  <c r="V75" s="1"/>
  <c r="Q75"/>
  <c r="J76"/>
  <c r="S76" s="1"/>
  <c r="K76"/>
  <c r="T76" s="1"/>
  <c r="L76"/>
  <c r="U76" s="1"/>
  <c r="M76"/>
  <c r="V76" s="1"/>
  <c r="Q76"/>
  <c r="J77"/>
  <c r="S77" s="1"/>
  <c r="K77"/>
  <c r="T77" s="1"/>
  <c r="L77"/>
  <c r="U77" s="1"/>
  <c r="M77"/>
  <c r="V77" s="1"/>
  <c r="Q77"/>
  <c r="J78"/>
  <c r="S78" s="1"/>
  <c r="K78"/>
  <c r="T78" s="1"/>
  <c r="L78"/>
  <c r="U78" s="1"/>
  <c r="M78"/>
  <c r="V78" s="1"/>
  <c r="Q78"/>
  <c r="J79"/>
  <c r="S79" s="1"/>
  <c r="K79"/>
  <c r="T79" s="1"/>
  <c r="L79"/>
  <c r="U79" s="1"/>
  <c r="M79"/>
  <c r="V79" s="1"/>
  <c r="Q79"/>
  <c r="J80"/>
  <c r="S80" s="1"/>
  <c r="K80"/>
  <c r="T80" s="1"/>
  <c r="L80"/>
  <c r="U80" s="1"/>
  <c r="M80"/>
  <c r="V80" s="1"/>
  <c r="Q80"/>
  <c r="J81"/>
  <c r="S81" s="1"/>
  <c r="K81"/>
  <c r="T81" s="1"/>
  <c r="L81"/>
  <c r="U81" s="1"/>
  <c r="M81"/>
  <c r="V81" s="1"/>
  <c r="Q81"/>
  <c r="J82"/>
  <c r="S82" s="1"/>
  <c r="K82"/>
  <c r="T82" s="1"/>
  <c r="L82"/>
  <c r="U82" s="1"/>
  <c r="M82"/>
  <c r="V82" s="1"/>
  <c r="Q82"/>
  <c r="J83"/>
  <c r="S83" s="1"/>
  <c r="K83"/>
  <c r="T83" s="1"/>
  <c r="L83"/>
  <c r="U83" s="1"/>
  <c r="M83"/>
  <c r="V83" s="1"/>
  <c r="Q83"/>
  <c r="J84"/>
  <c r="S84" s="1"/>
  <c r="K84"/>
  <c r="T84" s="1"/>
  <c r="L84"/>
  <c r="U84" s="1"/>
  <c r="M84"/>
  <c r="V84" s="1"/>
  <c r="Q84"/>
  <c r="J85"/>
  <c r="S85" s="1"/>
  <c r="K85"/>
  <c r="T85" s="1"/>
  <c r="L85"/>
  <c r="U85" s="1"/>
  <c r="M85"/>
  <c r="V85" s="1"/>
  <c r="Q85"/>
  <c r="J86"/>
  <c r="S86" s="1"/>
  <c r="K86"/>
  <c r="T86" s="1"/>
  <c r="L86"/>
  <c r="U86" s="1"/>
  <c r="M86"/>
  <c r="V86" s="1"/>
  <c r="Q86"/>
  <c r="J87"/>
  <c r="S87" s="1"/>
  <c r="K87"/>
  <c r="T87" s="1"/>
  <c r="L87"/>
  <c r="U87" s="1"/>
  <c r="M87"/>
  <c r="V87" s="1"/>
  <c r="Q87"/>
  <c r="J88"/>
  <c r="S88" s="1"/>
  <c r="K88"/>
  <c r="T88" s="1"/>
  <c r="L88"/>
  <c r="U88" s="1"/>
  <c r="M88"/>
  <c r="V88" s="1"/>
  <c r="Q88"/>
  <c r="J89"/>
  <c r="S89" s="1"/>
  <c r="K89"/>
  <c r="T89" s="1"/>
  <c r="L89"/>
  <c r="U89" s="1"/>
  <c r="M89"/>
  <c r="V89" s="1"/>
  <c r="Q89"/>
  <c r="J90"/>
  <c r="S90" s="1"/>
  <c r="K90"/>
  <c r="T90" s="1"/>
  <c r="L90"/>
  <c r="U90" s="1"/>
  <c r="M90"/>
  <c r="V90" s="1"/>
  <c r="Q90"/>
  <c r="J91"/>
  <c r="S91" s="1"/>
  <c r="K91"/>
  <c r="T91" s="1"/>
  <c r="L91"/>
  <c r="U91" s="1"/>
  <c r="M91"/>
  <c r="V91" s="1"/>
  <c r="Q91"/>
  <c r="J92"/>
  <c r="S92" s="1"/>
  <c r="K92"/>
  <c r="T92" s="1"/>
  <c r="L92"/>
  <c r="U92" s="1"/>
  <c r="M92"/>
  <c r="V92" s="1"/>
  <c r="Q92"/>
  <c r="J93"/>
  <c r="S93" s="1"/>
  <c r="K93"/>
  <c r="T93" s="1"/>
  <c r="L93"/>
  <c r="U93" s="1"/>
  <c r="M93"/>
  <c r="V93" s="1"/>
  <c r="Q93"/>
  <c r="J94"/>
  <c r="S94" s="1"/>
  <c r="K94"/>
  <c r="T94" s="1"/>
  <c r="L94"/>
  <c r="U94" s="1"/>
  <c r="M94"/>
  <c r="V94" s="1"/>
  <c r="Q94"/>
  <c r="J95"/>
  <c r="S95" s="1"/>
  <c r="K95"/>
  <c r="T95" s="1"/>
  <c r="L95"/>
  <c r="U95" s="1"/>
  <c r="M95"/>
  <c r="V95" s="1"/>
  <c r="Q95"/>
  <c r="J96"/>
  <c r="S96" s="1"/>
  <c r="K96"/>
  <c r="T96" s="1"/>
  <c r="L96"/>
  <c r="U96" s="1"/>
  <c r="M96"/>
  <c r="V96" s="1"/>
  <c r="Q96"/>
  <c r="J97"/>
  <c r="S97" s="1"/>
  <c r="K97"/>
  <c r="T97" s="1"/>
  <c r="L97"/>
  <c r="U97" s="1"/>
  <c r="M97"/>
  <c r="V97" s="1"/>
  <c r="Q97"/>
  <c r="J98"/>
  <c r="S98" s="1"/>
  <c r="K98"/>
  <c r="T98" s="1"/>
  <c r="L98"/>
  <c r="U98" s="1"/>
  <c r="M98"/>
  <c r="V98" s="1"/>
  <c r="Q98"/>
  <c r="J99"/>
  <c r="S99" s="1"/>
  <c r="K99"/>
  <c r="T99" s="1"/>
  <c r="L99"/>
  <c r="U99" s="1"/>
  <c r="M99"/>
  <c r="V99" s="1"/>
  <c r="Q99"/>
  <c r="J100"/>
  <c r="S100" s="1"/>
  <c r="K100"/>
  <c r="T100" s="1"/>
  <c r="L100"/>
  <c r="U100" s="1"/>
  <c r="M100"/>
  <c r="V100" s="1"/>
  <c r="Q100"/>
  <c r="J101"/>
  <c r="S101" s="1"/>
  <c r="K101"/>
  <c r="T101" s="1"/>
  <c r="L101"/>
  <c r="U101" s="1"/>
  <c r="M101"/>
  <c r="V101" s="1"/>
  <c r="Q101"/>
  <c r="J102"/>
  <c r="S102" s="1"/>
  <c r="K102"/>
  <c r="T102" s="1"/>
  <c r="L102"/>
  <c r="U102" s="1"/>
  <c r="M102"/>
  <c r="V102" s="1"/>
  <c r="Q102"/>
  <c r="J103"/>
  <c r="S103" s="1"/>
  <c r="K103"/>
  <c r="T103" s="1"/>
  <c r="L103"/>
  <c r="U103" s="1"/>
  <c r="M103"/>
  <c r="V103" s="1"/>
  <c r="Q103"/>
  <c r="J104"/>
  <c r="S104" s="1"/>
  <c r="K104"/>
  <c r="T104" s="1"/>
  <c r="L104"/>
  <c r="U104" s="1"/>
  <c r="M104"/>
  <c r="V104" s="1"/>
  <c r="Q104"/>
  <c r="J105"/>
  <c r="S105" s="1"/>
  <c r="K105"/>
  <c r="T105" s="1"/>
  <c r="L105"/>
  <c r="U105" s="1"/>
  <c r="M105"/>
  <c r="V105" s="1"/>
  <c r="Q105"/>
  <c r="J106"/>
  <c r="S106" s="1"/>
  <c r="K106"/>
  <c r="T106" s="1"/>
  <c r="L106"/>
  <c r="U106" s="1"/>
  <c r="M106"/>
  <c r="V106" s="1"/>
  <c r="Q106"/>
  <c r="J107"/>
  <c r="S107" s="1"/>
  <c r="K107"/>
  <c r="T107" s="1"/>
  <c r="L107"/>
  <c r="U107" s="1"/>
  <c r="M107"/>
  <c r="V107" s="1"/>
  <c r="Q107"/>
  <c r="J108"/>
  <c r="S108" s="1"/>
  <c r="K108"/>
  <c r="T108" s="1"/>
  <c r="L108"/>
  <c r="U108" s="1"/>
  <c r="M108"/>
  <c r="V108" s="1"/>
  <c r="Q108"/>
  <c r="J109"/>
  <c r="S109" s="1"/>
  <c r="K109"/>
  <c r="T109" s="1"/>
  <c r="L109"/>
  <c r="U109" s="1"/>
  <c r="M109"/>
  <c r="V109" s="1"/>
  <c r="Q109"/>
  <c r="J110"/>
  <c r="S110" s="1"/>
  <c r="K110"/>
  <c r="T110" s="1"/>
  <c r="L110"/>
  <c r="U110" s="1"/>
  <c r="M110"/>
  <c r="V110" s="1"/>
  <c r="Q110"/>
  <c r="J111"/>
  <c r="S111" s="1"/>
  <c r="K111"/>
  <c r="T111" s="1"/>
  <c r="L111"/>
  <c r="U111" s="1"/>
  <c r="M111"/>
  <c r="V111" s="1"/>
  <c r="Q111"/>
  <c r="J112"/>
  <c r="S112" s="1"/>
  <c r="K112"/>
  <c r="T112" s="1"/>
  <c r="L112"/>
  <c r="U112" s="1"/>
  <c r="M112"/>
  <c r="V112" s="1"/>
  <c r="Q112"/>
  <c r="J121"/>
  <c r="S117" s="1"/>
  <c r="K121"/>
  <c r="T117" s="1"/>
  <c r="L121"/>
  <c r="U117" s="1"/>
  <c r="J122"/>
  <c r="S118" s="1"/>
  <c r="K122"/>
  <c r="T118" s="1"/>
  <c r="L122"/>
  <c r="U118" s="1"/>
  <c r="J123"/>
  <c r="S119" s="1"/>
  <c r="K123"/>
  <c r="T119" s="1"/>
  <c r="L123"/>
  <c r="U119" s="1"/>
  <c r="J124"/>
  <c r="S120" s="1"/>
  <c r="K124"/>
  <c r="T120" s="1"/>
  <c r="L124"/>
  <c r="U120" s="1"/>
  <c r="J125"/>
  <c r="S121" s="1"/>
  <c r="K125"/>
  <c r="T121" s="1"/>
  <c r="L125"/>
  <c r="U121" s="1"/>
  <c r="J126"/>
  <c r="S122" s="1"/>
  <c r="K126"/>
  <c r="T122" s="1"/>
  <c r="L126"/>
  <c r="U122" s="1"/>
  <c r="J127"/>
  <c r="S123" s="1"/>
  <c r="K127"/>
  <c r="T123" s="1"/>
  <c r="L127"/>
  <c r="U123" s="1"/>
  <c r="J128"/>
  <c r="S124" s="1"/>
  <c r="K128"/>
  <c r="T124" s="1"/>
  <c r="L128"/>
  <c r="U124" s="1"/>
  <c r="J129"/>
  <c r="S125" s="1"/>
  <c r="K129"/>
  <c r="T125" s="1"/>
  <c r="L129"/>
  <c r="U125" s="1"/>
  <c r="J130"/>
  <c r="S126" s="1"/>
  <c r="K130"/>
  <c r="T126" s="1"/>
  <c r="L130"/>
  <c r="U126" s="1"/>
  <c r="J131"/>
  <c r="S127" s="1"/>
  <c r="K131"/>
  <c r="T127" s="1"/>
  <c r="L131"/>
  <c r="U127" s="1"/>
  <c r="J132"/>
  <c r="S128" s="1"/>
  <c r="K132"/>
  <c r="T128" s="1"/>
  <c r="L132"/>
  <c r="U128" s="1"/>
  <c r="J133"/>
  <c r="S129" s="1"/>
  <c r="K133"/>
  <c r="T129" s="1"/>
  <c r="L133"/>
  <c r="U129" s="1"/>
  <c r="C6" i="1"/>
  <c r="Z6"/>
  <c r="AA6" s="1"/>
  <c r="AB6" s="1"/>
  <c r="BA96" l="1"/>
  <c r="BA86"/>
  <c r="BA414"/>
  <c r="BA465"/>
  <c r="BA274"/>
  <c r="BA100"/>
  <c r="BA291"/>
  <c r="BA81"/>
  <c r="BA429"/>
  <c r="BA487"/>
  <c r="BA246"/>
  <c r="BA457"/>
  <c r="BA126"/>
  <c r="BA138"/>
  <c r="BA323"/>
  <c r="BA501"/>
  <c r="BA222"/>
  <c r="BA479"/>
  <c r="BA389"/>
  <c r="BA383"/>
  <c r="BA428"/>
  <c r="BA237"/>
  <c r="BA145"/>
  <c r="BA197"/>
  <c r="BA340"/>
  <c r="BA127"/>
  <c r="BA458"/>
  <c r="BA382"/>
  <c r="BA139"/>
  <c r="BA324"/>
  <c r="BA502"/>
  <c r="BA223"/>
  <c r="BA427"/>
  <c r="BA480"/>
  <c r="BA177"/>
  <c r="BA388"/>
  <c r="BA62"/>
  <c r="BA169"/>
  <c r="BA451"/>
  <c r="BA144"/>
  <c r="BA304"/>
  <c r="BA75"/>
  <c r="BA136"/>
  <c r="BA84"/>
  <c r="BA375"/>
  <c r="BA402"/>
  <c r="BA181"/>
  <c r="BA220"/>
  <c r="AZ458"/>
  <c r="AZ382"/>
  <c r="AZ139"/>
  <c r="AZ324"/>
  <c r="AZ479"/>
  <c r="AZ177"/>
  <c r="AZ383"/>
  <c r="AZ388"/>
  <c r="AZ427"/>
  <c r="AZ480"/>
  <c r="AZ502"/>
  <c r="AZ144"/>
  <c r="AZ223"/>
  <c r="AZ340"/>
  <c r="AZ389"/>
  <c r="AZ127"/>
  <c r="AZ246"/>
  <c r="AZ169"/>
  <c r="AZ145"/>
  <c r="AZ451"/>
  <c r="AZ197"/>
  <c r="AZ428"/>
  <c r="AZ237"/>
  <c r="AZ457"/>
  <c r="AZ126"/>
  <c r="AZ138"/>
  <c r="AZ323"/>
  <c r="AZ501"/>
  <c r="AZ62"/>
  <c r="AZ222"/>
  <c r="BA149"/>
  <c r="BA151"/>
  <c r="BA483"/>
  <c r="BA229"/>
  <c r="BA43"/>
  <c r="BA264"/>
  <c r="BA279"/>
  <c r="BA260"/>
  <c r="BA57"/>
  <c r="BA135"/>
  <c r="BA4"/>
  <c r="BA2"/>
  <c r="BA18"/>
  <c r="BA409"/>
  <c r="BA257"/>
  <c r="BA300"/>
  <c r="BA307"/>
  <c r="BA463"/>
  <c r="BA65"/>
  <c r="BA443"/>
  <c r="BA510"/>
  <c r="BA309"/>
  <c r="BA261"/>
  <c r="BA286"/>
  <c r="BA492"/>
  <c r="BA472"/>
  <c r="BA39"/>
  <c r="BA440"/>
  <c r="BA106"/>
  <c r="BA35"/>
  <c r="BA189"/>
  <c r="BA193"/>
  <c r="BA359"/>
  <c r="BA334"/>
  <c r="BA211"/>
  <c r="BA296"/>
  <c r="BA283"/>
  <c r="BA285"/>
  <c r="BA391"/>
  <c r="BA460"/>
  <c r="BA301"/>
  <c r="BA360"/>
  <c r="BA335"/>
  <c r="BA295"/>
  <c r="BA302"/>
  <c r="BA459"/>
  <c r="BA282"/>
  <c r="BA284"/>
  <c r="BA29"/>
  <c r="BA59"/>
  <c r="BA103"/>
  <c r="BA27"/>
  <c r="BA41"/>
  <c r="BA444"/>
  <c r="BA507"/>
  <c r="BA133"/>
  <c r="BA123"/>
  <c r="BA411"/>
  <c r="BA470"/>
  <c r="BA473"/>
  <c r="BA203"/>
  <c r="BA341"/>
  <c r="BA268"/>
  <c r="AZ193"/>
  <c r="AZ360"/>
  <c r="AZ295"/>
  <c r="AZ283"/>
  <c r="AZ391"/>
  <c r="AZ224"/>
  <c r="AZ329"/>
  <c r="AZ478"/>
  <c r="AZ115"/>
  <c r="AZ357"/>
  <c r="AZ38"/>
  <c r="AZ368"/>
  <c r="AZ198"/>
  <c r="AZ215"/>
  <c r="AZ453"/>
  <c r="AZ381"/>
  <c r="AZ425"/>
  <c r="AZ90"/>
  <c r="AZ363"/>
  <c r="AZ485"/>
  <c r="AZ79"/>
  <c r="AZ418"/>
  <c r="AZ397"/>
  <c r="AZ352"/>
  <c r="AZ254"/>
  <c r="AZ404"/>
  <c r="AZ359"/>
  <c r="AZ211"/>
  <c r="AZ301"/>
  <c r="AZ313"/>
  <c r="AZ116"/>
  <c r="AZ358"/>
  <c r="AZ101"/>
  <c r="AZ174"/>
  <c r="AZ366"/>
  <c r="AZ179"/>
  <c r="AZ319"/>
  <c r="AZ454"/>
  <c r="AZ326"/>
  <c r="AZ495"/>
  <c r="AZ426"/>
  <c r="AZ499"/>
  <c r="AZ364"/>
  <c r="AZ450"/>
  <c r="AZ63"/>
  <c r="AZ498"/>
  <c r="AZ85"/>
  <c r="AZ80"/>
  <c r="AZ104"/>
  <c r="AZ335"/>
  <c r="AZ302"/>
  <c r="AZ284"/>
  <c r="AZ314"/>
  <c r="AZ272"/>
  <c r="AZ506"/>
  <c r="AZ505"/>
  <c r="AZ464"/>
  <c r="AZ350"/>
  <c r="AZ175"/>
  <c r="AZ367"/>
  <c r="AZ320"/>
  <c r="AZ327"/>
  <c r="AZ496"/>
  <c r="AZ212"/>
  <c r="AZ141"/>
  <c r="AZ128"/>
  <c r="AZ142"/>
  <c r="AZ299"/>
  <c r="AZ187"/>
  <c r="AZ81"/>
  <c r="AZ192"/>
  <c r="AZ405"/>
  <c r="AZ334"/>
  <c r="AZ296"/>
  <c r="AZ282"/>
  <c r="AZ460"/>
  <c r="AZ459"/>
  <c r="AZ285"/>
  <c r="AZ194"/>
  <c r="AZ477"/>
  <c r="AZ519"/>
  <c r="AZ95"/>
  <c r="AZ176"/>
  <c r="AZ167"/>
  <c r="AZ321"/>
  <c r="AZ380"/>
  <c r="AZ497"/>
  <c r="AZ268"/>
  <c r="AZ234"/>
  <c r="AZ267"/>
  <c r="AZ217"/>
  <c r="AZ132"/>
  <c r="AZ300"/>
  <c r="AZ396"/>
  <c r="AZ395"/>
  <c r="AZ351"/>
  <c r="AZ253"/>
  <c r="BA137"/>
  <c r="BA372"/>
  <c r="BA466"/>
  <c r="BA156"/>
  <c r="BA221"/>
  <c r="BA226"/>
  <c r="BA252"/>
  <c r="BA9"/>
  <c r="BA147"/>
  <c r="BA52"/>
  <c r="BA439"/>
  <c r="BA99"/>
  <c r="BA11"/>
  <c r="BA161"/>
  <c r="BA16"/>
  <c r="BA337"/>
  <c r="BA242"/>
  <c r="BA195"/>
  <c r="BA148"/>
  <c r="BA108"/>
  <c r="BA150"/>
  <c r="BA102"/>
  <c r="BA445"/>
  <c r="BA206"/>
  <c r="BA317"/>
  <c r="BA294"/>
  <c r="BA245"/>
  <c r="BA178"/>
  <c r="BA461"/>
  <c r="BA248"/>
  <c r="BA119"/>
  <c r="BA498"/>
  <c r="BA456"/>
  <c r="BA499"/>
  <c r="BA343"/>
  <c r="BA58"/>
  <c r="BA412"/>
  <c r="BA153"/>
  <c r="BA199"/>
  <c r="BA7"/>
  <c r="BA415"/>
  <c r="BA24"/>
  <c r="BA185"/>
  <c r="BA73"/>
  <c r="BA218"/>
  <c r="BA122"/>
  <c r="BA354"/>
  <c r="BA508"/>
  <c r="BA44"/>
  <c r="BA269"/>
  <c r="BA231"/>
  <c r="BA306"/>
  <c r="BA182"/>
  <c r="BA462"/>
  <c r="BA438"/>
  <c r="BA271"/>
  <c r="BA288"/>
  <c r="BA488"/>
  <c r="BA423"/>
  <c r="BA515"/>
  <c r="BA468"/>
  <c r="BA328"/>
  <c r="BA47"/>
  <c r="BA420"/>
  <c r="BA338"/>
  <c r="BA405"/>
  <c r="BA396"/>
  <c r="BA418"/>
  <c r="BA212"/>
  <c r="BA90"/>
  <c r="BA6"/>
  <c r="BA69"/>
  <c r="BA210"/>
  <c r="BA434"/>
  <c r="BA455"/>
  <c r="BA110"/>
  <c r="BA258"/>
  <c r="BA77"/>
  <c r="BA240"/>
  <c r="BA379"/>
  <c r="BA20"/>
  <c r="BA56"/>
  <c r="BA471"/>
  <c r="BA424"/>
  <c r="BA349"/>
  <c r="BA134"/>
  <c r="BA82"/>
  <c r="BA469"/>
  <c r="BA186"/>
  <c r="BA140"/>
  <c r="BA238"/>
  <c r="BA277"/>
  <c r="BA250"/>
  <c r="BA164"/>
  <c r="BA87"/>
  <c r="BA83"/>
  <c r="BA50"/>
  <c r="BA191"/>
  <c r="BA275"/>
  <c r="BA208"/>
  <c r="BA214"/>
  <c r="BA236"/>
  <c r="BA390"/>
  <c r="BA262"/>
  <c r="BA416"/>
  <c r="BA448"/>
  <c r="BA25"/>
  <c r="BA10"/>
  <c r="BA370"/>
  <c r="BA393"/>
  <c r="BA74"/>
  <c r="BA53"/>
  <c r="BA219"/>
  <c r="BA401"/>
  <c r="BA482"/>
  <c r="BA442"/>
  <c r="BA265"/>
  <c r="BA273"/>
  <c r="BA88"/>
  <c r="BA509"/>
  <c r="BA40"/>
  <c r="BA280"/>
  <c r="BA45"/>
  <c r="BA308"/>
  <c r="BA407"/>
  <c r="BA48"/>
  <c r="BA298"/>
  <c r="BA400"/>
  <c r="BA385"/>
  <c r="BA398"/>
  <c r="BA78"/>
  <c r="BA254"/>
  <c r="BA397"/>
  <c r="BA79"/>
  <c r="BA313"/>
  <c r="BA506"/>
  <c r="BA101"/>
  <c r="BA174"/>
  <c r="BA366"/>
  <c r="BA321"/>
  <c r="BA381"/>
  <c r="BA425"/>
  <c r="BA224"/>
  <c r="BA314"/>
  <c r="BA478"/>
  <c r="BA272"/>
  <c r="BA116"/>
  <c r="BA519"/>
  <c r="BA358"/>
  <c r="BA350"/>
  <c r="BA175"/>
  <c r="BA367"/>
  <c r="BA453"/>
  <c r="BA326"/>
  <c r="BA495"/>
  <c r="BA426"/>
  <c r="BA329"/>
  <c r="BA95"/>
  <c r="BA176"/>
  <c r="BA167"/>
  <c r="BA215"/>
  <c r="BA319"/>
  <c r="BA454"/>
  <c r="BA327"/>
  <c r="BA496"/>
  <c r="BA194"/>
  <c r="BA477"/>
  <c r="BA505"/>
  <c r="BA115"/>
  <c r="BA464"/>
  <c r="BA357"/>
  <c r="BA38"/>
  <c r="BA368"/>
  <c r="BA198"/>
  <c r="BA179"/>
  <c r="BA320"/>
  <c r="BA380"/>
  <c r="BA497"/>
  <c r="BA363"/>
  <c r="BA267"/>
  <c r="BA234"/>
  <c r="BA128"/>
  <c r="BA299"/>
  <c r="BA187"/>
  <c r="BA352"/>
  <c r="BA80"/>
  <c r="BA192"/>
  <c r="BA292"/>
  <c r="BA333"/>
  <c r="BA129"/>
  <c r="BA118"/>
  <c r="BA377"/>
  <c r="BA339"/>
  <c r="BA256"/>
  <c r="BA249"/>
  <c r="BA422"/>
  <c r="BA430"/>
  <c r="BA387"/>
  <c r="BA98"/>
  <c r="BA32"/>
  <c r="BA89"/>
  <c r="BA392"/>
  <c r="BA170"/>
  <c r="BA503"/>
  <c r="BA228"/>
  <c r="BA205"/>
  <c r="BA241"/>
  <c r="BA162"/>
  <c r="BA491"/>
  <c r="BA235"/>
  <c r="BA230"/>
  <c r="BA64"/>
  <c r="BA259"/>
  <c r="BA213"/>
  <c r="BA336"/>
  <c r="BA332"/>
  <c r="BA413"/>
  <c r="BA207"/>
  <c r="BA143"/>
  <c r="BA518"/>
  <c r="BA70"/>
  <c r="BA23"/>
  <c r="BA15"/>
  <c r="BA37"/>
  <c r="BA112"/>
  <c r="BA124"/>
  <c r="BA435"/>
  <c r="BA243"/>
  <c r="BA373"/>
  <c r="BA117"/>
  <c r="BA160"/>
  <c r="BA347"/>
  <c r="BA356"/>
  <c r="BA72"/>
  <c r="BA447"/>
  <c r="BA315"/>
  <c r="BA516"/>
  <c r="BA512"/>
  <c r="BA353"/>
  <c r="BA263"/>
  <c r="BA22"/>
  <c r="BA486"/>
  <c r="BA276"/>
  <c r="BA46"/>
  <c r="BA171"/>
  <c r="BA289"/>
  <c r="BA493"/>
  <c r="BA406"/>
  <c r="BA361"/>
  <c r="BA232"/>
  <c r="BA33"/>
  <c r="BA202"/>
  <c r="BA281"/>
  <c r="BA180"/>
  <c r="BA92"/>
  <c r="BA490"/>
  <c r="BA436"/>
  <c r="BA374"/>
  <c r="BA141"/>
  <c r="BA364"/>
  <c r="BA63"/>
  <c r="BA132"/>
  <c r="BA142"/>
  <c r="BA395"/>
  <c r="BA351"/>
  <c r="BA253"/>
  <c r="BA404"/>
  <c r="BA346"/>
  <c r="BA290"/>
  <c r="BA344"/>
  <c r="BA330"/>
  <c r="BA378"/>
  <c r="BA446"/>
  <c r="BA432"/>
  <c r="BA384"/>
  <c r="BA247"/>
  <c r="BA399"/>
  <c r="BA419"/>
  <c r="BA297"/>
  <c r="BA30"/>
  <c r="BA114"/>
  <c r="BA303"/>
  <c r="BA408"/>
  <c r="BA325"/>
  <c r="BA111"/>
  <c r="BA8"/>
  <c r="BA66"/>
  <c r="BA168"/>
  <c r="BA200"/>
  <c r="BA152"/>
  <c r="BA157"/>
  <c r="BA97"/>
  <c r="BA154"/>
  <c r="BA60"/>
  <c r="BA166"/>
  <c r="BA71"/>
  <c r="BA120"/>
  <c r="BA293"/>
  <c r="BA517"/>
  <c r="BA305"/>
  <c r="BA26"/>
  <c r="BA91"/>
  <c r="BA484"/>
  <c r="BA511"/>
  <c r="BA216"/>
  <c r="BA190"/>
  <c r="BA494"/>
  <c r="BA68"/>
  <c r="BA278"/>
  <c r="BA49"/>
  <c r="BA362"/>
  <c r="BA113"/>
  <c r="BA233"/>
  <c r="BA165"/>
  <c r="BA34"/>
  <c r="BA500"/>
  <c r="BA318"/>
  <c r="BA369"/>
  <c r="BA172"/>
  <c r="BA312"/>
  <c r="BA322"/>
  <c r="BA476"/>
  <c r="BA93"/>
  <c r="BA196"/>
  <c r="BA17"/>
  <c r="BA67"/>
  <c r="BA201"/>
  <c r="BA158"/>
  <c r="BA155"/>
  <c r="BA365"/>
  <c r="BA121"/>
  <c r="BA311"/>
  <c r="BA475"/>
  <c r="BA131"/>
  <c r="BA125"/>
  <c r="BA244"/>
  <c r="BA467"/>
  <c r="BA348"/>
  <c r="BA504"/>
  <c r="BA316"/>
  <c r="BA183"/>
  <c r="BA36"/>
  <c r="BA417"/>
  <c r="BA449"/>
  <c r="BA513"/>
  <c r="BA331"/>
  <c r="BA371"/>
  <c r="BA394"/>
  <c r="BA14"/>
  <c r="BA54"/>
  <c r="BA204"/>
  <c r="BA410"/>
  <c r="BA474"/>
  <c r="BA28"/>
  <c r="BA3"/>
  <c r="BA266"/>
  <c r="BA107"/>
  <c r="BA437"/>
  <c r="BA19"/>
  <c r="BA270"/>
  <c r="BA342"/>
  <c r="BA481"/>
  <c r="BA441"/>
  <c r="BA173"/>
  <c r="BA105"/>
  <c r="BA61"/>
  <c r="BA94"/>
  <c r="BA13"/>
  <c r="BA21"/>
  <c r="BA55"/>
  <c r="BA355"/>
  <c r="BA163"/>
  <c r="BA403"/>
  <c r="BA5"/>
  <c r="BA159"/>
  <c r="BA209"/>
  <c r="BA433"/>
  <c r="BA452"/>
  <c r="BA109"/>
  <c r="BA42"/>
  <c r="BA76"/>
  <c r="BA239"/>
  <c r="BA310"/>
  <c r="BA225"/>
  <c r="BA227"/>
  <c r="BA251"/>
  <c r="BA514"/>
  <c r="BA12"/>
  <c r="BA184"/>
  <c r="BA146"/>
  <c r="BA51"/>
  <c r="BA188"/>
  <c r="BA255"/>
  <c r="BA489"/>
  <c r="BA287"/>
  <c r="BA31"/>
  <c r="BA386"/>
  <c r="BA421"/>
  <c r="BA431"/>
  <c r="BA376"/>
  <c r="BA130"/>
  <c r="BA345"/>
  <c r="BA104"/>
  <c r="BA85"/>
  <c r="BA450"/>
  <c r="BA217"/>
  <c r="BA485"/>
  <c r="J17" i="19"/>
  <c r="J16"/>
  <c r="J9"/>
  <c r="J15"/>
  <c r="J18"/>
  <c r="J11"/>
  <c r="J10"/>
  <c r="J21"/>
  <c r="J20"/>
  <c r="J14"/>
  <c r="J19"/>
  <c r="J22"/>
  <c r="J12"/>
  <c r="J13"/>
  <c r="J8"/>
  <c r="J25"/>
  <c r="J23"/>
  <c r="J24"/>
  <c r="AZ346" i="1"/>
  <c r="AZ345"/>
  <c r="AZ292"/>
  <c r="AZ291"/>
  <c r="AZ290"/>
  <c r="AZ330"/>
  <c r="AZ130"/>
  <c r="AZ333"/>
  <c r="AZ129"/>
  <c r="AZ344"/>
  <c r="AZ118"/>
  <c r="AZ375"/>
  <c r="AZ398"/>
  <c r="AZ432"/>
  <c r="AZ257"/>
  <c r="AZ247"/>
  <c r="AZ400"/>
  <c r="AZ256"/>
  <c r="AZ387"/>
  <c r="AZ456"/>
  <c r="AZ377"/>
  <c r="AZ385"/>
  <c r="AZ386"/>
  <c r="AZ119"/>
  <c r="AZ384"/>
  <c r="AZ248"/>
  <c r="AZ421"/>
  <c r="AZ419"/>
  <c r="AZ378"/>
  <c r="AZ339"/>
  <c r="AZ431"/>
  <c r="AZ430"/>
  <c r="AZ399"/>
  <c r="AZ343"/>
  <c r="AZ446"/>
  <c r="AZ338"/>
  <c r="AZ249"/>
  <c r="AZ422"/>
  <c r="AZ429"/>
  <c r="AZ420"/>
  <c r="AZ78"/>
  <c r="AZ376"/>
  <c r="F5" i="19"/>
  <c r="C7"/>
  <c r="D7" s="1"/>
  <c r="E7" s="1"/>
  <c r="F6"/>
  <c r="G6" s="1"/>
  <c r="AZ461" i="1"/>
  <c r="AZ189"/>
  <c r="AZ47"/>
  <c r="AZ409"/>
  <c r="AZ297"/>
  <c r="AZ89"/>
  <c r="AZ392"/>
  <c r="AZ32"/>
  <c r="AZ287"/>
  <c r="AZ170"/>
  <c r="AZ98"/>
  <c r="AZ30"/>
  <c r="AZ48"/>
  <c r="AZ298"/>
  <c r="AZ31"/>
  <c r="AZ303"/>
  <c r="AZ407"/>
  <c r="AZ114"/>
  <c r="AZ408"/>
  <c r="AZ489"/>
  <c r="AZ288"/>
  <c r="AZ403"/>
  <c r="AZ86"/>
  <c r="AZ503"/>
  <c r="AZ325"/>
  <c r="AZ289"/>
  <c r="AZ178"/>
  <c r="AZ401"/>
  <c r="AZ402"/>
  <c r="AZ511"/>
  <c r="AZ490"/>
  <c r="AZ307"/>
  <c r="AZ306"/>
  <c r="AZ440"/>
  <c r="AZ410"/>
  <c r="AZ439"/>
  <c r="AZ171"/>
  <c r="AZ13"/>
  <c r="AZ36"/>
  <c r="AZ37"/>
  <c r="AZ226"/>
  <c r="AZ262"/>
  <c r="AZ225"/>
  <c r="AZ238"/>
  <c r="AZ196"/>
  <c r="AZ131"/>
  <c r="AZ484"/>
  <c r="AZ137"/>
  <c r="AZ136"/>
  <c r="AZ20"/>
  <c r="AZ444"/>
  <c r="AZ445"/>
  <c r="AZ46"/>
  <c r="AZ390"/>
  <c r="AZ258"/>
  <c r="AZ269"/>
  <c r="AZ164"/>
  <c r="AZ203"/>
  <c r="AZ181"/>
  <c r="AZ277"/>
  <c r="AZ121"/>
  <c r="AZ455"/>
  <c r="AZ379"/>
  <c r="AZ361"/>
  <c r="AZ362"/>
  <c r="AZ332"/>
  <c r="AZ331"/>
  <c r="AZ394"/>
  <c r="AZ393"/>
  <c r="AZ316"/>
  <c r="AZ315"/>
  <c r="AZ374"/>
  <c r="AZ373"/>
  <c r="AZ70"/>
  <c r="AZ69"/>
  <c r="AZ354"/>
  <c r="AZ353"/>
  <c r="AZ412"/>
  <c r="AZ411"/>
  <c r="AZ209"/>
  <c r="AZ184"/>
  <c r="AZ486"/>
  <c r="AZ516"/>
  <c r="AZ507"/>
  <c r="AZ424"/>
  <c r="AZ423"/>
  <c r="AZ443"/>
  <c r="AZ442"/>
  <c r="AZ441"/>
  <c r="AZ512"/>
  <c r="AZ5"/>
  <c r="AZ406"/>
  <c r="AZ369"/>
  <c r="AZ447"/>
  <c r="AZ372"/>
  <c r="AZ452"/>
  <c r="AZ417"/>
  <c r="AZ416"/>
  <c r="AZ415"/>
  <c r="AZ293"/>
  <c r="AZ275"/>
  <c r="AZ356"/>
  <c r="AZ355"/>
  <c r="AZ434"/>
  <c r="AZ433"/>
  <c r="AZ370"/>
  <c r="AZ371"/>
  <c r="AC6"/>
  <c r="AZ88"/>
  <c r="AZ87"/>
  <c r="AZ34"/>
  <c r="AZ33"/>
  <c r="AZ483"/>
  <c r="AZ482"/>
  <c r="AZ481"/>
  <c r="AZ39"/>
  <c r="AZ513"/>
  <c r="AZ449"/>
  <c r="AZ448"/>
  <c r="AZ514"/>
  <c r="AZ281"/>
  <c r="AZ500"/>
  <c r="AZ255"/>
  <c r="AZ122"/>
  <c r="AZ322"/>
  <c r="AZ476"/>
  <c r="AZ475"/>
  <c r="AZ202"/>
  <c r="AZ349"/>
  <c r="AZ172"/>
  <c r="AZ304"/>
  <c r="AZ22"/>
  <c r="AZ21"/>
  <c r="AZ518"/>
  <c r="AZ494"/>
  <c r="AZ493"/>
  <c r="AZ436"/>
  <c r="AZ435"/>
  <c r="AZ466"/>
  <c r="AZ465"/>
  <c r="AZ146"/>
  <c r="AZ111"/>
  <c r="AZ112"/>
  <c r="AZ216"/>
  <c r="AZ286"/>
  <c r="AZ308"/>
  <c r="AZ309"/>
  <c r="AZ310"/>
  <c r="AZ228"/>
  <c r="AZ123"/>
  <c r="AZ124"/>
  <c r="AZ125"/>
  <c r="AZ328"/>
  <c r="AZ140"/>
  <c r="AZ4"/>
  <c r="AZ7"/>
  <c r="AZ8"/>
  <c r="AZ17"/>
  <c r="AZ190"/>
  <c r="AZ191"/>
  <c r="AZ218"/>
  <c r="AZ219"/>
  <c r="AZ204"/>
  <c r="AZ205"/>
  <c r="AZ341"/>
  <c r="AZ342"/>
  <c r="AZ102"/>
  <c r="AZ103"/>
  <c r="AZ44"/>
  <c r="AZ45"/>
  <c r="AZ43"/>
  <c r="AZ239"/>
  <c r="AZ240"/>
  <c r="AZ241"/>
  <c r="AZ242"/>
  <c r="AZ243"/>
  <c r="AZ244"/>
  <c r="AZ245"/>
  <c r="AZ186"/>
  <c r="AZ220"/>
  <c r="AZ221"/>
  <c r="AZ66"/>
  <c r="AZ67"/>
  <c r="AZ68"/>
  <c r="AZ94"/>
  <c r="AZ188"/>
  <c r="AZ52"/>
  <c r="AZ53"/>
  <c r="AZ54"/>
  <c r="AZ162"/>
  <c r="AZ163"/>
  <c r="AZ35"/>
  <c r="AZ270"/>
  <c r="AZ271"/>
  <c r="AZ65"/>
  <c r="AZ168"/>
  <c r="AZ278"/>
  <c r="AZ279"/>
  <c r="AZ280"/>
  <c r="AZ75"/>
  <c r="AZ76"/>
  <c r="AZ77"/>
  <c r="AZ491"/>
  <c r="AZ492"/>
  <c r="AZ117"/>
  <c r="AZ467"/>
  <c r="AZ468"/>
  <c r="AZ469"/>
  <c r="AZ470"/>
  <c r="AZ199"/>
  <c r="AZ200"/>
  <c r="AZ201"/>
  <c r="AZ49"/>
  <c r="AZ50"/>
  <c r="AZ51"/>
  <c r="AZ73"/>
  <c r="AZ74"/>
  <c r="AZ14"/>
  <c r="AZ235"/>
  <c r="AZ236"/>
  <c r="AZ160"/>
  <c r="AZ161"/>
  <c r="AZ18"/>
  <c r="AZ19"/>
  <c r="AZ150"/>
  <c r="AZ151"/>
  <c r="AZ152"/>
  <c r="AZ61"/>
  <c r="AZ40"/>
  <c r="AZ41"/>
  <c r="AZ42"/>
  <c r="AZ230"/>
  <c r="AZ231"/>
  <c r="AZ347"/>
  <c r="AZ348"/>
  <c r="AZ294"/>
  <c r="AZ82"/>
  <c r="AZ156"/>
  <c r="AZ157"/>
  <c r="AZ158"/>
  <c r="AZ113"/>
  <c r="AZ147"/>
  <c r="AZ64"/>
  <c r="AZ83"/>
  <c r="AZ84"/>
  <c r="AZ437"/>
  <c r="AZ438"/>
  <c r="AZ96"/>
  <c r="AZ97"/>
  <c r="AZ232"/>
  <c r="AZ233"/>
  <c r="AZ508"/>
  <c r="AZ509"/>
  <c r="AZ510"/>
  <c r="AZ109"/>
  <c r="AZ110"/>
  <c r="AZ259"/>
  <c r="AZ260"/>
  <c r="AZ72"/>
  <c r="AZ504"/>
  <c r="AZ515"/>
  <c r="AZ134"/>
  <c r="AZ135"/>
  <c r="AZ153"/>
  <c r="AZ154"/>
  <c r="AZ155"/>
  <c r="AZ165"/>
  <c r="AZ185"/>
  <c r="AZ213"/>
  <c r="AZ214"/>
  <c r="AZ107"/>
  <c r="AZ108"/>
  <c r="AZ59"/>
  <c r="AZ60"/>
  <c r="AZ229"/>
  <c r="AZ336"/>
  <c r="AZ337"/>
  <c r="AZ317"/>
  <c r="AZ166"/>
  <c r="AZ11"/>
  <c r="AZ12"/>
  <c r="AZ9"/>
  <c r="AZ10"/>
  <c r="AZ55"/>
  <c r="AZ105"/>
  <c r="AZ106"/>
  <c r="AZ266"/>
  <c r="AZ71"/>
  <c r="AZ318"/>
  <c r="AZ261"/>
  <c r="AZ273"/>
  <c r="AZ274"/>
  <c r="AZ183"/>
  <c r="AZ120"/>
  <c r="AZ24"/>
  <c r="AZ25"/>
  <c r="AZ207"/>
  <c r="AZ208"/>
  <c r="AZ2"/>
  <c r="AZ3"/>
  <c r="AZ148"/>
  <c r="AZ149"/>
  <c r="AZ173"/>
  <c r="AZ265"/>
  <c r="AZ27"/>
  <c r="AZ210"/>
  <c r="AZ143"/>
  <c r="AZ263"/>
  <c r="AZ264"/>
  <c r="AZ206"/>
  <c r="AZ471"/>
  <c r="AZ472"/>
  <c r="AZ517"/>
  <c r="AZ311"/>
  <c r="AZ312"/>
  <c r="AZ250"/>
  <c r="AZ251"/>
  <c r="AZ252"/>
  <c r="AZ99"/>
  <c r="AZ100"/>
  <c r="AZ28"/>
  <c r="AZ182"/>
  <c r="AZ305"/>
  <c r="AZ180"/>
  <c r="AZ159"/>
  <c r="AZ133"/>
  <c r="AZ487"/>
  <c r="AZ488"/>
  <c r="AZ56"/>
  <c r="AZ57"/>
  <c r="AZ58"/>
  <c r="AZ26"/>
  <c r="AZ227"/>
  <c r="AZ365"/>
  <c r="AZ276"/>
  <c r="AZ473"/>
  <c r="AZ474"/>
  <c r="AZ195"/>
  <c r="AZ29"/>
  <c r="AZ91"/>
  <c r="AZ92"/>
  <c r="AZ93"/>
  <c r="AZ6"/>
  <c r="AZ15"/>
  <c r="AZ16"/>
  <c r="AZ23"/>
  <c r="AZ413"/>
  <c r="AZ414"/>
  <c r="AZ462"/>
  <c r="AZ463"/>
  <c r="H5" i="19" l="1"/>
  <c r="H6"/>
  <c r="C8"/>
  <c r="D8" s="1"/>
  <c r="E8" s="1"/>
  <c r="G5"/>
  <c r="F7"/>
  <c r="G7" s="1"/>
  <c r="C15" i="1"/>
  <c r="Z15"/>
  <c r="AA15" s="1"/>
  <c r="AB15" s="1"/>
  <c r="H7" i="19" l="1"/>
  <c r="C9"/>
  <c r="D9" s="1"/>
  <c r="E9" s="1"/>
  <c r="C10" s="1"/>
  <c r="D10" s="1"/>
  <c r="I6"/>
  <c r="I7"/>
  <c r="I5"/>
  <c r="F8"/>
  <c r="AC15" i="1"/>
  <c r="C16"/>
  <c r="Z16"/>
  <c r="AA16" s="1"/>
  <c r="AB16" s="1"/>
  <c r="G8" i="19" l="1"/>
  <c r="I8" s="1"/>
  <c r="H8"/>
  <c r="F9"/>
  <c r="E10"/>
  <c r="F10" s="1"/>
  <c r="AC16" i="1"/>
  <c r="C149"/>
  <c r="Z149"/>
  <c r="AA149" s="1"/>
  <c r="AB149" s="1"/>
  <c r="H10" i="19" l="1"/>
  <c r="G9"/>
  <c r="I9" s="1"/>
  <c r="H9"/>
  <c r="G10"/>
  <c r="C11"/>
  <c r="D11" s="1"/>
  <c r="AC149" i="1"/>
  <c r="C173"/>
  <c r="Z173"/>
  <c r="AA173" s="1"/>
  <c r="AB173" s="1"/>
  <c r="I10" i="19" l="1"/>
  <c r="E11"/>
  <c r="F11" s="1"/>
  <c r="H11" s="1"/>
  <c r="AC173" i="1"/>
  <c r="C265"/>
  <c r="Z265"/>
  <c r="AA265" s="1"/>
  <c r="AB265" s="1"/>
  <c r="G11" i="19" l="1"/>
  <c r="C12"/>
  <c r="D12" s="1"/>
  <c r="AC265" i="1"/>
  <c r="C27"/>
  <c r="Z27"/>
  <c r="AA27" s="1"/>
  <c r="AB27" s="1"/>
  <c r="I11" i="19" l="1"/>
  <c r="E12"/>
  <c r="AC27" i="1"/>
  <c r="C210"/>
  <c r="Z210"/>
  <c r="AA210" s="1"/>
  <c r="AB210" s="1"/>
  <c r="C13" i="19" l="1"/>
  <c r="D13" s="1"/>
  <c r="F12"/>
  <c r="AC210" i="1"/>
  <c r="C143"/>
  <c r="Z143"/>
  <c r="AA143" s="1"/>
  <c r="AB143" s="1"/>
  <c r="E13" i="19" l="1"/>
  <c r="F13" s="1"/>
  <c r="G12"/>
  <c r="AC143" i="1"/>
  <c r="C263"/>
  <c r="Z263"/>
  <c r="AA263" s="1"/>
  <c r="AB263" s="1"/>
  <c r="G13" i="19" l="1"/>
  <c r="I13" s="1"/>
  <c r="I12"/>
  <c r="C14"/>
  <c r="D14" s="1"/>
  <c r="AC263" i="1"/>
  <c r="C264"/>
  <c r="Z264"/>
  <c r="AA264" s="1"/>
  <c r="AB264" s="1"/>
  <c r="E14" i="19" l="1"/>
  <c r="AC264" i="1"/>
  <c r="C206"/>
  <c r="Z206"/>
  <c r="AA206" s="1"/>
  <c r="AB206" s="1"/>
  <c r="C15" i="19" l="1"/>
  <c r="D15" s="1"/>
  <c r="F14"/>
  <c r="AC206" i="1"/>
  <c r="C250"/>
  <c r="Z250"/>
  <c r="AA250" s="1"/>
  <c r="AB250" s="1"/>
  <c r="G14" i="19" l="1"/>
  <c r="E15"/>
  <c r="C16" s="1"/>
  <c r="D16" s="1"/>
  <c r="AC250" i="1"/>
  <c r="C251"/>
  <c r="Z251"/>
  <c r="AA251" s="1"/>
  <c r="AB251" s="1"/>
  <c r="F15" i="19" l="1"/>
  <c r="I14"/>
  <c r="E16"/>
  <c r="C17" s="1"/>
  <c r="D17" s="1"/>
  <c r="AC251" i="1"/>
  <c r="C252"/>
  <c r="Z252"/>
  <c r="AA252" s="1"/>
  <c r="AB252" s="1"/>
  <c r="G15" i="19" l="1"/>
  <c r="I15" s="1"/>
  <c r="F16"/>
  <c r="E17"/>
  <c r="C18" s="1"/>
  <c r="D18" s="1"/>
  <c r="AC252" i="1"/>
  <c r="C99"/>
  <c r="Z99"/>
  <c r="AA99" s="1"/>
  <c r="AB99" s="1"/>
  <c r="G16" i="19" l="1"/>
  <c r="I16" s="1"/>
  <c r="F17"/>
  <c r="E18"/>
  <c r="C19" s="1"/>
  <c r="D19" s="1"/>
  <c r="AC99" i="1"/>
  <c r="C100"/>
  <c r="Z100"/>
  <c r="AA100" s="1"/>
  <c r="AB100" s="1"/>
  <c r="F18" i="19" l="1"/>
  <c r="E19"/>
  <c r="C20" s="1"/>
  <c r="D20" s="1"/>
  <c r="G17"/>
  <c r="I17" s="1"/>
  <c r="AC100" i="1"/>
  <c r="C28"/>
  <c r="Z28"/>
  <c r="AA28" s="1"/>
  <c r="AB28" s="1"/>
  <c r="G18" i="19" l="1"/>
  <c r="I18" s="1"/>
  <c r="F19"/>
  <c r="E20"/>
  <c r="C21" s="1"/>
  <c r="D21" s="1"/>
  <c r="AC28" i="1"/>
  <c r="C182"/>
  <c r="Z182"/>
  <c r="AA182" s="1"/>
  <c r="AB182" s="1"/>
  <c r="G19" i="19" l="1"/>
  <c r="I19" s="1"/>
  <c r="F20"/>
  <c r="E21"/>
  <c r="C22" s="1"/>
  <c r="D22" s="1"/>
  <c r="AC182" i="1"/>
  <c r="C305"/>
  <c r="Z305"/>
  <c r="AA305" s="1"/>
  <c r="AB305" s="1"/>
  <c r="G20" i="19" l="1"/>
  <c r="I20" s="1"/>
  <c r="F21"/>
  <c r="E22"/>
  <c r="AC305" i="1"/>
  <c r="C180"/>
  <c r="Z180"/>
  <c r="AA180" s="1"/>
  <c r="AB180" s="1"/>
  <c r="F22" i="19" l="1"/>
  <c r="C23"/>
  <c r="D23" s="1"/>
  <c r="G21"/>
  <c r="I21" s="1"/>
  <c r="AC180" i="1"/>
  <c r="C159"/>
  <c r="Z159"/>
  <c r="AA159" s="1"/>
  <c r="AB159" s="1"/>
  <c r="G22" i="19" l="1"/>
  <c r="I22" s="1"/>
  <c r="E23"/>
  <c r="C24" s="1"/>
  <c r="D24" s="1"/>
  <c r="AC159" i="1"/>
  <c r="C133"/>
  <c r="Z133"/>
  <c r="AA133" s="1"/>
  <c r="AB133" s="1"/>
  <c r="E24" i="19" l="1"/>
  <c r="C25" s="1"/>
  <c r="D25" s="1"/>
  <c r="F23"/>
  <c r="AC133" i="1"/>
  <c r="C487"/>
  <c r="Z487"/>
  <c r="AA487" s="1"/>
  <c r="AB487"/>
  <c r="F24" i="19" l="1"/>
  <c r="G24" s="1"/>
  <c r="G23"/>
  <c r="I23" s="1"/>
  <c r="E25"/>
  <c r="F25" s="1"/>
  <c r="AC487" i="1"/>
  <c r="C488"/>
  <c r="Z488"/>
  <c r="AA488" s="1"/>
  <c r="AB488"/>
  <c r="I24" i="19" l="1"/>
  <c r="G25"/>
  <c r="I25" s="1"/>
  <c r="AC488" i="1"/>
  <c r="C56"/>
  <c r="Z56"/>
  <c r="AA56" s="1"/>
  <c r="AB56" s="1"/>
  <c r="AC56" l="1"/>
  <c r="C26"/>
  <c r="Z26"/>
  <c r="AA26" s="1"/>
  <c r="AB26" s="1"/>
  <c r="AC26" l="1"/>
  <c r="C227"/>
  <c r="Z227"/>
  <c r="AA227" s="1"/>
  <c r="AB227" s="1"/>
  <c r="AC227" l="1"/>
  <c r="C23"/>
  <c r="Z23"/>
  <c r="AA23" s="1"/>
  <c r="AB23" s="1"/>
  <c r="AC23" l="1"/>
  <c r="C276"/>
  <c r="Z276"/>
  <c r="AA276" s="1"/>
  <c r="AB276" s="1"/>
  <c r="AC276" l="1"/>
  <c r="C473"/>
  <c r="Z473"/>
  <c r="AA473" s="1"/>
  <c r="AB473"/>
  <c r="AC473" l="1"/>
  <c r="C474"/>
  <c r="Z474"/>
  <c r="AA474" s="1"/>
  <c r="AB474"/>
  <c r="AC474" l="1"/>
  <c r="C195"/>
  <c r="Z195"/>
  <c r="AA195" s="1"/>
  <c r="AB195" s="1"/>
  <c r="AC195" l="1"/>
  <c r="C29"/>
  <c r="Z29"/>
  <c r="AA29" s="1"/>
  <c r="AB29" s="1"/>
  <c r="AC29" l="1"/>
  <c r="C112"/>
  <c r="Z112"/>
  <c r="AA112" s="1"/>
  <c r="AB112" s="1"/>
  <c r="AC112" l="1"/>
  <c r="C216"/>
  <c r="Z216"/>
  <c r="AA216" s="1"/>
  <c r="AB216" s="1"/>
  <c r="AC216" l="1"/>
  <c r="C228"/>
  <c r="Z228"/>
  <c r="AA228" s="1"/>
  <c r="AB228" s="1"/>
  <c r="AC228" l="1"/>
  <c r="C328"/>
  <c r="Z328"/>
  <c r="AA328" s="1"/>
  <c r="AB328" s="1"/>
  <c r="AC328" l="1"/>
  <c r="C140"/>
  <c r="Z140"/>
  <c r="AA140" s="1"/>
  <c r="AB140" s="1"/>
  <c r="AC140" l="1"/>
  <c r="C4"/>
  <c r="Z4"/>
  <c r="AA4" s="1"/>
  <c r="AB4" s="1"/>
  <c r="AC4" l="1"/>
  <c r="C7"/>
  <c r="Z7"/>
  <c r="AA7" s="1"/>
  <c r="AB7" s="1"/>
  <c r="AC7" l="1"/>
  <c r="C8"/>
  <c r="Z8"/>
  <c r="AA8" s="1"/>
  <c r="AB8" s="1"/>
  <c r="AC8" l="1"/>
  <c r="C17"/>
  <c r="Z17"/>
  <c r="AA17" s="1"/>
  <c r="AB17" s="1"/>
  <c r="AC17" l="1"/>
  <c r="C190"/>
  <c r="Z190"/>
  <c r="AA190" s="1"/>
  <c r="AB190" s="1"/>
  <c r="AC190" l="1"/>
  <c r="C191"/>
  <c r="Z191"/>
  <c r="AA191" s="1"/>
  <c r="AB191" s="1"/>
  <c r="AC191" l="1"/>
  <c r="C218"/>
  <c r="Z218"/>
  <c r="AA218" s="1"/>
  <c r="AB218" s="1"/>
  <c r="AC218" l="1"/>
  <c r="C219"/>
  <c r="Z219"/>
  <c r="AA219" s="1"/>
  <c r="AB219" s="1"/>
  <c r="AC219" l="1"/>
  <c r="C204"/>
  <c r="Z204"/>
  <c r="AA204" s="1"/>
  <c r="AB204" s="1"/>
  <c r="AC204" l="1"/>
  <c r="C205"/>
  <c r="Z205"/>
  <c r="AA205" s="1"/>
  <c r="AB205" s="1"/>
  <c r="AC205" l="1"/>
  <c r="C341"/>
  <c r="Z341"/>
  <c r="AA341" s="1"/>
  <c r="AB341" s="1"/>
  <c r="AC341" l="1"/>
  <c r="C342"/>
  <c r="Z342"/>
  <c r="AA342" s="1"/>
  <c r="AB342" s="1"/>
  <c r="AC342" l="1"/>
  <c r="C102"/>
  <c r="Z102"/>
  <c r="AA102" s="1"/>
  <c r="AB102" s="1"/>
  <c r="AC102" l="1"/>
  <c r="C103"/>
  <c r="Z103"/>
  <c r="AA103" s="1"/>
  <c r="AB103" s="1"/>
  <c r="AC103" l="1"/>
  <c r="C44"/>
  <c r="Z44"/>
  <c r="AA44" s="1"/>
  <c r="AB44" s="1"/>
  <c r="AC44" l="1"/>
  <c r="C45"/>
  <c r="Z45"/>
  <c r="AA45" s="1"/>
  <c r="AB45" s="1"/>
  <c r="AC45" l="1"/>
  <c r="C43"/>
  <c r="Z43"/>
  <c r="AA43" s="1"/>
  <c r="AB43" s="1"/>
  <c r="AC43" l="1"/>
  <c r="C239"/>
  <c r="Z239"/>
  <c r="AA239" s="1"/>
  <c r="AB239" s="1"/>
  <c r="AC239" l="1"/>
  <c r="C240"/>
  <c r="Z240"/>
  <c r="AA240" s="1"/>
  <c r="AB240" s="1"/>
  <c r="AC240" l="1"/>
  <c r="C241"/>
  <c r="Z241"/>
  <c r="AA241" s="1"/>
  <c r="AB241" s="1"/>
  <c r="AC241" l="1"/>
  <c r="C242"/>
  <c r="Z242"/>
  <c r="AA242" s="1"/>
  <c r="AB242" s="1"/>
  <c r="AC242" l="1"/>
  <c r="C243"/>
  <c r="Z243"/>
  <c r="AA243" s="1"/>
  <c r="AB243" s="1"/>
  <c r="AC243" l="1"/>
  <c r="C244"/>
  <c r="Z244"/>
  <c r="AA244" s="1"/>
  <c r="AB244" s="1"/>
  <c r="AC244" l="1"/>
  <c r="C245"/>
  <c r="Z245"/>
  <c r="AA245" s="1"/>
  <c r="AB245" s="1"/>
  <c r="AC245" l="1"/>
  <c r="C186"/>
  <c r="Z186"/>
  <c r="AA186" s="1"/>
  <c r="AB186" s="1"/>
  <c r="AC186" l="1"/>
  <c r="C220"/>
  <c r="Z220"/>
  <c r="AA220" s="1"/>
  <c r="AB220" s="1"/>
  <c r="AC220" l="1"/>
  <c r="C221"/>
  <c r="Z221"/>
  <c r="AA221" s="1"/>
  <c r="AB221" s="1"/>
  <c r="AC221" l="1"/>
  <c r="C66"/>
  <c r="Z66"/>
  <c r="AA66" s="1"/>
  <c r="AB66" s="1"/>
  <c r="AC66" l="1"/>
  <c r="C67"/>
  <c r="Z67"/>
  <c r="AA67" s="1"/>
  <c r="AB67" s="1"/>
  <c r="AC67" l="1"/>
  <c r="C68"/>
  <c r="Z68"/>
  <c r="AA68" s="1"/>
  <c r="AB68" s="1"/>
  <c r="AC68" l="1"/>
  <c r="C94"/>
  <c r="Z94"/>
  <c r="AA94" s="1"/>
  <c r="AB94" s="1"/>
  <c r="AC94" l="1"/>
  <c r="C188"/>
  <c r="Z188"/>
  <c r="AA188" s="1"/>
  <c r="AB188" s="1"/>
  <c r="AC188" l="1"/>
  <c r="C52"/>
  <c r="Z52"/>
  <c r="AA52" s="1"/>
  <c r="AB52" s="1"/>
  <c r="AC52" l="1"/>
  <c r="C53"/>
  <c r="Z53"/>
  <c r="AA53" s="1"/>
  <c r="AB53" s="1"/>
  <c r="AC53" l="1"/>
  <c r="C54"/>
  <c r="Z54"/>
  <c r="AA54" s="1"/>
  <c r="AB54" s="1"/>
  <c r="AC54" l="1"/>
  <c r="C162"/>
  <c r="Z162"/>
  <c r="AA162" s="1"/>
  <c r="AB162" s="1"/>
  <c r="AC162" l="1"/>
  <c r="C163"/>
  <c r="Z163"/>
  <c r="AA163" s="1"/>
  <c r="AB163" s="1"/>
  <c r="AC163" l="1"/>
  <c r="C35"/>
  <c r="Z35"/>
  <c r="AA35" s="1"/>
  <c r="AB35" s="1"/>
  <c r="AC35" l="1"/>
  <c r="C270"/>
  <c r="Z270"/>
  <c r="AA270" s="1"/>
  <c r="AB270" s="1"/>
  <c r="AC270" l="1"/>
  <c r="C168"/>
  <c r="Z168"/>
  <c r="AA168" s="1"/>
  <c r="AB168" s="1"/>
  <c r="AC168" l="1"/>
  <c r="C278"/>
  <c r="Z278"/>
  <c r="AA278" s="1"/>
  <c r="AB278" s="1"/>
  <c r="AC278" l="1"/>
  <c r="C279"/>
  <c r="Z279"/>
  <c r="AA279" s="1"/>
  <c r="AB279" s="1"/>
  <c r="AC279" l="1"/>
  <c r="C280"/>
  <c r="Z280"/>
  <c r="AA280" s="1"/>
  <c r="AB280" s="1"/>
  <c r="AC280" l="1"/>
  <c r="C75"/>
  <c r="Z75"/>
  <c r="AA75" s="1"/>
  <c r="AB75" s="1"/>
  <c r="AC75" l="1"/>
  <c r="C76"/>
  <c r="Z76"/>
  <c r="AA76" s="1"/>
  <c r="AB76" s="1"/>
  <c r="AC76" l="1"/>
  <c r="C200"/>
  <c r="Z200"/>
  <c r="AA200" s="1"/>
  <c r="AB200" s="1"/>
  <c r="AC200" l="1"/>
  <c r="C201"/>
  <c r="Z201"/>
  <c r="AA201" s="1"/>
  <c r="AB201" s="1"/>
  <c r="AC201" l="1"/>
  <c r="C49"/>
  <c r="Z49"/>
  <c r="AA49" s="1"/>
  <c r="AB49" s="1"/>
  <c r="AC49" l="1"/>
  <c r="C50"/>
  <c r="Z50"/>
  <c r="AA50" s="1"/>
  <c r="AB50" s="1"/>
  <c r="AC50" l="1"/>
  <c r="C51"/>
  <c r="Z51"/>
  <c r="AA51" s="1"/>
  <c r="AB51" s="1"/>
  <c r="AC51" l="1"/>
  <c r="C14"/>
  <c r="Z14"/>
  <c r="AA14" s="1"/>
  <c r="AB14" s="1"/>
  <c r="AC14" l="1"/>
  <c r="C235"/>
  <c r="Z235"/>
  <c r="AA235" s="1"/>
  <c r="AB235" s="1"/>
  <c r="AC235" l="1"/>
  <c r="C236"/>
  <c r="Z236"/>
  <c r="AA236" s="1"/>
  <c r="AB236" s="1"/>
  <c r="AC236" l="1"/>
  <c r="C161"/>
  <c r="Z161"/>
  <c r="AA161" s="1"/>
  <c r="AB161" s="1"/>
  <c r="AC161" l="1"/>
  <c r="C18"/>
  <c r="Z18"/>
  <c r="AA18" s="1"/>
  <c r="AB18" s="1"/>
  <c r="AC18" l="1"/>
  <c r="C19"/>
  <c r="Z19"/>
  <c r="AA19" s="1"/>
  <c r="AB19" s="1"/>
  <c r="AC19" l="1"/>
  <c r="C150"/>
  <c r="Z150"/>
  <c r="AA150" s="1"/>
  <c r="AB150" s="1"/>
  <c r="AC150" l="1"/>
  <c r="C151"/>
  <c r="Z151"/>
  <c r="AA151" s="1"/>
  <c r="AB151" s="1"/>
  <c r="AC151" l="1"/>
  <c r="C61"/>
  <c r="Z61"/>
  <c r="AA61" s="1"/>
  <c r="AB61" s="1"/>
  <c r="AC61" l="1"/>
  <c r="C40"/>
  <c r="Z40"/>
  <c r="AA40" s="1"/>
  <c r="AB40" s="1"/>
  <c r="AC40" l="1"/>
  <c r="C41"/>
  <c r="Z41"/>
  <c r="AA41" s="1"/>
  <c r="AB41" s="1"/>
  <c r="AC41" l="1"/>
  <c r="C42"/>
  <c r="Z42"/>
  <c r="AA42" s="1"/>
  <c r="AB42" s="1"/>
  <c r="AC42" l="1"/>
  <c r="C230"/>
  <c r="Z230"/>
  <c r="AA230" s="1"/>
  <c r="AB230" s="1"/>
  <c r="AC230" l="1"/>
  <c r="C231"/>
  <c r="Z231"/>
  <c r="AA231" s="1"/>
  <c r="AB231" s="1"/>
  <c r="AC231" l="1"/>
  <c r="C347"/>
  <c r="Z347"/>
  <c r="AA347" s="1"/>
  <c r="AB347" s="1"/>
  <c r="AC347" l="1"/>
  <c r="C348"/>
  <c r="Z348"/>
  <c r="AA348" s="1"/>
  <c r="AB348" s="1"/>
  <c r="AC348" l="1"/>
  <c r="C294"/>
  <c r="Z294"/>
  <c r="AA294" s="1"/>
  <c r="AB294" s="1"/>
  <c r="AC294" l="1"/>
  <c r="C82"/>
  <c r="Z82"/>
  <c r="AA82" s="1"/>
  <c r="AB82" s="1"/>
  <c r="AC82" l="1"/>
  <c r="C156"/>
  <c r="Z156"/>
  <c r="AA156" s="1"/>
  <c r="AB156" s="1"/>
  <c r="AC156" l="1"/>
  <c r="C157"/>
  <c r="Z157"/>
  <c r="AA157" s="1"/>
  <c r="AB157" s="1"/>
  <c r="AC157" l="1"/>
  <c r="C158"/>
  <c r="Z158"/>
  <c r="AA158" s="1"/>
  <c r="AB158" s="1"/>
  <c r="AC158" l="1"/>
  <c r="C113"/>
  <c r="Z113"/>
  <c r="AA113" s="1"/>
  <c r="AB113" s="1"/>
  <c r="AC113" l="1"/>
  <c r="C147"/>
  <c r="Z147"/>
  <c r="AA147" s="1"/>
  <c r="AB147" s="1"/>
  <c r="AC147" l="1"/>
  <c r="C64"/>
  <c r="Z64"/>
  <c r="AA64" s="1"/>
  <c r="AB64" s="1"/>
  <c r="AC64" l="1"/>
  <c r="C84"/>
  <c r="Z84"/>
  <c r="AA84" s="1"/>
  <c r="AB84" s="1"/>
  <c r="AC84" l="1"/>
  <c r="C437"/>
  <c r="Z437"/>
  <c r="AA437" s="1"/>
  <c r="AB437"/>
  <c r="AC437" l="1"/>
  <c r="C438"/>
  <c r="Z438"/>
  <c r="AA438" s="1"/>
  <c r="AB438"/>
  <c r="AC438" l="1"/>
  <c r="C232"/>
  <c r="Z232"/>
  <c r="AA232" s="1"/>
  <c r="AB232" s="1"/>
  <c r="AC232" l="1"/>
  <c r="C233"/>
  <c r="Z233"/>
  <c r="AA233" s="1"/>
  <c r="AB233" s="1"/>
  <c r="AC233" l="1"/>
  <c r="C508"/>
  <c r="Z508"/>
  <c r="AA508" s="1"/>
  <c r="AB508"/>
  <c r="AC508" l="1"/>
  <c r="C510"/>
  <c r="Z510"/>
  <c r="AA510" s="1"/>
  <c r="AB510"/>
  <c r="AC510" l="1"/>
  <c r="C109"/>
  <c r="Z109"/>
  <c r="AA109" s="1"/>
  <c r="AB109" s="1"/>
  <c r="AC109" l="1"/>
  <c r="C110"/>
  <c r="Z110"/>
  <c r="AA110" s="1"/>
  <c r="AB110" s="1"/>
  <c r="AC110" l="1"/>
  <c r="C260"/>
  <c r="Z260"/>
  <c r="AA260" s="1"/>
  <c r="AB260" s="1"/>
  <c r="AC260" l="1"/>
  <c r="C72"/>
  <c r="Z72"/>
  <c r="AA72" s="1"/>
  <c r="AB72" s="1"/>
  <c r="AC72" l="1"/>
  <c r="C515"/>
  <c r="AB515"/>
  <c r="AC515" l="1"/>
  <c r="C134"/>
  <c r="Z134"/>
  <c r="AA134" s="1"/>
  <c r="AB134" s="1"/>
  <c r="AC134" l="1"/>
  <c r="C135"/>
  <c r="Z135"/>
  <c r="AA135" s="1"/>
  <c r="AB135" s="1"/>
  <c r="AC135" l="1"/>
  <c r="C153"/>
  <c r="Z153"/>
  <c r="AA153" s="1"/>
  <c r="AB153" s="1"/>
  <c r="AC153" l="1"/>
  <c r="C165"/>
  <c r="Z165"/>
  <c r="AA165" s="1"/>
  <c r="AB165" s="1"/>
  <c r="AC165" l="1"/>
  <c r="C193"/>
  <c r="Z193"/>
  <c r="AA193" s="1"/>
  <c r="AB193" s="1"/>
  <c r="AC193" l="1"/>
  <c r="C185"/>
  <c r="Z185"/>
  <c r="AA185" s="1"/>
  <c r="AB185" s="1"/>
  <c r="AC185" l="1"/>
  <c r="C213"/>
  <c r="Z213"/>
  <c r="AA213" s="1"/>
  <c r="AB213" s="1"/>
  <c r="AC213" l="1"/>
  <c r="C214"/>
  <c r="Z214"/>
  <c r="AA214" s="1"/>
  <c r="AB214" s="1"/>
  <c r="AC214" l="1"/>
  <c r="C107"/>
  <c r="Z107"/>
  <c r="AA107" s="1"/>
  <c r="AB107" s="1"/>
  <c r="AC107" l="1"/>
  <c r="C108"/>
  <c r="Z108"/>
  <c r="AA108" s="1"/>
  <c r="AB108" s="1"/>
  <c r="AC108" l="1"/>
  <c r="C59"/>
  <c r="Z59"/>
  <c r="AA59" s="1"/>
  <c r="AB59" s="1"/>
  <c r="AC59" l="1"/>
  <c r="C60"/>
  <c r="Z60"/>
  <c r="AA60" s="1"/>
  <c r="AB60" s="1"/>
  <c r="AC60" l="1"/>
  <c r="C336"/>
  <c r="Z336"/>
  <c r="AA336" s="1"/>
  <c r="AB336" s="1"/>
  <c r="AC336" l="1"/>
  <c r="C337"/>
  <c r="Z337"/>
  <c r="AA337" s="1"/>
  <c r="AB337" s="1"/>
  <c r="AC337" l="1"/>
  <c r="C317"/>
  <c r="Z317"/>
  <c r="AA317" s="1"/>
  <c r="AB317" s="1"/>
  <c r="AC317" l="1"/>
  <c r="C166"/>
  <c r="Z166"/>
  <c r="AA166" s="1"/>
  <c r="AB166" s="1"/>
  <c r="AC166" l="1"/>
  <c r="C11"/>
  <c r="Z11"/>
  <c r="AA11" s="1"/>
  <c r="AB11" s="1"/>
  <c r="AC11" l="1"/>
  <c r="C12"/>
  <c r="Z12"/>
  <c r="AA12" s="1"/>
  <c r="AB12" s="1"/>
  <c r="AC12" l="1"/>
  <c r="C9"/>
  <c r="Z9"/>
  <c r="AA9" s="1"/>
  <c r="AB9" s="1"/>
  <c r="AC9" l="1"/>
  <c r="C10"/>
  <c r="Z10"/>
  <c r="AA10" s="1"/>
  <c r="AB10" s="1"/>
  <c r="AC10" l="1"/>
  <c r="C55"/>
  <c r="Z55"/>
  <c r="AA55" s="1"/>
  <c r="AB55" s="1"/>
  <c r="AC55" l="1"/>
  <c r="C105"/>
  <c r="Z105"/>
  <c r="AA105" s="1"/>
  <c r="AB105" s="1"/>
  <c r="AC105" l="1"/>
  <c r="C106"/>
  <c r="Z106"/>
  <c r="AA106" s="1"/>
  <c r="AB106" s="1"/>
  <c r="AC106" l="1"/>
  <c r="C266"/>
  <c r="Z266"/>
  <c r="AA266" s="1"/>
  <c r="AB266" s="1"/>
  <c r="AC266" l="1"/>
  <c r="C71"/>
  <c r="Z71"/>
  <c r="AA71" s="1"/>
  <c r="AB71" s="1"/>
  <c r="AC71" l="1"/>
  <c r="C318"/>
  <c r="Z318"/>
  <c r="AA318" s="1"/>
  <c r="AB318" s="1"/>
  <c r="AC318" l="1"/>
  <c r="C261"/>
  <c r="Z261"/>
  <c r="AA261" s="1"/>
  <c r="AB261" s="1"/>
  <c r="AC261" l="1"/>
  <c r="C273"/>
  <c r="Z273"/>
  <c r="AA273" s="1"/>
  <c r="AB273" s="1"/>
  <c r="AC273" l="1"/>
  <c r="C274"/>
  <c r="Z274"/>
  <c r="AA274" s="1"/>
  <c r="AB274" s="1"/>
  <c r="AC274" l="1"/>
  <c r="C183"/>
  <c r="Z183"/>
  <c r="AA183" s="1"/>
  <c r="AB183" s="1"/>
  <c r="AC183" l="1"/>
  <c r="C120"/>
  <c r="Z120"/>
  <c r="AA120" s="1"/>
  <c r="AB120" s="1"/>
  <c r="AC120" l="1"/>
  <c r="C24"/>
  <c r="Z24"/>
  <c r="AA24" s="1"/>
  <c r="AB24" s="1"/>
  <c r="AC24" l="1"/>
  <c r="C25"/>
  <c r="Z25"/>
  <c r="AA25" s="1"/>
  <c r="AB25" s="1"/>
  <c r="AC25" l="1"/>
  <c r="C207"/>
  <c r="Z207"/>
  <c r="AA207" s="1"/>
  <c r="AB207" s="1"/>
  <c r="AC207" l="1"/>
  <c r="C208"/>
  <c r="Z208"/>
  <c r="AA208" s="1"/>
  <c r="AB208" s="1"/>
  <c r="AC208" l="1"/>
  <c r="C2"/>
  <c r="Z2"/>
  <c r="AA2" s="1"/>
  <c r="AB2" s="1"/>
  <c r="AC2" l="1"/>
  <c r="C3"/>
  <c r="Z3"/>
  <c r="AA3" s="1"/>
  <c r="AB3" s="1"/>
  <c r="AC3" l="1"/>
  <c r="C148"/>
  <c r="Z148"/>
  <c r="AA148" s="1"/>
  <c r="AB148" s="1"/>
  <c r="Z91"/>
  <c r="AA91" s="1"/>
  <c r="AB91" s="1"/>
  <c r="Z92"/>
  <c r="AA92" s="1"/>
  <c r="AB92" s="1"/>
  <c r="C92"/>
  <c r="C91"/>
  <c r="AD389" l="1"/>
  <c r="AD246"/>
  <c r="AG127"/>
  <c r="AG389"/>
  <c r="AG246"/>
  <c r="AD127"/>
  <c r="AD457"/>
  <c r="AG139"/>
  <c r="AD126"/>
  <c r="AG457"/>
  <c r="AD388"/>
  <c r="AG451"/>
  <c r="AD323"/>
  <c r="AG138"/>
  <c r="AD169"/>
  <c r="AD324"/>
  <c r="AD451"/>
  <c r="AG177"/>
  <c r="AD138"/>
  <c r="AG458"/>
  <c r="AG324"/>
  <c r="AD383"/>
  <c r="AD197"/>
  <c r="AG126"/>
  <c r="AD145"/>
  <c r="AD139"/>
  <c r="AG382"/>
  <c r="AG197"/>
  <c r="AG145"/>
  <c r="AD458"/>
  <c r="AD382"/>
  <c r="AG388"/>
  <c r="AG323"/>
  <c r="AG383"/>
  <c r="AG169"/>
  <c r="AD177"/>
  <c r="AD502"/>
  <c r="AG502"/>
  <c r="AD501"/>
  <c r="AD222"/>
  <c r="AD62"/>
  <c r="AD223"/>
  <c r="AG144"/>
  <c r="AG501"/>
  <c r="AD144"/>
  <c r="AG223"/>
  <c r="AG222"/>
  <c r="AG62"/>
  <c r="AD340"/>
  <c r="AD427"/>
  <c r="AG340"/>
  <c r="AG428"/>
  <c r="AD237"/>
  <c r="AG480"/>
  <c r="AD428"/>
  <c r="AD479"/>
  <c r="AD480"/>
  <c r="AG479"/>
  <c r="AG427"/>
  <c r="AG237"/>
  <c r="AD193"/>
  <c r="AG295"/>
  <c r="AD360"/>
  <c r="AG334"/>
  <c r="AG335"/>
  <c r="AG193"/>
  <c r="AD334"/>
  <c r="AD211"/>
  <c r="AD295"/>
  <c r="AG360"/>
  <c r="AG211"/>
  <c r="AG296"/>
  <c r="AD335"/>
  <c r="AG359"/>
  <c r="AD359"/>
  <c r="AD296"/>
  <c r="AD301"/>
  <c r="AD391"/>
  <c r="AG391"/>
  <c r="AD460"/>
  <c r="AG459"/>
  <c r="AG460"/>
  <c r="AG302"/>
  <c r="AD302"/>
  <c r="AG283"/>
  <c r="AD283"/>
  <c r="AG282"/>
  <c r="AD282"/>
  <c r="AD459"/>
  <c r="AG301"/>
  <c r="AD284"/>
  <c r="AG285"/>
  <c r="AD224"/>
  <c r="AG284"/>
  <c r="AG224"/>
  <c r="AD285"/>
  <c r="AD194"/>
  <c r="AG194"/>
  <c r="AD329"/>
  <c r="AD314"/>
  <c r="AG313"/>
  <c r="AD313"/>
  <c r="AG314"/>
  <c r="AG329"/>
  <c r="AD477"/>
  <c r="AG478"/>
  <c r="AD478"/>
  <c r="AG477"/>
  <c r="AD506"/>
  <c r="AG506"/>
  <c r="AD272"/>
  <c r="AG272"/>
  <c r="AD505"/>
  <c r="AG505"/>
  <c r="AD464"/>
  <c r="AD358"/>
  <c r="AG358"/>
  <c r="AD115"/>
  <c r="AG519"/>
  <c r="AG464"/>
  <c r="AD519"/>
  <c r="AG115"/>
  <c r="AG116"/>
  <c r="AD116"/>
  <c r="AD357"/>
  <c r="AG357"/>
  <c r="AD95"/>
  <c r="AD101"/>
  <c r="AG101"/>
  <c r="AD350"/>
  <c r="AG95"/>
  <c r="AG350"/>
  <c r="AG38"/>
  <c r="AD38"/>
  <c r="AD174"/>
  <c r="AD367"/>
  <c r="AD366"/>
  <c r="AG368"/>
  <c r="AG175"/>
  <c r="AD368"/>
  <c r="AD176"/>
  <c r="AG366"/>
  <c r="AG198"/>
  <c r="AG167"/>
  <c r="AG367"/>
  <c r="AD175"/>
  <c r="AG176"/>
  <c r="AG174"/>
  <c r="AD198"/>
  <c r="AD167"/>
  <c r="AD215"/>
  <c r="AG179"/>
  <c r="AG215"/>
  <c r="AD179"/>
  <c r="AD453"/>
  <c r="AD320"/>
  <c r="AG321"/>
  <c r="AG319"/>
  <c r="AG320"/>
  <c r="AD319"/>
  <c r="AD321"/>
  <c r="AG454"/>
  <c r="AG453"/>
  <c r="AD454"/>
  <c r="AD91"/>
  <c r="AM91" s="1"/>
  <c r="AD207"/>
  <c r="AD425"/>
  <c r="AD381"/>
  <c r="AD326"/>
  <c r="AG380"/>
  <c r="AG425"/>
  <c r="AG326"/>
  <c r="AD496"/>
  <c r="AG327"/>
  <c r="AG497"/>
  <c r="AG496"/>
  <c r="AG381"/>
  <c r="AD327"/>
  <c r="AG426"/>
  <c r="AG495"/>
  <c r="AD495"/>
  <c r="AD380"/>
  <c r="AD497"/>
  <c r="AD426"/>
  <c r="AD364"/>
  <c r="AD499"/>
  <c r="AD267"/>
  <c r="AG141"/>
  <c r="AG142"/>
  <c r="AG364"/>
  <c r="AD212"/>
  <c r="AG363"/>
  <c r="AG212"/>
  <c r="AG90"/>
  <c r="AG485"/>
  <c r="AG267"/>
  <c r="AD217"/>
  <c r="AG268"/>
  <c r="AD141"/>
  <c r="AG234"/>
  <c r="AG499"/>
  <c r="AD128"/>
  <c r="AD363"/>
  <c r="AG300"/>
  <c r="AD485"/>
  <c r="AD450"/>
  <c r="AG79"/>
  <c r="AD79"/>
  <c r="AD90"/>
  <c r="AG128"/>
  <c r="AG418"/>
  <c r="AD234"/>
  <c r="AD132"/>
  <c r="AD418"/>
  <c r="AG217"/>
  <c r="AG450"/>
  <c r="AG63"/>
  <c r="AD268"/>
  <c r="AD300"/>
  <c r="AD142"/>
  <c r="AD63"/>
  <c r="AG132"/>
  <c r="AD3"/>
  <c r="AI3" s="1"/>
  <c r="AD299"/>
  <c r="AG299"/>
  <c r="AD498"/>
  <c r="AG498"/>
  <c r="AD92"/>
  <c r="AI92" s="1"/>
  <c r="AD289"/>
  <c r="AD288"/>
  <c r="AD386"/>
  <c r="AD254"/>
  <c r="AD409"/>
  <c r="AI409" s="1"/>
  <c r="AD375"/>
  <c r="AD305"/>
  <c r="AD149"/>
  <c r="AD20"/>
  <c r="AD410"/>
  <c r="AD264"/>
  <c r="AD345"/>
  <c r="AE345" s="1"/>
  <c r="AD352"/>
  <c r="AD456"/>
  <c r="AD27"/>
  <c r="AD298"/>
  <c r="AD173"/>
  <c r="AD16"/>
  <c r="AD143"/>
  <c r="AD48"/>
  <c r="AD226"/>
  <c r="AD178"/>
  <c r="AD225"/>
  <c r="AD180"/>
  <c r="AD405"/>
  <c r="AD249"/>
  <c r="AD339"/>
  <c r="AI339" s="1"/>
  <c r="AD182"/>
  <c r="AD399"/>
  <c r="AD257"/>
  <c r="AD187"/>
  <c r="AD306"/>
  <c r="AD118"/>
  <c r="AD487"/>
  <c r="AD210"/>
  <c r="AD444"/>
  <c r="AD473"/>
  <c r="AD252"/>
  <c r="AD378"/>
  <c r="AI378" s="1"/>
  <c r="AD30"/>
  <c r="AD330"/>
  <c r="AD47"/>
  <c r="AD369"/>
  <c r="AD171"/>
  <c r="AF171" s="1"/>
  <c r="AD160"/>
  <c r="AD65"/>
  <c r="AD195"/>
  <c r="AD85"/>
  <c r="AD276"/>
  <c r="AD265"/>
  <c r="AD433"/>
  <c r="AD133"/>
  <c r="AD121"/>
  <c r="AD315"/>
  <c r="AD206"/>
  <c r="AD465"/>
  <c r="AD463"/>
  <c r="AD482"/>
  <c r="AD23"/>
  <c r="AD354"/>
  <c r="AD374"/>
  <c r="AD122"/>
  <c r="AD353"/>
  <c r="AD73"/>
  <c r="AD6"/>
  <c r="AI6" s="1"/>
  <c r="AD170"/>
  <c r="AD159"/>
  <c r="AD466"/>
  <c r="AD99"/>
  <c r="AD469"/>
  <c r="AI469" s="1"/>
  <c r="AD471"/>
  <c r="AD271"/>
  <c r="AD263"/>
  <c r="AD28"/>
  <c r="AD209"/>
  <c r="AD436"/>
  <c r="AI436" s="1"/>
  <c r="AD362"/>
  <c r="AI362" s="1"/>
  <c r="AD227"/>
  <c r="AD26"/>
  <c r="AD514"/>
  <c r="AD442"/>
  <c r="AD468"/>
  <c r="AI468" s="1"/>
  <c r="AD286"/>
  <c r="AD184"/>
  <c r="AD100"/>
  <c r="AD435"/>
  <c r="AD15"/>
  <c r="AD29"/>
  <c r="AD316"/>
  <c r="AD417"/>
  <c r="AD507"/>
  <c r="AD474"/>
  <c r="AI474" s="1"/>
  <c r="AD500"/>
  <c r="AD488"/>
  <c r="AD462"/>
  <c r="AD277"/>
  <c r="AD88"/>
  <c r="AD70"/>
  <c r="AD443"/>
  <c r="AI443" s="1"/>
  <c r="AD373"/>
  <c r="AD307"/>
  <c r="AD203"/>
  <c r="AD250"/>
  <c r="AD46"/>
  <c r="AD512"/>
  <c r="AD332"/>
  <c r="AD310"/>
  <c r="AD251"/>
  <c r="AI251" s="1"/>
  <c r="AD97"/>
  <c r="AD123"/>
  <c r="AD467"/>
  <c r="AD275"/>
  <c r="AD164"/>
  <c r="AD13"/>
  <c r="AD431"/>
  <c r="AD269"/>
  <c r="AD420"/>
  <c r="AI420" s="1"/>
  <c r="AD80"/>
  <c r="AD303"/>
  <c r="AF303" s="1"/>
  <c r="AD509"/>
  <c r="AI509" s="1"/>
  <c r="AD404"/>
  <c r="AD146"/>
  <c r="AD114"/>
  <c r="AD281"/>
  <c r="AD370"/>
  <c r="AD371"/>
  <c r="AI371" s="1"/>
  <c r="AD308"/>
  <c r="AD96"/>
  <c r="AD253"/>
  <c r="AD492"/>
  <c r="AI492" s="1"/>
  <c r="AD309"/>
  <c r="AI309" s="1"/>
  <c r="AD258"/>
  <c r="AD490"/>
  <c r="AD516"/>
  <c r="AD74"/>
  <c r="AI74" s="1"/>
  <c r="AD125"/>
  <c r="AD429"/>
  <c r="AD394"/>
  <c r="AD470"/>
  <c r="AI470" s="1"/>
  <c r="AD486"/>
  <c r="AD181"/>
  <c r="AD83"/>
  <c r="AD117"/>
  <c r="AD77"/>
  <c r="AD192"/>
  <c r="AD390"/>
  <c r="AD152"/>
  <c r="AI152" s="1"/>
  <c r="AD372"/>
  <c r="AD511"/>
  <c r="AD229"/>
  <c r="AD124"/>
  <c r="AD484"/>
  <c r="AD36"/>
  <c r="AD104"/>
  <c r="AD440"/>
  <c r="AD415"/>
  <c r="AD304"/>
  <c r="AD422"/>
  <c r="AD432"/>
  <c r="AD93"/>
  <c r="AI93" s="1"/>
  <c r="AD361"/>
  <c r="AD262"/>
  <c r="AD346"/>
  <c r="AD39"/>
  <c r="AD472"/>
  <c r="AD406"/>
  <c r="AD379"/>
  <c r="AD291"/>
  <c r="AD112"/>
  <c r="AD408"/>
  <c r="AI408" s="1"/>
  <c r="AD377"/>
  <c r="AI377" s="1"/>
  <c r="AD344"/>
  <c r="AD449"/>
  <c r="AI449" s="1"/>
  <c r="AD86"/>
  <c r="AD259"/>
  <c r="AD446"/>
  <c r="AD255"/>
  <c r="AD351"/>
  <c r="AD131"/>
  <c r="AD57"/>
  <c r="AD447"/>
  <c r="AD297"/>
  <c r="AD416"/>
  <c r="AI416" s="1"/>
  <c r="AD290"/>
  <c r="AD461"/>
  <c r="AD493"/>
  <c r="AD476"/>
  <c r="AI476" s="1"/>
  <c r="AD385"/>
  <c r="AD87"/>
  <c r="AD503"/>
  <c r="AM503" s="1"/>
  <c r="AD32"/>
  <c r="AD424"/>
  <c r="AD407"/>
  <c r="AD199"/>
  <c r="AD119"/>
  <c r="AD494"/>
  <c r="AD322"/>
  <c r="AD129"/>
  <c r="AD34"/>
  <c r="AD238"/>
  <c r="AD392"/>
  <c r="AD349"/>
  <c r="AD356"/>
  <c r="AD331"/>
  <c r="AD393"/>
  <c r="AD401"/>
  <c r="AD421"/>
  <c r="AD517"/>
  <c r="AD312"/>
  <c r="AD292"/>
  <c r="AD434"/>
  <c r="AD504"/>
  <c r="AD338"/>
  <c r="AD22"/>
  <c r="AD387"/>
  <c r="AD430"/>
  <c r="AI430" s="1"/>
  <c r="AD414"/>
  <c r="AD172"/>
  <c r="AD475"/>
  <c r="AD491"/>
  <c r="AD343"/>
  <c r="AD395"/>
  <c r="AD325"/>
  <c r="AD21"/>
  <c r="AD98"/>
  <c r="AD137"/>
  <c r="AD441"/>
  <c r="AD37"/>
  <c r="AD455"/>
  <c r="AD419"/>
  <c r="AD384"/>
  <c r="AD481"/>
  <c r="AD189"/>
  <c r="AD413"/>
  <c r="AD136"/>
  <c r="AD89"/>
  <c r="AD333"/>
  <c r="AD5"/>
  <c r="AD513"/>
  <c r="AD402"/>
  <c r="AI402" s="1"/>
  <c r="AD31"/>
  <c r="AD247"/>
  <c r="AD448"/>
  <c r="AI448" s="1"/>
  <c r="AD58"/>
  <c r="AD33"/>
  <c r="AD202"/>
  <c r="AD111"/>
  <c r="AD423"/>
  <c r="AD196"/>
  <c r="AD483"/>
  <c r="AD445"/>
  <c r="AD69"/>
  <c r="AD81"/>
  <c r="AD365"/>
  <c r="AD256"/>
  <c r="AD56"/>
  <c r="AD287"/>
  <c r="AD154"/>
  <c r="AI154" s="1"/>
  <c r="AD403"/>
  <c r="AI403" s="1"/>
  <c r="AD397"/>
  <c r="AD412"/>
  <c r="AD439"/>
  <c r="AD452"/>
  <c r="AD311"/>
  <c r="AD248"/>
  <c r="AD411"/>
  <c r="AD355"/>
  <c r="AD293"/>
  <c r="AD396"/>
  <c r="AD400"/>
  <c r="AI400" s="1"/>
  <c r="AD78"/>
  <c r="AD155"/>
  <c r="AI155" s="1"/>
  <c r="AD398"/>
  <c r="AD518"/>
  <c r="AD130"/>
  <c r="AD216"/>
  <c r="AD228"/>
  <c r="AD328"/>
  <c r="AD489"/>
  <c r="AD376"/>
  <c r="AI376" s="1"/>
  <c r="AD4"/>
  <c r="AD140"/>
  <c r="AD7"/>
  <c r="AD8"/>
  <c r="AD17"/>
  <c r="AD190"/>
  <c r="AD191"/>
  <c r="AD218"/>
  <c r="AD219"/>
  <c r="AD204"/>
  <c r="AD341"/>
  <c r="AD205"/>
  <c r="AD342"/>
  <c r="AI342" s="1"/>
  <c r="AD102"/>
  <c r="AD103"/>
  <c r="AD44"/>
  <c r="AD45"/>
  <c r="AD239"/>
  <c r="AI239" s="1"/>
  <c r="AD240"/>
  <c r="AD43"/>
  <c r="AD241"/>
  <c r="AD242"/>
  <c r="AI242" s="1"/>
  <c r="AD243"/>
  <c r="AI243" s="1"/>
  <c r="AD244"/>
  <c r="AI244" s="1"/>
  <c r="AD245"/>
  <c r="AI245" s="1"/>
  <c r="AD186"/>
  <c r="AF186" s="1"/>
  <c r="AD220"/>
  <c r="AD221"/>
  <c r="AI221" s="1"/>
  <c r="AD66"/>
  <c r="AD68"/>
  <c r="AI68" s="1"/>
  <c r="AD67"/>
  <c r="AI67" s="1"/>
  <c r="AD94"/>
  <c r="AD188"/>
  <c r="AD54"/>
  <c r="AD52"/>
  <c r="AD162"/>
  <c r="AD53"/>
  <c r="AD163"/>
  <c r="AD35"/>
  <c r="AD270"/>
  <c r="AD168"/>
  <c r="AD278"/>
  <c r="AD279"/>
  <c r="AI279" s="1"/>
  <c r="AD280"/>
  <c r="AD76"/>
  <c r="AI76" s="1"/>
  <c r="AD75"/>
  <c r="AD200"/>
  <c r="AD201"/>
  <c r="AD49"/>
  <c r="AD50"/>
  <c r="AI50" s="1"/>
  <c r="AD14"/>
  <c r="AD235"/>
  <c r="AD51"/>
  <c r="AD236"/>
  <c r="AD161"/>
  <c r="AD18"/>
  <c r="AI18" s="1"/>
  <c r="AD150"/>
  <c r="AD19"/>
  <c r="AI19" s="1"/>
  <c r="AD151"/>
  <c r="AI151" s="1"/>
  <c r="AD40"/>
  <c r="AD61"/>
  <c r="AD42"/>
  <c r="AD230"/>
  <c r="AD41"/>
  <c r="AI41" s="1"/>
  <c r="AD231"/>
  <c r="AI231" s="1"/>
  <c r="AD348"/>
  <c r="AD82"/>
  <c r="AD294"/>
  <c r="AD156"/>
  <c r="AD347"/>
  <c r="AD157"/>
  <c r="AD158"/>
  <c r="AD84"/>
  <c r="AI84" s="1"/>
  <c r="AD64"/>
  <c r="AD113"/>
  <c r="AD147"/>
  <c r="AD437"/>
  <c r="AD438"/>
  <c r="AD232"/>
  <c r="AD508"/>
  <c r="AD510"/>
  <c r="AI510" s="1"/>
  <c r="AD233"/>
  <c r="AD110"/>
  <c r="AD260"/>
  <c r="AD72"/>
  <c r="AD109"/>
  <c r="AD515"/>
  <c r="AD134"/>
  <c r="AD135"/>
  <c r="AD153"/>
  <c r="AD165"/>
  <c r="AD185"/>
  <c r="AD214"/>
  <c r="AD213"/>
  <c r="AD107"/>
  <c r="AD59"/>
  <c r="AD108"/>
  <c r="AI108" s="1"/>
  <c r="AD60"/>
  <c r="AD336"/>
  <c r="AD337"/>
  <c r="AD317"/>
  <c r="AD12"/>
  <c r="AI12" s="1"/>
  <c r="AD166"/>
  <c r="AD9"/>
  <c r="AD11"/>
  <c r="AD10"/>
  <c r="AI10" s="1"/>
  <c r="AD55"/>
  <c r="AD105"/>
  <c r="AD106"/>
  <c r="AD266"/>
  <c r="AD71"/>
  <c r="AD318"/>
  <c r="AD261"/>
  <c r="AD273"/>
  <c r="AD274"/>
  <c r="AI274" s="1"/>
  <c r="AD183"/>
  <c r="AD120"/>
  <c r="AD25"/>
  <c r="AI25" s="1"/>
  <c r="AD24"/>
  <c r="AD208"/>
  <c r="AI208" s="1"/>
  <c r="AD148"/>
  <c r="AE148" s="1"/>
  <c r="AD2"/>
  <c r="AG396"/>
  <c r="AG397"/>
  <c r="AG395"/>
  <c r="AG187"/>
  <c r="AG85"/>
  <c r="AG352"/>
  <c r="AG351"/>
  <c r="AG81"/>
  <c r="AG80"/>
  <c r="AG192"/>
  <c r="AG254"/>
  <c r="AG253"/>
  <c r="AG104"/>
  <c r="AG405"/>
  <c r="AG404"/>
  <c r="AG345"/>
  <c r="AG346"/>
  <c r="AG291"/>
  <c r="AG292"/>
  <c r="AG290"/>
  <c r="AG130"/>
  <c r="AG129"/>
  <c r="AG330"/>
  <c r="AG333"/>
  <c r="AG78"/>
  <c r="AG456"/>
  <c r="AG344"/>
  <c r="AG343"/>
  <c r="AG119"/>
  <c r="AG118"/>
  <c r="AG376"/>
  <c r="AG378"/>
  <c r="AG377"/>
  <c r="AG446"/>
  <c r="AG375"/>
  <c r="AG398"/>
  <c r="AG338"/>
  <c r="AG339"/>
  <c r="AG432"/>
  <c r="AG431"/>
  <c r="AG257"/>
  <c r="AG384"/>
  <c r="AG385"/>
  <c r="AG248"/>
  <c r="AG256"/>
  <c r="AG249"/>
  <c r="AG247"/>
  <c r="AG422"/>
  <c r="AG421"/>
  <c r="AG419"/>
  <c r="AG430"/>
  <c r="AG429"/>
  <c r="AG387"/>
  <c r="AG400"/>
  <c r="AG399"/>
  <c r="AG420"/>
  <c r="AG386"/>
  <c r="AG297"/>
  <c r="AG298"/>
  <c r="AG461"/>
  <c r="AG89"/>
  <c r="AG30"/>
  <c r="AG31"/>
  <c r="AG32"/>
  <c r="AG48"/>
  <c r="AG98"/>
  <c r="AG189"/>
  <c r="AG114"/>
  <c r="AG47"/>
  <c r="AG287"/>
  <c r="AG303"/>
  <c r="AG392"/>
  <c r="AG407"/>
  <c r="AG409"/>
  <c r="AG408"/>
  <c r="AG170"/>
  <c r="AG178"/>
  <c r="AG325"/>
  <c r="AG489"/>
  <c r="AG503"/>
  <c r="AG288"/>
  <c r="AG289"/>
  <c r="AG86"/>
  <c r="AG402"/>
  <c r="AG403"/>
  <c r="AG401"/>
  <c r="AG490"/>
  <c r="AG511"/>
  <c r="AG307"/>
  <c r="AG306"/>
  <c r="AG410"/>
  <c r="AG440"/>
  <c r="AG439"/>
  <c r="AG13"/>
  <c r="AG171"/>
  <c r="AG37"/>
  <c r="AG36"/>
  <c r="AG196"/>
  <c r="AG136"/>
  <c r="AG131"/>
  <c r="AG484"/>
  <c r="AG238"/>
  <c r="AG262"/>
  <c r="AG225"/>
  <c r="AG226"/>
  <c r="AG137"/>
  <c r="AG20"/>
  <c r="AG445"/>
  <c r="AG444"/>
  <c r="AG46"/>
  <c r="AG390"/>
  <c r="AG258"/>
  <c r="AG164"/>
  <c r="AG269"/>
  <c r="AG203"/>
  <c r="AG181"/>
  <c r="AG277"/>
  <c r="AG121"/>
  <c r="AG361"/>
  <c r="AG362"/>
  <c r="AG455"/>
  <c r="AG379"/>
  <c r="AG332"/>
  <c r="AG331"/>
  <c r="AG394"/>
  <c r="AG393"/>
  <c r="AG316"/>
  <c r="AG315"/>
  <c r="AG374"/>
  <c r="AG373"/>
  <c r="AG70"/>
  <c r="AG69"/>
  <c r="AG354"/>
  <c r="AG353"/>
  <c r="AG412"/>
  <c r="AG411"/>
  <c r="AG209"/>
  <c r="AG184"/>
  <c r="AG486"/>
  <c r="AG516"/>
  <c r="AG507"/>
  <c r="AG424"/>
  <c r="AG423"/>
  <c r="AG443"/>
  <c r="AG442"/>
  <c r="AG441"/>
  <c r="AG512"/>
  <c r="AG5"/>
  <c r="AG406"/>
  <c r="AG369"/>
  <c r="AG447"/>
  <c r="AG372"/>
  <c r="AG452"/>
  <c r="AG417"/>
  <c r="AG416"/>
  <c r="AG415"/>
  <c r="AG293"/>
  <c r="AG275"/>
  <c r="AG356"/>
  <c r="AG355"/>
  <c r="AG434"/>
  <c r="AG433"/>
  <c r="AG370"/>
  <c r="AG371"/>
  <c r="AG2"/>
  <c r="AG112"/>
  <c r="AG308"/>
  <c r="AG309"/>
  <c r="AG310"/>
  <c r="AG286"/>
  <c r="AG123"/>
  <c r="AG124"/>
  <c r="AG125"/>
  <c r="AG65"/>
  <c r="AG509"/>
  <c r="AG160"/>
  <c r="AG467"/>
  <c r="AG468"/>
  <c r="AG469"/>
  <c r="AG470"/>
  <c r="AG229"/>
  <c r="AG77"/>
  <c r="AG199"/>
  <c r="AG152"/>
  <c r="AG154"/>
  <c r="AG155"/>
  <c r="AG491"/>
  <c r="AG492"/>
  <c r="AG96"/>
  <c r="AG97"/>
  <c r="AG259"/>
  <c r="AG504"/>
  <c r="AG471"/>
  <c r="AG472"/>
  <c r="AG311"/>
  <c r="AG517"/>
  <c r="AG312"/>
  <c r="AG57"/>
  <c r="AG58"/>
  <c r="AG271"/>
  <c r="AG73"/>
  <c r="AG74"/>
  <c r="AG117"/>
  <c r="AG365"/>
  <c r="AG83"/>
  <c r="AG413"/>
  <c r="AG414"/>
  <c r="AG463"/>
  <c r="AG462"/>
  <c r="AG146"/>
  <c r="AG465"/>
  <c r="AG466"/>
  <c r="AG435"/>
  <c r="AG436"/>
  <c r="AG493"/>
  <c r="AG494"/>
  <c r="AG518"/>
  <c r="AG21"/>
  <c r="AG22"/>
  <c r="AG304"/>
  <c r="AG172"/>
  <c r="AG349"/>
  <c r="AG202"/>
  <c r="AG475"/>
  <c r="AG476"/>
  <c r="AG322"/>
  <c r="AG122"/>
  <c r="AG255"/>
  <c r="AG500"/>
  <c r="AG281"/>
  <c r="AG514"/>
  <c r="AG448"/>
  <c r="AG449"/>
  <c r="AG513"/>
  <c r="AG39"/>
  <c r="AG481"/>
  <c r="AG482"/>
  <c r="AG483"/>
  <c r="AG34"/>
  <c r="AG88"/>
  <c r="AG29"/>
  <c r="AG195"/>
  <c r="AG474"/>
  <c r="AG473"/>
  <c r="AG276"/>
  <c r="AG23"/>
  <c r="AG227"/>
  <c r="AG26"/>
  <c r="AG56"/>
  <c r="AG488"/>
  <c r="AG487"/>
  <c r="AG133"/>
  <c r="AG159"/>
  <c r="AG180"/>
  <c r="AG305"/>
  <c r="AG182"/>
  <c r="AG28"/>
  <c r="AG100"/>
  <c r="AG99"/>
  <c r="AG252"/>
  <c r="AG251"/>
  <c r="AG250"/>
  <c r="AG206"/>
  <c r="AG264"/>
  <c r="AG263"/>
  <c r="AG143"/>
  <c r="AG210"/>
  <c r="AG27"/>
  <c r="AG265"/>
  <c r="AG173"/>
  <c r="AG149"/>
  <c r="AG16"/>
  <c r="AG15"/>
  <c r="AG6"/>
  <c r="AG87"/>
  <c r="AG33"/>
  <c r="AG111"/>
  <c r="AG93"/>
  <c r="AG228"/>
  <c r="AG216"/>
  <c r="AG140"/>
  <c r="AG328"/>
  <c r="AG7"/>
  <c r="AG4"/>
  <c r="AG17"/>
  <c r="AG8"/>
  <c r="AG191"/>
  <c r="AG190"/>
  <c r="AG219"/>
  <c r="AG218"/>
  <c r="AG205"/>
  <c r="AG204"/>
  <c r="AG342"/>
  <c r="AG341"/>
  <c r="AG103"/>
  <c r="AG102"/>
  <c r="AG45"/>
  <c r="AG44"/>
  <c r="AG239"/>
  <c r="AG43"/>
  <c r="AG241"/>
  <c r="AG240"/>
  <c r="AG243"/>
  <c r="AG242"/>
  <c r="AG245"/>
  <c r="AG244"/>
  <c r="AG220"/>
  <c r="AG186"/>
  <c r="AG66"/>
  <c r="AG221"/>
  <c r="AG68"/>
  <c r="AG67"/>
  <c r="AG188"/>
  <c r="AG94"/>
  <c r="AG53"/>
  <c r="AG52"/>
  <c r="AG162"/>
  <c r="AG54"/>
  <c r="AG35"/>
  <c r="AG163"/>
  <c r="AG168"/>
  <c r="AG270"/>
  <c r="AG279"/>
  <c r="AG278"/>
  <c r="AG75"/>
  <c r="AG280"/>
  <c r="AG200"/>
  <c r="AG76"/>
  <c r="AG49"/>
  <c r="AG201"/>
  <c r="AG51"/>
  <c r="AG50"/>
  <c r="AG235"/>
  <c r="AG14"/>
  <c r="AG161"/>
  <c r="AG236"/>
  <c r="AG19"/>
  <c r="AG18"/>
  <c r="AG151"/>
  <c r="AG150"/>
  <c r="AG40"/>
  <c r="AG61"/>
  <c r="AG42"/>
  <c r="AG41"/>
  <c r="AG231"/>
  <c r="AG230"/>
  <c r="AG348"/>
  <c r="AG347"/>
  <c r="AG82"/>
  <c r="AG294"/>
  <c r="AG157"/>
  <c r="AG156"/>
  <c r="AG113"/>
  <c r="AG158"/>
  <c r="AG64"/>
  <c r="AG147"/>
  <c r="AG437"/>
  <c r="AG84"/>
  <c r="AG232"/>
  <c r="AG438"/>
  <c r="AG508"/>
  <c r="AG233"/>
  <c r="AG109"/>
  <c r="AG510"/>
  <c r="AG260"/>
  <c r="AG110"/>
  <c r="AG515"/>
  <c r="AG72"/>
  <c r="AG135"/>
  <c r="AG134"/>
  <c r="AG165"/>
  <c r="AG153"/>
  <c r="AG185"/>
  <c r="AG214"/>
  <c r="AG213"/>
  <c r="AG108"/>
  <c r="AG107"/>
  <c r="AG60"/>
  <c r="AG59"/>
  <c r="AG337"/>
  <c r="AG336"/>
  <c r="AG166"/>
  <c r="AG317"/>
  <c r="AG12"/>
  <c r="AG11"/>
  <c r="AG10"/>
  <c r="AG9"/>
  <c r="AG105"/>
  <c r="AG55"/>
  <c r="AG266"/>
  <c r="AG106"/>
  <c r="AG318"/>
  <c r="AG71"/>
  <c r="AG273"/>
  <c r="AG261"/>
  <c r="AG183"/>
  <c r="AG274"/>
  <c r="AG24"/>
  <c r="AG120"/>
  <c r="AG207"/>
  <c r="AC92"/>
  <c r="AG92" s="1"/>
  <c r="AC91"/>
  <c r="AC148"/>
  <c r="AG25"/>
  <c r="AG208"/>
  <c r="AG3"/>
  <c r="M2" i="15"/>
  <c r="N2" s="1"/>
  <c r="J4"/>
  <c r="D2"/>
  <c r="C2"/>
  <c r="B2"/>
  <c r="L2"/>
  <c r="AQ127" i="1" l="1"/>
  <c r="AF127"/>
  <c r="AM127"/>
  <c r="AE127"/>
  <c r="AM246"/>
  <c r="AE246"/>
  <c r="AF246"/>
  <c r="AQ246"/>
  <c r="AF389"/>
  <c r="AP389" s="1"/>
  <c r="AQ389"/>
  <c r="AE389"/>
  <c r="AM389"/>
  <c r="AI389"/>
  <c r="AH389"/>
  <c r="AH127"/>
  <c r="AI127"/>
  <c r="AI246"/>
  <c r="AH246"/>
  <c r="AE458"/>
  <c r="AM458"/>
  <c r="AF458"/>
  <c r="AP458" s="1"/>
  <c r="AQ458"/>
  <c r="AE139"/>
  <c r="AM139"/>
  <c r="AF139"/>
  <c r="AQ139"/>
  <c r="AF383"/>
  <c r="AP383" s="1"/>
  <c r="AE383"/>
  <c r="AM383"/>
  <c r="AQ383"/>
  <c r="AH388"/>
  <c r="AH382"/>
  <c r="AI177"/>
  <c r="AI324"/>
  <c r="AH177"/>
  <c r="AH324"/>
  <c r="AI388"/>
  <c r="AI382"/>
  <c r="AH145"/>
  <c r="AH139"/>
  <c r="AH383"/>
  <c r="AI458"/>
  <c r="AI126"/>
  <c r="AH323"/>
  <c r="AH451"/>
  <c r="AH138"/>
  <c r="AI145"/>
  <c r="AH126"/>
  <c r="AI451"/>
  <c r="AH458"/>
  <c r="AI169"/>
  <c r="AI323"/>
  <c r="AH457"/>
  <c r="AH169"/>
  <c r="AI197"/>
  <c r="AI457"/>
  <c r="AI383"/>
  <c r="AI138"/>
  <c r="AI139"/>
  <c r="AH197"/>
  <c r="AF145"/>
  <c r="AE145"/>
  <c r="AM145"/>
  <c r="AQ145"/>
  <c r="AF451"/>
  <c r="AP451" s="1"/>
  <c r="AE451"/>
  <c r="AM451"/>
  <c r="AQ451"/>
  <c r="AF323"/>
  <c r="AM323"/>
  <c r="AQ323"/>
  <c r="AE323"/>
  <c r="AM126"/>
  <c r="AF126"/>
  <c r="AE126"/>
  <c r="AQ126"/>
  <c r="AF177"/>
  <c r="AE177"/>
  <c r="AM177"/>
  <c r="AQ177"/>
  <c r="AE324"/>
  <c r="AM324"/>
  <c r="AF324"/>
  <c r="AQ324"/>
  <c r="AE382"/>
  <c r="AM382"/>
  <c r="AQ382"/>
  <c r="AF382"/>
  <c r="AP382" s="1"/>
  <c r="AF197"/>
  <c r="AM197"/>
  <c r="AE197"/>
  <c r="AQ197"/>
  <c r="AF138"/>
  <c r="AE138"/>
  <c r="AM138"/>
  <c r="AQ138"/>
  <c r="AF169"/>
  <c r="AE169"/>
  <c r="AM169"/>
  <c r="AQ169"/>
  <c r="AF388"/>
  <c r="AP388" s="1"/>
  <c r="AE388"/>
  <c r="AM388"/>
  <c r="AQ388"/>
  <c r="AF457"/>
  <c r="AP457" s="1"/>
  <c r="AE457"/>
  <c r="AM457"/>
  <c r="AQ457"/>
  <c r="AF502"/>
  <c r="AP502" s="1"/>
  <c r="AQ502"/>
  <c r="AM502"/>
  <c r="AE502"/>
  <c r="AI502"/>
  <c r="AH502"/>
  <c r="AE223"/>
  <c r="AF223"/>
  <c r="AQ223"/>
  <c r="AM223"/>
  <c r="AH501"/>
  <c r="AI501"/>
  <c r="AE144"/>
  <c r="AM144"/>
  <c r="AF144"/>
  <c r="AQ144"/>
  <c r="AQ62"/>
  <c r="AE62"/>
  <c r="AM62"/>
  <c r="AF62"/>
  <c r="AE222"/>
  <c r="AF222"/>
  <c r="AQ222"/>
  <c r="AM222"/>
  <c r="AE501"/>
  <c r="AM501"/>
  <c r="AF501"/>
  <c r="AP501" s="1"/>
  <c r="AQ501"/>
  <c r="AI144"/>
  <c r="AH144"/>
  <c r="AH62"/>
  <c r="AI62"/>
  <c r="AH223"/>
  <c r="AI223"/>
  <c r="AI222"/>
  <c r="AH222"/>
  <c r="AF428"/>
  <c r="AP428" s="1"/>
  <c r="AE428"/>
  <c r="AM428"/>
  <c r="AQ428"/>
  <c r="AF427"/>
  <c r="AP427" s="1"/>
  <c r="AE427"/>
  <c r="AM427"/>
  <c r="AQ427"/>
  <c r="AF480"/>
  <c r="AP480" s="1"/>
  <c r="AE480"/>
  <c r="AM480"/>
  <c r="AQ480"/>
  <c r="AF237"/>
  <c r="AE237"/>
  <c r="AM237"/>
  <c r="AQ237"/>
  <c r="AI237"/>
  <c r="AI427"/>
  <c r="AH479"/>
  <c r="AI480"/>
  <c r="AH427"/>
  <c r="AH480"/>
  <c r="AH428"/>
  <c r="AH340"/>
  <c r="AH237"/>
  <c r="AI428"/>
  <c r="AI479"/>
  <c r="AI340"/>
  <c r="AF479"/>
  <c r="AP479" s="1"/>
  <c r="AE479"/>
  <c r="AM479"/>
  <c r="AQ479"/>
  <c r="AE340"/>
  <c r="AM340"/>
  <c r="AF340"/>
  <c r="AQ340"/>
  <c r="AE296"/>
  <c r="AF296"/>
  <c r="AE211"/>
  <c r="AF211"/>
  <c r="AE359"/>
  <c r="AF359"/>
  <c r="AP359" s="1"/>
  <c r="AE334"/>
  <c r="AF334"/>
  <c r="AE360"/>
  <c r="AF360"/>
  <c r="AP360" s="1"/>
  <c r="AF335"/>
  <c r="AE335"/>
  <c r="AF295"/>
  <c r="AE295"/>
  <c r="AE193"/>
  <c r="AF193"/>
  <c r="AI359"/>
  <c r="AH359"/>
  <c r="AH360"/>
  <c r="AI295"/>
  <c r="AH296"/>
  <c r="AI360"/>
  <c r="AH334"/>
  <c r="AH211"/>
  <c r="AH295"/>
  <c r="AI335"/>
  <c r="AI211"/>
  <c r="AI334"/>
  <c r="AH335"/>
  <c r="AI296"/>
  <c r="AH193"/>
  <c r="AI193"/>
  <c r="AM296"/>
  <c r="AQ296"/>
  <c r="AM295"/>
  <c r="AQ295"/>
  <c r="AH301"/>
  <c r="AI301"/>
  <c r="AH302"/>
  <c r="AI302"/>
  <c r="AH282"/>
  <c r="AI282"/>
  <c r="AH283"/>
  <c r="AI283"/>
  <c r="AE282"/>
  <c r="AF282"/>
  <c r="AM282"/>
  <c r="AQ282"/>
  <c r="AE302"/>
  <c r="AF302"/>
  <c r="AM302"/>
  <c r="AQ302"/>
  <c r="AE460"/>
  <c r="AM460"/>
  <c r="AF460"/>
  <c r="AP460" s="1"/>
  <c r="AQ460"/>
  <c r="AE283"/>
  <c r="AF283"/>
  <c r="AM283"/>
  <c r="AQ283"/>
  <c r="AF391"/>
  <c r="AP391" s="1"/>
  <c r="AM391"/>
  <c r="AE391"/>
  <c r="AQ391"/>
  <c r="AQ459"/>
  <c r="AE459"/>
  <c r="AM459"/>
  <c r="AF459"/>
  <c r="AP459" s="1"/>
  <c r="AE301"/>
  <c r="AF301"/>
  <c r="AM301"/>
  <c r="AQ301"/>
  <c r="AI460"/>
  <c r="AH460"/>
  <c r="AH459"/>
  <c r="AI459"/>
  <c r="AH391"/>
  <c r="AI391"/>
  <c r="AE194"/>
  <c r="AM194"/>
  <c r="AF194"/>
  <c r="AQ194"/>
  <c r="AE224"/>
  <c r="AQ224"/>
  <c r="AF224"/>
  <c r="AM224"/>
  <c r="AI285"/>
  <c r="AH285"/>
  <c r="AI284"/>
  <c r="AH284"/>
  <c r="AF285"/>
  <c r="AE285"/>
  <c r="AM285"/>
  <c r="AQ285"/>
  <c r="AE284"/>
  <c r="AM284"/>
  <c r="AF284"/>
  <c r="AQ284"/>
  <c r="AI224"/>
  <c r="AH224"/>
  <c r="AI194"/>
  <c r="AH194"/>
  <c r="AE313"/>
  <c r="AM313"/>
  <c r="AQ313"/>
  <c r="AF313"/>
  <c r="AM314"/>
  <c r="AF314"/>
  <c r="AQ314"/>
  <c r="AE314"/>
  <c r="AE329"/>
  <c r="AF329"/>
  <c r="AQ329"/>
  <c r="AM329"/>
  <c r="AI314"/>
  <c r="AH314"/>
  <c r="AI313"/>
  <c r="AH313"/>
  <c r="AI329"/>
  <c r="AH329"/>
  <c r="AH478"/>
  <c r="AI478"/>
  <c r="AE272"/>
  <c r="AF272"/>
  <c r="AM272"/>
  <c r="AQ272"/>
  <c r="AE478"/>
  <c r="AQ478"/>
  <c r="AM478"/>
  <c r="AF478"/>
  <c r="AP478" s="1"/>
  <c r="AE506"/>
  <c r="AF506"/>
  <c r="AP506" s="1"/>
  <c r="AQ506"/>
  <c r="AM506"/>
  <c r="AE477"/>
  <c r="AM477"/>
  <c r="AQ477"/>
  <c r="AF477"/>
  <c r="AP477" s="1"/>
  <c r="AI477"/>
  <c r="AH477"/>
  <c r="AI272"/>
  <c r="AH272"/>
  <c r="AH506"/>
  <c r="AI506"/>
  <c r="AH505"/>
  <c r="AI505"/>
  <c r="AM464"/>
  <c r="AQ464"/>
  <c r="AF464"/>
  <c r="AP464" s="1"/>
  <c r="AE464"/>
  <c r="AE115"/>
  <c r="AF115"/>
  <c r="AQ115"/>
  <c r="AM115"/>
  <c r="AF116"/>
  <c r="AE116"/>
  <c r="AM116"/>
  <c r="AQ116"/>
  <c r="AQ358"/>
  <c r="AM358"/>
  <c r="AF358"/>
  <c r="AP358" s="1"/>
  <c r="AE358"/>
  <c r="AE357"/>
  <c r="AM357"/>
  <c r="AQ357"/>
  <c r="AF357"/>
  <c r="AP357" s="1"/>
  <c r="AQ519"/>
  <c r="AM519"/>
  <c r="AF519"/>
  <c r="AP519" s="1"/>
  <c r="AE519"/>
  <c r="AF505"/>
  <c r="AP505" s="1"/>
  <c r="AQ505"/>
  <c r="AE505"/>
  <c r="AM505"/>
  <c r="AH116"/>
  <c r="AI116"/>
  <c r="AI115"/>
  <c r="AH115"/>
  <c r="AH519"/>
  <c r="AI519"/>
  <c r="AI464"/>
  <c r="AH464"/>
  <c r="AH358"/>
  <c r="AI358"/>
  <c r="AI357"/>
  <c r="AH357"/>
  <c r="AE38"/>
  <c r="AF38"/>
  <c r="AM38"/>
  <c r="AQ38"/>
  <c r="AE350"/>
  <c r="AF350"/>
  <c r="AM350"/>
  <c r="AQ350"/>
  <c r="AH95"/>
  <c r="AI95"/>
  <c r="AH38"/>
  <c r="AI38"/>
  <c r="AH101"/>
  <c r="AI101"/>
  <c r="AH350"/>
  <c r="AI350"/>
  <c r="AE101"/>
  <c r="AF101"/>
  <c r="AM101"/>
  <c r="AQ101"/>
  <c r="AE95"/>
  <c r="AF95"/>
  <c r="AM95"/>
  <c r="AQ95"/>
  <c r="AE167"/>
  <c r="AF167"/>
  <c r="AM167"/>
  <c r="AQ167"/>
  <c r="AE175"/>
  <c r="AF175"/>
  <c r="AM175"/>
  <c r="AQ175"/>
  <c r="AE198"/>
  <c r="AF198"/>
  <c r="AM198"/>
  <c r="AQ198"/>
  <c r="AE176"/>
  <c r="AF176"/>
  <c r="AM176"/>
  <c r="AQ176"/>
  <c r="AE366"/>
  <c r="AF366"/>
  <c r="AP366" s="1"/>
  <c r="AM366"/>
  <c r="AQ366"/>
  <c r="AH174"/>
  <c r="AH366"/>
  <c r="AI174"/>
  <c r="AI366"/>
  <c r="AH175"/>
  <c r="AH367"/>
  <c r="AI175"/>
  <c r="AI367"/>
  <c r="AH176"/>
  <c r="AH167"/>
  <c r="AI176"/>
  <c r="AI167"/>
  <c r="AH368"/>
  <c r="AH198"/>
  <c r="AI368"/>
  <c r="AI198"/>
  <c r="AE368"/>
  <c r="AF368"/>
  <c r="AP368" s="1"/>
  <c r="AM368"/>
  <c r="AQ368"/>
  <c r="AE367"/>
  <c r="AF367"/>
  <c r="AP367" s="1"/>
  <c r="AM367"/>
  <c r="AQ367"/>
  <c r="AE174"/>
  <c r="AF174"/>
  <c r="AM174"/>
  <c r="AQ174"/>
  <c r="AM334"/>
  <c r="AQ334"/>
  <c r="AM211"/>
  <c r="AQ211"/>
  <c r="AM359"/>
  <c r="AQ359"/>
  <c r="AM360"/>
  <c r="AQ360"/>
  <c r="AQ335"/>
  <c r="AM335"/>
  <c r="AI215"/>
  <c r="AH215"/>
  <c r="AH179"/>
  <c r="AI179"/>
  <c r="AE179"/>
  <c r="AM179"/>
  <c r="AF179"/>
  <c r="AQ179"/>
  <c r="AE215"/>
  <c r="AM215"/>
  <c r="AF215"/>
  <c r="AQ215"/>
  <c r="AH319"/>
  <c r="AI319"/>
  <c r="AH454"/>
  <c r="AI454"/>
  <c r="AI321"/>
  <c r="AH320"/>
  <c r="AI320"/>
  <c r="AI453"/>
  <c r="AH321"/>
  <c r="AH453"/>
  <c r="AE321"/>
  <c r="AM321"/>
  <c r="AF321"/>
  <c r="AQ321"/>
  <c r="AM454"/>
  <c r="AQ454"/>
  <c r="AE454"/>
  <c r="AF454"/>
  <c r="AP454" s="1"/>
  <c r="AM319"/>
  <c r="AQ319"/>
  <c r="AE319"/>
  <c r="AF319"/>
  <c r="AF320"/>
  <c r="AM320"/>
  <c r="AE320"/>
  <c r="AQ320"/>
  <c r="AE453"/>
  <c r="AM453"/>
  <c r="AF453"/>
  <c r="AP453" s="1"/>
  <c r="AQ453"/>
  <c r="AH326"/>
  <c r="AI497"/>
  <c r="AI425"/>
  <c r="AH380"/>
  <c r="AH496"/>
  <c r="AH327"/>
  <c r="AI326"/>
  <c r="AH497"/>
  <c r="AI496"/>
  <c r="AH426"/>
  <c r="AI495"/>
  <c r="AI381"/>
  <c r="AI426"/>
  <c r="AH425"/>
  <c r="AI380"/>
  <c r="AH495"/>
  <c r="AH381"/>
  <c r="AI327"/>
  <c r="AE380"/>
  <c r="AM380"/>
  <c r="AF380"/>
  <c r="AP380" s="1"/>
  <c r="AQ380"/>
  <c r="AF327"/>
  <c r="AE327"/>
  <c r="AM327"/>
  <c r="AQ327"/>
  <c r="AE495"/>
  <c r="AM495"/>
  <c r="AF495"/>
  <c r="AP495" s="1"/>
  <c r="AQ495"/>
  <c r="AF496"/>
  <c r="AP496" s="1"/>
  <c r="AE496"/>
  <c r="AM496"/>
  <c r="AQ496"/>
  <c r="AE326"/>
  <c r="AM326"/>
  <c r="AF326"/>
  <c r="AQ326"/>
  <c r="AE426"/>
  <c r="AM426"/>
  <c r="AF426"/>
  <c r="AP426" s="1"/>
  <c r="AQ426"/>
  <c r="AE381"/>
  <c r="AM381"/>
  <c r="AF381"/>
  <c r="AP381" s="1"/>
  <c r="AQ381"/>
  <c r="AE497"/>
  <c r="AM497"/>
  <c r="AF497"/>
  <c r="AP497" s="1"/>
  <c r="AQ497"/>
  <c r="AE425"/>
  <c r="AM425"/>
  <c r="AF425"/>
  <c r="AP425" s="1"/>
  <c r="AQ425"/>
  <c r="AE142"/>
  <c r="AQ142"/>
  <c r="AM142"/>
  <c r="AF142"/>
  <c r="AE234"/>
  <c r="AM234"/>
  <c r="AF234"/>
  <c r="AQ234"/>
  <c r="AE79"/>
  <c r="AM79"/>
  <c r="AF79"/>
  <c r="AQ79"/>
  <c r="AE300"/>
  <c r="AQ300"/>
  <c r="AF300"/>
  <c r="AM300"/>
  <c r="AE363"/>
  <c r="AM363"/>
  <c r="AF363"/>
  <c r="AP363" s="1"/>
  <c r="AQ363"/>
  <c r="AF141"/>
  <c r="AE141"/>
  <c r="AM141"/>
  <c r="AQ141"/>
  <c r="AF212"/>
  <c r="AE212"/>
  <c r="AM212"/>
  <c r="AQ212"/>
  <c r="AE267"/>
  <c r="AM267"/>
  <c r="AF267"/>
  <c r="AQ267"/>
  <c r="AI212"/>
  <c r="AH212"/>
  <c r="AI234"/>
  <c r="AI363"/>
  <c r="AH268"/>
  <c r="AH499"/>
  <c r="AH90"/>
  <c r="AH364"/>
  <c r="AH141"/>
  <c r="AI268"/>
  <c r="AI141"/>
  <c r="AI90"/>
  <c r="AI485"/>
  <c r="AH234"/>
  <c r="AH363"/>
  <c r="AI267"/>
  <c r="AI499"/>
  <c r="AH485"/>
  <c r="AH267"/>
  <c r="AI364"/>
  <c r="AE268"/>
  <c r="AM268"/>
  <c r="AF268"/>
  <c r="AQ268"/>
  <c r="AE418"/>
  <c r="AM418"/>
  <c r="AF418"/>
  <c r="AP418" s="1"/>
  <c r="AQ418"/>
  <c r="AF450"/>
  <c r="AP450" s="1"/>
  <c r="AM450"/>
  <c r="AE450"/>
  <c r="AQ450"/>
  <c r="AQ128"/>
  <c r="AE128"/>
  <c r="AM128"/>
  <c r="AF128"/>
  <c r="AF499"/>
  <c r="AP499" s="1"/>
  <c r="AE499"/>
  <c r="AM499"/>
  <c r="AQ499"/>
  <c r="AQ63"/>
  <c r="AM63"/>
  <c r="AF63"/>
  <c r="AE63"/>
  <c r="AQ132"/>
  <c r="AE132"/>
  <c r="AM132"/>
  <c r="AF132"/>
  <c r="AE90"/>
  <c r="AM90"/>
  <c r="AF90"/>
  <c r="AQ90"/>
  <c r="AE485"/>
  <c r="AM485"/>
  <c r="AF485"/>
  <c r="AP485" s="1"/>
  <c r="AQ485"/>
  <c r="AM217"/>
  <c r="AQ217"/>
  <c r="AE217"/>
  <c r="AF217"/>
  <c r="AF364"/>
  <c r="AP364" s="1"/>
  <c r="AE364"/>
  <c r="AM364"/>
  <c r="AQ364"/>
  <c r="AH217"/>
  <c r="AI217"/>
  <c r="AH128"/>
  <c r="AI128"/>
  <c r="AH450"/>
  <c r="AI450"/>
  <c r="AI79"/>
  <c r="AH79"/>
  <c r="AH132"/>
  <c r="AI132"/>
  <c r="AH142"/>
  <c r="AI142"/>
  <c r="AH63"/>
  <c r="AI63"/>
  <c r="AH418"/>
  <c r="AI418"/>
  <c r="AI300"/>
  <c r="AH300"/>
  <c r="AE498"/>
  <c r="AM498"/>
  <c r="AF498"/>
  <c r="AP498" s="1"/>
  <c r="AQ498"/>
  <c r="AE299"/>
  <c r="AQ299"/>
  <c r="AM299"/>
  <c r="AF299"/>
  <c r="AI299"/>
  <c r="AH299"/>
  <c r="AH498"/>
  <c r="AI498"/>
  <c r="AF52"/>
  <c r="AE52"/>
  <c r="AM52"/>
  <c r="AQ52"/>
  <c r="AE438"/>
  <c r="AF438"/>
  <c r="AP438" s="1"/>
  <c r="AI438"/>
  <c r="AQ438"/>
  <c r="AM438"/>
  <c r="AF64"/>
  <c r="AE64"/>
  <c r="AQ64"/>
  <c r="AM64"/>
  <c r="AE54"/>
  <c r="AF54"/>
  <c r="AM54"/>
  <c r="AQ54"/>
  <c r="AE437"/>
  <c r="AF437"/>
  <c r="AP437" s="1"/>
  <c r="AQ437"/>
  <c r="AM437"/>
  <c r="AE53"/>
  <c r="AF53"/>
  <c r="AI53"/>
  <c r="AM53"/>
  <c r="AQ53"/>
  <c r="AE182"/>
  <c r="AF182"/>
  <c r="AM182"/>
  <c r="AQ182"/>
  <c r="AF397"/>
  <c r="AP397" s="1"/>
  <c r="AE397"/>
  <c r="AM397"/>
  <c r="AQ397"/>
  <c r="AM395"/>
  <c r="AQ395"/>
  <c r="AE395"/>
  <c r="AF395"/>
  <c r="AP395" s="1"/>
  <c r="AF396"/>
  <c r="AP396" s="1"/>
  <c r="AE396"/>
  <c r="AM396"/>
  <c r="AQ396"/>
  <c r="AH397"/>
  <c r="AI397"/>
  <c r="AI396"/>
  <c r="AH396"/>
  <c r="AH395"/>
  <c r="AI395"/>
  <c r="AE352"/>
  <c r="AQ352"/>
  <c r="AM352"/>
  <c r="AF352"/>
  <c r="AE351"/>
  <c r="AQ351"/>
  <c r="AF351"/>
  <c r="AM351"/>
  <c r="AE187"/>
  <c r="AQ187"/>
  <c r="AM187"/>
  <c r="AF187"/>
  <c r="AF85"/>
  <c r="AE85"/>
  <c r="AM85"/>
  <c r="AQ85"/>
  <c r="AI187"/>
  <c r="AH187"/>
  <c r="AI85"/>
  <c r="AH85"/>
  <c r="AI352"/>
  <c r="AH352"/>
  <c r="AH351"/>
  <c r="AM81"/>
  <c r="AE81"/>
  <c r="AF81"/>
  <c r="AQ81"/>
  <c r="AI351"/>
  <c r="AE80"/>
  <c r="AM80"/>
  <c r="AQ80"/>
  <c r="AF80"/>
  <c r="AH81"/>
  <c r="AI81"/>
  <c r="AI80"/>
  <c r="AH80"/>
  <c r="AF253"/>
  <c r="AQ253"/>
  <c r="AE253"/>
  <c r="AM253"/>
  <c r="AE254"/>
  <c r="AF254"/>
  <c r="AM254"/>
  <c r="AQ254"/>
  <c r="AI254"/>
  <c r="AH254"/>
  <c r="AF192"/>
  <c r="AE192"/>
  <c r="AM192"/>
  <c r="AQ192"/>
  <c r="AF405"/>
  <c r="AP405" s="1"/>
  <c r="AE405"/>
  <c r="AM405"/>
  <c r="AQ405"/>
  <c r="AI253"/>
  <c r="AH253"/>
  <c r="AI192"/>
  <c r="AH192"/>
  <c r="AH405"/>
  <c r="AE266"/>
  <c r="AF266"/>
  <c r="AM266"/>
  <c r="AQ266"/>
  <c r="AI405"/>
  <c r="AF104"/>
  <c r="AM104"/>
  <c r="AQ104"/>
  <c r="AE104"/>
  <c r="AE404"/>
  <c r="AM404"/>
  <c r="AF404"/>
  <c r="AP404" s="1"/>
  <c r="AQ404"/>
  <c r="AI104"/>
  <c r="AH104"/>
  <c r="AH404"/>
  <c r="AI404"/>
  <c r="AQ345"/>
  <c r="AF345"/>
  <c r="AM345"/>
  <c r="AM346"/>
  <c r="AE346"/>
  <c r="AF346"/>
  <c r="AQ346"/>
  <c r="AI346"/>
  <c r="AH346"/>
  <c r="AH345"/>
  <c r="AI345"/>
  <c r="AE292"/>
  <c r="AF292"/>
  <c r="AM292"/>
  <c r="AQ292"/>
  <c r="AM291"/>
  <c r="AE291"/>
  <c r="AF291"/>
  <c r="AQ291"/>
  <c r="AM290"/>
  <c r="AE290"/>
  <c r="AF290"/>
  <c r="AQ290"/>
  <c r="AH292"/>
  <c r="AI292"/>
  <c r="AI291"/>
  <c r="AH291"/>
  <c r="AH290"/>
  <c r="AI290"/>
  <c r="AI241"/>
  <c r="AI44"/>
  <c r="AI24"/>
  <c r="AI261"/>
  <c r="AI106"/>
  <c r="AI11"/>
  <c r="AI336"/>
  <c r="AI214"/>
  <c r="AI165"/>
  <c r="AI515"/>
  <c r="AI109"/>
  <c r="AI437"/>
  <c r="AI158"/>
  <c r="AI294"/>
  <c r="AI42"/>
  <c r="AI161"/>
  <c r="AI51"/>
  <c r="AI75"/>
  <c r="AI270"/>
  <c r="AI54"/>
  <c r="AI66"/>
  <c r="AI140"/>
  <c r="AI111"/>
  <c r="AI199"/>
  <c r="AI465"/>
  <c r="AI308"/>
  <c r="AI172"/>
  <c r="AI248"/>
  <c r="AI29"/>
  <c r="AI205"/>
  <c r="AI69"/>
  <c r="AI482"/>
  <c r="AI225"/>
  <c r="AI17"/>
  <c r="AI33"/>
  <c r="AI137"/>
  <c r="AI210"/>
  <c r="AI311"/>
  <c r="AI489"/>
  <c r="AI99"/>
  <c r="AI513"/>
  <c r="AI455"/>
  <c r="AI466"/>
  <c r="AI136"/>
  <c r="AI184"/>
  <c r="AI315"/>
  <c r="AI298"/>
  <c r="AI98"/>
  <c r="AI28"/>
  <c r="AI442"/>
  <c r="AI310"/>
  <c r="AI293"/>
  <c r="AI218"/>
  <c r="AI202"/>
  <c r="AI36"/>
  <c r="AI203"/>
  <c r="AI264"/>
  <c r="AI343"/>
  <c r="AI57"/>
  <c r="AI511"/>
  <c r="AI263"/>
  <c r="AI256"/>
  <c r="AI307"/>
  <c r="AI31"/>
  <c r="AI446"/>
  <c r="AI112"/>
  <c r="AI379"/>
  <c r="AI122"/>
  <c r="AI189"/>
  <c r="AI7"/>
  <c r="AI191"/>
  <c r="AI149"/>
  <c r="AI271"/>
  <c r="AI5"/>
  <c r="AI338"/>
  <c r="AI393"/>
  <c r="AI26"/>
  <c r="AI281"/>
  <c r="AI386"/>
  <c r="AI415"/>
  <c r="AI421"/>
  <c r="AI303"/>
  <c r="AI240"/>
  <c r="AI120"/>
  <c r="AI318"/>
  <c r="AI105"/>
  <c r="AI166"/>
  <c r="AI60"/>
  <c r="AI213"/>
  <c r="AI153"/>
  <c r="AI72"/>
  <c r="AI508"/>
  <c r="AI64"/>
  <c r="AI157"/>
  <c r="AI348"/>
  <c r="AI40"/>
  <c r="AI236"/>
  <c r="AI49"/>
  <c r="AI280"/>
  <c r="AI35"/>
  <c r="AI52"/>
  <c r="AI220"/>
  <c r="AI173"/>
  <c r="AI209"/>
  <c r="AI486"/>
  <c r="AI88"/>
  <c r="AI473"/>
  <c r="AI275"/>
  <c r="AI78"/>
  <c r="AI488"/>
  <c r="AI8"/>
  <c r="AI34"/>
  <c r="AI435"/>
  <c r="AI27"/>
  <c r="AI4"/>
  <c r="AI250"/>
  <c r="AI37"/>
  <c r="AI159"/>
  <c r="AI306"/>
  <c r="AI445"/>
  <c r="AI312"/>
  <c r="AI429"/>
  <c r="AI265"/>
  <c r="AI123"/>
  <c r="AI440"/>
  <c r="AI129"/>
  <c r="AI503"/>
  <c r="AI89"/>
  <c r="AI249"/>
  <c r="AI229"/>
  <c r="AI475"/>
  <c r="AI131"/>
  <c r="AI423"/>
  <c r="AI361"/>
  <c r="AI491"/>
  <c r="AI259"/>
  <c r="AI277"/>
  <c r="AI353"/>
  <c r="AI331"/>
  <c r="AI444"/>
  <c r="AI97"/>
  <c r="AI58"/>
  <c r="AI330"/>
  <c r="AI411"/>
  <c r="AI384"/>
  <c r="AI385"/>
  <c r="AI452"/>
  <c r="AI355"/>
  <c r="AI398"/>
  <c r="AI349"/>
  <c r="AI487"/>
  <c r="AI493"/>
  <c r="AI124"/>
  <c r="AI504"/>
  <c r="AI114"/>
  <c r="AI83"/>
  <c r="AI287"/>
  <c r="AI514"/>
  <c r="AI490"/>
  <c r="AI518"/>
  <c r="AI297"/>
  <c r="AI247"/>
  <c r="AI45"/>
  <c r="AI148"/>
  <c r="AI2"/>
  <c r="AI183"/>
  <c r="AI71"/>
  <c r="AI55"/>
  <c r="AI317"/>
  <c r="AI59"/>
  <c r="AI185"/>
  <c r="AI135"/>
  <c r="AI260"/>
  <c r="AI233"/>
  <c r="AI147"/>
  <c r="AI156"/>
  <c r="AI347"/>
  <c r="AI61"/>
  <c r="AI235"/>
  <c r="AI201"/>
  <c r="AI278"/>
  <c r="AI163"/>
  <c r="AI188"/>
  <c r="AI186"/>
  <c r="AI374"/>
  <c r="AI288"/>
  <c r="AI227"/>
  <c r="AI481"/>
  <c r="AI316"/>
  <c r="AI431"/>
  <c r="AI341"/>
  <c r="AI258"/>
  <c r="AI328"/>
  <c r="AI255"/>
  <c r="AI434"/>
  <c r="AI102"/>
  <c r="AI216"/>
  <c r="AI96"/>
  <c r="AI439"/>
  <c r="AI304"/>
  <c r="AI424"/>
  <c r="AI305"/>
  <c r="AI414"/>
  <c r="AI412"/>
  <c r="AI441"/>
  <c r="AI471"/>
  <c r="AI252"/>
  <c r="AI494"/>
  <c r="AI394"/>
  <c r="AI419"/>
  <c r="AI118"/>
  <c r="AI500"/>
  <c r="AI407"/>
  <c r="AI399"/>
  <c r="AI48"/>
  <c r="AI447"/>
  <c r="AI56"/>
  <c r="AI171"/>
  <c r="AI483"/>
  <c r="AI370"/>
  <c r="AI182"/>
  <c r="AI170"/>
  <c r="AI322"/>
  <c r="AI365"/>
  <c r="AI401"/>
  <c r="AI289"/>
  <c r="AI46"/>
  <c r="AI164"/>
  <c r="AI70"/>
  <c r="AI422"/>
  <c r="AI20"/>
  <c r="AI39"/>
  <c r="AI181"/>
  <c r="AI238"/>
  <c r="AI507"/>
  <c r="AI15"/>
  <c r="AI369"/>
  <c r="AI512"/>
  <c r="AI375"/>
  <c r="AI21"/>
  <c r="AI13"/>
  <c r="AI456"/>
  <c r="AI392"/>
  <c r="AI226"/>
  <c r="AI43"/>
  <c r="AI91"/>
  <c r="AI207"/>
  <c r="AI273"/>
  <c r="AI266"/>
  <c r="AI9"/>
  <c r="AI337"/>
  <c r="AI107"/>
  <c r="AI134"/>
  <c r="AI110"/>
  <c r="AI232"/>
  <c r="AI113"/>
  <c r="AI82"/>
  <c r="AI230"/>
  <c r="AI150"/>
  <c r="AI14"/>
  <c r="AI200"/>
  <c r="AI168"/>
  <c r="AI162"/>
  <c r="AI94"/>
  <c r="AI103"/>
  <c r="AI100"/>
  <c r="AI77"/>
  <c r="AI196"/>
  <c r="AI65"/>
  <c r="AI463"/>
  <c r="AI387"/>
  <c r="AI228"/>
  <c r="AI286"/>
  <c r="AI484"/>
  <c r="AI373"/>
  <c r="AI87"/>
  <c r="AI204"/>
  <c r="AI195"/>
  <c r="AI276"/>
  <c r="AI516"/>
  <c r="AI180"/>
  <c r="AI125"/>
  <c r="AI206"/>
  <c r="AI47"/>
  <c r="AI433"/>
  <c r="AI160"/>
  <c r="AI32"/>
  <c r="AI121"/>
  <c r="AI356"/>
  <c r="AI461"/>
  <c r="AI333"/>
  <c r="AI190"/>
  <c r="AI73"/>
  <c r="AI472"/>
  <c r="AI432"/>
  <c r="AI16"/>
  <c r="AI269"/>
  <c r="AI143"/>
  <c r="AI467"/>
  <c r="AI22"/>
  <c r="AI332"/>
  <c r="AI262"/>
  <c r="AI390"/>
  <c r="AI325"/>
  <c r="AI410"/>
  <c r="AI130"/>
  <c r="AI344"/>
  <c r="AI219"/>
  <c r="AI23"/>
  <c r="AI417"/>
  <c r="AI86"/>
  <c r="AI257"/>
  <c r="AI146"/>
  <c r="AI462"/>
  <c r="AI413"/>
  <c r="AI354"/>
  <c r="AI372"/>
  <c r="AI517"/>
  <c r="AI30"/>
  <c r="AI117"/>
  <c r="AI406"/>
  <c r="AI133"/>
  <c r="AI119"/>
  <c r="AI178"/>
  <c r="AG148"/>
  <c r="AF3"/>
  <c r="AG91"/>
  <c r="AF129"/>
  <c r="AE129"/>
  <c r="AM129"/>
  <c r="AQ129"/>
  <c r="AF130"/>
  <c r="AM130"/>
  <c r="AQ130"/>
  <c r="AE130"/>
  <c r="AH130"/>
  <c r="AH129"/>
  <c r="AE330"/>
  <c r="AM330"/>
  <c r="AQ330"/>
  <c r="AF330"/>
  <c r="AM333"/>
  <c r="AQ333"/>
  <c r="AF333"/>
  <c r="AE333"/>
  <c r="AH333"/>
  <c r="AH330"/>
  <c r="AE344"/>
  <c r="AF344"/>
  <c r="AM344"/>
  <c r="AQ344"/>
  <c r="AF78"/>
  <c r="AE78"/>
  <c r="AM78"/>
  <c r="AQ78"/>
  <c r="AE343"/>
  <c r="AM343"/>
  <c r="AF343"/>
  <c r="AQ343"/>
  <c r="AE456"/>
  <c r="AF456"/>
  <c r="AP456" s="1"/>
  <c r="AQ456"/>
  <c r="AM456"/>
  <c r="AH456"/>
  <c r="AH78"/>
  <c r="AH344"/>
  <c r="AH343"/>
  <c r="AF119"/>
  <c r="AE119"/>
  <c r="AM119"/>
  <c r="AQ119"/>
  <c r="AE118"/>
  <c r="AF118"/>
  <c r="AQ118"/>
  <c r="AM118"/>
  <c r="AH118"/>
  <c r="AH119"/>
  <c r="AM378"/>
  <c r="AQ378"/>
  <c r="AE378"/>
  <c r="AF378"/>
  <c r="AP378" s="1"/>
  <c r="AF376"/>
  <c r="AP376" s="1"/>
  <c r="AE376"/>
  <c r="AQ376"/>
  <c r="AM376"/>
  <c r="AF375"/>
  <c r="AP375" s="1"/>
  <c r="AM375"/>
  <c r="AE375"/>
  <c r="AQ375"/>
  <c r="AF377"/>
  <c r="AP377" s="1"/>
  <c r="AM377"/>
  <c r="AE377"/>
  <c r="AQ377"/>
  <c r="AH378"/>
  <c r="AH377"/>
  <c r="AH376"/>
  <c r="AE446"/>
  <c r="AF446"/>
  <c r="AP446" s="1"/>
  <c r="AM446"/>
  <c r="AQ446"/>
  <c r="AH375"/>
  <c r="AE398"/>
  <c r="AM398"/>
  <c r="AF398"/>
  <c r="AP398" s="1"/>
  <c r="AQ398"/>
  <c r="AH446"/>
  <c r="AH398"/>
  <c r="AE338"/>
  <c r="AM338"/>
  <c r="AQ338"/>
  <c r="AF338"/>
  <c r="AM431"/>
  <c r="AQ431"/>
  <c r="AE431"/>
  <c r="AF431"/>
  <c r="AP431" s="1"/>
  <c r="AM432"/>
  <c r="AF432"/>
  <c r="AP432" s="1"/>
  <c r="AQ432"/>
  <c r="AE432"/>
  <c r="AE339"/>
  <c r="AF339"/>
  <c r="AQ339"/>
  <c r="AM339"/>
  <c r="AH339"/>
  <c r="AH338"/>
  <c r="AH431"/>
  <c r="AH432"/>
  <c r="AE257"/>
  <c r="AM257"/>
  <c r="AQ257"/>
  <c r="AF257"/>
  <c r="AE384"/>
  <c r="AM384"/>
  <c r="AF384"/>
  <c r="AP384" s="1"/>
  <c r="AQ384"/>
  <c r="AE256"/>
  <c r="AM256"/>
  <c r="AF256"/>
  <c r="AQ256"/>
  <c r="AF385"/>
  <c r="AP385" s="1"/>
  <c r="AE385"/>
  <c r="AM385"/>
  <c r="AQ385"/>
  <c r="AH385"/>
  <c r="AH384"/>
  <c r="AH256"/>
  <c r="AH257"/>
  <c r="AF249"/>
  <c r="AE249"/>
  <c r="AQ249"/>
  <c r="AM249"/>
  <c r="AE247"/>
  <c r="AM247"/>
  <c r="AF247"/>
  <c r="AQ247"/>
  <c r="AM248"/>
  <c r="AF248"/>
  <c r="AQ248"/>
  <c r="AE248"/>
  <c r="AH249"/>
  <c r="AH248"/>
  <c r="AH247"/>
  <c r="AM422"/>
  <c r="AF422"/>
  <c r="AP422" s="1"/>
  <c r="AQ422"/>
  <c r="AE422"/>
  <c r="AE421"/>
  <c r="AQ421"/>
  <c r="AM421"/>
  <c r="AF421"/>
  <c r="AP421" s="1"/>
  <c r="AH422"/>
  <c r="AH421"/>
  <c r="AM399"/>
  <c r="AE399"/>
  <c r="AQ399"/>
  <c r="AF399"/>
  <c r="AP399" s="1"/>
  <c r="AM387"/>
  <c r="AF387"/>
  <c r="AP387" s="1"/>
  <c r="AQ387"/>
  <c r="AE387"/>
  <c r="AE419"/>
  <c r="AQ419"/>
  <c r="AM419"/>
  <c r="AF419"/>
  <c r="AP419" s="1"/>
  <c r="AE400"/>
  <c r="AM400"/>
  <c r="AF400"/>
  <c r="AP400" s="1"/>
  <c r="AQ400"/>
  <c r="AE386"/>
  <c r="AF386"/>
  <c r="AP386" s="1"/>
  <c r="AM386"/>
  <c r="AQ386"/>
  <c r="AF430"/>
  <c r="AP430" s="1"/>
  <c r="AE430"/>
  <c r="AQ430"/>
  <c r="AM430"/>
  <c r="AE429"/>
  <c r="AF429"/>
  <c r="AP429" s="1"/>
  <c r="AM429"/>
  <c r="AQ429"/>
  <c r="AE420"/>
  <c r="AM420"/>
  <c r="AF420"/>
  <c r="AP420" s="1"/>
  <c r="AQ420"/>
  <c r="AH430"/>
  <c r="AH429"/>
  <c r="AH400"/>
  <c r="AH399"/>
  <c r="AH420"/>
  <c r="AH419"/>
  <c r="AH387"/>
  <c r="AH386"/>
  <c r="AM98"/>
  <c r="AE98"/>
  <c r="AQ98"/>
  <c r="AF98"/>
  <c r="AM297"/>
  <c r="AE297"/>
  <c r="AQ297"/>
  <c r="AF297"/>
  <c r="AM298"/>
  <c r="AE298"/>
  <c r="AQ298"/>
  <c r="AF298"/>
  <c r="AH298"/>
  <c r="AH297"/>
  <c r="AE47"/>
  <c r="AM47"/>
  <c r="AF47"/>
  <c r="AQ47"/>
  <c r="AE31"/>
  <c r="AF31"/>
  <c r="AQ31"/>
  <c r="AM31"/>
  <c r="AF48"/>
  <c r="AE48"/>
  <c r="AQ48"/>
  <c r="AM48"/>
  <c r="AM89"/>
  <c r="AF89"/>
  <c r="AE89"/>
  <c r="AQ89"/>
  <c r="AF114"/>
  <c r="AE114"/>
  <c r="AQ114"/>
  <c r="AM114"/>
  <c r="AE32"/>
  <c r="AM32"/>
  <c r="AQ32"/>
  <c r="AF32"/>
  <c r="AE189"/>
  <c r="AM189"/>
  <c r="AQ189"/>
  <c r="AF189"/>
  <c r="AE30"/>
  <c r="AQ30"/>
  <c r="AM30"/>
  <c r="AF30"/>
  <c r="AE461"/>
  <c r="AF461"/>
  <c r="AP461" s="1"/>
  <c r="AM461"/>
  <c r="AQ461"/>
  <c r="AH98"/>
  <c r="AH461"/>
  <c r="AH32"/>
  <c r="AH31"/>
  <c r="AH30"/>
  <c r="AH189"/>
  <c r="AH114"/>
  <c r="AH89"/>
  <c r="AQ303"/>
  <c r="AM303"/>
  <c r="AH47"/>
  <c r="AH48"/>
  <c r="AE287"/>
  <c r="AQ287"/>
  <c r="AM287"/>
  <c r="AF287"/>
  <c r="AH287"/>
  <c r="AE303"/>
  <c r="AE392"/>
  <c r="AF392"/>
  <c r="AP392" s="1"/>
  <c r="AQ392"/>
  <c r="AM392"/>
  <c r="AH303"/>
  <c r="AH392"/>
  <c r="AE408"/>
  <c r="AQ408"/>
  <c r="AF408"/>
  <c r="AP408" s="1"/>
  <c r="AM408"/>
  <c r="AF407"/>
  <c r="AP407" s="1"/>
  <c r="AM407"/>
  <c r="AE407"/>
  <c r="AQ407"/>
  <c r="AF409"/>
  <c r="AP409" s="1"/>
  <c r="AQ409"/>
  <c r="AM409"/>
  <c r="AE409"/>
  <c r="AH408"/>
  <c r="AH407"/>
  <c r="AF170"/>
  <c r="AE170"/>
  <c r="AM170"/>
  <c r="AQ170"/>
  <c r="AH409"/>
  <c r="AH170"/>
  <c r="AE325"/>
  <c r="AM325"/>
  <c r="AQ325"/>
  <c r="AF325"/>
  <c r="AE178"/>
  <c r="AF178"/>
  <c r="AQ178"/>
  <c r="AM178"/>
  <c r="AH178"/>
  <c r="AQ503"/>
  <c r="AE503"/>
  <c r="AF489"/>
  <c r="AP489" s="1"/>
  <c r="AM489"/>
  <c r="AQ489"/>
  <c r="AE489"/>
  <c r="AH325"/>
  <c r="AF503"/>
  <c r="AP503" s="1"/>
  <c r="AH489"/>
  <c r="AH503"/>
  <c r="AE294"/>
  <c r="AF294"/>
  <c r="AM294"/>
  <c r="AQ294"/>
  <c r="AE180"/>
  <c r="AF180"/>
  <c r="AM180"/>
  <c r="AQ180"/>
  <c r="AE288"/>
  <c r="AQ288"/>
  <c r="AF288"/>
  <c r="AM288"/>
  <c r="AM227"/>
  <c r="AQ227"/>
  <c r="AE227"/>
  <c r="AF227"/>
  <c r="AM289"/>
  <c r="AF289"/>
  <c r="AE289"/>
  <c r="AQ289"/>
  <c r="AF86"/>
  <c r="AE86"/>
  <c r="AM86"/>
  <c r="AQ86"/>
  <c r="AH86"/>
  <c r="AH289"/>
  <c r="AH288"/>
  <c r="AF401"/>
  <c r="AP401" s="1"/>
  <c r="AM401"/>
  <c r="AE401"/>
  <c r="AQ401"/>
  <c r="AE402"/>
  <c r="AM402"/>
  <c r="AQ402"/>
  <c r="AF402"/>
  <c r="AP402" s="1"/>
  <c r="AM403"/>
  <c r="AF403"/>
  <c r="AP403" s="1"/>
  <c r="AE403"/>
  <c r="AQ403"/>
  <c r="AH403"/>
  <c r="AH401"/>
  <c r="AH402"/>
  <c r="AF235"/>
  <c r="AE235"/>
  <c r="AM235"/>
  <c r="AQ235"/>
  <c r="AE236"/>
  <c r="AF236"/>
  <c r="AM236"/>
  <c r="AQ236"/>
  <c r="AM511"/>
  <c r="AE511"/>
  <c r="AQ511"/>
  <c r="AF511"/>
  <c r="AP511" s="1"/>
  <c r="AF490"/>
  <c r="AP490" s="1"/>
  <c r="AE490"/>
  <c r="AM490"/>
  <c r="AQ490"/>
  <c r="AH490"/>
  <c r="AM55"/>
  <c r="AQ55"/>
  <c r="AF55"/>
  <c r="AE55"/>
  <c r="AF306"/>
  <c r="AM306"/>
  <c r="AE306"/>
  <c r="AQ306"/>
  <c r="AM307"/>
  <c r="AE307"/>
  <c r="AF307"/>
  <c r="AQ307"/>
  <c r="AH511"/>
  <c r="AH307"/>
  <c r="AM410"/>
  <c r="AE410"/>
  <c r="AF410"/>
  <c r="AP410" s="1"/>
  <c r="AQ410"/>
  <c r="AH410"/>
  <c r="AH306"/>
  <c r="AE171"/>
  <c r="AE439"/>
  <c r="AM439"/>
  <c r="AF439"/>
  <c r="AP439" s="1"/>
  <c r="AQ439"/>
  <c r="AM440"/>
  <c r="AF440"/>
  <c r="AP440" s="1"/>
  <c r="AE440"/>
  <c r="AQ440"/>
  <c r="AM171"/>
  <c r="AQ171"/>
  <c r="AH440"/>
  <c r="AH439"/>
  <c r="AQ36"/>
  <c r="AE36"/>
  <c r="AF36"/>
  <c r="AM36"/>
  <c r="AH171"/>
  <c r="AF13"/>
  <c r="AM13"/>
  <c r="AQ13"/>
  <c r="AE13"/>
  <c r="AM37"/>
  <c r="AQ37"/>
  <c r="AF37"/>
  <c r="AE37"/>
  <c r="AH13"/>
  <c r="AH37"/>
  <c r="AH36"/>
  <c r="AF484"/>
  <c r="AP484" s="1"/>
  <c r="AM484"/>
  <c r="AQ484"/>
  <c r="AE484"/>
  <c r="AE225"/>
  <c r="AF225"/>
  <c r="AM225"/>
  <c r="AQ225"/>
  <c r="AF137"/>
  <c r="AE137"/>
  <c r="AQ137"/>
  <c r="AM137"/>
  <c r="AF131"/>
  <c r="AE131"/>
  <c r="AQ131"/>
  <c r="AM131"/>
  <c r="AE226"/>
  <c r="AQ226"/>
  <c r="AM226"/>
  <c r="AF226"/>
  <c r="AF196"/>
  <c r="AQ196"/>
  <c r="AM196"/>
  <c r="AE196"/>
  <c r="AE238"/>
  <c r="AF238"/>
  <c r="AQ238"/>
  <c r="AM238"/>
  <c r="AM136"/>
  <c r="AE136"/>
  <c r="AQ136"/>
  <c r="AF136"/>
  <c r="AM262"/>
  <c r="AE262"/>
  <c r="AF262"/>
  <c r="AQ262"/>
  <c r="AH262"/>
  <c r="AH226"/>
  <c r="AH225"/>
  <c r="AH238"/>
  <c r="AH196"/>
  <c r="AH131"/>
  <c r="AH484"/>
  <c r="AH137"/>
  <c r="AH136"/>
  <c r="AE20"/>
  <c r="AM20"/>
  <c r="AQ20"/>
  <c r="AF20"/>
  <c r="AH20"/>
  <c r="AE444"/>
  <c r="AM444"/>
  <c r="AF444"/>
  <c r="AP444" s="1"/>
  <c r="AQ444"/>
  <c r="AE445"/>
  <c r="AM445"/>
  <c r="AF445"/>
  <c r="AP445" s="1"/>
  <c r="AQ445"/>
  <c r="AH445"/>
  <c r="AH444"/>
  <c r="AF46"/>
  <c r="AM46"/>
  <c r="AQ46"/>
  <c r="AE46"/>
  <c r="AH46"/>
  <c r="AE390"/>
  <c r="AF390"/>
  <c r="AP390" s="1"/>
  <c r="AM390"/>
  <c r="AQ390"/>
  <c r="AE258"/>
  <c r="AF258"/>
  <c r="AM258"/>
  <c r="AQ258"/>
  <c r="AH390"/>
  <c r="AH258"/>
  <c r="AM269"/>
  <c r="AQ269"/>
  <c r="AE269"/>
  <c r="AF269"/>
  <c r="AH269"/>
  <c r="AF203"/>
  <c r="AQ203"/>
  <c r="AM203"/>
  <c r="AE203"/>
  <c r="AF164"/>
  <c r="AQ164"/>
  <c r="AM164"/>
  <c r="AE164"/>
  <c r="AH164"/>
  <c r="AH203"/>
  <c r="AM181"/>
  <c r="AF181"/>
  <c r="AE181"/>
  <c r="AQ181"/>
  <c r="AH181"/>
  <c r="AE277"/>
  <c r="AM277"/>
  <c r="AF277"/>
  <c r="AQ277"/>
  <c r="AQ121"/>
  <c r="AF121"/>
  <c r="AM121"/>
  <c r="AE121"/>
  <c r="AH277"/>
  <c r="AH121"/>
  <c r="AE120"/>
  <c r="AF120"/>
  <c r="AQ120"/>
  <c r="AM120"/>
  <c r="AE455"/>
  <c r="AM455"/>
  <c r="AF455"/>
  <c r="AP455" s="1"/>
  <c r="AQ455"/>
  <c r="AE166"/>
  <c r="AF166"/>
  <c r="AQ166"/>
  <c r="AM166"/>
  <c r="AE168"/>
  <c r="AF168"/>
  <c r="AQ168"/>
  <c r="AM168"/>
  <c r="AH455"/>
  <c r="AE361"/>
  <c r="AM361"/>
  <c r="AF361"/>
  <c r="AP361" s="1"/>
  <c r="AQ361"/>
  <c r="AE379"/>
  <c r="AF379"/>
  <c r="AP379" s="1"/>
  <c r="AQ379"/>
  <c r="AM379"/>
  <c r="AM362"/>
  <c r="AQ362"/>
  <c r="AF362"/>
  <c r="AP362" s="1"/>
  <c r="AE362"/>
  <c r="AQ148"/>
  <c r="AF148"/>
  <c r="AH362"/>
  <c r="AM3"/>
  <c r="AH361"/>
  <c r="AE3"/>
  <c r="AF91"/>
  <c r="AQ3"/>
  <c r="AE186"/>
  <c r="AM186"/>
  <c r="AH379"/>
  <c r="AQ186"/>
  <c r="AM148"/>
  <c r="AH475"/>
  <c r="AE183"/>
  <c r="AF183"/>
  <c r="AM183"/>
  <c r="AQ183"/>
  <c r="AE332"/>
  <c r="AF332"/>
  <c r="AM332"/>
  <c r="AQ332"/>
  <c r="AE331"/>
  <c r="AF331"/>
  <c r="AM331"/>
  <c r="AQ331"/>
  <c r="AE394"/>
  <c r="AF394"/>
  <c r="AP394" s="1"/>
  <c r="AM394"/>
  <c r="AQ394"/>
  <c r="AE393"/>
  <c r="AF393"/>
  <c r="AP393" s="1"/>
  <c r="AM393"/>
  <c r="AQ393"/>
  <c r="AH331"/>
  <c r="AH332"/>
  <c r="AH394"/>
  <c r="AH393"/>
  <c r="AE317"/>
  <c r="AF317"/>
  <c r="AM317"/>
  <c r="AQ317"/>
  <c r="AE315"/>
  <c r="AF315"/>
  <c r="AM315"/>
  <c r="AQ315"/>
  <c r="AE316"/>
  <c r="AF316"/>
  <c r="AM316"/>
  <c r="AQ316"/>
  <c r="AH315"/>
  <c r="AH316"/>
  <c r="AE373"/>
  <c r="AF373"/>
  <c r="AP373" s="1"/>
  <c r="AM373"/>
  <c r="AQ373"/>
  <c r="AE374"/>
  <c r="AF374"/>
  <c r="AP374" s="1"/>
  <c r="AM374"/>
  <c r="AQ374"/>
  <c r="AE29"/>
  <c r="AF29"/>
  <c r="AM29"/>
  <c r="AQ29"/>
  <c r="AH373"/>
  <c r="AH374"/>
  <c r="AE231"/>
  <c r="AF231"/>
  <c r="AM231"/>
  <c r="AQ231"/>
  <c r="AE230"/>
  <c r="AF230"/>
  <c r="AM230"/>
  <c r="AQ230"/>
  <c r="AE69"/>
  <c r="AF69"/>
  <c r="AM69"/>
  <c r="AQ69"/>
  <c r="AE70"/>
  <c r="AF70"/>
  <c r="AM70"/>
  <c r="AQ70"/>
  <c r="AE133"/>
  <c r="AF133"/>
  <c r="AM133"/>
  <c r="AQ133"/>
  <c r="AE27"/>
  <c r="AF27"/>
  <c r="AM27"/>
  <c r="AQ27"/>
  <c r="AH69"/>
  <c r="AH70"/>
  <c r="AE348"/>
  <c r="AF348"/>
  <c r="AM348"/>
  <c r="AQ348"/>
  <c r="AE347"/>
  <c r="AF347"/>
  <c r="AM347"/>
  <c r="AQ347"/>
  <c r="AE353"/>
  <c r="AF353"/>
  <c r="AM353"/>
  <c r="AQ353"/>
  <c r="AE354"/>
  <c r="AF354"/>
  <c r="AM354"/>
  <c r="AQ354"/>
  <c r="AH354"/>
  <c r="AH353"/>
  <c r="AE195"/>
  <c r="AF195"/>
  <c r="AM195"/>
  <c r="AQ195"/>
  <c r="AE113"/>
  <c r="AF113"/>
  <c r="AM113"/>
  <c r="AQ113"/>
  <c r="AE14"/>
  <c r="AF14"/>
  <c r="AM14"/>
  <c r="AQ14"/>
  <c r="AE35"/>
  <c r="AF35"/>
  <c r="AM35"/>
  <c r="AQ35"/>
  <c r="AE411"/>
  <c r="AF411"/>
  <c r="AP411" s="1"/>
  <c r="AM411"/>
  <c r="AQ411"/>
  <c r="AE412"/>
  <c r="AF412"/>
  <c r="AP412" s="1"/>
  <c r="AM412"/>
  <c r="AQ412"/>
  <c r="AE209"/>
  <c r="AF209"/>
  <c r="AM209"/>
  <c r="AQ209"/>
  <c r="AM210"/>
  <c r="AQ210"/>
  <c r="AE210"/>
  <c r="AF210"/>
  <c r="AH412"/>
  <c r="AH411"/>
  <c r="AH209"/>
  <c r="AE185"/>
  <c r="AF185"/>
  <c r="AM185"/>
  <c r="AQ185"/>
  <c r="AE184"/>
  <c r="AF184"/>
  <c r="AM184"/>
  <c r="AQ184"/>
  <c r="AH184"/>
  <c r="AE487"/>
  <c r="AF487"/>
  <c r="AP487" s="1"/>
  <c r="AM487"/>
  <c r="AQ487"/>
  <c r="AE486"/>
  <c r="AF486"/>
  <c r="AP486" s="1"/>
  <c r="AM486"/>
  <c r="AQ486"/>
  <c r="AH486"/>
  <c r="AE105"/>
  <c r="AF105"/>
  <c r="AM105"/>
  <c r="AQ105"/>
  <c r="AE516"/>
  <c r="AF516"/>
  <c r="AP516" s="1"/>
  <c r="AM516"/>
  <c r="AQ516"/>
  <c r="AH516"/>
  <c r="AE423"/>
  <c r="AF423"/>
  <c r="AP423" s="1"/>
  <c r="AM423"/>
  <c r="AQ423"/>
  <c r="AE424"/>
  <c r="AF424"/>
  <c r="AP424" s="1"/>
  <c r="AM424"/>
  <c r="AQ424"/>
  <c r="AE507"/>
  <c r="AF507"/>
  <c r="AP507" s="1"/>
  <c r="AM507"/>
  <c r="AQ507"/>
  <c r="AH507"/>
  <c r="AH424"/>
  <c r="AE106"/>
  <c r="AF106"/>
  <c r="AM106"/>
  <c r="AQ106"/>
  <c r="AM264"/>
  <c r="AQ264"/>
  <c r="AE264"/>
  <c r="AF264"/>
  <c r="AE263"/>
  <c r="AF263"/>
  <c r="AM263"/>
  <c r="AQ263"/>
  <c r="AE488"/>
  <c r="AF488"/>
  <c r="AP488" s="1"/>
  <c r="AM488"/>
  <c r="AQ488"/>
  <c r="AH423"/>
  <c r="AE265"/>
  <c r="AF265"/>
  <c r="AM265"/>
  <c r="AQ265"/>
  <c r="AE441"/>
  <c r="AF441"/>
  <c r="AP441" s="1"/>
  <c r="AM441"/>
  <c r="AQ441"/>
  <c r="AE442"/>
  <c r="AF442"/>
  <c r="AP442" s="1"/>
  <c r="AM442"/>
  <c r="AQ442"/>
  <c r="AE443"/>
  <c r="AF443"/>
  <c r="AP443" s="1"/>
  <c r="AM443"/>
  <c r="AQ443"/>
  <c r="AH443"/>
  <c r="AH442"/>
  <c r="AH441"/>
  <c r="AE512"/>
  <c r="AF512"/>
  <c r="AP512" s="1"/>
  <c r="AM512"/>
  <c r="AQ512"/>
  <c r="AH512"/>
  <c r="AE5"/>
  <c r="AF5"/>
  <c r="AM5"/>
  <c r="AQ5"/>
  <c r="AE6"/>
  <c r="AF6"/>
  <c r="AM6"/>
  <c r="AQ6"/>
  <c r="AH5"/>
  <c r="AE447"/>
  <c r="AF447"/>
  <c r="AP447" s="1"/>
  <c r="AM447"/>
  <c r="AQ447"/>
  <c r="AE369"/>
  <c r="AF369"/>
  <c r="AP369" s="1"/>
  <c r="AM369"/>
  <c r="AQ369"/>
  <c r="AE406"/>
  <c r="AF406"/>
  <c r="AP406" s="1"/>
  <c r="AM406"/>
  <c r="AQ406"/>
  <c r="AH406"/>
  <c r="AH447"/>
  <c r="AH369"/>
  <c r="AE452"/>
  <c r="AF452"/>
  <c r="AP452" s="1"/>
  <c r="AM452"/>
  <c r="AQ452"/>
  <c r="AE372"/>
  <c r="AF372"/>
  <c r="AP372" s="1"/>
  <c r="AM372"/>
  <c r="AQ372"/>
  <c r="AH372"/>
  <c r="AH452"/>
  <c r="AE232"/>
  <c r="AF232"/>
  <c r="AM232"/>
  <c r="AQ232"/>
  <c r="AE233"/>
  <c r="AF233"/>
  <c r="AM233"/>
  <c r="AQ233"/>
  <c r="AE415"/>
  <c r="AF415"/>
  <c r="AP415" s="1"/>
  <c r="AM415"/>
  <c r="AQ415"/>
  <c r="AE416"/>
  <c r="AF416"/>
  <c r="AP416" s="1"/>
  <c r="AM416"/>
  <c r="AQ416"/>
  <c r="AE293"/>
  <c r="AF293"/>
  <c r="AM293"/>
  <c r="AQ293"/>
  <c r="AE417"/>
  <c r="AF417"/>
  <c r="AP417" s="1"/>
  <c r="AM417"/>
  <c r="AQ417"/>
  <c r="AH417"/>
  <c r="AH416"/>
  <c r="AH415"/>
  <c r="AH293"/>
  <c r="AE275"/>
  <c r="AF275"/>
  <c r="AM275"/>
  <c r="AQ275"/>
  <c r="AE276"/>
  <c r="AF276"/>
  <c r="AM276"/>
  <c r="AQ276"/>
  <c r="AH275"/>
  <c r="AE434"/>
  <c r="AF434"/>
  <c r="AP434" s="1"/>
  <c r="AM434"/>
  <c r="AQ434"/>
  <c r="AE433"/>
  <c r="AF433"/>
  <c r="AP433" s="1"/>
  <c r="AM433"/>
  <c r="AQ433"/>
  <c r="AE370"/>
  <c r="AF370"/>
  <c r="AP370" s="1"/>
  <c r="AM370"/>
  <c r="AQ370"/>
  <c r="AE355"/>
  <c r="AF355"/>
  <c r="AM355"/>
  <c r="AQ355"/>
  <c r="AE371"/>
  <c r="AF371"/>
  <c r="AP371" s="1"/>
  <c r="AM371"/>
  <c r="AQ371"/>
  <c r="AE356"/>
  <c r="AF356"/>
  <c r="AM356"/>
  <c r="AQ356"/>
  <c r="AH356"/>
  <c r="AH355"/>
  <c r="AH434"/>
  <c r="AH433"/>
  <c r="AH371"/>
  <c r="AH370"/>
  <c r="AE483"/>
  <c r="AF483"/>
  <c r="AP483" s="1"/>
  <c r="AM483"/>
  <c r="AQ483"/>
  <c r="AE482"/>
  <c r="AF482"/>
  <c r="AP482" s="1"/>
  <c r="AM482"/>
  <c r="AQ482"/>
  <c r="AE481"/>
  <c r="AF481"/>
  <c r="AP481" s="1"/>
  <c r="AM481"/>
  <c r="AQ481"/>
  <c r="AE34"/>
  <c r="AF34"/>
  <c r="AM34"/>
  <c r="AQ34"/>
  <c r="AE33"/>
  <c r="AF33"/>
  <c r="AM33"/>
  <c r="AQ33"/>
  <c r="AE88"/>
  <c r="AF88"/>
  <c r="AM88"/>
  <c r="AQ88"/>
  <c r="AE87"/>
  <c r="AF87"/>
  <c r="AM87"/>
  <c r="AQ87"/>
  <c r="AH88"/>
  <c r="AH87"/>
  <c r="AH34"/>
  <c r="AH33"/>
  <c r="AH481"/>
  <c r="AH483"/>
  <c r="AH482"/>
  <c r="AE39"/>
  <c r="AF39"/>
  <c r="AM39"/>
  <c r="AQ39"/>
  <c r="AE213"/>
  <c r="AF213"/>
  <c r="AM213"/>
  <c r="AQ213"/>
  <c r="AM214"/>
  <c r="AQ214"/>
  <c r="AE214"/>
  <c r="AF214"/>
  <c r="AH39"/>
  <c r="AE513"/>
  <c r="AF513"/>
  <c r="AP513" s="1"/>
  <c r="AM513"/>
  <c r="AQ513"/>
  <c r="AH513"/>
  <c r="AE448"/>
  <c r="AF448"/>
  <c r="AP448" s="1"/>
  <c r="AM448"/>
  <c r="AQ448"/>
  <c r="AM143"/>
  <c r="AQ143"/>
  <c r="AE143"/>
  <c r="AF143"/>
  <c r="AE449"/>
  <c r="AF449"/>
  <c r="AP449" s="1"/>
  <c r="AM449"/>
  <c r="AQ449"/>
  <c r="AH449"/>
  <c r="AH448"/>
  <c r="AE2"/>
  <c r="AF2"/>
  <c r="AM2"/>
  <c r="AQ2"/>
  <c r="AE514"/>
  <c r="AF514"/>
  <c r="AP514" s="1"/>
  <c r="AM514"/>
  <c r="AQ514"/>
  <c r="AH514"/>
  <c r="AE255"/>
  <c r="AF255"/>
  <c r="AM255"/>
  <c r="AQ255"/>
  <c r="AE500"/>
  <c r="AF500"/>
  <c r="AP500" s="1"/>
  <c r="AM500"/>
  <c r="AQ500"/>
  <c r="AE281"/>
  <c r="AF281"/>
  <c r="AM281"/>
  <c r="AQ281"/>
  <c r="AH281"/>
  <c r="AH255"/>
  <c r="AH500"/>
  <c r="AE322"/>
  <c r="AF322"/>
  <c r="AM322"/>
  <c r="AQ322"/>
  <c r="AE122"/>
  <c r="AF122"/>
  <c r="AM122"/>
  <c r="AQ122"/>
  <c r="AH122"/>
  <c r="AH322"/>
  <c r="AE349"/>
  <c r="AF349"/>
  <c r="AM349"/>
  <c r="AQ349"/>
  <c r="AE202"/>
  <c r="AF202"/>
  <c r="AM202"/>
  <c r="AQ202"/>
  <c r="AE476"/>
  <c r="AF476"/>
  <c r="AP476" s="1"/>
  <c r="AM476"/>
  <c r="AQ476"/>
  <c r="AE475"/>
  <c r="AF475"/>
  <c r="AP475" s="1"/>
  <c r="AM475"/>
  <c r="AQ475"/>
  <c r="AH476"/>
  <c r="AH202"/>
  <c r="AH349"/>
  <c r="AE173"/>
  <c r="AF173"/>
  <c r="AM173"/>
  <c r="AQ173"/>
  <c r="AE172"/>
  <c r="AF172"/>
  <c r="AM172"/>
  <c r="AQ172"/>
  <c r="AE12"/>
  <c r="AF12"/>
  <c r="AM12"/>
  <c r="AQ12"/>
  <c r="AE11"/>
  <c r="AF11"/>
  <c r="AM11"/>
  <c r="AQ11"/>
  <c r="AH172"/>
  <c r="AE305"/>
  <c r="AF305"/>
  <c r="AM305"/>
  <c r="AQ305"/>
  <c r="AE304"/>
  <c r="AF304"/>
  <c r="AM304"/>
  <c r="AQ304"/>
  <c r="AE10"/>
  <c r="AF10"/>
  <c r="AM10"/>
  <c r="AQ10"/>
  <c r="AE9"/>
  <c r="AF9"/>
  <c r="AM9"/>
  <c r="AQ9"/>
  <c r="AH304"/>
  <c r="AE518"/>
  <c r="AF518"/>
  <c r="AP518" s="1"/>
  <c r="AM518"/>
  <c r="AQ518"/>
  <c r="AE21"/>
  <c r="AF21"/>
  <c r="AM21"/>
  <c r="AQ21"/>
  <c r="AE22"/>
  <c r="AF22"/>
  <c r="AM22"/>
  <c r="AQ22"/>
  <c r="AH22"/>
  <c r="AH21"/>
  <c r="AH518"/>
  <c r="AE493"/>
  <c r="AF493"/>
  <c r="AP493" s="1"/>
  <c r="AM493"/>
  <c r="AQ493"/>
  <c r="AE494"/>
  <c r="AF494"/>
  <c r="AP494" s="1"/>
  <c r="AM494"/>
  <c r="AQ494"/>
  <c r="AH493"/>
  <c r="AH494"/>
  <c r="AE435"/>
  <c r="AF435"/>
  <c r="AP435" s="1"/>
  <c r="AM435"/>
  <c r="AQ435"/>
  <c r="AE436"/>
  <c r="AF436"/>
  <c r="AP436" s="1"/>
  <c r="AM436"/>
  <c r="AQ436"/>
  <c r="AH436"/>
  <c r="AH435"/>
  <c r="AE147"/>
  <c r="AF147"/>
  <c r="AM147"/>
  <c r="AQ147"/>
  <c r="AE146"/>
  <c r="AF146"/>
  <c r="AM146"/>
  <c r="AQ146"/>
  <c r="AE465"/>
  <c r="AF465"/>
  <c r="AP465" s="1"/>
  <c r="AM465"/>
  <c r="AQ465"/>
  <c r="AE466"/>
  <c r="AF466"/>
  <c r="AP466" s="1"/>
  <c r="AM466"/>
  <c r="AQ466"/>
  <c r="AH466"/>
  <c r="AH465"/>
  <c r="AH146"/>
  <c r="AE24"/>
  <c r="AF24"/>
  <c r="AM24"/>
  <c r="AQ24"/>
  <c r="AE25"/>
  <c r="AF25"/>
  <c r="AM25"/>
  <c r="AQ25"/>
  <c r="AE15"/>
  <c r="AF15"/>
  <c r="AM15"/>
  <c r="AQ15"/>
  <c r="AE16"/>
  <c r="AF16"/>
  <c r="AM16"/>
  <c r="AQ16"/>
  <c r="AE463"/>
  <c r="AF463"/>
  <c r="AP463" s="1"/>
  <c r="AM463"/>
  <c r="AQ463"/>
  <c r="AE462"/>
  <c r="AF462"/>
  <c r="AP462" s="1"/>
  <c r="AM462"/>
  <c r="AQ462"/>
  <c r="AH463"/>
  <c r="AH462"/>
  <c r="AE414"/>
  <c r="AF414"/>
  <c r="AP414" s="1"/>
  <c r="AM414"/>
  <c r="AQ414"/>
  <c r="AE413"/>
  <c r="AF413"/>
  <c r="AP413" s="1"/>
  <c r="AM413"/>
  <c r="AQ413"/>
  <c r="AH413"/>
  <c r="AH414"/>
  <c r="AE84"/>
  <c r="AF84"/>
  <c r="AM84"/>
  <c r="AQ84"/>
  <c r="AE83"/>
  <c r="AF83"/>
  <c r="AM83"/>
  <c r="AQ83"/>
  <c r="AH83"/>
  <c r="AE365"/>
  <c r="AF365"/>
  <c r="AP365" s="1"/>
  <c r="AM365"/>
  <c r="AQ365"/>
  <c r="AH365"/>
  <c r="AE23"/>
  <c r="AF23"/>
  <c r="AM23"/>
  <c r="AQ23"/>
  <c r="AE117"/>
  <c r="AF117"/>
  <c r="AM117"/>
  <c r="AQ117"/>
  <c r="AH117"/>
  <c r="AE74"/>
  <c r="AF74"/>
  <c r="AM74"/>
  <c r="AQ74"/>
  <c r="AE73"/>
  <c r="AF73"/>
  <c r="AM73"/>
  <c r="AQ73"/>
  <c r="AH74"/>
  <c r="AH73"/>
  <c r="AE100"/>
  <c r="AF100"/>
  <c r="AM100"/>
  <c r="AQ100"/>
  <c r="AE99"/>
  <c r="AF99"/>
  <c r="AM99"/>
  <c r="AQ99"/>
  <c r="AE82"/>
  <c r="AF82"/>
  <c r="AM82"/>
  <c r="AQ82"/>
  <c r="AE270"/>
  <c r="AF270"/>
  <c r="AM270"/>
  <c r="AQ270"/>
  <c r="AE271"/>
  <c r="AF271"/>
  <c r="AM271"/>
  <c r="AQ271"/>
  <c r="AH271"/>
  <c r="AE61"/>
  <c r="AF61"/>
  <c r="AM61"/>
  <c r="AQ61"/>
  <c r="AE158"/>
  <c r="AF158"/>
  <c r="AM158"/>
  <c r="AQ158"/>
  <c r="AE157"/>
  <c r="AF157"/>
  <c r="AM157"/>
  <c r="AQ157"/>
  <c r="AE156"/>
  <c r="AF156"/>
  <c r="AM156"/>
  <c r="AQ156"/>
  <c r="AE206"/>
  <c r="AF206"/>
  <c r="AM206"/>
  <c r="AQ206"/>
  <c r="AE56"/>
  <c r="AF56"/>
  <c r="AM56"/>
  <c r="AQ56"/>
  <c r="AE57"/>
  <c r="AF57"/>
  <c r="AM57"/>
  <c r="AQ57"/>
  <c r="AE58"/>
  <c r="AF58"/>
  <c r="AM58"/>
  <c r="AQ58"/>
  <c r="AH57"/>
  <c r="AH58"/>
  <c r="AE26"/>
  <c r="AF26"/>
  <c r="AM26"/>
  <c r="AQ26"/>
  <c r="AE517"/>
  <c r="AF517"/>
  <c r="AP517" s="1"/>
  <c r="AM517"/>
  <c r="AQ517"/>
  <c r="AE312"/>
  <c r="AF312"/>
  <c r="AM312"/>
  <c r="AQ312"/>
  <c r="AE311"/>
  <c r="AF311"/>
  <c r="AM311"/>
  <c r="AQ311"/>
  <c r="AH312"/>
  <c r="AH311"/>
  <c r="AH517"/>
  <c r="AE472"/>
  <c r="AF472"/>
  <c r="AP472" s="1"/>
  <c r="AM472"/>
  <c r="AQ472"/>
  <c r="AE471"/>
  <c r="AF471"/>
  <c r="AP471" s="1"/>
  <c r="AM471"/>
  <c r="AQ471"/>
  <c r="AH471"/>
  <c r="AH472"/>
  <c r="AE165"/>
  <c r="AF165"/>
  <c r="AM165"/>
  <c r="AQ165"/>
  <c r="AE504"/>
  <c r="AF504"/>
  <c r="AP504" s="1"/>
  <c r="AM504"/>
  <c r="AQ504"/>
  <c r="AH504"/>
  <c r="AE259"/>
  <c r="AF259"/>
  <c r="AM259"/>
  <c r="AQ259"/>
  <c r="AE260"/>
  <c r="AF260"/>
  <c r="AM260"/>
  <c r="AQ260"/>
  <c r="AH259"/>
  <c r="AE318"/>
  <c r="AF318"/>
  <c r="AM318"/>
  <c r="AQ318"/>
  <c r="AE97"/>
  <c r="AF97"/>
  <c r="AM97"/>
  <c r="AQ97"/>
  <c r="AE96"/>
  <c r="AF96"/>
  <c r="AM96"/>
  <c r="AQ96"/>
  <c r="AH96"/>
  <c r="AH97"/>
  <c r="AE107"/>
  <c r="AF107"/>
  <c r="AM107"/>
  <c r="AQ107"/>
  <c r="AE108"/>
  <c r="AF108"/>
  <c r="AM108"/>
  <c r="AQ108"/>
  <c r="AE474"/>
  <c r="AF474"/>
  <c r="AP474" s="1"/>
  <c r="AM474"/>
  <c r="AQ474"/>
  <c r="AE473"/>
  <c r="AF473"/>
  <c r="AP473" s="1"/>
  <c r="AM473"/>
  <c r="AQ473"/>
  <c r="AE492"/>
  <c r="AF492"/>
  <c r="AP492" s="1"/>
  <c r="AM492"/>
  <c r="AQ492"/>
  <c r="AE491"/>
  <c r="AF491"/>
  <c r="AP491" s="1"/>
  <c r="AM491"/>
  <c r="AQ491"/>
  <c r="AH491"/>
  <c r="AH492"/>
  <c r="AE153"/>
  <c r="AF153"/>
  <c r="AM153"/>
  <c r="AQ153"/>
  <c r="AE154"/>
  <c r="AF154"/>
  <c r="AM154"/>
  <c r="AQ154"/>
  <c r="AE155"/>
  <c r="AF155"/>
  <c r="AM155"/>
  <c r="AQ155"/>
  <c r="AH154"/>
  <c r="AH155"/>
  <c r="AE150"/>
  <c r="AF150"/>
  <c r="AM150"/>
  <c r="AQ150"/>
  <c r="AE151"/>
  <c r="AF151"/>
  <c r="AM151"/>
  <c r="AQ151"/>
  <c r="AE152"/>
  <c r="AF152"/>
  <c r="AM152"/>
  <c r="AQ152"/>
  <c r="AH152"/>
  <c r="AE201"/>
  <c r="AF201"/>
  <c r="AM201"/>
  <c r="AQ201"/>
  <c r="AE200"/>
  <c r="AF200"/>
  <c r="AM200"/>
  <c r="AQ200"/>
  <c r="AE199"/>
  <c r="AF199"/>
  <c r="AM199"/>
  <c r="AQ199"/>
  <c r="AH199"/>
  <c r="AE75"/>
  <c r="AF75"/>
  <c r="AM75"/>
  <c r="AQ75"/>
  <c r="AE76"/>
  <c r="AF76"/>
  <c r="AM76"/>
  <c r="AQ76"/>
  <c r="AE77"/>
  <c r="AF77"/>
  <c r="AM77"/>
  <c r="AQ77"/>
  <c r="AH77"/>
  <c r="AE229"/>
  <c r="AF229"/>
  <c r="AM229"/>
  <c r="AQ229"/>
  <c r="AH229"/>
  <c r="AE470"/>
  <c r="AF470"/>
  <c r="AP470" s="1"/>
  <c r="AM470"/>
  <c r="AQ470"/>
  <c r="AE469"/>
  <c r="AF469"/>
  <c r="AP469" s="1"/>
  <c r="AM469"/>
  <c r="AQ469"/>
  <c r="AE468"/>
  <c r="AF468"/>
  <c r="AP468" s="1"/>
  <c r="AM468"/>
  <c r="AQ468"/>
  <c r="AE467"/>
  <c r="AF467"/>
  <c r="AP467" s="1"/>
  <c r="AM467"/>
  <c r="AQ467"/>
  <c r="AH470"/>
  <c r="AH467"/>
  <c r="AH468"/>
  <c r="AH469"/>
  <c r="AE161"/>
  <c r="AF161"/>
  <c r="AM161"/>
  <c r="AQ161"/>
  <c r="AE160"/>
  <c r="AF160"/>
  <c r="AM160"/>
  <c r="AQ160"/>
  <c r="AH160"/>
  <c r="AE510"/>
  <c r="AF510"/>
  <c r="AP510" s="1"/>
  <c r="AM510"/>
  <c r="AQ510"/>
  <c r="AE508"/>
  <c r="AF508"/>
  <c r="AP508" s="1"/>
  <c r="AM508"/>
  <c r="AQ508"/>
  <c r="AE509"/>
  <c r="AF509"/>
  <c r="AP509" s="1"/>
  <c r="AM509"/>
  <c r="AQ509"/>
  <c r="AH509"/>
  <c r="AE65"/>
  <c r="AF65"/>
  <c r="AM65"/>
  <c r="AQ65"/>
  <c r="AH65"/>
  <c r="AE123"/>
  <c r="AF123"/>
  <c r="AM123"/>
  <c r="AQ123"/>
  <c r="AE125"/>
  <c r="AF125"/>
  <c r="AM125"/>
  <c r="AQ125"/>
  <c r="AE124"/>
  <c r="AF124"/>
  <c r="AM124"/>
  <c r="AQ124"/>
  <c r="AH125"/>
  <c r="AH123"/>
  <c r="AH124"/>
  <c r="AE286"/>
  <c r="AF286"/>
  <c r="AM286"/>
  <c r="AQ286"/>
  <c r="AH286"/>
  <c r="AE308"/>
  <c r="AF308"/>
  <c r="AM308"/>
  <c r="AQ308"/>
  <c r="AE309"/>
  <c r="AF309"/>
  <c r="AM309"/>
  <c r="AQ309"/>
  <c r="AE310"/>
  <c r="AF310"/>
  <c r="AM310"/>
  <c r="AQ310"/>
  <c r="AH310"/>
  <c r="AH308"/>
  <c r="AH309"/>
  <c r="AE59"/>
  <c r="AF59"/>
  <c r="AM59"/>
  <c r="AQ59"/>
  <c r="AE60"/>
  <c r="AF60"/>
  <c r="AM60"/>
  <c r="AQ60"/>
  <c r="AE134"/>
  <c r="AF134"/>
  <c r="AM134"/>
  <c r="AQ134"/>
  <c r="AE135"/>
  <c r="AF135"/>
  <c r="AM135"/>
  <c r="AQ135"/>
  <c r="AE515"/>
  <c r="AF515"/>
  <c r="AM515"/>
  <c r="AQ515"/>
  <c r="AE43"/>
  <c r="AF43"/>
  <c r="AM43"/>
  <c r="AQ43"/>
  <c r="AE45"/>
  <c r="AF45"/>
  <c r="AM45"/>
  <c r="AQ45"/>
  <c r="AE44"/>
  <c r="AF44"/>
  <c r="AM44"/>
  <c r="AQ44"/>
  <c r="AE205"/>
  <c r="AF205"/>
  <c r="AM205"/>
  <c r="AQ205"/>
  <c r="AE204"/>
  <c r="AF204"/>
  <c r="AM204"/>
  <c r="AQ204"/>
  <c r="AE219"/>
  <c r="AF219"/>
  <c r="AM219"/>
  <c r="AQ219"/>
  <c r="AE218"/>
  <c r="AF218"/>
  <c r="AM218"/>
  <c r="AQ218"/>
  <c r="AE191"/>
  <c r="AF191"/>
  <c r="AM191"/>
  <c r="AQ191"/>
  <c r="AE190"/>
  <c r="AF190"/>
  <c r="AM190"/>
  <c r="AQ190"/>
  <c r="AE17"/>
  <c r="AF17"/>
  <c r="AM17"/>
  <c r="AQ17"/>
  <c r="AE140"/>
  <c r="AF140"/>
  <c r="AM140"/>
  <c r="AQ140"/>
  <c r="AE7"/>
  <c r="AF7"/>
  <c r="AM7"/>
  <c r="AQ7"/>
  <c r="AE8"/>
  <c r="AF8"/>
  <c r="AM8"/>
  <c r="AQ8"/>
  <c r="AE328"/>
  <c r="AF328"/>
  <c r="AM328"/>
  <c r="AQ328"/>
  <c r="AE228"/>
  <c r="AF228"/>
  <c r="AM228"/>
  <c r="AQ228"/>
  <c r="AE112"/>
  <c r="AF112"/>
  <c r="AM112"/>
  <c r="AQ112"/>
  <c r="AE111"/>
  <c r="AF111"/>
  <c r="AM111"/>
  <c r="AQ111"/>
  <c r="AH111"/>
  <c r="AH208"/>
  <c r="AH19"/>
  <c r="AH148"/>
  <c r="AH91"/>
  <c r="AH92"/>
  <c r="AH2"/>
  <c r="AH207"/>
  <c r="AH24"/>
  <c r="AH25"/>
  <c r="AH3"/>
  <c r="AH120"/>
  <c r="AH183"/>
  <c r="AH274"/>
  <c r="AH273"/>
  <c r="AH261"/>
  <c r="AH318"/>
  <c r="AH71"/>
  <c r="AH266"/>
  <c r="AH106"/>
  <c r="AH105"/>
  <c r="AH55"/>
  <c r="AH10"/>
  <c r="AH9"/>
  <c r="AH12"/>
  <c r="AH11"/>
  <c r="AH166"/>
  <c r="AH317"/>
  <c r="AH337"/>
  <c r="AH336"/>
  <c r="AH60"/>
  <c r="AH59"/>
  <c r="AH108"/>
  <c r="AH107"/>
  <c r="AH214"/>
  <c r="AH213"/>
  <c r="AH185"/>
  <c r="AH165"/>
  <c r="AH153"/>
  <c r="AH135"/>
  <c r="AH134"/>
  <c r="AH515"/>
  <c r="AH72"/>
  <c r="AH260"/>
  <c r="AH110"/>
  <c r="AH109"/>
  <c r="AH510"/>
  <c r="AH508"/>
  <c r="AH233"/>
  <c r="AH232"/>
  <c r="AH438"/>
  <c r="AH437"/>
  <c r="AH84"/>
  <c r="AH64"/>
  <c r="AH147"/>
  <c r="AH113"/>
  <c r="AH158"/>
  <c r="AH157"/>
  <c r="AH156"/>
  <c r="AH82"/>
  <c r="AH294"/>
  <c r="AH348"/>
  <c r="AH347"/>
  <c r="AH231"/>
  <c r="AH230"/>
  <c r="AH42"/>
  <c r="AH40"/>
  <c r="AH61"/>
  <c r="AH41"/>
  <c r="AH151"/>
  <c r="AH150"/>
  <c r="AH18"/>
  <c r="AH161"/>
  <c r="AH236"/>
  <c r="AH235"/>
  <c r="AH14"/>
  <c r="AH51"/>
  <c r="AH50"/>
  <c r="AH49"/>
  <c r="AH201"/>
  <c r="AH200"/>
  <c r="AH76"/>
  <c r="AH75"/>
  <c r="AH280"/>
  <c r="AH278"/>
  <c r="AH168"/>
  <c r="AH279"/>
  <c r="AH270"/>
  <c r="AH35"/>
  <c r="AH163"/>
  <c r="AH162"/>
  <c r="AH54"/>
  <c r="AH52"/>
  <c r="AH188"/>
  <c r="AH53"/>
  <c r="AH94"/>
  <c r="AH67"/>
  <c r="AH66"/>
  <c r="AH68"/>
  <c r="AH221"/>
  <c r="AH220"/>
  <c r="AH186"/>
  <c r="AH245"/>
  <c r="AH244"/>
  <c r="AH242"/>
  <c r="AH241"/>
  <c r="AH243"/>
  <c r="AH240"/>
  <c r="AH43"/>
  <c r="AH45"/>
  <c r="AH239"/>
  <c r="AH44"/>
  <c r="AH103"/>
  <c r="AH102"/>
  <c r="AH341"/>
  <c r="AH205"/>
  <c r="AH342"/>
  <c r="AH204"/>
  <c r="AH219"/>
  <c r="AH218"/>
  <c r="AH191"/>
  <c r="AH190"/>
  <c r="AH17"/>
  <c r="AH8"/>
  <c r="AH7"/>
  <c r="AH4"/>
  <c r="AH140"/>
  <c r="AH328"/>
  <c r="AH228"/>
  <c r="AH216"/>
  <c r="AH112"/>
  <c r="AH29"/>
  <c r="AH6"/>
  <c r="AH15"/>
  <c r="AH16"/>
  <c r="AH149"/>
  <c r="AH173"/>
  <c r="AH265"/>
  <c r="AH27"/>
  <c r="AH210"/>
  <c r="AH143"/>
  <c r="AH263"/>
  <c r="AH264"/>
  <c r="AH206"/>
  <c r="AH250"/>
  <c r="AH252"/>
  <c r="AH99"/>
  <c r="AH100"/>
  <c r="AH28"/>
  <c r="AH182"/>
  <c r="AH305"/>
  <c r="AH180"/>
  <c r="AH159"/>
  <c r="AH133"/>
  <c r="AH487"/>
  <c r="AH488"/>
  <c r="AH56"/>
  <c r="AH26"/>
  <c r="AH227"/>
  <c r="AH23"/>
  <c r="AH276"/>
  <c r="AH473"/>
  <c r="AH474"/>
  <c r="AH195"/>
  <c r="AH251"/>
  <c r="AH93"/>
  <c r="AE207"/>
  <c r="AF207"/>
  <c r="AM207"/>
  <c r="AQ207"/>
  <c r="AE208"/>
  <c r="AF208"/>
  <c r="AM208"/>
  <c r="AQ208"/>
  <c r="AE274"/>
  <c r="AF274"/>
  <c r="AM274"/>
  <c r="AQ274"/>
  <c r="AE273"/>
  <c r="AF273"/>
  <c r="AM273"/>
  <c r="AQ273"/>
  <c r="AE261"/>
  <c r="AF261"/>
  <c r="AM261"/>
  <c r="AQ261"/>
  <c r="AE71"/>
  <c r="AF71"/>
  <c r="AM71"/>
  <c r="AQ71"/>
  <c r="AE337"/>
  <c r="AF337"/>
  <c r="AM337"/>
  <c r="AQ337"/>
  <c r="AE336"/>
  <c r="AF336"/>
  <c r="AM336"/>
  <c r="AQ336"/>
  <c r="AM193"/>
  <c r="AQ193"/>
  <c r="AE72"/>
  <c r="AF72"/>
  <c r="AM72"/>
  <c r="AQ72"/>
  <c r="AE110"/>
  <c r="AF110"/>
  <c r="AM110"/>
  <c r="AQ110"/>
  <c r="AE109"/>
  <c r="AF109"/>
  <c r="AM109"/>
  <c r="AQ109"/>
  <c r="AE42"/>
  <c r="AF42"/>
  <c r="AM42"/>
  <c r="AQ42"/>
  <c r="AE41"/>
  <c r="AF41"/>
  <c r="AM41"/>
  <c r="AQ41"/>
  <c r="AE40"/>
  <c r="AF40"/>
  <c r="AM40"/>
  <c r="AQ40"/>
  <c r="AE19"/>
  <c r="AF19"/>
  <c r="AM19"/>
  <c r="AQ19"/>
  <c r="AE18"/>
  <c r="AF18"/>
  <c r="AM18"/>
  <c r="AQ18"/>
  <c r="AE51"/>
  <c r="AF51"/>
  <c r="AM51"/>
  <c r="AQ51"/>
  <c r="AE50"/>
  <c r="AF50"/>
  <c r="AM50"/>
  <c r="AQ50"/>
  <c r="AE49"/>
  <c r="AF49"/>
  <c r="AM49"/>
  <c r="AQ49"/>
  <c r="AE280"/>
  <c r="AF280"/>
  <c r="AM280"/>
  <c r="AQ280"/>
  <c r="AE279"/>
  <c r="AF279"/>
  <c r="AM279"/>
  <c r="AQ279"/>
  <c r="AE278"/>
  <c r="AF278"/>
  <c r="AM278"/>
  <c r="AQ278"/>
  <c r="AE163"/>
  <c r="AF163"/>
  <c r="AM163"/>
  <c r="AQ163"/>
  <c r="AE162"/>
  <c r="AF162"/>
  <c r="AM162"/>
  <c r="AQ162"/>
  <c r="AE188"/>
  <c r="AF188"/>
  <c r="AM188"/>
  <c r="AQ188"/>
  <c r="AE94"/>
  <c r="AF94"/>
  <c r="AM94"/>
  <c r="AQ94"/>
  <c r="AE68"/>
  <c r="AF68"/>
  <c r="AM68"/>
  <c r="AQ68"/>
  <c r="AE67"/>
  <c r="AF67"/>
  <c r="AM67"/>
  <c r="AQ67"/>
  <c r="AE66"/>
  <c r="AF66"/>
  <c r="AM66"/>
  <c r="AQ66"/>
  <c r="AE221"/>
  <c r="AF221"/>
  <c r="AM221"/>
  <c r="AQ221"/>
  <c r="AE220"/>
  <c r="AF220"/>
  <c r="AM220"/>
  <c r="AQ220"/>
  <c r="AE245"/>
  <c r="AF245"/>
  <c r="AM245"/>
  <c r="AQ245"/>
  <c r="AE244"/>
  <c r="AF244"/>
  <c r="AM244"/>
  <c r="AQ244"/>
  <c r="AE243"/>
  <c r="AF243"/>
  <c r="AM243"/>
  <c r="AQ243"/>
  <c r="AE242"/>
  <c r="AF242"/>
  <c r="AM242"/>
  <c r="AQ242"/>
  <c r="AE241"/>
  <c r="AF241"/>
  <c r="AM241"/>
  <c r="AQ241"/>
  <c r="AE240"/>
  <c r="AF240"/>
  <c r="AM240"/>
  <c r="AQ240"/>
  <c r="AE239"/>
  <c r="AF239"/>
  <c r="AM239"/>
  <c r="AQ239"/>
  <c r="AE103"/>
  <c r="AF103"/>
  <c r="AM103"/>
  <c r="AQ103"/>
  <c r="AE102"/>
  <c r="AF102"/>
  <c r="AM102"/>
  <c r="AQ102"/>
  <c r="AE342"/>
  <c r="AF342"/>
  <c r="AM342"/>
  <c r="AQ342"/>
  <c r="AE341"/>
  <c r="AF341"/>
  <c r="AM341"/>
  <c r="AQ341"/>
  <c r="AE4"/>
  <c r="AF4"/>
  <c r="AM4"/>
  <c r="AQ4"/>
  <c r="AE216"/>
  <c r="AF216"/>
  <c r="AM216"/>
  <c r="AQ216"/>
  <c r="AE159"/>
  <c r="AF159"/>
  <c r="AM159"/>
  <c r="AQ159"/>
  <c r="AE28"/>
  <c r="AF28"/>
  <c r="AM28"/>
  <c r="AQ28"/>
  <c r="AE252"/>
  <c r="AF252"/>
  <c r="AM252"/>
  <c r="AQ252"/>
  <c r="AE251"/>
  <c r="AF251"/>
  <c r="AM251"/>
  <c r="AQ251"/>
  <c r="AE250"/>
  <c r="AF250"/>
  <c r="AM250"/>
  <c r="AQ250"/>
  <c r="AE149"/>
  <c r="AF149"/>
  <c r="AM149"/>
  <c r="AQ149"/>
  <c r="AE93"/>
  <c r="AF93"/>
  <c r="AM93"/>
  <c r="AQ93"/>
  <c r="AQ91"/>
  <c r="AQ92"/>
  <c r="AE92"/>
  <c r="AE91"/>
  <c r="AF92"/>
  <c r="AM92"/>
  <c r="F4" i="15"/>
  <c r="H4"/>
  <c r="G4"/>
  <c r="I4"/>
  <c r="AJ389" i="1" l="1"/>
  <c r="AJ127"/>
  <c r="AK127" s="1"/>
  <c r="AJ246"/>
  <c r="AJ169"/>
  <c r="AJ145"/>
  <c r="AJ451"/>
  <c r="AJ197"/>
  <c r="AJ126"/>
  <c r="AJ323"/>
  <c r="AJ138"/>
  <c r="AJ457"/>
  <c r="AJ139"/>
  <c r="AJ458"/>
  <c r="AJ177"/>
  <c r="AJ388"/>
  <c r="AJ383"/>
  <c r="AJ324"/>
  <c r="AJ382"/>
  <c r="AJ502"/>
  <c r="AJ501"/>
  <c r="AJ144"/>
  <c r="AJ223"/>
  <c r="AK223" s="1"/>
  <c r="AJ62"/>
  <c r="AJ222"/>
  <c r="AJ427"/>
  <c r="AJ480"/>
  <c r="AJ340"/>
  <c r="AJ479"/>
  <c r="AJ237"/>
  <c r="AJ428"/>
  <c r="AJ359"/>
  <c r="AJ211"/>
  <c r="AJ334"/>
  <c r="AJ296"/>
  <c r="AJ295"/>
  <c r="AJ335"/>
  <c r="AJ360"/>
  <c r="AJ193"/>
  <c r="AJ301"/>
  <c r="AJ302"/>
  <c r="AJ282"/>
  <c r="AJ283"/>
  <c r="AJ460"/>
  <c r="AJ459"/>
  <c r="AJ391"/>
  <c r="AJ284"/>
  <c r="AJ285"/>
  <c r="AJ224"/>
  <c r="AJ194"/>
  <c r="AJ313"/>
  <c r="AK313" s="1"/>
  <c r="AJ314"/>
  <c r="AJ329"/>
  <c r="AJ478"/>
  <c r="AJ477"/>
  <c r="AJ272"/>
  <c r="AJ506"/>
  <c r="AK506" s="1"/>
  <c r="AJ505"/>
  <c r="AJ116"/>
  <c r="AK116" s="1"/>
  <c r="AJ519"/>
  <c r="AK519" s="1"/>
  <c r="AJ115"/>
  <c r="AJ464"/>
  <c r="AJ358"/>
  <c r="AK358" s="1"/>
  <c r="AJ357"/>
  <c r="AJ95"/>
  <c r="AJ38"/>
  <c r="AJ101"/>
  <c r="AJ350"/>
  <c r="AJ174"/>
  <c r="AJ366"/>
  <c r="AJ175"/>
  <c r="AJ367"/>
  <c r="AJ176"/>
  <c r="AJ167"/>
  <c r="AJ368"/>
  <c r="AJ198"/>
  <c r="AJ215"/>
  <c r="AJ179"/>
  <c r="AJ320"/>
  <c r="AJ454"/>
  <c r="AJ319"/>
  <c r="AJ321"/>
  <c r="AJ453"/>
  <c r="AJ380"/>
  <c r="AJ497"/>
  <c r="AJ326"/>
  <c r="AJ495"/>
  <c r="AJ426"/>
  <c r="AJ327"/>
  <c r="AJ425"/>
  <c r="AJ381"/>
  <c r="AJ496"/>
  <c r="AJ234"/>
  <c r="AJ267"/>
  <c r="AJ268"/>
  <c r="AJ90"/>
  <c r="AJ485"/>
  <c r="AJ363"/>
  <c r="AJ499"/>
  <c r="AJ141"/>
  <c r="AJ212"/>
  <c r="AJ364"/>
  <c r="AJ217"/>
  <c r="AK217" s="1"/>
  <c r="AJ450"/>
  <c r="AK450" s="1"/>
  <c r="AJ128"/>
  <c r="AJ132"/>
  <c r="AK132" s="1"/>
  <c r="AJ79"/>
  <c r="AJ63"/>
  <c r="AK63" s="1"/>
  <c r="AJ142"/>
  <c r="AJ418"/>
  <c r="AK418" s="1"/>
  <c r="AJ299"/>
  <c r="AK299" s="1"/>
  <c r="AJ300"/>
  <c r="AJ498"/>
  <c r="AJ396"/>
  <c r="AK396" s="1"/>
  <c r="AJ397"/>
  <c r="AJ395"/>
  <c r="AK395" s="1"/>
  <c r="AJ187"/>
  <c r="AJ85"/>
  <c r="AJ352"/>
  <c r="AJ351"/>
  <c r="AJ81"/>
  <c r="AJ80"/>
  <c r="AK80" s="1"/>
  <c r="AJ254"/>
  <c r="AJ253"/>
  <c r="AJ192"/>
  <c r="AK192" s="1"/>
  <c r="AJ405"/>
  <c r="AJ104"/>
  <c r="AJ404"/>
  <c r="AJ345"/>
  <c r="AK345" s="1"/>
  <c r="AJ346"/>
  <c r="AJ291"/>
  <c r="AK291" s="1"/>
  <c r="AJ292"/>
  <c r="AJ290"/>
  <c r="AK290" s="1"/>
  <c r="AJ129"/>
  <c r="AK129" s="1"/>
  <c r="AJ130"/>
  <c r="AJ330"/>
  <c r="AJ333"/>
  <c r="AJ456"/>
  <c r="AK456" s="1"/>
  <c r="AJ78"/>
  <c r="AK78" s="1"/>
  <c r="AJ343"/>
  <c r="AK343" s="1"/>
  <c r="AJ344"/>
  <c r="AJ119"/>
  <c r="AJ118"/>
  <c r="AK118" s="1"/>
  <c r="AJ378"/>
  <c r="AK378" s="1"/>
  <c r="AJ377"/>
  <c r="AR377" s="1"/>
  <c r="AJ375"/>
  <c r="AK375" s="1"/>
  <c r="AJ376"/>
  <c r="AJ446"/>
  <c r="AK446" s="1"/>
  <c r="AJ398"/>
  <c r="AK398" s="1"/>
  <c r="AJ338"/>
  <c r="AK338" s="1"/>
  <c r="AJ339"/>
  <c r="AJ431"/>
  <c r="AK431" s="1"/>
  <c r="AJ432"/>
  <c r="AJ384"/>
  <c r="AK384" s="1"/>
  <c r="AJ385"/>
  <c r="AJ256"/>
  <c r="AK256" s="1"/>
  <c r="AJ257"/>
  <c r="AJ249"/>
  <c r="AJ247"/>
  <c r="AK247" s="1"/>
  <c r="AJ248"/>
  <c r="AJ422"/>
  <c r="AK422" s="1"/>
  <c r="AJ421"/>
  <c r="AJ430"/>
  <c r="AK430" s="1"/>
  <c r="AJ429"/>
  <c r="AK429" s="1"/>
  <c r="AJ400"/>
  <c r="AK400" s="1"/>
  <c r="AJ399"/>
  <c r="AK399" s="1"/>
  <c r="AJ420"/>
  <c r="AK420" s="1"/>
  <c r="AJ419"/>
  <c r="AK419" s="1"/>
  <c r="AJ387"/>
  <c r="AJ386"/>
  <c r="AK386" s="1"/>
  <c r="AJ298"/>
  <c r="AJ297"/>
  <c r="AJ98"/>
  <c r="AK98" s="1"/>
  <c r="AJ461"/>
  <c r="AK461" s="1"/>
  <c r="AJ32"/>
  <c r="AK32" s="1"/>
  <c r="AJ30"/>
  <c r="AK30" s="1"/>
  <c r="AJ31"/>
  <c r="AJ189"/>
  <c r="AK189" s="1"/>
  <c r="AJ89"/>
  <c r="AK89" s="1"/>
  <c r="AJ114"/>
  <c r="AJ47"/>
  <c r="AK47" s="1"/>
  <c r="AJ48"/>
  <c r="AJ287"/>
  <c r="AJ303"/>
  <c r="AJ392"/>
  <c r="AK392" s="1"/>
  <c r="AJ407"/>
  <c r="AJ408"/>
  <c r="AJ409"/>
  <c r="AJ170"/>
  <c r="AJ178"/>
  <c r="AR178" s="1"/>
  <c r="AJ325"/>
  <c r="AK325" s="1"/>
  <c r="AJ489"/>
  <c r="AJ503"/>
  <c r="AK503" s="1"/>
  <c r="AJ86"/>
  <c r="AK86" s="1"/>
  <c r="AJ288"/>
  <c r="AK288" s="1"/>
  <c r="AJ289"/>
  <c r="AJ403"/>
  <c r="AK403" s="1"/>
  <c r="AJ401"/>
  <c r="AK401" s="1"/>
  <c r="AJ402"/>
  <c r="AJ490"/>
  <c r="AK490" s="1"/>
  <c r="AJ511"/>
  <c r="AJ306"/>
  <c r="AK306" s="1"/>
  <c r="AJ307"/>
  <c r="AJ410"/>
  <c r="AK410" s="1"/>
  <c r="AJ439"/>
  <c r="AR439" s="1"/>
  <c r="AJ440"/>
  <c r="AJ171"/>
  <c r="AJ13"/>
  <c r="AJ36"/>
  <c r="AK36" s="1"/>
  <c r="AJ37"/>
  <c r="AJ262"/>
  <c r="AK262" s="1"/>
  <c r="AJ225"/>
  <c r="AK225" s="1"/>
  <c r="AJ226"/>
  <c r="AJ238"/>
  <c r="AK238" s="1"/>
  <c r="AJ196"/>
  <c r="AK196" s="1"/>
  <c r="AJ131"/>
  <c r="AJ484"/>
  <c r="AK484" s="1"/>
  <c r="AJ137"/>
  <c r="AK137" s="1"/>
  <c r="AJ136"/>
  <c r="AJ20"/>
  <c r="AK20" s="1"/>
  <c r="AJ444"/>
  <c r="AK444" s="1"/>
  <c r="AJ445"/>
  <c r="AJ46"/>
  <c r="AK46" s="1"/>
  <c r="AJ390"/>
  <c r="AR390" s="1"/>
  <c r="AJ258"/>
  <c r="AR258" s="1"/>
  <c r="AJ269"/>
  <c r="AR269" s="1"/>
  <c r="AJ164"/>
  <c r="AR164" s="1"/>
  <c r="AJ203"/>
  <c r="AJ181"/>
  <c r="AJ277"/>
  <c r="AR277" s="1"/>
  <c r="AJ121"/>
  <c r="AR121" s="1"/>
  <c r="AJ455"/>
  <c r="AR455" s="1"/>
  <c r="AJ362"/>
  <c r="AR362" s="1"/>
  <c r="AJ361"/>
  <c r="AJ379"/>
  <c r="AJ332"/>
  <c r="AJ331"/>
  <c r="AJ394"/>
  <c r="AJ393"/>
  <c r="AJ315"/>
  <c r="AR315" s="1"/>
  <c r="AJ316"/>
  <c r="AJ373"/>
  <c r="AR373" s="1"/>
  <c r="AJ374"/>
  <c r="AJ69"/>
  <c r="AK69" s="1"/>
  <c r="AJ70"/>
  <c r="AJ353"/>
  <c r="AR353" s="1"/>
  <c r="AJ354"/>
  <c r="AJ411"/>
  <c r="AR411" s="1"/>
  <c r="AJ412"/>
  <c r="AJ209"/>
  <c r="AR209" s="1"/>
  <c r="AJ184"/>
  <c r="AR184" s="1"/>
  <c r="AJ486"/>
  <c r="AR486" s="1"/>
  <c r="AJ507"/>
  <c r="AR507" s="1"/>
  <c r="AJ516"/>
  <c r="AJ423"/>
  <c r="AR423" s="1"/>
  <c r="AJ424"/>
  <c r="AJ443"/>
  <c r="AR443" s="1"/>
  <c r="AJ441"/>
  <c r="AR441" s="1"/>
  <c r="AJ442"/>
  <c r="AJ512"/>
  <c r="AR512" s="1"/>
  <c r="AJ5"/>
  <c r="AK5" s="1"/>
  <c r="AJ406"/>
  <c r="AR406" s="1"/>
  <c r="AJ447"/>
  <c r="AR447" s="1"/>
  <c r="AJ369"/>
  <c r="AJ372"/>
  <c r="AR372" s="1"/>
  <c r="AJ452"/>
  <c r="AR452" s="1"/>
  <c r="AJ417"/>
  <c r="AR417" s="1"/>
  <c r="AJ415"/>
  <c r="AK415" s="1"/>
  <c r="AJ416"/>
  <c r="AJ293"/>
  <c r="AR293" s="1"/>
  <c r="AJ275"/>
  <c r="AR275" s="1"/>
  <c r="AJ355"/>
  <c r="AR355" s="1"/>
  <c r="AJ356"/>
  <c r="AJ433"/>
  <c r="AR433" s="1"/>
  <c r="AJ434"/>
  <c r="AJ370"/>
  <c r="AJ371"/>
  <c r="AJ87"/>
  <c r="AK87" s="1"/>
  <c r="AJ88"/>
  <c r="AJ33"/>
  <c r="AK33" s="1"/>
  <c r="AJ34"/>
  <c r="AJ483"/>
  <c r="AR483" s="1"/>
  <c r="AJ481"/>
  <c r="AR481" s="1"/>
  <c r="AJ482"/>
  <c r="AJ39"/>
  <c r="AR39" s="1"/>
  <c r="AJ513"/>
  <c r="AK513" s="1"/>
  <c r="AJ448"/>
  <c r="AK448" s="1"/>
  <c r="AJ449"/>
  <c r="AJ514"/>
  <c r="AR514" s="1"/>
  <c r="AJ281"/>
  <c r="AR281" s="1"/>
  <c r="AJ255"/>
  <c r="AR255" s="1"/>
  <c r="AJ500"/>
  <c r="AJ122"/>
  <c r="AR122" s="1"/>
  <c r="AJ322"/>
  <c r="AR322" s="1"/>
  <c r="AJ475"/>
  <c r="AR475" s="1"/>
  <c r="AJ476"/>
  <c r="AJ202"/>
  <c r="AR202" s="1"/>
  <c r="AJ349"/>
  <c r="AR349" s="1"/>
  <c r="AJ172"/>
  <c r="AR172" s="1"/>
  <c r="AJ304"/>
  <c r="AR304" s="1"/>
  <c r="AJ22"/>
  <c r="AK22" s="1"/>
  <c r="AJ518"/>
  <c r="AK518" s="1"/>
  <c r="AJ21"/>
  <c r="AJ493"/>
  <c r="AR493" s="1"/>
  <c r="AJ494"/>
  <c r="AJ435"/>
  <c r="AR435" s="1"/>
  <c r="AJ436"/>
  <c r="AJ465"/>
  <c r="AR465" s="1"/>
  <c r="AJ466"/>
  <c r="AJ146"/>
  <c r="AR146" s="1"/>
  <c r="AJ462"/>
  <c r="AJ463"/>
  <c r="AJ413"/>
  <c r="AR413" s="1"/>
  <c r="AJ414"/>
  <c r="AJ83"/>
  <c r="AR83" s="1"/>
  <c r="AJ365"/>
  <c r="AR365" s="1"/>
  <c r="AJ117"/>
  <c r="AK117" s="1"/>
  <c r="AJ73"/>
  <c r="AK73" s="1"/>
  <c r="AJ74"/>
  <c r="AJ271"/>
  <c r="AK271" s="1"/>
  <c r="AJ57"/>
  <c r="AR57" s="1"/>
  <c r="AJ58"/>
  <c r="AJ312"/>
  <c r="AR312" s="1"/>
  <c r="AJ517"/>
  <c r="AJ311"/>
  <c r="AJ471"/>
  <c r="AK471" s="1"/>
  <c r="AJ472"/>
  <c r="AJ504"/>
  <c r="AR504" s="1"/>
  <c r="AJ259"/>
  <c r="AR259" s="1"/>
  <c r="AJ96"/>
  <c r="AR96" s="1"/>
  <c r="AJ97"/>
  <c r="AR97" s="1"/>
  <c r="AJ491"/>
  <c r="AR491" s="1"/>
  <c r="AJ492"/>
  <c r="AJ154"/>
  <c r="AR154" s="1"/>
  <c r="AJ155"/>
  <c r="AJ151"/>
  <c r="AR151" s="1"/>
  <c r="AJ152"/>
  <c r="AR152" s="1"/>
  <c r="AJ199"/>
  <c r="AR199" s="1"/>
  <c r="AJ77"/>
  <c r="AR77" s="1"/>
  <c r="AJ229"/>
  <c r="AK229" s="1"/>
  <c r="AJ470"/>
  <c r="AR470" s="1"/>
  <c r="AJ467"/>
  <c r="AK467" s="1"/>
  <c r="AJ469"/>
  <c r="AJ468"/>
  <c r="AJ160"/>
  <c r="AR160" s="1"/>
  <c r="AJ509"/>
  <c r="AR509" s="1"/>
  <c r="AJ65"/>
  <c r="AR65" s="1"/>
  <c r="AJ125"/>
  <c r="AK125" s="1"/>
  <c r="AJ123"/>
  <c r="AK123" s="1"/>
  <c r="AJ124"/>
  <c r="AJ286"/>
  <c r="AR286" s="1"/>
  <c r="AJ310"/>
  <c r="AK310" s="1"/>
  <c r="AJ308"/>
  <c r="AK308" s="1"/>
  <c r="AJ309"/>
  <c r="AJ111"/>
  <c r="AJ92"/>
  <c r="AR92" s="1"/>
  <c r="AJ228"/>
  <c r="AR228" s="1"/>
  <c r="AJ112"/>
  <c r="AR112" s="1"/>
  <c r="AJ216"/>
  <c r="AR216" s="1"/>
  <c r="AJ149"/>
  <c r="AR149" s="1"/>
  <c r="AJ173"/>
  <c r="AR173" s="1"/>
  <c r="AJ265"/>
  <c r="AR265" s="1"/>
  <c r="AJ27"/>
  <c r="AR27" s="1"/>
  <c r="AJ210"/>
  <c r="AR210" s="1"/>
  <c r="AJ143"/>
  <c r="AR143" s="1"/>
  <c r="AJ263"/>
  <c r="AR263" s="1"/>
  <c r="AJ264"/>
  <c r="AR264" s="1"/>
  <c r="AJ206"/>
  <c r="AR206" s="1"/>
  <c r="AJ250"/>
  <c r="AR250" s="1"/>
  <c r="AJ251"/>
  <c r="AR251" s="1"/>
  <c r="AJ252"/>
  <c r="AR252" s="1"/>
  <c r="AJ99"/>
  <c r="AR99" s="1"/>
  <c r="AJ100"/>
  <c r="AR100" s="1"/>
  <c r="AJ28"/>
  <c r="AR28" s="1"/>
  <c r="AJ182"/>
  <c r="AR182" s="1"/>
  <c r="AJ305"/>
  <c r="AR305" s="1"/>
  <c r="AJ180"/>
  <c r="AR180" s="1"/>
  <c r="AJ159"/>
  <c r="AR159" s="1"/>
  <c r="AJ133"/>
  <c r="AR133" s="1"/>
  <c r="AJ487"/>
  <c r="AR487" s="1"/>
  <c r="AJ488"/>
  <c r="AR488" s="1"/>
  <c r="AJ56"/>
  <c r="AK56" s="1"/>
  <c r="AJ26"/>
  <c r="AR26" s="1"/>
  <c r="AJ227"/>
  <c r="AR227" s="1"/>
  <c r="AJ23"/>
  <c r="AR23" s="1"/>
  <c r="AJ276"/>
  <c r="AR276" s="1"/>
  <c r="AJ473"/>
  <c r="AR473" s="1"/>
  <c r="AJ474"/>
  <c r="AR474" s="1"/>
  <c r="AJ195"/>
  <c r="AR195" s="1"/>
  <c r="AJ29"/>
  <c r="AR29" s="1"/>
  <c r="AJ93"/>
  <c r="AR93" s="1"/>
  <c r="AJ6"/>
  <c r="AR6" s="1"/>
  <c r="AJ15"/>
  <c r="AR15" s="1"/>
  <c r="AJ16"/>
  <c r="AR16" s="1"/>
  <c r="AJ328"/>
  <c r="AR328" s="1"/>
  <c r="AJ140"/>
  <c r="AR140" s="1"/>
  <c r="AJ4"/>
  <c r="AR4" s="1"/>
  <c r="AJ7"/>
  <c r="AR7" s="1"/>
  <c r="AJ8"/>
  <c r="AR8" s="1"/>
  <c r="AJ17"/>
  <c r="AR17" s="1"/>
  <c r="AJ190"/>
  <c r="AR190" s="1"/>
  <c r="AJ191"/>
  <c r="AR191" s="1"/>
  <c r="AJ218"/>
  <c r="AR218" s="1"/>
  <c r="AJ219"/>
  <c r="AR219" s="1"/>
  <c r="AJ204"/>
  <c r="AR204" s="1"/>
  <c r="AJ205"/>
  <c r="AR205" s="1"/>
  <c r="AJ341"/>
  <c r="AR341" s="1"/>
  <c r="AJ342"/>
  <c r="AR342" s="1"/>
  <c r="AJ102"/>
  <c r="AR102" s="1"/>
  <c r="AJ103"/>
  <c r="AR103" s="1"/>
  <c r="AJ44"/>
  <c r="AR44" s="1"/>
  <c r="AJ45"/>
  <c r="AR45" s="1"/>
  <c r="AJ43"/>
  <c r="AR43" s="1"/>
  <c r="AJ239"/>
  <c r="AR239" s="1"/>
  <c r="AJ240"/>
  <c r="AR240" s="1"/>
  <c r="AJ241"/>
  <c r="AR241" s="1"/>
  <c r="AJ242"/>
  <c r="AR242" s="1"/>
  <c r="AJ243"/>
  <c r="AR243" s="1"/>
  <c r="AJ244"/>
  <c r="AR244" s="1"/>
  <c r="AJ245"/>
  <c r="AR245" s="1"/>
  <c r="AJ186"/>
  <c r="AR186" s="1"/>
  <c r="AJ220"/>
  <c r="AR220" s="1"/>
  <c r="AJ221"/>
  <c r="AR221" s="1"/>
  <c r="AJ66"/>
  <c r="AR66" s="1"/>
  <c r="AJ67"/>
  <c r="AR67" s="1"/>
  <c r="AJ68"/>
  <c r="AR68" s="1"/>
  <c r="AJ94"/>
  <c r="AR94" s="1"/>
  <c r="AJ188"/>
  <c r="AR188" s="1"/>
  <c r="AJ52"/>
  <c r="AR52" s="1"/>
  <c r="AJ53"/>
  <c r="AR53" s="1"/>
  <c r="AJ54"/>
  <c r="AR54" s="1"/>
  <c r="AJ162"/>
  <c r="AR162" s="1"/>
  <c r="AJ163"/>
  <c r="AR163" s="1"/>
  <c r="AJ35"/>
  <c r="AR35" s="1"/>
  <c r="AJ270"/>
  <c r="AR270" s="1"/>
  <c r="AJ168"/>
  <c r="AR168" s="1"/>
  <c r="AJ278"/>
  <c r="AR278" s="1"/>
  <c r="AJ279"/>
  <c r="AR279" s="1"/>
  <c r="AJ280"/>
  <c r="AR280" s="1"/>
  <c r="AJ75"/>
  <c r="AR75" s="1"/>
  <c r="AJ76"/>
  <c r="AR76" s="1"/>
  <c r="AJ200"/>
  <c r="AR200" s="1"/>
  <c r="AJ201"/>
  <c r="AR201" s="1"/>
  <c r="AJ49"/>
  <c r="AR49" s="1"/>
  <c r="AJ50"/>
  <c r="AR50" s="1"/>
  <c r="AJ51"/>
  <c r="AR51" s="1"/>
  <c r="AJ14"/>
  <c r="AR14" s="1"/>
  <c r="AJ235"/>
  <c r="AR235" s="1"/>
  <c r="AJ236"/>
  <c r="AR236" s="1"/>
  <c r="AJ161"/>
  <c r="AR161" s="1"/>
  <c r="AJ18"/>
  <c r="AR18" s="1"/>
  <c r="AJ19"/>
  <c r="AR19" s="1"/>
  <c r="AJ150"/>
  <c r="AR150" s="1"/>
  <c r="AJ61"/>
  <c r="AR61" s="1"/>
  <c r="AJ40"/>
  <c r="AR40" s="1"/>
  <c r="AJ41"/>
  <c r="AR41" s="1"/>
  <c r="AJ42"/>
  <c r="AR42" s="1"/>
  <c r="AJ230"/>
  <c r="AR230" s="1"/>
  <c r="AJ231"/>
  <c r="AR231" s="1"/>
  <c r="AJ347"/>
  <c r="AR347" s="1"/>
  <c r="AJ348"/>
  <c r="AR348" s="1"/>
  <c r="AJ294"/>
  <c r="AR294" s="1"/>
  <c r="AJ82"/>
  <c r="AR82" s="1"/>
  <c r="AJ156"/>
  <c r="AR156" s="1"/>
  <c r="AJ157"/>
  <c r="AR157" s="1"/>
  <c r="AJ158"/>
  <c r="AR158" s="1"/>
  <c r="AJ113"/>
  <c r="AR113" s="1"/>
  <c r="AJ147"/>
  <c r="AR147" s="1"/>
  <c r="AJ64"/>
  <c r="AR64" s="1"/>
  <c r="AJ84"/>
  <c r="AR84" s="1"/>
  <c r="AJ437"/>
  <c r="AR437" s="1"/>
  <c r="AJ438"/>
  <c r="AR438" s="1"/>
  <c r="AJ232"/>
  <c r="AR232" s="1"/>
  <c r="AJ233"/>
  <c r="AR233" s="1"/>
  <c r="AJ508"/>
  <c r="AR508" s="1"/>
  <c r="AJ510"/>
  <c r="AR510" s="1"/>
  <c r="AJ109"/>
  <c r="AR109" s="1"/>
  <c r="AJ110"/>
  <c r="AR110" s="1"/>
  <c r="AJ260"/>
  <c r="AR260" s="1"/>
  <c r="AJ72"/>
  <c r="AR72" s="1"/>
  <c r="AJ515"/>
  <c r="AK515" s="1"/>
  <c r="AJ134"/>
  <c r="AR134" s="1"/>
  <c r="AJ135"/>
  <c r="AR135" s="1"/>
  <c r="AJ153"/>
  <c r="AR153" s="1"/>
  <c r="AJ165"/>
  <c r="AR165" s="1"/>
  <c r="AJ185"/>
  <c r="AR185" s="1"/>
  <c r="AJ213"/>
  <c r="AR213" s="1"/>
  <c r="AJ214"/>
  <c r="AR214" s="1"/>
  <c r="AJ107"/>
  <c r="AR107" s="1"/>
  <c r="AJ108"/>
  <c r="AR108" s="1"/>
  <c r="AJ59"/>
  <c r="AR59" s="1"/>
  <c r="AJ60"/>
  <c r="AR60" s="1"/>
  <c r="AJ336"/>
  <c r="AR336" s="1"/>
  <c r="AJ337"/>
  <c r="AR337" s="1"/>
  <c r="AJ317"/>
  <c r="AR317" s="1"/>
  <c r="AJ166"/>
  <c r="AR166" s="1"/>
  <c r="AJ11"/>
  <c r="AR11" s="1"/>
  <c r="AJ12"/>
  <c r="AR12" s="1"/>
  <c r="AJ9"/>
  <c r="AR9" s="1"/>
  <c r="AJ10"/>
  <c r="AR10" s="1"/>
  <c r="AJ55"/>
  <c r="AR55" s="1"/>
  <c r="AJ105"/>
  <c r="AR105" s="1"/>
  <c r="AJ106"/>
  <c r="AR106" s="1"/>
  <c r="AJ266"/>
  <c r="AR266" s="1"/>
  <c r="AJ71"/>
  <c r="AR71" s="1"/>
  <c r="AJ318"/>
  <c r="AR318" s="1"/>
  <c r="AJ261"/>
  <c r="AR261" s="1"/>
  <c r="AJ273"/>
  <c r="AR273" s="1"/>
  <c r="AJ274"/>
  <c r="AR274" s="1"/>
  <c r="AJ183"/>
  <c r="AR183" s="1"/>
  <c r="AJ120"/>
  <c r="AR120" s="1"/>
  <c r="AJ24"/>
  <c r="AR24" s="1"/>
  <c r="AJ25"/>
  <c r="AR25" s="1"/>
  <c r="AJ207"/>
  <c r="AR207" s="1"/>
  <c r="AJ91"/>
  <c r="AR91" s="1"/>
  <c r="AJ148"/>
  <c r="AR148" s="1"/>
  <c r="AJ208"/>
  <c r="AR208" s="1"/>
  <c r="AJ3"/>
  <c r="AR3" s="1"/>
  <c r="AJ2"/>
  <c r="AR2" s="1"/>
  <c r="N4" i="15"/>
  <c r="M172" i="14"/>
  <c r="V156" s="1"/>
  <c r="L172"/>
  <c r="U156" s="1"/>
  <c r="K172"/>
  <c r="T156" s="1"/>
  <c r="J172"/>
  <c r="S156" s="1"/>
  <c r="M171"/>
  <c r="V155" s="1"/>
  <c r="L171"/>
  <c r="U155" s="1"/>
  <c r="K171"/>
  <c r="T155" s="1"/>
  <c r="J171"/>
  <c r="S155" s="1"/>
  <c r="M170"/>
  <c r="V154" s="1"/>
  <c r="L170"/>
  <c r="U154" s="1"/>
  <c r="K170"/>
  <c r="T154" s="1"/>
  <c r="J170"/>
  <c r="S154" s="1"/>
  <c r="M169"/>
  <c r="V153" s="1"/>
  <c r="L169"/>
  <c r="U153" s="1"/>
  <c r="K169"/>
  <c r="T153" s="1"/>
  <c r="J169"/>
  <c r="S153" s="1"/>
  <c r="M168"/>
  <c r="V152" s="1"/>
  <c r="L168"/>
  <c r="U152" s="1"/>
  <c r="K168"/>
  <c r="T152" s="1"/>
  <c r="J168"/>
  <c r="S152" s="1"/>
  <c r="M167"/>
  <c r="V151" s="1"/>
  <c r="L167"/>
  <c r="U151" s="1"/>
  <c r="K167"/>
  <c r="T151" s="1"/>
  <c r="J167"/>
  <c r="S151" s="1"/>
  <c r="M166"/>
  <c r="V150" s="1"/>
  <c r="L166"/>
  <c r="U150" s="1"/>
  <c r="K166"/>
  <c r="T150" s="1"/>
  <c r="J166"/>
  <c r="S150" s="1"/>
  <c r="M165"/>
  <c r="V149" s="1"/>
  <c r="L165"/>
  <c r="U149" s="1"/>
  <c r="K165"/>
  <c r="T149" s="1"/>
  <c r="J165"/>
  <c r="S149" s="1"/>
  <c r="M164"/>
  <c r="V148" s="1"/>
  <c r="L164"/>
  <c r="U148" s="1"/>
  <c r="K164"/>
  <c r="T148" s="1"/>
  <c r="J164"/>
  <c r="S148" s="1"/>
  <c r="M163"/>
  <c r="V147" s="1"/>
  <c r="L163"/>
  <c r="U147" s="1"/>
  <c r="K163"/>
  <c r="T147" s="1"/>
  <c r="J163"/>
  <c r="S147" s="1"/>
  <c r="M162"/>
  <c r="V146" s="1"/>
  <c r="L162"/>
  <c r="U146" s="1"/>
  <c r="K162"/>
  <c r="T146" s="1"/>
  <c r="J162"/>
  <c r="S146" s="1"/>
  <c r="M161"/>
  <c r="V145" s="1"/>
  <c r="L161"/>
  <c r="U145" s="1"/>
  <c r="K161"/>
  <c r="T145" s="1"/>
  <c r="J161"/>
  <c r="S145" s="1"/>
  <c r="M160"/>
  <c r="V144" s="1"/>
  <c r="L160"/>
  <c r="U144" s="1"/>
  <c r="K160"/>
  <c r="T144" s="1"/>
  <c r="J160"/>
  <c r="S144" s="1"/>
  <c r="M159"/>
  <c r="V143" s="1"/>
  <c r="L159"/>
  <c r="U143" s="1"/>
  <c r="K159"/>
  <c r="T143" s="1"/>
  <c r="J159"/>
  <c r="S143" s="1"/>
  <c r="V158"/>
  <c r="U158"/>
  <c r="T158"/>
  <c r="S158"/>
  <c r="R158"/>
  <c r="Q158"/>
  <c r="P158"/>
  <c r="M158"/>
  <c r="V142" s="1"/>
  <c r="L158"/>
  <c r="U142" s="1"/>
  <c r="K158"/>
  <c r="T142" s="1"/>
  <c r="J158"/>
  <c r="S142" s="1"/>
  <c r="V157"/>
  <c r="U157"/>
  <c r="T157"/>
  <c r="S157"/>
  <c r="R157"/>
  <c r="Q157"/>
  <c r="P157"/>
  <c r="M157"/>
  <c r="V141" s="1"/>
  <c r="L157"/>
  <c r="U141" s="1"/>
  <c r="K157"/>
  <c r="T141" s="1"/>
  <c r="J157"/>
  <c r="S141" s="1"/>
  <c r="R156"/>
  <c r="Q156"/>
  <c r="P156"/>
  <c r="M156"/>
  <c r="V140" s="1"/>
  <c r="L156"/>
  <c r="U140" s="1"/>
  <c r="K156"/>
  <c r="T140" s="1"/>
  <c r="J156"/>
  <c r="S140" s="1"/>
  <c r="R155"/>
  <c r="Q155"/>
  <c r="P155"/>
  <c r="M155"/>
  <c r="V139" s="1"/>
  <c r="L155"/>
  <c r="U139" s="1"/>
  <c r="K155"/>
  <c r="T139" s="1"/>
  <c r="J155"/>
  <c r="S139" s="1"/>
  <c r="R154"/>
  <c r="Q154"/>
  <c r="P154"/>
  <c r="M154"/>
  <c r="V138" s="1"/>
  <c r="L154"/>
  <c r="U138" s="1"/>
  <c r="K154"/>
  <c r="T138" s="1"/>
  <c r="J154"/>
  <c r="S138" s="1"/>
  <c r="R153"/>
  <c r="Q153"/>
  <c r="P153"/>
  <c r="M153"/>
  <c r="V137" s="1"/>
  <c r="L153"/>
  <c r="U137" s="1"/>
  <c r="K153"/>
  <c r="T137" s="1"/>
  <c r="J153"/>
  <c r="S137" s="1"/>
  <c r="R152"/>
  <c r="Q152"/>
  <c r="P152"/>
  <c r="M152"/>
  <c r="V136" s="1"/>
  <c r="L152"/>
  <c r="U136" s="1"/>
  <c r="K152"/>
  <c r="T136" s="1"/>
  <c r="J152"/>
  <c r="S136" s="1"/>
  <c r="R151"/>
  <c r="Q151"/>
  <c r="P151"/>
  <c r="M151"/>
  <c r="V135" s="1"/>
  <c r="L151"/>
  <c r="U135" s="1"/>
  <c r="K151"/>
  <c r="T135" s="1"/>
  <c r="J151"/>
  <c r="S135" s="1"/>
  <c r="R150"/>
  <c r="Q150"/>
  <c r="P150"/>
  <c r="M150"/>
  <c r="V134" s="1"/>
  <c r="L150"/>
  <c r="U134" s="1"/>
  <c r="K150"/>
  <c r="T134" s="1"/>
  <c r="J150"/>
  <c r="S134" s="1"/>
  <c r="R149"/>
  <c r="Q149"/>
  <c r="P149"/>
  <c r="M149"/>
  <c r="V133" s="1"/>
  <c r="L149"/>
  <c r="U133" s="1"/>
  <c r="K149"/>
  <c r="T133" s="1"/>
  <c r="J149"/>
  <c r="S133" s="1"/>
  <c r="R148"/>
  <c r="Q148"/>
  <c r="P148"/>
  <c r="M148"/>
  <c r="V132" s="1"/>
  <c r="L148"/>
  <c r="U132" s="1"/>
  <c r="K148"/>
  <c r="T132" s="1"/>
  <c r="J148"/>
  <c r="S132" s="1"/>
  <c r="R147"/>
  <c r="Q147"/>
  <c r="P147"/>
  <c r="M147"/>
  <c r="L147"/>
  <c r="K147"/>
  <c r="J147"/>
  <c r="R146"/>
  <c r="Q146"/>
  <c r="P146"/>
  <c r="M146"/>
  <c r="L146"/>
  <c r="K146"/>
  <c r="J146"/>
  <c r="R145"/>
  <c r="Q145"/>
  <c r="P145"/>
  <c r="M145"/>
  <c r="L145"/>
  <c r="K145"/>
  <c r="J145"/>
  <c r="R144"/>
  <c r="Q144"/>
  <c r="P144"/>
  <c r="M144"/>
  <c r="L144"/>
  <c r="K144"/>
  <c r="J144"/>
  <c r="R143"/>
  <c r="Q143"/>
  <c r="P143"/>
  <c r="M143"/>
  <c r="L143"/>
  <c r="K143"/>
  <c r="J143"/>
  <c r="R142"/>
  <c r="Q142"/>
  <c r="P142"/>
  <c r="M142"/>
  <c r="L142"/>
  <c r="K142"/>
  <c r="J142"/>
  <c r="R141"/>
  <c r="Q141"/>
  <c r="P141"/>
  <c r="M141"/>
  <c r="L141"/>
  <c r="K141"/>
  <c r="J141"/>
  <c r="R140"/>
  <c r="Q140"/>
  <c r="P140"/>
  <c r="M140"/>
  <c r="L140"/>
  <c r="K140"/>
  <c r="J140"/>
  <c r="R139"/>
  <c r="Q139"/>
  <c r="P139"/>
  <c r="M139"/>
  <c r="L139"/>
  <c r="K139"/>
  <c r="J139"/>
  <c r="R138"/>
  <c r="Q138"/>
  <c r="P138"/>
  <c r="M138"/>
  <c r="L138"/>
  <c r="K138"/>
  <c r="J138"/>
  <c r="R137"/>
  <c r="Q137"/>
  <c r="P137"/>
  <c r="M137"/>
  <c r="L137"/>
  <c r="K137"/>
  <c r="J137"/>
  <c r="R136"/>
  <c r="Q136"/>
  <c r="P136"/>
  <c r="M136"/>
  <c r="L136"/>
  <c r="K136"/>
  <c r="J136"/>
  <c r="R135"/>
  <c r="Q135"/>
  <c r="P135"/>
  <c r="M135"/>
  <c r="V131" s="1"/>
  <c r="L135"/>
  <c r="U131" s="1"/>
  <c r="K135"/>
  <c r="T131" s="1"/>
  <c r="J135"/>
  <c r="S131" s="1"/>
  <c r="R134"/>
  <c r="Q134"/>
  <c r="P134"/>
  <c r="M134"/>
  <c r="V130" s="1"/>
  <c r="L134"/>
  <c r="U130" s="1"/>
  <c r="K134"/>
  <c r="T130" s="1"/>
  <c r="J134"/>
  <c r="S130" s="1"/>
  <c r="R133"/>
  <c r="Q133"/>
  <c r="P133"/>
  <c r="A133"/>
  <c r="M133" s="1"/>
  <c r="V129" s="1"/>
  <c r="R132"/>
  <c r="Q132"/>
  <c r="P132"/>
  <c r="A132"/>
  <c r="M132" s="1"/>
  <c r="V128" s="1"/>
  <c r="R131"/>
  <c r="Q131"/>
  <c r="A131"/>
  <c r="M131" s="1"/>
  <c r="V127" s="1"/>
  <c r="R130"/>
  <c r="Q130"/>
  <c r="A130"/>
  <c r="M130" s="1"/>
  <c r="V126" s="1"/>
  <c r="A129"/>
  <c r="M129" s="1"/>
  <c r="V125" s="1"/>
  <c r="A128"/>
  <c r="M128" s="1"/>
  <c r="V124" s="1"/>
  <c r="A127"/>
  <c r="M127" s="1"/>
  <c r="V123" s="1"/>
  <c r="A126"/>
  <c r="M126" s="1"/>
  <c r="V122" s="1"/>
  <c r="A125"/>
  <c r="M125" s="1"/>
  <c r="V121" s="1"/>
  <c r="A124"/>
  <c r="M124" s="1"/>
  <c r="V120" s="1"/>
  <c r="A123"/>
  <c r="M123" s="1"/>
  <c r="V119" s="1"/>
  <c r="A122"/>
  <c r="M122" s="1"/>
  <c r="V118" s="1"/>
  <c r="A121"/>
  <c r="M121" s="1"/>
  <c r="V117" s="1"/>
  <c r="M120"/>
  <c r="V116" s="1"/>
  <c r="L120"/>
  <c r="U116" s="1"/>
  <c r="K120"/>
  <c r="T116" s="1"/>
  <c r="J120"/>
  <c r="S116" s="1"/>
  <c r="M119"/>
  <c r="V115" s="1"/>
  <c r="L119"/>
  <c r="U115" s="1"/>
  <c r="K119"/>
  <c r="T115" s="1"/>
  <c r="J119"/>
  <c r="S115" s="1"/>
  <c r="M118"/>
  <c r="V114" s="1"/>
  <c r="L118"/>
  <c r="U114" s="1"/>
  <c r="K118"/>
  <c r="T114" s="1"/>
  <c r="J118"/>
  <c r="S114" s="1"/>
  <c r="M117"/>
  <c r="V113" s="1"/>
  <c r="L117"/>
  <c r="U113" s="1"/>
  <c r="K117"/>
  <c r="T113" s="1"/>
  <c r="J117"/>
  <c r="S113" s="1"/>
  <c r="R116"/>
  <c r="Q116"/>
  <c r="M116"/>
  <c r="L116"/>
  <c r="K116"/>
  <c r="J116"/>
  <c r="R115"/>
  <c r="Q115"/>
  <c r="M115"/>
  <c r="L115"/>
  <c r="K115"/>
  <c r="J115"/>
  <c r="R114"/>
  <c r="Q114"/>
  <c r="M114"/>
  <c r="L114"/>
  <c r="K114"/>
  <c r="J114"/>
  <c r="R113"/>
  <c r="Q113"/>
  <c r="M113"/>
  <c r="L113"/>
  <c r="K113"/>
  <c r="J113"/>
  <c r="A112"/>
  <c r="R112" s="1"/>
  <c r="A111"/>
  <c r="R111" s="1"/>
  <c r="A110"/>
  <c r="R110" s="1"/>
  <c r="A109"/>
  <c r="R109" s="1"/>
  <c r="A108"/>
  <c r="R108" s="1"/>
  <c r="A107"/>
  <c r="R107" s="1"/>
  <c r="A106"/>
  <c r="R106" s="1"/>
  <c r="A105"/>
  <c r="R105" s="1"/>
  <c r="A104"/>
  <c r="R104" s="1"/>
  <c r="A103"/>
  <c r="R103" s="1"/>
  <c r="A102"/>
  <c r="R102" s="1"/>
  <c r="A101"/>
  <c r="R101" s="1"/>
  <c r="A100"/>
  <c r="R100" s="1"/>
  <c r="A99"/>
  <c r="R99" s="1"/>
  <c r="A98"/>
  <c r="R98" s="1"/>
  <c r="A97"/>
  <c r="R97" s="1"/>
  <c r="A96"/>
  <c r="R96" s="1"/>
  <c r="A95"/>
  <c r="R95" s="1"/>
  <c r="A94"/>
  <c r="R94" s="1"/>
  <c r="A93"/>
  <c r="R93" s="1"/>
  <c r="A92"/>
  <c r="R92" s="1"/>
  <c r="A91"/>
  <c r="R91" s="1"/>
  <c r="A90"/>
  <c r="R90" s="1"/>
  <c r="A89"/>
  <c r="R89" s="1"/>
  <c r="A88"/>
  <c r="R88" s="1"/>
  <c r="A87"/>
  <c r="R87" s="1"/>
  <c r="A86"/>
  <c r="A85"/>
  <c r="A84"/>
  <c r="A83"/>
  <c r="A82"/>
  <c r="A81"/>
  <c r="A80"/>
  <c r="A79"/>
  <c r="A78"/>
  <c r="A77"/>
  <c r="A76"/>
  <c r="A75"/>
  <c r="A74"/>
  <c r="A73"/>
  <c r="A72"/>
  <c r="A71"/>
  <c r="A70"/>
  <c r="A69"/>
  <c r="A68"/>
  <c r="A67"/>
  <c r="A66"/>
  <c r="A65"/>
  <c r="A64"/>
  <c r="A63"/>
  <c r="A62"/>
  <c r="A61"/>
  <c r="A60"/>
  <c r="A59"/>
  <c r="A58"/>
  <c r="A57"/>
  <c r="A56"/>
  <c r="A55"/>
  <c r="A54"/>
  <c r="A53"/>
  <c r="A52"/>
  <c r="A51"/>
  <c r="A50"/>
  <c r="A49"/>
  <c r="A48"/>
  <c r="A47"/>
  <c r="A46"/>
  <c r="A45"/>
  <c r="A44"/>
  <c r="A43"/>
  <c r="R51" s="1"/>
  <c r="A42"/>
  <c r="A41"/>
  <c r="A40"/>
  <c r="A39"/>
  <c r="A38"/>
  <c r="A37"/>
  <c r="A36"/>
  <c r="A35"/>
  <c r="A34"/>
  <c r="A33"/>
  <c r="A32"/>
  <c r="A31"/>
  <c r="A30"/>
  <c r="A29"/>
  <c r="A28"/>
  <c r="R84" s="1"/>
  <c r="A27"/>
  <c r="R55" s="1"/>
  <c r="A26"/>
  <c r="A25"/>
  <c r="A24"/>
  <c r="R36" s="1"/>
  <c r="A23"/>
  <c r="A22"/>
  <c r="A21"/>
  <c r="A20"/>
  <c r="A19"/>
  <c r="A18"/>
  <c r="A17"/>
  <c r="A16"/>
  <c r="A15"/>
  <c r="A14"/>
  <c r="A13"/>
  <c r="A12"/>
  <c r="A11"/>
  <c r="A10"/>
  <c r="A9"/>
  <c r="A8"/>
  <c r="A7"/>
  <c r="R80" l="1"/>
  <c r="AL389" i="1"/>
  <c r="AK389"/>
  <c r="AR389"/>
  <c r="AR127"/>
  <c r="AL246"/>
  <c r="AL127"/>
  <c r="AK246"/>
  <c r="AR246"/>
  <c r="AR388"/>
  <c r="AK388"/>
  <c r="AR457"/>
  <c r="AK457"/>
  <c r="AK197"/>
  <c r="AR197"/>
  <c r="AR382"/>
  <c r="AK382"/>
  <c r="AK177"/>
  <c r="AR177"/>
  <c r="AK138"/>
  <c r="AR138"/>
  <c r="AK451"/>
  <c r="AR451"/>
  <c r="AL457"/>
  <c r="AL126"/>
  <c r="AL138"/>
  <c r="AL323"/>
  <c r="AL145"/>
  <c r="AL197"/>
  <c r="AL169"/>
  <c r="AL458"/>
  <c r="AL451"/>
  <c r="AL324"/>
  <c r="AL177"/>
  <c r="AL388"/>
  <c r="AL383"/>
  <c r="AL139"/>
  <c r="AL382"/>
  <c r="AK324"/>
  <c r="AR324"/>
  <c r="AR458"/>
  <c r="AK458"/>
  <c r="AR323"/>
  <c r="AK323"/>
  <c r="AK145"/>
  <c r="AR145"/>
  <c r="AR383"/>
  <c r="AK383"/>
  <c r="AK139"/>
  <c r="AR139"/>
  <c r="AK126"/>
  <c r="AR126"/>
  <c r="AK169"/>
  <c r="AR169"/>
  <c r="AL501"/>
  <c r="AL502"/>
  <c r="AK502"/>
  <c r="AR502"/>
  <c r="AK501"/>
  <c r="AR501"/>
  <c r="AL144"/>
  <c r="AK144"/>
  <c r="AR144"/>
  <c r="AL62"/>
  <c r="AR223"/>
  <c r="AK62"/>
  <c r="AR62"/>
  <c r="AL222"/>
  <c r="AL223"/>
  <c r="AK222"/>
  <c r="AR222"/>
  <c r="AK428"/>
  <c r="AR428"/>
  <c r="AK340"/>
  <c r="AR340"/>
  <c r="AL340"/>
  <c r="AL427"/>
  <c r="AL480"/>
  <c r="AL479"/>
  <c r="AL237"/>
  <c r="AL428"/>
  <c r="AK237"/>
  <c r="AR237"/>
  <c r="AK480"/>
  <c r="AR480"/>
  <c r="AK479"/>
  <c r="AR479"/>
  <c r="AK427"/>
  <c r="AR427"/>
  <c r="AK193"/>
  <c r="AR193"/>
  <c r="AR296"/>
  <c r="AK296"/>
  <c r="AL334"/>
  <c r="AL359"/>
  <c r="AL211"/>
  <c r="AL335"/>
  <c r="AL360"/>
  <c r="AL296"/>
  <c r="AL295"/>
  <c r="AL193"/>
  <c r="AR360"/>
  <c r="AK360"/>
  <c r="AK334"/>
  <c r="AR334"/>
  <c r="AK335"/>
  <c r="AR335"/>
  <c r="AR211"/>
  <c r="AK211"/>
  <c r="AK295"/>
  <c r="AR295"/>
  <c r="AR359"/>
  <c r="AK359"/>
  <c r="AL301"/>
  <c r="AL302"/>
  <c r="AL282"/>
  <c r="AL283"/>
  <c r="AK283"/>
  <c r="AR283"/>
  <c r="AK282"/>
  <c r="AR282"/>
  <c r="AK302"/>
  <c r="AR302"/>
  <c r="AK301"/>
  <c r="AR301"/>
  <c r="AL459"/>
  <c r="AL460"/>
  <c r="AK460"/>
  <c r="AR460"/>
  <c r="AK459"/>
  <c r="AR459"/>
  <c r="AL391"/>
  <c r="AK391"/>
  <c r="AR391"/>
  <c r="AK285"/>
  <c r="AR285"/>
  <c r="AL284"/>
  <c r="AL285"/>
  <c r="AK284"/>
  <c r="AR284"/>
  <c r="AL194"/>
  <c r="AL224"/>
  <c r="AK224"/>
  <c r="AR224"/>
  <c r="AK194"/>
  <c r="AR194"/>
  <c r="AL314"/>
  <c r="AR313"/>
  <c r="AK314"/>
  <c r="AR314"/>
  <c r="AL329"/>
  <c r="AL313"/>
  <c r="AK329"/>
  <c r="AR329"/>
  <c r="AL478"/>
  <c r="AK478"/>
  <c r="AR478"/>
  <c r="AL272"/>
  <c r="AL477"/>
  <c r="AK477"/>
  <c r="AR477"/>
  <c r="AK272"/>
  <c r="AR272"/>
  <c r="AR506"/>
  <c r="AL505"/>
  <c r="AL506"/>
  <c r="AK505"/>
  <c r="AR505"/>
  <c r="AR358"/>
  <c r="AR519"/>
  <c r="AR116"/>
  <c r="AL115"/>
  <c r="AL116"/>
  <c r="AK115"/>
  <c r="AR115"/>
  <c r="AL464"/>
  <c r="AL519"/>
  <c r="AK464"/>
  <c r="AR464"/>
  <c r="AL357"/>
  <c r="AL358"/>
  <c r="AK357"/>
  <c r="AR357"/>
  <c r="AK350"/>
  <c r="AR350"/>
  <c r="AL95"/>
  <c r="AL38"/>
  <c r="AL101"/>
  <c r="AL350"/>
  <c r="AK101"/>
  <c r="AR101"/>
  <c r="AK38"/>
  <c r="AR38"/>
  <c r="AK95"/>
  <c r="AR95"/>
  <c r="AK198"/>
  <c r="AR198"/>
  <c r="AK367"/>
  <c r="AR367"/>
  <c r="AL174"/>
  <c r="AL366"/>
  <c r="AL175"/>
  <c r="AL367"/>
  <c r="AL176"/>
  <c r="AL167"/>
  <c r="AL368"/>
  <c r="AL198"/>
  <c r="AK368"/>
  <c r="AR368"/>
  <c r="AK175"/>
  <c r="AR175"/>
  <c r="AK167"/>
  <c r="AR167"/>
  <c r="AK366"/>
  <c r="AR366"/>
  <c r="AK176"/>
  <c r="AR176"/>
  <c r="AK174"/>
  <c r="AR174"/>
  <c r="AL215"/>
  <c r="AL179"/>
  <c r="AK179"/>
  <c r="AR179"/>
  <c r="AK215"/>
  <c r="AR215"/>
  <c r="AL319"/>
  <c r="AL454"/>
  <c r="AL320"/>
  <c r="AL321"/>
  <c r="AL453"/>
  <c r="AR321"/>
  <c r="AK321"/>
  <c r="AK319"/>
  <c r="AR319"/>
  <c r="AK454"/>
  <c r="AR454"/>
  <c r="AR453"/>
  <c r="AK453"/>
  <c r="AK320"/>
  <c r="AR320"/>
  <c r="AK381"/>
  <c r="AR381"/>
  <c r="AK495"/>
  <c r="AR495"/>
  <c r="AL326"/>
  <c r="AL495"/>
  <c r="AL426"/>
  <c r="AL380"/>
  <c r="AL497"/>
  <c r="AL425"/>
  <c r="AL496"/>
  <c r="AL327"/>
  <c r="AL381"/>
  <c r="AK425"/>
  <c r="AR425"/>
  <c r="AK326"/>
  <c r="AR326"/>
  <c r="AK327"/>
  <c r="AR327"/>
  <c r="AK497"/>
  <c r="AR497"/>
  <c r="AK496"/>
  <c r="AR496"/>
  <c r="AK426"/>
  <c r="AR426"/>
  <c r="AK380"/>
  <c r="AR380"/>
  <c r="AK141"/>
  <c r="AR141"/>
  <c r="AK90"/>
  <c r="AR90"/>
  <c r="AK499"/>
  <c r="AR499"/>
  <c r="AK268"/>
  <c r="AR268"/>
  <c r="AL267"/>
  <c r="AL268"/>
  <c r="AL234"/>
  <c r="AL90"/>
  <c r="AL485"/>
  <c r="AL363"/>
  <c r="AL141"/>
  <c r="AL499"/>
  <c r="AL364"/>
  <c r="AL212"/>
  <c r="AK364"/>
  <c r="AR364"/>
  <c r="AK363"/>
  <c r="AR363"/>
  <c r="AK267"/>
  <c r="AR267"/>
  <c r="AK212"/>
  <c r="AR212"/>
  <c r="AK485"/>
  <c r="AR485"/>
  <c r="AK234"/>
  <c r="AR234"/>
  <c r="AR63"/>
  <c r="AR132"/>
  <c r="AR450"/>
  <c r="AR217"/>
  <c r="AR418"/>
  <c r="AL128"/>
  <c r="AL217"/>
  <c r="AK128"/>
  <c r="AR128"/>
  <c r="AL79"/>
  <c r="AL450"/>
  <c r="AK79"/>
  <c r="AR79"/>
  <c r="AL142"/>
  <c r="AL132"/>
  <c r="AK142"/>
  <c r="AR142"/>
  <c r="AL418"/>
  <c r="AL63"/>
  <c r="AR299"/>
  <c r="AL299"/>
  <c r="AL300"/>
  <c r="AK300"/>
  <c r="AR300"/>
  <c r="AL498"/>
  <c r="AK498"/>
  <c r="AR498"/>
  <c r="AL397"/>
  <c r="AR396"/>
  <c r="AK397"/>
  <c r="AR397"/>
  <c r="AL395"/>
  <c r="AL396"/>
  <c r="AR395"/>
  <c r="AL187"/>
  <c r="AK187"/>
  <c r="AR187"/>
  <c r="AL85"/>
  <c r="AK85"/>
  <c r="AR85"/>
  <c r="AL351"/>
  <c r="AL352"/>
  <c r="AK352"/>
  <c r="AR352"/>
  <c r="AK351"/>
  <c r="AR351"/>
  <c r="AL80"/>
  <c r="AL81"/>
  <c r="AK81"/>
  <c r="AR81"/>
  <c r="AR80"/>
  <c r="AL253"/>
  <c r="AL254"/>
  <c r="AK254"/>
  <c r="AR254"/>
  <c r="AK253"/>
  <c r="AR253"/>
  <c r="AL192"/>
  <c r="AR192"/>
  <c r="AL405"/>
  <c r="AK405"/>
  <c r="AR405"/>
  <c r="AL404"/>
  <c r="AL104"/>
  <c r="AK104"/>
  <c r="AR104"/>
  <c r="AK404"/>
  <c r="AR404"/>
  <c r="R37" i="14"/>
  <c r="AL345" i="1"/>
  <c r="AL346"/>
  <c r="AR345"/>
  <c r="AK346"/>
  <c r="AR346"/>
  <c r="AL292"/>
  <c r="R17" i="14"/>
  <c r="AR291" i="1"/>
  <c r="AK292"/>
  <c r="AR292"/>
  <c r="AL290"/>
  <c r="AL291"/>
  <c r="AR290"/>
  <c r="R41" i="14"/>
  <c r="R57"/>
  <c r="R22"/>
  <c r="R74"/>
  <c r="R66"/>
  <c r="R69"/>
  <c r="R42"/>
  <c r="R77"/>
  <c r="R85"/>
  <c r="R53"/>
  <c r="R58"/>
  <c r="R70"/>
  <c r="AR129" i="1"/>
  <c r="AL129"/>
  <c r="AL130"/>
  <c r="AK130"/>
  <c r="AR130"/>
  <c r="AL330"/>
  <c r="AK330"/>
  <c r="AR330"/>
  <c r="AL333"/>
  <c r="AK333"/>
  <c r="AR333"/>
  <c r="AL456"/>
  <c r="AR456"/>
  <c r="AL78"/>
  <c r="AR78"/>
  <c r="AR343"/>
  <c r="AL343"/>
  <c r="AL344"/>
  <c r="AR344"/>
  <c r="AK344"/>
  <c r="AL118"/>
  <c r="AL119"/>
  <c r="AK119"/>
  <c r="AR119"/>
  <c r="AR118"/>
  <c r="AR378"/>
  <c r="AK377"/>
  <c r="AL377"/>
  <c r="AL378"/>
  <c r="AR375"/>
  <c r="AL375"/>
  <c r="AL376"/>
  <c r="AK376"/>
  <c r="AR376"/>
  <c r="AL446"/>
  <c r="AR446"/>
  <c r="AL398"/>
  <c r="AR398"/>
  <c r="AR338"/>
  <c r="AL338"/>
  <c r="AL339"/>
  <c r="AK339"/>
  <c r="AR339"/>
  <c r="AR431"/>
  <c r="AL431"/>
  <c r="AL432"/>
  <c r="AK432"/>
  <c r="AR432"/>
  <c r="AR384"/>
  <c r="AL384"/>
  <c r="AL385"/>
  <c r="AK385"/>
  <c r="AR385"/>
  <c r="AR256"/>
  <c r="AL256"/>
  <c r="AL257"/>
  <c r="AK257"/>
  <c r="AR257"/>
  <c r="AL249"/>
  <c r="AK249"/>
  <c r="AR249"/>
  <c r="AR247"/>
  <c r="AL247"/>
  <c r="AL248"/>
  <c r="AK248"/>
  <c r="AR248"/>
  <c r="AR422"/>
  <c r="AL421"/>
  <c r="AL422"/>
  <c r="AK421"/>
  <c r="AR421"/>
  <c r="AR430"/>
  <c r="AL429"/>
  <c r="AL430"/>
  <c r="AR429"/>
  <c r="AR400"/>
  <c r="AL399"/>
  <c r="AL400"/>
  <c r="AR399"/>
  <c r="AR420"/>
  <c r="AL419"/>
  <c r="AL420"/>
  <c r="AR419"/>
  <c r="AL386"/>
  <c r="AL387"/>
  <c r="AK387"/>
  <c r="AR387"/>
  <c r="AR386"/>
  <c r="AL297"/>
  <c r="AL298"/>
  <c r="AK298"/>
  <c r="AR298"/>
  <c r="AK297"/>
  <c r="AR297"/>
  <c r="AL98"/>
  <c r="AR98"/>
  <c r="AR461"/>
  <c r="AL461"/>
  <c r="AL32"/>
  <c r="AR32"/>
  <c r="AR30"/>
  <c r="AL30"/>
  <c r="AL31"/>
  <c r="AK31"/>
  <c r="AR31"/>
  <c r="AR189"/>
  <c r="AL189"/>
  <c r="AR89"/>
  <c r="AK114"/>
  <c r="AR114"/>
  <c r="AL89"/>
  <c r="AL114"/>
  <c r="AR47"/>
  <c r="AL47"/>
  <c r="AL48"/>
  <c r="AK48"/>
  <c r="AR48"/>
  <c r="AL287"/>
  <c r="AK287"/>
  <c r="AR287"/>
  <c r="AL303"/>
  <c r="AK303"/>
  <c r="AR303"/>
  <c r="AL392"/>
  <c r="AR392"/>
  <c r="AL407"/>
  <c r="AL408"/>
  <c r="AL409"/>
  <c r="AK409"/>
  <c r="AR409"/>
  <c r="AK408"/>
  <c r="AR408"/>
  <c r="AK407"/>
  <c r="AR407"/>
  <c r="AL170"/>
  <c r="AK170"/>
  <c r="AR170"/>
  <c r="AL178"/>
  <c r="AK178"/>
  <c r="AL325"/>
  <c r="AR325"/>
  <c r="AL489"/>
  <c r="AK489"/>
  <c r="AR489"/>
  <c r="AL503"/>
  <c r="AR503"/>
  <c r="AL86"/>
  <c r="AR86"/>
  <c r="AR288"/>
  <c r="AL288"/>
  <c r="AL289"/>
  <c r="AK289"/>
  <c r="AR289"/>
  <c r="AL403"/>
  <c r="AR403"/>
  <c r="AR401"/>
  <c r="AL401"/>
  <c r="AL402"/>
  <c r="AK402"/>
  <c r="AR402"/>
  <c r="AR490"/>
  <c r="AL511"/>
  <c r="AL490"/>
  <c r="AK511"/>
  <c r="AR511"/>
  <c r="AR306"/>
  <c r="AL306"/>
  <c r="AL307"/>
  <c r="AK307"/>
  <c r="AR307"/>
  <c r="AL410"/>
  <c r="AR410"/>
  <c r="AK439"/>
  <c r="AK440"/>
  <c r="AR440"/>
  <c r="AL439"/>
  <c r="AL440"/>
  <c r="AL171"/>
  <c r="AK171"/>
  <c r="AR171"/>
  <c r="AL13"/>
  <c r="AK13"/>
  <c r="AR13"/>
  <c r="AR36"/>
  <c r="AK37"/>
  <c r="AR37"/>
  <c r="AL36"/>
  <c r="AL37"/>
  <c r="AL262"/>
  <c r="AR262"/>
  <c r="AR225"/>
  <c r="AL225"/>
  <c r="AL226"/>
  <c r="AK226"/>
  <c r="AR226"/>
  <c r="AL238"/>
  <c r="AR238"/>
  <c r="AL196"/>
  <c r="AR196"/>
  <c r="AL131"/>
  <c r="AK131"/>
  <c r="AR131"/>
  <c r="AL484"/>
  <c r="AR484"/>
  <c r="AR137"/>
  <c r="AL136"/>
  <c r="AL137"/>
  <c r="AK136"/>
  <c r="AR136"/>
  <c r="AL20"/>
  <c r="AR20"/>
  <c r="AR444"/>
  <c r="AK445"/>
  <c r="AR445"/>
  <c r="AL444"/>
  <c r="AL445"/>
  <c r="AL46"/>
  <c r="AR46"/>
  <c r="R23" i="14"/>
  <c r="R67"/>
  <c r="R63"/>
  <c r="R65"/>
  <c r="R81"/>
  <c r="R73"/>
  <c r="AL390" i="1"/>
  <c r="AK390"/>
  <c r="AL258"/>
  <c r="AK258"/>
  <c r="AL269"/>
  <c r="AK269"/>
  <c r="AL164"/>
  <c r="AK164"/>
  <c r="AL203"/>
  <c r="AK203"/>
  <c r="AR203"/>
  <c r="AL181"/>
  <c r="AK181"/>
  <c r="AR181"/>
  <c r="AL277"/>
  <c r="AK277"/>
  <c r="AL121"/>
  <c r="AK121"/>
  <c r="AK455"/>
  <c r="AK16"/>
  <c r="AL455"/>
  <c r="AK6"/>
  <c r="AK305"/>
  <c r="AK210"/>
  <c r="AK201"/>
  <c r="AK227"/>
  <c r="AK151"/>
  <c r="AK487"/>
  <c r="AK474"/>
  <c r="AK206"/>
  <c r="AK263"/>
  <c r="AK362"/>
  <c r="AK158"/>
  <c r="AK84"/>
  <c r="AK218"/>
  <c r="AL361"/>
  <c r="AL362"/>
  <c r="AK45"/>
  <c r="AK361"/>
  <c r="AR361"/>
  <c r="AK75"/>
  <c r="AK29"/>
  <c r="AK200"/>
  <c r="AK186"/>
  <c r="AK7"/>
  <c r="AK276"/>
  <c r="AK61"/>
  <c r="AK270"/>
  <c r="AK190"/>
  <c r="AK473"/>
  <c r="AK15"/>
  <c r="AK348"/>
  <c r="AK10"/>
  <c r="AK204"/>
  <c r="AK8"/>
  <c r="AK99"/>
  <c r="AK214"/>
  <c r="AK264"/>
  <c r="AK157"/>
  <c r="AK161"/>
  <c r="AK35"/>
  <c r="AK205"/>
  <c r="AK26"/>
  <c r="AK182"/>
  <c r="AK166"/>
  <c r="AK64"/>
  <c r="AK191"/>
  <c r="AK133"/>
  <c r="AK27"/>
  <c r="AK353"/>
  <c r="AK59"/>
  <c r="AK219"/>
  <c r="AK17"/>
  <c r="AK140"/>
  <c r="AK265"/>
  <c r="AK112"/>
  <c r="AK228"/>
  <c r="AK100"/>
  <c r="AK514"/>
  <c r="AK260"/>
  <c r="AR229"/>
  <c r="AR117"/>
  <c r="AK512"/>
  <c r="AK379"/>
  <c r="AR379"/>
  <c r="AK105"/>
  <c r="AR22"/>
  <c r="AK111"/>
  <c r="AL379"/>
  <c r="AK55"/>
  <c r="AK195"/>
  <c r="AK23"/>
  <c r="AK488"/>
  <c r="AK318"/>
  <c r="AK12"/>
  <c r="AK134"/>
  <c r="AK231"/>
  <c r="AK43"/>
  <c r="AK180"/>
  <c r="AK143"/>
  <c r="AK173"/>
  <c r="AR448"/>
  <c r="AR33"/>
  <c r="AK183"/>
  <c r="AK168"/>
  <c r="AK433"/>
  <c r="AK153"/>
  <c r="AK232"/>
  <c r="AK156"/>
  <c r="AK14"/>
  <c r="AK76"/>
  <c r="AK54"/>
  <c r="AK44"/>
  <c r="AK328"/>
  <c r="AK53"/>
  <c r="AK65"/>
  <c r="AR73"/>
  <c r="AK202"/>
  <c r="AR513"/>
  <c r="AR415"/>
  <c r="AK452"/>
  <c r="AK184"/>
  <c r="AR308"/>
  <c r="AK475"/>
  <c r="AK294"/>
  <c r="AR310"/>
  <c r="AK509"/>
  <c r="AR271"/>
  <c r="AR5"/>
  <c r="AK286"/>
  <c r="AR125"/>
  <c r="AR467"/>
  <c r="AK77"/>
  <c r="AK365"/>
  <c r="AK304"/>
  <c r="AK322"/>
  <c r="AK417"/>
  <c r="AK209"/>
  <c r="AK24"/>
  <c r="AK213"/>
  <c r="AK438"/>
  <c r="AK236"/>
  <c r="AR471"/>
  <c r="AK146"/>
  <c r="AK435"/>
  <c r="AR87"/>
  <c r="AK355"/>
  <c r="AK441"/>
  <c r="AK347"/>
  <c r="AK266"/>
  <c r="AK11"/>
  <c r="AK60"/>
  <c r="AK165"/>
  <c r="AK510"/>
  <c r="AK147"/>
  <c r="AK230"/>
  <c r="AK150"/>
  <c r="AK52"/>
  <c r="AK199"/>
  <c r="AK96"/>
  <c r="AK493"/>
  <c r="AK411"/>
  <c r="AK25"/>
  <c r="R68" i="14"/>
  <c r="R64"/>
  <c r="AK3" i="1"/>
  <c r="R76" i="14"/>
  <c r="R56"/>
  <c r="R48"/>
  <c r="R43"/>
  <c r="R83"/>
  <c r="AK108" i="1"/>
  <c r="AK508"/>
  <c r="AK437"/>
  <c r="AK113"/>
  <c r="AK82"/>
  <c r="AK2"/>
  <c r="AK160"/>
  <c r="AK470"/>
  <c r="AK152"/>
  <c r="AK154"/>
  <c r="AK491"/>
  <c r="AK259"/>
  <c r="AK312"/>
  <c r="AK83"/>
  <c r="AK465"/>
  <c r="AK172"/>
  <c r="AK122"/>
  <c r="AK39"/>
  <c r="AK275"/>
  <c r="AK372"/>
  <c r="AK443"/>
  <c r="R72" i="14"/>
  <c r="R47"/>
  <c r="R24"/>
  <c r="R78"/>
  <c r="R86"/>
  <c r="R62"/>
  <c r="R71"/>
  <c r="R59"/>
  <c r="R79"/>
  <c r="R75"/>
  <c r="R82"/>
  <c r="AK120" i="1"/>
  <c r="AK106"/>
  <c r="AK9"/>
  <c r="AK317"/>
  <c r="AK107"/>
  <c r="AK185"/>
  <c r="AK135"/>
  <c r="AK233"/>
  <c r="AK235"/>
  <c r="AK504"/>
  <c r="AK57"/>
  <c r="AK413"/>
  <c r="AK349"/>
  <c r="AK255"/>
  <c r="AK281"/>
  <c r="AK481"/>
  <c r="AK483"/>
  <c r="AK293"/>
  <c r="AK447"/>
  <c r="AK406"/>
  <c r="AK423"/>
  <c r="AK507"/>
  <c r="AK486"/>
  <c r="AK373"/>
  <c r="AK315"/>
  <c r="AL332"/>
  <c r="AL331"/>
  <c r="AK331"/>
  <c r="AR331"/>
  <c r="AK332"/>
  <c r="AR332"/>
  <c r="AL394"/>
  <c r="AL393"/>
  <c r="AK393"/>
  <c r="AR393"/>
  <c r="AK394"/>
  <c r="AR394"/>
  <c r="AL315"/>
  <c r="AL316"/>
  <c r="AK316"/>
  <c r="AR316"/>
  <c r="AL373"/>
  <c r="AL374"/>
  <c r="AK374"/>
  <c r="AR374"/>
  <c r="AR69"/>
  <c r="AL69"/>
  <c r="AL70"/>
  <c r="AK70"/>
  <c r="AR70"/>
  <c r="AL353"/>
  <c r="AL354"/>
  <c r="AK354"/>
  <c r="AR354"/>
  <c r="AL411"/>
  <c r="AL412"/>
  <c r="AK412"/>
  <c r="AR412"/>
  <c r="AL209"/>
  <c r="AL184"/>
  <c r="AL486"/>
  <c r="AL507"/>
  <c r="AL516"/>
  <c r="AK516"/>
  <c r="AR516"/>
  <c r="AL423"/>
  <c r="AL424"/>
  <c r="AK424"/>
  <c r="AR424"/>
  <c r="AL443"/>
  <c r="AL441"/>
  <c r="AL442"/>
  <c r="AK442"/>
  <c r="AR442"/>
  <c r="AL512"/>
  <c r="AL5"/>
  <c r="AL406"/>
  <c r="AL447"/>
  <c r="AL369"/>
  <c r="AK369"/>
  <c r="AR369"/>
  <c r="AL372"/>
  <c r="AL452"/>
  <c r="AL417"/>
  <c r="AL415"/>
  <c r="AL416"/>
  <c r="AK416"/>
  <c r="AR416"/>
  <c r="AL293"/>
  <c r="AL275"/>
  <c r="AL355"/>
  <c r="AL356"/>
  <c r="AK356"/>
  <c r="AR356"/>
  <c r="AL433"/>
  <c r="AL434"/>
  <c r="AK434"/>
  <c r="AR434"/>
  <c r="AL370"/>
  <c r="AL371"/>
  <c r="AK371"/>
  <c r="AR371"/>
  <c r="AK370"/>
  <c r="AR370"/>
  <c r="AL87"/>
  <c r="AL88"/>
  <c r="AK88"/>
  <c r="AR88"/>
  <c r="AL33"/>
  <c r="AL34"/>
  <c r="AK34"/>
  <c r="AR34"/>
  <c r="AL483"/>
  <c r="AL481"/>
  <c r="AL482"/>
  <c r="AK482"/>
  <c r="AR482"/>
  <c r="AL39"/>
  <c r="AL513"/>
  <c r="AL448"/>
  <c r="AL449"/>
  <c r="AK449"/>
  <c r="AR449"/>
  <c r="AL514"/>
  <c r="AL281"/>
  <c r="AL255"/>
  <c r="AL500"/>
  <c r="AK500"/>
  <c r="AR500"/>
  <c r="AL122"/>
  <c r="AL322"/>
  <c r="AL475"/>
  <c r="AL476"/>
  <c r="AK476"/>
  <c r="AR476"/>
  <c r="AL202"/>
  <c r="AL349"/>
  <c r="AL172"/>
  <c r="AR518"/>
  <c r="AL304"/>
  <c r="AL22"/>
  <c r="AL518"/>
  <c r="AL21"/>
  <c r="AK21"/>
  <c r="AR21"/>
  <c r="AL493"/>
  <c r="AL494"/>
  <c r="AK494"/>
  <c r="AR494"/>
  <c r="AL435"/>
  <c r="AL436"/>
  <c r="AK436"/>
  <c r="AR436"/>
  <c r="AL465"/>
  <c r="AL466"/>
  <c r="AK466"/>
  <c r="AR466"/>
  <c r="AL146"/>
  <c r="AL462"/>
  <c r="AL463"/>
  <c r="AK463"/>
  <c r="AR463"/>
  <c r="AK462"/>
  <c r="AR462"/>
  <c r="AL413"/>
  <c r="AL414"/>
  <c r="AK414"/>
  <c r="AR414"/>
  <c r="AL83"/>
  <c r="AL365"/>
  <c r="AL117"/>
  <c r="AL73"/>
  <c r="AL74"/>
  <c r="AK74"/>
  <c r="AR74"/>
  <c r="AL271"/>
  <c r="AR56"/>
  <c r="AL57"/>
  <c r="AL58"/>
  <c r="AK58"/>
  <c r="AR58"/>
  <c r="AL312"/>
  <c r="AL517"/>
  <c r="AL311"/>
  <c r="AK311"/>
  <c r="AR311"/>
  <c r="AK517"/>
  <c r="AR517"/>
  <c r="AL471"/>
  <c r="AL472"/>
  <c r="AK472"/>
  <c r="AR472"/>
  <c r="AL504"/>
  <c r="AL259"/>
  <c r="AL96"/>
  <c r="AL97"/>
  <c r="AK97"/>
  <c r="AL491"/>
  <c r="AL492"/>
  <c r="AK492"/>
  <c r="AR492"/>
  <c r="AL154"/>
  <c r="AL155"/>
  <c r="AK155"/>
  <c r="AR155"/>
  <c r="AL152"/>
  <c r="AL199"/>
  <c r="R31" i="14"/>
  <c r="R32"/>
  <c r="R33"/>
  <c r="R34"/>
  <c r="R52"/>
  <c r="R30"/>
  <c r="AL77" i="1"/>
  <c r="AL229"/>
  <c r="AL470"/>
  <c r="AL467"/>
  <c r="AL469"/>
  <c r="AL468"/>
  <c r="AK468"/>
  <c r="AR468"/>
  <c r="AK469"/>
  <c r="AR469"/>
  <c r="AL160"/>
  <c r="R20" i="14"/>
  <c r="R18"/>
  <c r="R19"/>
  <c r="R16"/>
  <c r="R45"/>
  <c r="R50"/>
  <c r="R12"/>
  <c r="R25"/>
  <c r="R26"/>
  <c r="R29"/>
  <c r="R54"/>
  <c r="R60"/>
  <c r="R61"/>
  <c r="R39"/>
  <c r="R40"/>
  <c r="R21"/>
  <c r="R27"/>
  <c r="R44"/>
  <c r="R35"/>
  <c r="R46"/>
  <c r="R7"/>
  <c r="R9"/>
  <c r="R10"/>
  <c r="R11"/>
  <c r="R8"/>
  <c r="R13"/>
  <c r="R14"/>
  <c r="R15"/>
  <c r="R28"/>
  <c r="R49"/>
  <c r="R38"/>
  <c r="AL509" i="1"/>
  <c r="AL65"/>
  <c r="AR123"/>
  <c r="AL125"/>
  <c r="AL123"/>
  <c r="AL124"/>
  <c r="AK124"/>
  <c r="AR124"/>
  <c r="AL286"/>
  <c r="AL310"/>
  <c r="AL308"/>
  <c r="AL309"/>
  <c r="AK309"/>
  <c r="AR309"/>
  <c r="AR111"/>
  <c r="AR515"/>
  <c r="AL111"/>
  <c r="AL242"/>
  <c r="AL112"/>
  <c r="AL216"/>
  <c r="AL228"/>
  <c r="AL328"/>
  <c r="AL140"/>
  <c r="AL4"/>
  <c r="AL7"/>
  <c r="AL8"/>
  <c r="AL17"/>
  <c r="AL190"/>
  <c r="AL191"/>
  <c r="AL218"/>
  <c r="AL219"/>
  <c r="AL204"/>
  <c r="AL205"/>
  <c r="AL341"/>
  <c r="AL342"/>
  <c r="AL102"/>
  <c r="AL103"/>
  <c r="AL44"/>
  <c r="AL45"/>
  <c r="AL43"/>
  <c r="AL239"/>
  <c r="AL240"/>
  <c r="AL241"/>
  <c r="AL243"/>
  <c r="AL244"/>
  <c r="AL245"/>
  <c r="AL186"/>
  <c r="AL220"/>
  <c r="AL221"/>
  <c r="AL66"/>
  <c r="AL67"/>
  <c r="AL68"/>
  <c r="AL94"/>
  <c r="AL188"/>
  <c r="AL52"/>
  <c r="AL53"/>
  <c r="AL54"/>
  <c r="AL162"/>
  <c r="AL163"/>
  <c r="AL35"/>
  <c r="AL270"/>
  <c r="AL168"/>
  <c r="AL278"/>
  <c r="AL279"/>
  <c r="AL280"/>
  <c r="AL75"/>
  <c r="AL76"/>
  <c r="AL200"/>
  <c r="AL201"/>
  <c r="AL49"/>
  <c r="AL50"/>
  <c r="AL51"/>
  <c r="AL14"/>
  <c r="AL235"/>
  <c r="AL236"/>
  <c r="AL161"/>
  <c r="AL18"/>
  <c r="AL19"/>
  <c r="AL150"/>
  <c r="AL151"/>
  <c r="AL61"/>
  <c r="AL40"/>
  <c r="AL41"/>
  <c r="AL42"/>
  <c r="AL230"/>
  <c r="AL231"/>
  <c r="AL347"/>
  <c r="AL348"/>
  <c r="AL294"/>
  <c r="AL82"/>
  <c r="AL156"/>
  <c r="AL157"/>
  <c r="AL158"/>
  <c r="AL113"/>
  <c r="AL147"/>
  <c r="AL64"/>
  <c r="AL84"/>
  <c r="AL437"/>
  <c r="AL438"/>
  <c r="AL232"/>
  <c r="AL233"/>
  <c r="AL508"/>
  <c r="AL510"/>
  <c r="AL109"/>
  <c r="AL110"/>
  <c r="AL260"/>
  <c r="AL72"/>
  <c r="AL515"/>
  <c r="AL134"/>
  <c r="AL135"/>
  <c r="AL153"/>
  <c r="AL165"/>
  <c r="AL185"/>
  <c r="AL213"/>
  <c r="AL214"/>
  <c r="AL107"/>
  <c r="AL108"/>
  <c r="AL59"/>
  <c r="AL60"/>
  <c r="AL336"/>
  <c r="AL337"/>
  <c r="AL317"/>
  <c r="AL166"/>
  <c r="AL11"/>
  <c r="AL12"/>
  <c r="AL9"/>
  <c r="AL10"/>
  <c r="AL55"/>
  <c r="AL105"/>
  <c r="AL106"/>
  <c r="AL266"/>
  <c r="AL71"/>
  <c r="AL318"/>
  <c r="AL261"/>
  <c r="AL273"/>
  <c r="AL274"/>
  <c r="AL183"/>
  <c r="AL120"/>
  <c r="AL24"/>
  <c r="AL25"/>
  <c r="AL207"/>
  <c r="AL208"/>
  <c r="AL2"/>
  <c r="AL3"/>
  <c r="AL148"/>
  <c r="AL149"/>
  <c r="AL173"/>
  <c r="AL265"/>
  <c r="AL27"/>
  <c r="AL210"/>
  <c r="AL143"/>
  <c r="AL263"/>
  <c r="AL264"/>
  <c r="AL206"/>
  <c r="AL250"/>
  <c r="AL251"/>
  <c r="AL252"/>
  <c r="AL99"/>
  <c r="AL100"/>
  <c r="AL28"/>
  <c r="AL182"/>
  <c r="AL305"/>
  <c r="AL180"/>
  <c r="AL159"/>
  <c r="AL133"/>
  <c r="AL487"/>
  <c r="AL488"/>
  <c r="AL56"/>
  <c r="AL26"/>
  <c r="AL227"/>
  <c r="AL23"/>
  <c r="AL276"/>
  <c r="AL473"/>
  <c r="AL474"/>
  <c r="AL195"/>
  <c r="AL29"/>
  <c r="AL91"/>
  <c r="AL92"/>
  <c r="AL93"/>
  <c r="AL6"/>
  <c r="AL15"/>
  <c r="AL16"/>
  <c r="AK207"/>
  <c r="AK208"/>
  <c r="AK274"/>
  <c r="AK273"/>
  <c r="AK261"/>
  <c r="AK71"/>
  <c r="AK337"/>
  <c r="AK336"/>
  <c r="AK72"/>
  <c r="AK110"/>
  <c r="AK109"/>
  <c r="AK42"/>
  <c r="AK41"/>
  <c r="AK40"/>
  <c r="AK19"/>
  <c r="AK18"/>
  <c r="AK51"/>
  <c r="AK50"/>
  <c r="AK49"/>
  <c r="AK280"/>
  <c r="AK279"/>
  <c r="AK278"/>
  <c r="AK163"/>
  <c r="AK162"/>
  <c r="AK188"/>
  <c r="AK94"/>
  <c r="AK68"/>
  <c r="AK67"/>
  <c r="AK66"/>
  <c r="AK221"/>
  <c r="AK220"/>
  <c r="AK245"/>
  <c r="AK244"/>
  <c r="AK243"/>
  <c r="AK242"/>
  <c r="AK241"/>
  <c r="AK240"/>
  <c r="AK239"/>
  <c r="AK103"/>
  <c r="AK102"/>
  <c r="AK342"/>
  <c r="AK341"/>
  <c r="AK4"/>
  <c r="AK216"/>
  <c r="AK159"/>
  <c r="AK28"/>
  <c r="AK252"/>
  <c r="AK251"/>
  <c r="AK250"/>
  <c r="AK149"/>
  <c r="AK93"/>
  <c r="R124" i="14"/>
  <c r="Q120"/>
  <c r="R128"/>
  <c r="R121"/>
  <c r="Q124"/>
  <c r="Q117"/>
  <c r="R120"/>
  <c r="Q129"/>
  <c r="Q118"/>
  <c r="R125"/>
  <c r="Q128"/>
  <c r="R129"/>
  <c r="R118"/>
  <c r="Q123"/>
  <c r="Q127"/>
  <c r="Q119"/>
  <c r="Q122"/>
  <c r="R123"/>
  <c r="Q126"/>
  <c r="R127"/>
  <c r="R117"/>
  <c r="R119"/>
  <c r="Q121"/>
  <c r="R122"/>
  <c r="Q125"/>
  <c r="R126"/>
  <c r="J7"/>
  <c r="K7"/>
  <c r="L7"/>
  <c r="M7"/>
  <c r="Q68"/>
  <c r="J8"/>
  <c r="K8"/>
  <c r="L8"/>
  <c r="M8"/>
  <c r="Q69"/>
  <c r="J9"/>
  <c r="K9"/>
  <c r="L9"/>
  <c r="M9"/>
  <c r="Q72"/>
  <c r="J10"/>
  <c r="K10"/>
  <c r="L10"/>
  <c r="M10"/>
  <c r="Q76"/>
  <c r="J11"/>
  <c r="K11"/>
  <c r="L11"/>
  <c r="M11"/>
  <c r="Q41"/>
  <c r="J12"/>
  <c r="K12"/>
  <c r="L12"/>
  <c r="M12"/>
  <c r="Q42"/>
  <c r="J13"/>
  <c r="K13"/>
  <c r="L13"/>
  <c r="M13"/>
  <c r="Q17"/>
  <c r="J14"/>
  <c r="K14"/>
  <c r="L14"/>
  <c r="M14"/>
  <c r="Q56"/>
  <c r="J15"/>
  <c r="K15"/>
  <c r="L15"/>
  <c r="M15"/>
  <c r="Q57"/>
  <c r="J16"/>
  <c r="K16"/>
  <c r="L16"/>
  <c r="M16"/>
  <c r="Q77"/>
  <c r="J17"/>
  <c r="K17"/>
  <c r="L17"/>
  <c r="M17"/>
  <c r="Q47"/>
  <c r="J18"/>
  <c r="K18"/>
  <c r="L18"/>
  <c r="M18"/>
  <c r="Q48"/>
  <c r="J19"/>
  <c r="K19"/>
  <c r="L19"/>
  <c r="M19"/>
  <c r="Q22"/>
  <c r="J20"/>
  <c r="K20"/>
  <c r="L20"/>
  <c r="M20"/>
  <c r="Q23"/>
  <c r="J21"/>
  <c r="K21"/>
  <c r="L21"/>
  <c r="M21"/>
  <c r="Q24"/>
  <c r="J22"/>
  <c r="K22"/>
  <c r="L22"/>
  <c r="M22"/>
  <c r="Q43"/>
  <c r="J23"/>
  <c r="K23"/>
  <c r="L23"/>
  <c r="M23"/>
  <c r="Q74"/>
  <c r="J24"/>
  <c r="K24"/>
  <c r="L24"/>
  <c r="M24"/>
  <c r="Q36"/>
  <c r="J25"/>
  <c r="K25"/>
  <c r="L25"/>
  <c r="M25"/>
  <c r="Q37"/>
  <c r="J26"/>
  <c r="K26"/>
  <c r="L26"/>
  <c r="M26"/>
  <c r="Q20"/>
  <c r="J27"/>
  <c r="K27"/>
  <c r="L27"/>
  <c r="M27"/>
  <c r="Q55"/>
  <c r="J28"/>
  <c r="K28"/>
  <c r="L28"/>
  <c r="M28"/>
  <c r="Q84"/>
  <c r="J29"/>
  <c r="K29"/>
  <c r="L29"/>
  <c r="M29"/>
  <c r="Q78"/>
  <c r="J30"/>
  <c r="K30"/>
  <c r="L30"/>
  <c r="M30"/>
  <c r="Q65"/>
  <c r="J31"/>
  <c r="K31"/>
  <c r="L31"/>
  <c r="M31"/>
  <c r="Q66"/>
  <c r="J32"/>
  <c r="K32"/>
  <c r="L32"/>
  <c r="M32"/>
  <c r="Q85"/>
  <c r="J33"/>
  <c r="K33"/>
  <c r="L33"/>
  <c r="M33"/>
  <c r="Q86"/>
  <c r="J34"/>
  <c r="S18" s="1"/>
  <c r="K34"/>
  <c r="T18" s="1"/>
  <c r="L34"/>
  <c r="U18" s="1"/>
  <c r="M34"/>
  <c r="V18" s="1"/>
  <c r="Q18"/>
  <c r="J35"/>
  <c r="S19" s="1"/>
  <c r="K35"/>
  <c r="T19" s="1"/>
  <c r="L35"/>
  <c r="U19" s="1"/>
  <c r="M35"/>
  <c r="V19" s="1"/>
  <c r="Q19"/>
  <c r="J36"/>
  <c r="K36"/>
  <c r="L36"/>
  <c r="M36"/>
  <c r="Q53"/>
  <c r="J37"/>
  <c r="K37"/>
  <c r="L37"/>
  <c r="M37"/>
  <c r="Q62"/>
  <c r="J38"/>
  <c r="K38"/>
  <c r="L38"/>
  <c r="M38"/>
  <c r="Q81"/>
  <c r="J39"/>
  <c r="K39"/>
  <c r="L39"/>
  <c r="M39"/>
  <c r="Q16"/>
  <c r="J40"/>
  <c r="K40"/>
  <c r="L40"/>
  <c r="M40"/>
  <c r="Q58"/>
  <c r="J41"/>
  <c r="K41"/>
  <c r="L41"/>
  <c r="M41"/>
  <c r="Q71"/>
  <c r="J42"/>
  <c r="K42"/>
  <c r="L42"/>
  <c r="M42"/>
  <c r="Q45"/>
  <c r="J43"/>
  <c r="K43"/>
  <c r="L43"/>
  <c r="M43"/>
  <c r="Q51"/>
  <c r="J44"/>
  <c r="K44"/>
  <c r="L44"/>
  <c r="M44"/>
  <c r="Q70"/>
  <c r="J45"/>
  <c r="K45"/>
  <c r="L45"/>
  <c r="M45"/>
  <c r="Q59"/>
  <c r="J46"/>
  <c r="K46"/>
  <c r="L46"/>
  <c r="M46"/>
  <c r="Q83"/>
  <c r="J47"/>
  <c r="K47"/>
  <c r="L47"/>
  <c r="M47"/>
  <c r="Q64"/>
  <c r="J48"/>
  <c r="K48"/>
  <c r="L48"/>
  <c r="M48"/>
  <c r="Q67"/>
  <c r="J49"/>
  <c r="K49"/>
  <c r="L49"/>
  <c r="M49"/>
  <c r="Q79"/>
  <c r="J50"/>
  <c r="S50" s="1"/>
  <c r="K50"/>
  <c r="T50" s="1"/>
  <c r="L50"/>
  <c r="U50" s="1"/>
  <c r="M50"/>
  <c r="V50" s="1"/>
  <c r="Q50"/>
  <c r="J51"/>
  <c r="K51"/>
  <c r="L51"/>
  <c r="M51"/>
  <c r="Q12"/>
  <c r="J52"/>
  <c r="K52"/>
  <c r="L52"/>
  <c r="M52"/>
  <c r="Q25"/>
  <c r="J53"/>
  <c r="K53"/>
  <c r="L53"/>
  <c r="M53"/>
  <c r="Q26"/>
  <c r="J54"/>
  <c r="K54"/>
  <c r="L54"/>
  <c r="M54"/>
  <c r="Q29"/>
  <c r="J55"/>
  <c r="K55"/>
  <c r="L55"/>
  <c r="M55"/>
  <c r="Q54"/>
  <c r="J56"/>
  <c r="K56"/>
  <c r="L56"/>
  <c r="M56"/>
  <c r="Q63"/>
  <c r="J57"/>
  <c r="K57"/>
  <c r="L57"/>
  <c r="M57"/>
  <c r="Q75"/>
  <c r="J58"/>
  <c r="K58"/>
  <c r="L58"/>
  <c r="M58"/>
  <c r="Q73"/>
  <c r="J59"/>
  <c r="K59"/>
  <c r="L59"/>
  <c r="M59"/>
  <c r="Q60"/>
  <c r="J60"/>
  <c r="K60"/>
  <c r="L60"/>
  <c r="M60"/>
  <c r="Q61"/>
  <c r="J61"/>
  <c r="K61"/>
  <c r="L61"/>
  <c r="M61"/>
  <c r="Q39"/>
  <c r="J62"/>
  <c r="K62"/>
  <c r="L62"/>
  <c r="M62"/>
  <c r="Q40"/>
  <c r="J63"/>
  <c r="K63"/>
  <c r="L63"/>
  <c r="M63"/>
  <c r="Q21"/>
  <c r="J64"/>
  <c r="K64"/>
  <c r="L64"/>
  <c r="M64"/>
  <c r="Q80"/>
  <c r="J65"/>
  <c r="K65"/>
  <c r="L65"/>
  <c r="M65"/>
  <c r="Q27"/>
  <c r="J66"/>
  <c r="K66"/>
  <c r="L66"/>
  <c r="M66"/>
  <c r="Q44"/>
  <c r="J67"/>
  <c r="S35" s="1"/>
  <c r="K67"/>
  <c r="T35" s="1"/>
  <c r="L67"/>
  <c r="U35" s="1"/>
  <c r="M67"/>
  <c r="V35" s="1"/>
  <c r="Q35"/>
  <c r="J68"/>
  <c r="K68"/>
  <c r="L68"/>
  <c r="M68"/>
  <c r="Q46"/>
  <c r="J69"/>
  <c r="K69"/>
  <c r="L69"/>
  <c r="M69"/>
  <c r="Q82"/>
  <c r="J70"/>
  <c r="K70"/>
  <c r="L70"/>
  <c r="M70"/>
  <c r="Q7"/>
  <c r="J71"/>
  <c r="K71"/>
  <c r="L71"/>
  <c r="M71"/>
  <c r="Q9"/>
  <c r="J72"/>
  <c r="K72"/>
  <c r="L72"/>
  <c r="M72"/>
  <c r="Q10"/>
  <c r="J73"/>
  <c r="K73"/>
  <c r="L73"/>
  <c r="M73"/>
  <c r="Q11"/>
  <c r="J74"/>
  <c r="K74"/>
  <c r="L74"/>
  <c r="M74"/>
  <c r="Q8"/>
  <c r="J75"/>
  <c r="K75"/>
  <c r="L75"/>
  <c r="M75"/>
  <c r="Q13"/>
  <c r="J76"/>
  <c r="K76"/>
  <c r="L76"/>
  <c r="M76"/>
  <c r="Q14"/>
  <c r="J77"/>
  <c r="K77"/>
  <c r="L77"/>
  <c r="M77"/>
  <c r="Q15"/>
  <c r="J78"/>
  <c r="K78"/>
  <c r="L78"/>
  <c r="M78"/>
  <c r="Q28"/>
  <c r="J79"/>
  <c r="K79"/>
  <c r="L79"/>
  <c r="M79"/>
  <c r="Q49"/>
  <c r="J80"/>
  <c r="K80"/>
  <c r="L80"/>
  <c r="M80"/>
  <c r="Q38"/>
  <c r="J81"/>
  <c r="K81"/>
  <c r="L81"/>
  <c r="M81"/>
  <c r="Q31"/>
  <c r="J82"/>
  <c r="K82"/>
  <c r="L82"/>
  <c r="M82"/>
  <c r="Q32"/>
  <c r="J83"/>
  <c r="K83"/>
  <c r="L83"/>
  <c r="M83"/>
  <c r="Q33"/>
  <c r="J84"/>
  <c r="K84"/>
  <c r="L84"/>
  <c r="M84"/>
  <c r="Q34"/>
  <c r="J85"/>
  <c r="K85"/>
  <c r="L85"/>
  <c r="M85"/>
  <c r="Q52"/>
  <c r="J86"/>
  <c r="S30" s="1"/>
  <c r="K86"/>
  <c r="T30" s="1"/>
  <c r="L86"/>
  <c r="U30" s="1"/>
  <c r="M86"/>
  <c r="V30" s="1"/>
  <c r="Q30"/>
  <c r="J87"/>
  <c r="S87" s="1"/>
  <c r="K87"/>
  <c r="T87" s="1"/>
  <c r="L87"/>
  <c r="U87" s="1"/>
  <c r="M87"/>
  <c r="V87" s="1"/>
  <c r="Q87"/>
  <c r="J88"/>
  <c r="S88" s="1"/>
  <c r="K88"/>
  <c r="T88" s="1"/>
  <c r="L88"/>
  <c r="U88" s="1"/>
  <c r="M88"/>
  <c r="V88" s="1"/>
  <c r="Q88"/>
  <c r="J89"/>
  <c r="S89" s="1"/>
  <c r="K89"/>
  <c r="T89" s="1"/>
  <c r="L89"/>
  <c r="U89" s="1"/>
  <c r="M89"/>
  <c r="V89" s="1"/>
  <c r="Q89"/>
  <c r="J90"/>
  <c r="S90" s="1"/>
  <c r="K90"/>
  <c r="T90" s="1"/>
  <c r="L90"/>
  <c r="U90" s="1"/>
  <c r="M90"/>
  <c r="V90" s="1"/>
  <c r="Q90"/>
  <c r="J91"/>
  <c r="S91" s="1"/>
  <c r="K91"/>
  <c r="T91" s="1"/>
  <c r="L91"/>
  <c r="U91" s="1"/>
  <c r="M91"/>
  <c r="V91" s="1"/>
  <c r="Q91"/>
  <c r="J92"/>
  <c r="S92" s="1"/>
  <c r="K92"/>
  <c r="T92" s="1"/>
  <c r="L92"/>
  <c r="U92" s="1"/>
  <c r="M92"/>
  <c r="V92" s="1"/>
  <c r="Q92"/>
  <c r="J93"/>
  <c r="S93" s="1"/>
  <c r="K93"/>
  <c r="T93" s="1"/>
  <c r="L93"/>
  <c r="U93" s="1"/>
  <c r="M93"/>
  <c r="V93" s="1"/>
  <c r="Q93"/>
  <c r="J94"/>
  <c r="S94" s="1"/>
  <c r="K94"/>
  <c r="T94" s="1"/>
  <c r="L94"/>
  <c r="U94" s="1"/>
  <c r="M94"/>
  <c r="V94" s="1"/>
  <c r="Q94"/>
  <c r="J95"/>
  <c r="S95" s="1"/>
  <c r="K95"/>
  <c r="T95" s="1"/>
  <c r="L95"/>
  <c r="U95" s="1"/>
  <c r="M95"/>
  <c r="V95" s="1"/>
  <c r="Q95"/>
  <c r="J96"/>
  <c r="S96" s="1"/>
  <c r="K96"/>
  <c r="T96" s="1"/>
  <c r="L96"/>
  <c r="U96" s="1"/>
  <c r="M96"/>
  <c r="V96" s="1"/>
  <c r="Q96"/>
  <c r="J97"/>
  <c r="S97" s="1"/>
  <c r="K97"/>
  <c r="T97" s="1"/>
  <c r="L97"/>
  <c r="U97" s="1"/>
  <c r="M97"/>
  <c r="V97" s="1"/>
  <c r="Q97"/>
  <c r="J98"/>
  <c r="S98" s="1"/>
  <c r="K98"/>
  <c r="T98" s="1"/>
  <c r="L98"/>
  <c r="U98" s="1"/>
  <c r="M98"/>
  <c r="V98" s="1"/>
  <c r="Q98"/>
  <c r="J99"/>
  <c r="S99" s="1"/>
  <c r="K99"/>
  <c r="T99" s="1"/>
  <c r="L99"/>
  <c r="U99" s="1"/>
  <c r="M99"/>
  <c r="V99" s="1"/>
  <c r="Q99"/>
  <c r="J100"/>
  <c r="S100" s="1"/>
  <c r="K100"/>
  <c r="T100" s="1"/>
  <c r="L100"/>
  <c r="U100" s="1"/>
  <c r="M100"/>
  <c r="V100" s="1"/>
  <c r="Q100"/>
  <c r="J101"/>
  <c r="S101" s="1"/>
  <c r="K101"/>
  <c r="T101" s="1"/>
  <c r="L101"/>
  <c r="U101" s="1"/>
  <c r="M101"/>
  <c r="V101" s="1"/>
  <c r="Q101"/>
  <c r="J102"/>
  <c r="S102" s="1"/>
  <c r="K102"/>
  <c r="T102" s="1"/>
  <c r="L102"/>
  <c r="U102" s="1"/>
  <c r="M102"/>
  <c r="V102" s="1"/>
  <c r="Q102"/>
  <c r="J103"/>
  <c r="S103" s="1"/>
  <c r="K103"/>
  <c r="T103" s="1"/>
  <c r="L103"/>
  <c r="U103" s="1"/>
  <c r="M103"/>
  <c r="V103" s="1"/>
  <c r="Q103"/>
  <c r="J104"/>
  <c r="S104" s="1"/>
  <c r="K104"/>
  <c r="T104" s="1"/>
  <c r="L104"/>
  <c r="U104" s="1"/>
  <c r="M104"/>
  <c r="V104" s="1"/>
  <c r="Q104"/>
  <c r="J105"/>
  <c r="S105" s="1"/>
  <c r="K105"/>
  <c r="T105" s="1"/>
  <c r="L105"/>
  <c r="U105" s="1"/>
  <c r="M105"/>
  <c r="V105" s="1"/>
  <c r="Q105"/>
  <c r="J106"/>
  <c r="S106" s="1"/>
  <c r="K106"/>
  <c r="T106" s="1"/>
  <c r="L106"/>
  <c r="U106" s="1"/>
  <c r="M106"/>
  <c r="V106" s="1"/>
  <c r="Q106"/>
  <c r="J107"/>
  <c r="S107" s="1"/>
  <c r="K107"/>
  <c r="T107" s="1"/>
  <c r="L107"/>
  <c r="U107" s="1"/>
  <c r="M107"/>
  <c r="V107" s="1"/>
  <c r="Q107"/>
  <c r="J108"/>
  <c r="S108" s="1"/>
  <c r="K108"/>
  <c r="T108" s="1"/>
  <c r="L108"/>
  <c r="U108" s="1"/>
  <c r="M108"/>
  <c r="V108" s="1"/>
  <c r="Q108"/>
  <c r="J109"/>
  <c r="S109" s="1"/>
  <c r="K109"/>
  <c r="T109" s="1"/>
  <c r="L109"/>
  <c r="U109" s="1"/>
  <c r="M109"/>
  <c r="V109" s="1"/>
  <c r="Q109"/>
  <c r="J110"/>
  <c r="S110" s="1"/>
  <c r="K110"/>
  <c r="T110" s="1"/>
  <c r="L110"/>
  <c r="U110" s="1"/>
  <c r="M110"/>
  <c r="V110" s="1"/>
  <c r="Q110"/>
  <c r="J111"/>
  <c r="S111" s="1"/>
  <c r="K111"/>
  <c r="T111" s="1"/>
  <c r="L111"/>
  <c r="U111" s="1"/>
  <c r="M111"/>
  <c r="V111" s="1"/>
  <c r="Q111"/>
  <c r="J112"/>
  <c r="S112" s="1"/>
  <c r="K112"/>
  <c r="T112" s="1"/>
  <c r="L112"/>
  <c r="U112" s="1"/>
  <c r="M112"/>
  <c r="V112" s="1"/>
  <c r="Q112"/>
  <c r="J121"/>
  <c r="S117" s="1"/>
  <c r="K121"/>
  <c r="T117" s="1"/>
  <c r="L121"/>
  <c r="U117" s="1"/>
  <c r="J122"/>
  <c r="S118" s="1"/>
  <c r="K122"/>
  <c r="T118" s="1"/>
  <c r="L122"/>
  <c r="U118" s="1"/>
  <c r="J123"/>
  <c r="S119" s="1"/>
  <c r="K123"/>
  <c r="T119" s="1"/>
  <c r="L123"/>
  <c r="U119" s="1"/>
  <c r="J124"/>
  <c r="S120" s="1"/>
  <c r="K124"/>
  <c r="T120" s="1"/>
  <c r="L124"/>
  <c r="U120" s="1"/>
  <c r="J125"/>
  <c r="S121" s="1"/>
  <c r="K125"/>
  <c r="T121" s="1"/>
  <c r="L125"/>
  <c r="U121" s="1"/>
  <c r="J126"/>
  <c r="S122" s="1"/>
  <c r="K126"/>
  <c r="T122" s="1"/>
  <c r="L126"/>
  <c r="U122" s="1"/>
  <c r="J127"/>
  <c r="S123" s="1"/>
  <c r="K127"/>
  <c r="T123" s="1"/>
  <c r="L127"/>
  <c r="U123" s="1"/>
  <c r="J128"/>
  <c r="S124" s="1"/>
  <c r="K128"/>
  <c r="T124" s="1"/>
  <c r="L128"/>
  <c r="U124" s="1"/>
  <c r="J129"/>
  <c r="S125" s="1"/>
  <c r="K129"/>
  <c r="T125" s="1"/>
  <c r="L129"/>
  <c r="U125" s="1"/>
  <c r="J130"/>
  <c r="S126" s="1"/>
  <c r="K130"/>
  <c r="T126" s="1"/>
  <c r="L130"/>
  <c r="U126" s="1"/>
  <c r="J131"/>
  <c r="S127" s="1"/>
  <c r="K131"/>
  <c r="T127" s="1"/>
  <c r="L131"/>
  <c r="U127" s="1"/>
  <c r="J132"/>
  <c r="S128" s="1"/>
  <c r="K132"/>
  <c r="T128" s="1"/>
  <c r="L132"/>
  <c r="U128" s="1"/>
  <c r="J133"/>
  <c r="S129" s="1"/>
  <c r="K133"/>
  <c r="T129" s="1"/>
  <c r="L133"/>
  <c r="U129" s="1"/>
  <c r="K114" i="9"/>
  <c r="J115"/>
  <c r="J114"/>
  <c r="J113"/>
  <c r="J134"/>
  <c r="S130" s="1"/>
  <c r="J135"/>
  <c r="S131" s="1"/>
  <c r="J136"/>
  <c r="J137"/>
  <c r="J138"/>
  <c r="J139"/>
  <c r="J140"/>
  <c r="J141"/>
  <c r="J142"/>
  <c r="J143"/>
  <c r="J144"/>
  <c r="J145"/>
  <c r="J146"/>
  <c r="J147"/>
  <c r="J148"/>
  <c r="J149"/>
  <c r="J150"/>
  <c r="J151"/>
  <c r="J152"/>
  <c r="J153"/>
  <c r="J154"/>
  <c r="J155"/>
  <c r="J156"/>
  <c r="J157"/>
  <c r="J158"/>
  <c r="J159"/>
  <c r="J160"/>
  <c r="J161"/>
  <c r="J162"/>
  <c r="J163"/>
  <c r="J164"/>
  <c r="J165"/>
  <c r="J166"/>
  <c r="J167"/>
  <c r="J168"/>
  <c r="J169"/>
  <c r="J170"/>
  <c r="J171"/>
  <c r="J172"/>
  <c r="A133"/>
  <c r="J133" s="1"/>
  <c r="A132"/>
  <c r="J132" s="1"/>
  <c r="A131"/>
  <c r="J131" s="1"/>
  <c r="A130"/>
  <c r="J130" s="1"/>
  <c r="A129"/>
  <c r="J129" s="1"/>
  <c r="A128"/>
  <c r="J128" s="1"/>
  <c r="A127"/>
  <c r="J127" s="1"/>
  <c r="A126"/>
  <c r="J126" s="1"/>
  <c r="A125"/>
  <c r="J125" s="1"/>
  <c r="A124"/>
  <c r="J124" s="1"/>
  <c r="A123"/>
  <c r="J123" s="1"/>
  <c r="A122"/>
  <c r="J122" s="1"/>
  <c r="A121"/>
  <c r="J121" s="1"/>
  <c r="J120"/>
  <c r="J119"/>
  <c r="J118"/>
  <c r="J117"/>
  <c r="J116"/>
  <c r="Q131"/>
  <c r="R131"/>
  <c r="A112"/>
  <c r="J112" s="1"/>
  <c r="A111"/>
  <c r="A110"/>
  <c r="A109"/>
  <c r="A108"/>
  <c r="A107"/>
  <c r="Q107" s="1"/>
  <c r="A106"/>
  <c r="Q106" s="1"/>
  <c r="A105"/>
  <c r="A104"/>
  <c r="A103"/>
  <c r="A102"/>
  <c r="A101"/>
  <c r="A100"/>
  <c r="A99"/>
  <c r="A98"/>
  <c r="A97"/>
  <c r="A96"/>
  <c r="A95"/>
  <c r="A94"/>
  <c r="A93"/>
  <c r="A92"/>
  <c r="A91"/>
  <c r="A90"/>
  <c r="Q90" s="1"/>
  <c r="A89"/>
  <c r="A88"/>
  <c r="A87"/>
  <c r="A86"/>
  <c r="A85"/>
  <c r="A84"/>
  <c r="A83"/>
  <c r="A82"/>
  <c r="A81"/>
  <c r="Q81" s="1"/>
  <c r="A80"/>
  <c r="A79"/>
  <c r="A78"/>
  <c r="Q78" s="1"/>
  <c r="A77"/>
  <c r="Q77" s="1"/>
  <c r="A76"/>
  <c r="A75"/>
  <c r="A74"/>
  <c r="A73"/>
  <c r="A72"/>
  <c r="Q72" s="1"/>
  <c r="A71"/>
  <c r="Q71" s="1"/>
  <c r="A70"/>
  <c r="A69"/>
  <c r="Q69" s="1"/>
  <c r="A68"/>
  <c r="Q68" s="1"/>
  <c r="A67"/>
  <c r="Q67" s="1"/>
  <c r="A66"/>
  <c r="A65"/>
  <c r="A64"/>
  <c r="Q64" s="1"/>
  <c r="A63"/>
  <c r="Q63" s="1"/>
  <c r="A62"/>
  <c r="A61"/>
  <c r="A60"/>
  <c r="A59"/>
  <c r="Q59" s="1"/>
  <c r="A58"/>
  <c r="Q58" s="1"/>
  <c r="A57"/>
  <c r="A56"/>
  <c r="A55"/>
  <c r="Q55" s="1"/>
  <c r="A54"/>
  <c r="Q54" s="1"/>
  <c r="A53"/>
  <c r="A52"/>
  <c r="Q52" s="1"/>
  <c r="A51"/>
  <c r="Q51" s="1"/>
  <c r="A50"/>
  <c r="Q50" s="1"/>
  <c r="A49"/>
  <c r="A48"/>
  <c r="A47"/>
  <c r="Q47" s="1"/>
  <c r="A46"/>
  <c r="Q46" s="1"/>
  <c r="A45"/>
  <c r="A44"/>
  <c r="A43"/>
  <c r="Q43" s="1"/>
  <c r="A42"/>
  <c r="Q42" s="1"/>
  <c r="A41"/>
  <c r="A40"/>
  <c r="A39"/>
  <c r="Q39" s="1"/>
  <c r="A38"/>
  <c r="Q38" s="1"/>
  <c r="A37"/>
  <c r="A36"/>
  <c r="A35"/>
  <c r="A34"/>
  <c r="A33"/>
  <c r="A32"/>
  <c r="A31"/>
  <c r="A30"/>
  <c r="A29"/>
  <c r="J29" s="1"/>
  <c r="A28"/>
  <c r="A27"/>
  <c r="A26"/>
  <c r="A25"/>
  <c r="A24"/>
  <c r="A23"/>
  <c r="A22"/>
  <c r="A21"/>
  <c r="A20"/>
  <c r="A19"/>
  <c r="A18"/>
  <c r="A17"/>
  <c r="A16"/>
  <c r="A15"/>
  <c r="A14"/>
  <c r="A13"/>
  <c r="A12"/>
  <c r="A11"/>
  <c r="A10"/>
  <c r="A9"/>
  <c r="A8"/>
  <c r="Q8" s="1"/>
  <c r="A7"/>
  <c r="M134"/>
  <c r="M135"/>
  <c r="M136"/>
  <c r="M137"/>
  <c r="M138"/>
  <c r="M139"/>
  <c r="M140"/>
  <c r="M141"/>
  <c r="M142"/>
  <c r="M143"/>
  <c r="M144"/>
  <c r="M145"/>
  <c r="M146"/>
  <c r="M147"/>
  <c r="M148"/>
  <c r="M149"/>
  <c r="M150"/>
  <c r="M151"/>
  <c r="M152"/>
  <c r="M153"/>
  <c r="M154"/>
  <c r="M155"/>
  <c r="M156"/>
  <c r="M157"/>
  <c r="M158"/>
  <c r="M159"/>
  <c r="M160"/>
  <c r="M161"/>
  <c r="M162"/>
  <c r="M163"/>
  <c r="M164"/>
  <c r="M165"/>
  <c r="M166"/>
  <c r="M167"/>
  <c r="M168"/>
  <c r="M169"/>
  <c r="M170"/>
  <c r="M171"/>
  <c r="M172"/>
  <c r="L134"/>
  <c r="L135"/>
  <c r="L136"/>
  <c r="L137"/>
  <c r="L138"/>
  <c r="L139"/>
  <c r="L140"/>
  <c r="L141"/>
  <c r="L142"/>
  <c r="L143"/>
  <c r="L144"/>
  <c r="L145"/>
  <c r="L146"/>
  <c r="L147"/>
  <c r="L148"/>
  <c r="L149"/>
  <c r="L150"/>
  <c r="L151"/>
  <c r="L152"/>
  <c r="L153"/>
  <c r="L154"/>
  <c r="L155"/>
  <c r="L156"/>
  <c r="L157"/>
  <c r="L158"/>
  <c r="L159"/>
  <c r="L160"/>
  <c r="L161"/>
  <c r="L162"/>
  <c r="L163"/>
  <c r="L164"/>
  <c r="L165"/>
  <c r="L166"/>
  <c r="L167"/>
  <c r="L168"/>
  <c r="L169"/>
  <c r="L170"/>
  <c r="L171"/>
  <c r="L172"/>
  <c r="K134"/>
  <c r="K135"/>
  <c r="K136"/>
  <c r="K137"/>
  <c r="K138"/>
  <c r="K139"/>
  <c r="K140"/>
  <c r="K141"/>
  <c r="K142"/>
  <c r="K143"/>
  <c r="K144"/>
  <c r="K145"/>
  <c r="K146"/>
  <c r="K147"/>
  <c r="K148"/>
  <c r="K149"/>
  <c r="K150"/>
  <c r="K151"/>
  <c r="K152"/>
  <c r="K153"/>
  <c r="K154"/>
  <c r="K155"/>
  <c r="K156"/>
  <c r="K157"/>
  <c r="K158"/>
  <c r="K159"/>
  <c r="K160"/>
  <c r="K161"/>
  <c r="K162"/>
  <c r="K163"/>
  <c r="K164"/>
  <c r="K165"/>
  <c r="K166"/>
  <c r="K167"/>
  <c r="K168"/>
  <c r="K169"/>
  <c r="K170"/>
  <c r="K171"/>
  <c r="K172"/>
  <c r="Q130"/>
  <c r="U34" i="14" l="1"/>
  <c r="V33"/>
  <c r="S32"/>
  <c r="T31"/>
  <c r="U38"/>
  <c r="V49"/>
  <c r="S28"/>
  <c r="T15"/>
  <c r="U14"/>
  <c r="V13"/>
  <c r="S8"/>
  <c r="T11"/>
  <c r="U10"/>
  <c r="V9"/>
  <c r="U46"/>
  <c r="S44"/>
  <c r="T27"/>
  <c r="V21"/>
  <c r="S40"/>
  <c r="T39"/>
  <c r="S20"/>
  <c r="V12"/>
  <c r="S7"/>
  <c r="T26"/>
  <c r="U25"/>
  <c r="V16"/>
  <c r="T7"/>
  <c r="U26"/>
  <c r="V25"/>
  <c r="S12"/>
  <c r="S16"/>
  <c r="S52"/>
  <c r="U54"/>
  <c r="V29"/>
  <c r="T34"/>
  <c r="U33"/>
  <c r="V32"/>
  <c r="S31"/>
  <c r="T38"/>
  <c r="U49"/>
  <c r="V28"/>
  <c r="S15"/>
  <c r="T14"/>
  <c r="U13"/>
  <c r="V8"/>
  <c r="S11"/>
  <c r="T10"/>
  <c r="U9"/>
  <c r="T46"/>
  <c r="V44"/>
  <c r="S27"/>
  <c r="U21"/>
  <c r="V40"/>
  <c r="S39"/>
  <c r="V20"/>
  <c r="T52"/>
  <c r="V54"/>
  <c r="S29"/>
  <c r="V7"/>
  <c r="S26"/>
  <c r="T25"/>
  <c r="U12"/>
  <c r="U16"/>
  <c r="V34"/>
  <c r="S33"/>
  <c r="T32"/>
  <c r="U31"/>
  <c r="V38"/>
  <c r="S49"/>
  <c r="T28"/>
  <c r="U15"/>
  <c r="V14"/>
  <c r="S13"/>
  <c r="T8"/>
  <c r="U11"/>
  <c r="V10"/>
  <c r="S9"/>
  <c r="V46"/>
  <c r="T44"/>
  <c r="U27"/>
  <c r="S21"/>
  <c r="T40"/>
  <c r="U39"/>
  <c r="S54"/>
  <c r="T29"/>
  <c r="T20"/>
  <c r="U52"/>
  <c r="V52"/>
  <c r="S34"/>
  <c r="T33"/>
  <c r="U32"/>
  <c r="V31"/>
  <c r="S38"/>
  <c r="T49"/>
  <c r="U28"/>
  <c r="V15"/>
  <c r="S14"/>
  <c r="T13"/>
  <c r="U8"/>
  <c r="V11"/>
  <c r="S10"/>
  <c r="T9"/>
  <c r="U7"/>
  <c r="S46"/>
  <c r="U44"/>
  <c r="V27"/>
  <c r="T21"/>
  <c r="U40"/>
  <c r="V39"/>
  <c r="T54"/>
  <c r="U29"/>
  <c r="V26"/>
  <c r="S25"/>
  <c r="T12"/>
  <c r="T16"/>
  <c r="U20"/>
  <c r="V61"/>
  <c r="U61"/>
  <c r="T61"/>
  <c r="S61"/>
  <c r="V60"/>
  <c r="U60"/>
  <c r="T60"/>
  <c r="S60"/>
  <c r="V45"/>
  <c r="U45"/>
  <c r="T45"/>
  <c r="S45"/>
  <c r="V82"/>
  <c r="U82"/>
  <c r="T82"/>
  <c r="S82"/>
  <c r="V80"/>
  <c r="U80"/>
  <c r="T80"/>
  <c r="S80"/>
  <c r="V73"/>
  <c r="U73"/>
  <c r="T73"/>
  <c r="S73"/>
  <c r="V75"/>
  <c r="U75"/>
  <c r="T75"/>
  <c r="S75"/>
  <c r="V63"/>
  <c r="U63"/>
  <c r="T63"/>
  <c r="S63"/>
  <c r="V79"/>
  <c r="U79"/>
  <c r="T79"/>
  <c r="S79"/>
  <c r="V67"/>
  <c r="U67"/>
  <c r="T67"/>
  <c r="S67"/>
  <c r="V64"/>
  <c r="U64"/>
  <c r="T64"/>
  <c r="S64"/>
  <c r="V83"/>
  <c r="U83"/>
  <c r="T83"/>
  <c r="S83"/>
  <c r="V59"/>
  <c r="U59"/>
  <c r="T59"/>
  <c r="S59"/>
  <c r="V70"/>
  <c r="U70"/>
  <c r="T70"/>
  <c r="S70"/>
  <c r="V51"/>
  <c r="U51"/>
  <c r="T51"/>
  <c r="S51"/>
  <c r="V71"/>
  <c r="U71"/>
  <c r="T71"/>
  <c r="S71"/>
  <c r="V58"/>
  <c r="U58"/>
  <c r="T58"/>
  <c r="S58"/>
  <c r="V81"/>
  <c r="U81"/>
  <c r="T81"/>
  <c r="S81"/>
  <c r="V62"/>
  <c r="U62"/>
  <c r="T62"/>
  <c r="S62"/>
  <c r="V53"/>
  <c r="U53"/>
  <c r="T53"/>
  <c r="S53"/>
  <c r="V86"/>
  <c r="U86"/>
  <c r="T86"/>
  <c r="S86"/>
  <c r="V85"/>
  <c r="U85"/>
  <c r="T85"/>
  <c r="S85"/>
  <c r="V66"/>
  <c r="U66"/>
  <c r="T66"/>
  <c r="S66"/>
  <c r="V65"/>
  <c r="U65"/>
  <c r="T65"/>
  <c r="S65"/>
  <c r="V78"/>
  <c r="U78"/>
  <c r="T78"/>
  <c r="S78"/>
  <c r="V84"/>
  <c r="U84"/>
  <c r="T84"/>
  <c r="S84"/>
  <c r="V55"/>
  <c r="U55"/>
  <c r="T55"/>
  <c r="S55"/>
  <c r="V37"/>
  <c r="U37"/>
  <c r="T37"/>
  <c r="S37"/>
  <c r="V36"/>
  <c r="U36"/>
  <c r="T36"/>
  <c r="S36"/>
  <c r="V74"/>
  <c r="U74"/>
  <c r="T74"/>
  <c r="S74"/>
  <c r="V43"/>
  <c r="U43"/>
  <c r="T43"/>
  <c r="S43"/>
  <c r="V24"/>
  <c r="U24"/>
  <c r="T24"/>
  <c r="S24"/>
  <c r="V23"/>
  <c r="U23"/>
  <c r="T23"/>
  <c r="S23"/>
  <c r="V22"/>
  <c r="U22"/>
  <c r="T22"/>
  <c r="S22"/>
  <c r="V48"/>
  <c r="U48"/>
  <c r="T48"/>
  <c r="S48"/>
  <c r="V47"/>
  <c r="U47"/>
  <c r="T47"/>
  <c r="S47"/>
  <c r="V77"/>
  <c r="U77"/>
  <c r="T77"/>
  <c r="S77"/>
  <c r="V57"/>
  <c r="U57"/>
  <c r="T57"/>
  <c r="S57"/>
  <c r="V56"/>
  <c r="U56"/>
  <c r="T56"/>
  <c r="S56"/>
  <c r="V17"/>
  <c r="U17"/>
  <c r="T17"/>
  <c r="S17"/>
  <c r="V42"/>
  <c r="U42"/>
  <c r="T42"/>
  <c r="S42"/>
  <c r="V41"/>
  <c r="U41"/>
  <c r="T41"/>
  <c r="S41"/>
  <c r="V76"/>
  <c r="U76"/>
  <c r="T76"/>
  <c r="S76"/>
  <c r="V72"/>
  <c r="U72"/>
  <c r="T72"/>
  <c r="S72"/>
  <c r="V69"/>
  <c r="U69"/>
  <c r="T69"/>
  <c r="S69"/>
  <c r="V68"/>
  <c r="U68"/>
  <c r="T68"/>
  <c r="S68"/>
  <c r="R128" i="9"/>
  <c r="Q40"/>
  <c r="Q44"/>
  <c r="Q48"/>
  <c r="Q56"/>
  <c r="Q60"/>
  <c r="Q65"/>
  <c r="Q129"/>
  <c r="Q37"/>
  <c r="Q41"/>
  <c r="Q45"/>
  <c r="Q49"/>
  <c r="Q53"/>
  <c r="Q57"/>
  <c r="R109"/>
  <c r="Q73"/>
  <c r="Q66"/>
  <c r="Q74"/>
  <c r="Q102"/>
  <c r="R129"/>
  <c r="Q128"/>
  <c r="Q70"/>
  <c r="Q62"/>
  <c r="Q101"/>
  <c r="R110"/>
  <c r="R111"/>
  <c r="R87"/>
  <c r="R88"/>
  <c r="R104"/>
  <c r="R105"/>
  <c r="R103"/>
  <c r="R19"/>
  <c r="R20"/>
  <c r="R21"/>
  <c r="R22"/>
  <c r="R91"/>
  <c r="Q79"/>
  <c r="Q80"/>
  <c r="R94"/>
  <c r="R95"/>
  <c r="R97"/>
  <c r="R98"/>
  <c r="R99"/>
  <c r="R13"/>
  <c r="R14"/>
  <c r="R7"/>
  <c r="R30"/>
  <c r="R31"/>
  <c r="R9"/>
  <c r="R11"/>
  <c r="R12"/>
  <c r="R10"/>
  <c r="R61"/>
  <c r="R15"/>
  <c r="R16"/>
  <c r="R32"/>
  <c r="R33"/>
  <c r="R34"/>
  <c r="R17"/>
  <c r="R18"/>
  <c r="R35"/>
  <c r="R36"/>
  <c r="R25"/>
  <c r="R26"/>
  <c r="R27"/>
  <c r="R28"/>
  <c r="R29"/>
  <c r="R23"/>
  <c r="R24"/>
  <c r="R85"/>
  <c r="R86"/>
  <c r="R83"/>
  <c r="R84"/>
  <c r="R92"/>
  <c r="R93"/>
  <c r="R76"/>
  <c r="Q76"/>
  <c r="R75"/>
  <c r="Q75"/>
  <c r="R112"/>
  <c r="Q112"/>
  <c r="Q93"/>
  <c r="Q92"/>
  <c r="Q84"/>
  <c r="Q83"/>
  <c r="Q86"/>
  <c r="Q85"/>
  <c r="Q24"/>
  <c r="Q23"/>
  <c r="Q29"/>
  <c r="Q28"/>
  <c r="Q27"/>
  <c r="Q26"/>
  <c r="Q25"/>
  <c r="Q36"/>
  <c r="Q35"/>
  <c r="Q103"/>
  <c r="Q91"/>
  <c r="Q22"/>
  <c r="Q21"/>
  <c r="Q20"/>
  <c r="Q19"/>
  <c r="Q18"/>
  <c r="Q17"/>
  <c r="Q34"/>
  <c r="Q33"/>
  <c r="Q32"/>
  <c r="Q16"/>
  <c r="Q15"/>
  <c r="Q61"/>
  <c r="Q10"/>
  <c r="Q12"/>
  <c r="Q11"/>
  <c r="Q9"/>
  <c r="Q31"/>
  <c r="Q30"/>
  <c r="Q7"/>
  <c r="Q109"/>
  <c r="Q14"/>
  <c r="Q13"/>
  <c r="Q99"/>
  <c r="Q98"/>
  <c r="Q97"/>
  <c r="Q105"/>
  <c r="Q104"/>
  <c r="Q88"/>
  <c r="Q87"/>
  <c r="Q95"/>
  <c r="Q94"/>
  <c r="Q111"/>
  <c r="Q110"/>
  <c r="S113"/>
  <c r="S114"/>
  <c r="S115"/>
  <c r="S116"/>
  <c r="S117"/>
  <c r="S118"/>
  <c r="S119"/>
  <c r="S120"/>
  <c r="S121"/>
  <c r="S122"/>
  <c r="S123"/>
  <c r="S124"/>
  <c r="S125"/>
  <c r="S126"/>
  <c r="S127"/>
  <c r="S129"/>
  <c r="S128"/>
  <c r="AY246" i="1" l="1"/>
  <c r="AY177"/>
  <c r="AY383"/>
  <c r="AY388"/>
  <c r="AY62"/>
  <c r="AY479"/>
  <c r="AY458"/>
  <c r="AY144"/>
  <c r="AY169"/>
  <c r="AY145"/>
  <c r="AY451"/>
  <c r="AY197"/>
  <c r="AY502"/>
  <c r="AY223"/>
  <c r="AY427"/>
  <c r="AY480"/>
  <c r="AY139"/>
  <c r="AY340"/>
  <c r="AY389"/>
  <c r="AY457"/>
  <c r="AY126"/>
  <c r="AY138"/>
  <c r="AY323"/>
  <c r="AY501"/>
  <c r="AY222"/>
  <c r="AY428"/>
  <c r="AY237"/>
  <c r="AY127"/>
  <c r="AY382"/>
  <c r="AY324"/>
  <c r="AY193"/>
  <c r="AY283"/>
  <c r="AY459"/>
  <c r="AY505"/>
  <c r="AY116"/>
  <c r="AY115"/>
  <c r="AY519"/>
  <c r="AY464"/>
  <c r="AY358"/>
  <c r="AY357"/>
  <c r="AY95"/>
  <c r="AY176"/>
  <c r="AY167"/>
  <c r="AY319"/>
  <c r="AY454"/>
  <c r="AY381"/>
  <c r="AY425"/>
  <c r="AY268"/>
  <c r="AY234"/>
  <c r="AY267"/>
  <c r="AY405"/>
  <c r="AY104"/>
  <c r="AY404"/>
  <c r="AY301"/>
  <c r="AY284"/>
  <c r="AY224"/>
  <c r="AY194"/>
  <c r="AY314"/>
  <c r="AY313"/>
  <c r="AY329"/>
  <c r="AY38"/>
  <c r="AY368"/>
  <c r="AY198"/>
  <c r="AY215"/>
  <c r="AY320"/>
  <c r="AY326"/>
  <c r="AY495"/>
  <c r="AY426"/>
  <c r="AY90"/>
  <c r="AY363"/>
  <c r="AY485"/>
  <c r="AY395"/>
  <c r="AY85"/>
  <c r="AY351"/>
  <c r="AY80"/>
  <c r="AY253"/>
  <c r="AY359"/>
  <c r="AY360"/>
  <c r="AY334"/>
  <c r="AY335"/>
  <c r="AY211"/>
  <c r="AY295"/>
  <c r="AY296"/>
  <c r="AY302"/>
  <c r="AY391"/>
  <c r="AY285"/>
  <c r="AY478"/>
  <c r="AY477"/>
  <c r="AY272"/>
  <c r="AY101"/>
  <c r="AY174"/>
  <c r="AY366"/>
  <c r="AY179"/>
  <c r="AY321"/>
  <c r="AY327"/>
  <c r="AY496"/>
  <c r="AY499"/>
  <c r="AY364"/>
  <c r="AY217"/>
  <c r="AY128"/>
  <c r="AY450"/>
  <c r="AY79"/>
  <c r="AY132"/>
  <c r="AY142"/>
  <c r="AY63"/>
  <c r="AY418"/>
  <c r="AY300"/>
  <c r="AY299"/>
  <c r="AY498"/>
  <c r="AY397"/>
  <c r="AY396"/>
  <c r="AY282"/>
  <c r="AY460"/>
  <c r="AY506"/>
  <c r="AY350"/>
  <c r="AY175"/>
  <c r="AY367"/>
  <c r="AY453"/>
  <c r="AY380"/>
  <c r="AY497"/>
  <c r="AY212"/>
  <c r="AY141"/>
  <c r="AY187"/>
  <c r="AY352"/>
  <c r="AY81"/>
  <c r="AY254"/>
  <c r="AY192"/>
  <c r="AY345"/>
  <c r="AY346"/>
  <c r="AY291"/>
  <c r="AY292"/>
  <c r="AY290"/>
  <c r="AY153"/>
  <c r="AY333"/>
  <c r="AY130"/>
  <c r="AY129"/>
  <c r="AY330"/>
  <c r="AY378"/>
  <c r="AY339"/>
  <c r="AY431"/>
  <c r="AY256"/>
  <c r="AY430"/>
  <c r="AY399"/>
  <c r="AY387"/>
  <c r="AY385"/>
  <c r="AY429"/>
  <c r="AY420"/>
  <c r="AY119"/>
  <c r="AY384"/>
  <c r="AY421"/>
  <c r="AY419"/>
  <c r="AY375"/>
  <c r="AY398"/>
  <c r="AY432"/>
  <c r="AY257"/>
  <c r="AY247"/>
  <c r="AY400"/>
  <c r="AY456"/>
  <c r="AY343"/>
  <c r="AY377"/>
  <c r="AY446"/>
  <c r="AY338"/>
  <c r="AY249"/>
  <c r="AY422"/>
  <c r="AY386"/>
  <c r="AY78"/>
  <c r="AY376"/>
  <c r="AY248"/>
  <c r="AY344"/>
  <c r="AY118"/>
  <c r="AY392"/>
  <c r="AY407"/>
  <c r="AY170"/>
  <c r="AY98"/>
  <c r="AY461"/>
  <c r="AY32"/>
  <c r="AY31"/>
  <c r="AY30"/>
  <c r="AY189"/>
  <c r="AY114"/>
  <c r="AY89"/>
  <c r="AY48"/>
  <c r="AY47"/>
  <c r="AY287"/>
  <c r="AY303"/>
  <c r="AY409"/>
  <c r="AY298"/>
  <c r="AY408"/>
  <c r="AY297"/>
  <c r="AY306"/>
  <c r="AY37"/>
  <c r="AY225"/>
  <c r="AY137"/>
  <c r="AY444"/>
  <c r="AY307"/>
  <c r="AY13"/>
  <c r="AY226"/>
  <c r="AY131"/>
  <c r="AY484"/>
  <c r="AY445"/>
  <c r="AY178"/>
  <c r="AY325"/>
  <c r="AY489"/>
  <c r="AY503"/>
  <c r="AY86"/>
  <c r="AY289"/>
  <c r="AY288"/>
  <c r="AY511"/>
  <c r="AY171"/>
  <c r="AY262"/>
  <c r="AY196"/>
  <c r="AY20"/>
  <c r="AY403"/>
  <c r="AY402"/>
  <c r="AY401"/>
  <c r="AY490"/>
  <c r="AY410"/>
  <c r="AY440"/>
  <c r="AY439"/>
  <c r="AY36"/>
  <c r="AY238"/>
  <c r="AY136"/>
  <c r="AY46"/>
  <c r="AY6"/>
  <c r="AY186"/>
  <c r="AY65"/>
  <c r="AY121"/>
  <c r="AY9"/>
  <c r="AY99"/>
  <c r="AY203"/>
  <c r="AY269"/>
  <c r="AY278"/>
  <c r="AY208"/>
  <c r="AY150"/>
  <c r="AY474"/>
  <c r="AY147"/>
  <c r="AY204"/>
  <c r="AY149"/>
  <c r="AY277"/>
  <c r="AY106"/>
  <c r="AY438"/>
  <c r="AY76"/>
  <c r="AY102"/>
  <c r="AY216"/>
  <c r="AY310"/>
  <c r="AY261"/>
  <c r="AY59"/>
  <c r="AY510"/>
  <c r="AY347"/>
  <c r="AY50"/>
  <c r="AY52"/>
  <c r="AY43"/>
  <c r="AY4"/>
  <c r="AY487"/>
  <c r="AY210"/>
  <c r="AY362"/>
  <c r="AY455"/>
  <c r="AY390"/>
  <c r="AY92"/>
  <c r="AY213"/>
  <c r="AY41"/>
  <c r="AY67"/>
  <c r="AY305"/>
  <c r="AY286"/>
  <c r="AY164"/>
  <c r="AY120"/>
  <c r="AY317"/>
  <c r="AY72"/>
  <c r="AY156"/>
  <c r="AY236"/>
  <c r="AY163"/>
  <c r="AY242"/>
  <c r="AY190"/>
  <c r="AY227"/>
  <c r="AY206"/>
  <c r="AY181"/>
  <c r="AY258"/>
  <c r="AY228"/>
  <c r="AY191"/>
  <c r="AY103"/>
  <c r="AY243"/>
  <c r="AY68"/>
  <c r="AY35"/>
  <c r="AY200"/>
  <c r="AY161"/>
  <c r="AY42"/>
  <c r="AY157"/>
  <c r="AY232"/>
  <c r="AY515"/>
  <c r="AY214"/>
  <c r="AY166"/>
  <c r="AY266"/>
  <c r="AY24"/>
  <c r="AY91"/>
  <c r="AY124"/>
  <c r="AY309"/>
  <c r="AY173"/>
  <c r="AY143"/>
  <c r="AY250"/>
  <c r="AY100"/>
  <c r="AY180"/>
  <c r="AY488"/>
  <c r="AY23"/>
  <c r="AY195"/>
  <c r="AY7"/>
  <c r="AY205"/>
  <c r="AY239"/>
  <c r="AY220"/>
  <c r="AY53"/>
  <c r="AY279"/>
  <c r="AY51"/>
  <c r="AY151"/>
  <c r="AY348"/>
  <c r="AY64"/>
  <c r="AY109"/>
  <c r="AY165"/>
  <c r="AY60"/>
  <c r="AY10"/>
  <c r="AY273"/>
  <c r="AY2"/>
  <c r="AY361"/>
  <c r="AY3"/>
  <c r="AY25"/>
  <c r="AY274"/>
  <c r="AY71"/>
  <c r="AY55"/>
  <c r="AY11"/>
  <c r="AY336"/>
  <c r="AY107"/>
  <c r="AY134"/>
  <c r="AY110"/>
  <c r="AY233"/>
  <c r="AY84"/>
  <c r="AY158"/>
  <c r="AY294"/>
  <c r="AY230"/>
  <c r="AY61"/>
  <c r="AY18"/>
  <c r="AY14"/>
  <c r="AY201"/>
  <c r="AY280"/>
  <c r="AY270"/>
  <c r="AY54"/>
  <c r="AY94"/>
  <c r="AY221"/>
  <c r="AY244"/>
  <c r="AY240"/>
  <c r="AY44"/>
  <c r="AY341"/>
  <c r="AY218"/>
  <c r="AY8"/>
  <c r="AY328"/>
  <c r="AY29"/>
  <c r="AY276"/>
  <c r="AY56"/>
  <c r="AY159"/>
  <c r="AY28"/>
  <c r="AY251"/>
  <c r="AY263"/>
  <c r="AY265"/>
  <c r="AY15"/>
  <c r="AY308"/>
  <c r="AY123"/>
  <c r="AY509"/>
  <c r="AY379"/>
  <c r="AY148"/>
  <c r="AY207"/>
  <c r="AY183"/>
  <c r="AY318"/>
  <c r="AY105"/>
  <c r="AY12"/>
  <c r="AY337"/>
  <c r="AY108"/>
  <c r="AY185"/>
  <c r="AY135"/>
  <c r="AY260"/>
  <c r="AY508"/>
  <c r="AY437"/>
  <c r="AY113"/>
  <c r="AY82"/>
  <c r="AY231"/>
  <c r="AY40"/>
  <c r="AY19"/>
  <c r="AY235"/>
  <c r="AY49"/>
  <c r="AY75"/>
  <c r="AY168"/>
  <c r="AY162"/>
  <c r="AY188"/>
  <c r="AY66"/>
  <c r="AY245"/>
  <c r="AY241"/>
  <c r="AY45"/>
  <c r="AY342"/>
  <c r="AY219"/>
  <c r="AY17"/>
  <c r="AY140"/>
  <c r="AY112"/>
  <c r="AY473"/>
  <c r="AY26"/>
  <c r="AY133"/>
  <c r="AY182"/>
  <c r="AY252"/>
  <c r="AY264"/>
  <c r="AY27"/>
  <c r="AY16"/>
  <c r="AY93"/>
  <c r="AY111"/>
  <c r="AY332"/>
  <c r="AY125"/>
  <c r="AY160"/>
  <c r="AY353"/>
  <c r="AY354"/>
  <c r="AY69"/>
  <c r="AY70"/>
  <c r="AY373"/>
  <c r="AY374"/>
  <c r="AY315"/>
  <c r="AY316"/>
  <c r="AY393"/>
  <c r="AY394"/>
  <c r="AY331"/>
  <c r="AY417"/>
  <c r="AY452"/>
  <c r="AY372"/>
  <c r="AY447"/>
  <c r="AY369"/>
  <c r="AY406"/>
  <c r="AY5"/>
  <c r="AY512"/>
  <c r="AY441"/>
  <c r="AY442"/>
  <c r="AY443"/>
  <c r="AY423"/>
  <c r="AY424"/>
  <c r="AY507"/>
  <c r="AY516"/>
  <c r="AY486"/>
  <c r="AY184"/>
  <c r="AY209"/>
  <c r="AY411"/>
  <c r="AY412"/>
  <c r="AY146"/>
  <c r="AY465"/>
  <c r="AY466"/>
  <c r="AY435"/>
  <c r="AY436"/>
  <c r="AY493"/>
  <c r="AY494"/>
  <c r="AY518"/>
  <c r="AY21"/>
  <c r="AY22"/>
  <c r="AY304"/>
  <c r="AY172"/>
  <c r="AY349"/>
  <c r="AY202"/>
  <c r="AY475"/>
  <c r="AY476"/>
  <c r="AY322"/>
  <c r="AY122"/>
  <c r="AY255"/>
  <c r="AY500"/>
  <c r="AY281"/>
  <c r="AY514"/>
  <c r="AY448"/>
  <c r="AY449"/>
  <c r="AY513"/>
  <c r="AY39"/>
  <c r="AY481"/>
  <c r="AY482"/>
  <c r="AY483"/>
  <c r="AY33"/>
  <c r="AY34"/>
  <c r="AY87"/>
  <c r="AY88"/>
  <c r="AY371"/>
  <c r="AY370"/>
  <c r="AY433"/>
  <c r="AY434"/>
  <c r="AY355"/>
  <c r="AY356"/>
  <c r="AY275"/>
  <c r="AY293"/>
  <c r="AY415"/>
  <c r="AY416"/>
  <c r="AY462"/>
  <c r="AY463"/>
  <c r="AY413"/>
  <c r="AY414"/>
  <c r="AY83"/>
  <c r="AY365"/>
  <c r="AY117"/>
  <c r="AY74"/>
  <c r="AY73"/>
  <c r="AY271"/>
  <c r="AY57"/>
  <c r="AY58"/>
  <c r="AY517"/>
  <c r="AY312"/>
  <c r="AY311"/>
  <c r="AY471"/>
  <c r="AY472"/>
  <c r="AY504"/>
  <c r="AY259"/>
  <c r="AY96"/>
  <c r="AY97"/>
  <c r="AY491"/>
  <c r="AY492"/>
  <c r="AY154"/>
  <c r="AY155"/>
  <c r="AY152"/>
  <c r="AY199"/>
  <c r="AY77"/>
  <c r="AY229"/>
  <c r="AY470"/>
  <c r="AY468"/>
  <c r="AY469"/>
  <c r="AY467"/>
  <c r="V158" i="9"/>
  <c r="U158"/>
  <c r="T158"/>
  <c r="S158"/>
  <c r="P158"/>
  <c r="V157"/>
  <c r="U157"/>
  <c r="T157"/>
  <c r="S157"/>
  <c r="P157"/>
  <c r="P156"/>
  <c r="P155"/>
  <c r="P154"/>
  <c r="P153"/>
  <c r="P152"/>
  <c r="P151"/>
  <c r="P150"/>
  <c r="P149"/>
  <c r="P148"/>
  <c r="P147"/>
  <c r="P146"/>
  <c r="P145"/>
  <c r="P144"/>
  <c r="P143"/>
  <c r="P142"/>
  <c r="P141"/>
  <c r="P140"/>
  <c r="P139"/>
  <c r="P138"/>
  <c r="P137"/>
  <c r="P136"/>
  <c r="P135"/>
  <c r="P134"/>
  <c r="P133"/>
  <c r="P132"/>
  <c r="R78"/>
  <c r="M116" l="1"/>
  <c r="L116"/>
  <c r="K116"/>
  <c r="M117"/>
  <c r="L117"/>
  <c r="K117"/>
  <c r="M118"/>
  <c r="L118"/>
  <c r="K118"/>
  <c r="Q113"/>
  <c r="R113"/>
  <c r="M119"/>
  <c r="L119"/>
  <c r="K119"/>
  <c r="T113" s="1"/>
  <c r="Q114"/>
  <c r="R114"/>
  <c r="M120"/>
  <c r="L120"/>
  <c r="K120"/>
  <c r="Q115"/>
  <c r="R115"/>
  <c r="M121"/>
  <c r="L121"/>
  <c r="K121"/>
  <c r="Q116"/>
  <c r="R116"/>
  <c r="M122"/>
  <c r="L122"/>
  <c r="K122"/>
  <c r="Q117"/>
  <c r="R117"/>
  <c r="M123"/>
  <c r="L123"/>
  <c r="K123"/>
  <c r="Q118"/>
  <c r="R118"/>
  <c r="M124"/>
  <c r="L124"/>
  <c r="K124"/>
  <c r="Q119"/>
  <c r="R119"/>
  <c r="M125"/>
  <c r="L125"/>
  <c r="K125"/>
  <c r="Q120"/>
  <c r="R120"/>
  <c r="M126"/>
  <c r="L126"/>
  <c r="K126"/>
  <c r="Q121"/>
  <c r="R121"/>
  <c r="M127"/>
  <c r="L127"/>
  <c r="K127"/>
  <c r="Q122"/>
  <c r="R122"/>
  <c r="M128"/>
  <c r="L128"/>
  <c r="K128"/>
  <c r="Q123"/>
  <c r="R123"/>
  <c r="M129"/>
  <c r="L129"/>
  <c r="K129"/>
  <c r="Q124"/>
  <c r="R124"/>
  <c r="M130"/>
  <c r="L130"/>
  <c r="K130"/>
  <c r="Q125"/>
  <c r="R125"/>
  <c r="M131"/>
  <c r="L131"/>
  <c r="K131"/>
  <c r="Q126"/>
  <c r="R126"/>
  <c r="M132"/>
  <c r="L132"/>
  <c r="K132"/>
  <c r="Q127"/>
  <c r="R127"/>
  <c r="M133"/>
  <c r="L133"/>
  <c r="K133"/>
  <c r="R89"/>
  <c r="Q89"/>
  <c r="R82"/>
  <c r="Q82"/>
  <c r="R108"/>
  <c r="Q108"/>
  <c r="R100"/>
  <c r="Q100"/>
  <c r="R96"/>
  <c r="Q96"/>
  <c r="R69"/>
  <c r="R67"/>
  <c r="R65"/>
  <c r="R63"/>
  <c r="R62"/>
  <c r="R107"/>
  <c r="R106"/>
  <c r="R102"/>
  <c r="R81"/>
  <c r="R80"/>
  <c r="R77"/>
  <c r="R74"/>
  <c r="R59"/>
  <c r="R58"/>
  <c r="R57"/>
  <c r="R56"/>
  <c r="R55"/>
  <c r="R53"/>
  <c r="R52"/>
  <c r="R49"/>
  <c r="R48"/>
  <c r="R47"/>
  <c r="R44"/>
  <c r="R43"/>
  <c r="R42"/>
  <c r="R39"/>
  <c r="R38"/>
  <c r="R158"/>
  <c r="Q158"/>
  <c r="R157"/>
  <c r="Q157"/>
  <c r="R156"/>
  <c r="Q156"/>
  <c r="R155"/>
  <c r="Q155"/>
  <c r="R154"/>
  <c r="Q154"/>
  <c r="R153"/>
  <c r="Q153"/>
  <c r="R152"/>
  <c r="Q152"/>
  <c r="R151"/>
  <c r="Q151"/>
  <c r="R150"/>
  <c r="Q150"/>
  <c r="R149"/>
  <c r="Q149"/>
  <c r="R148"/>
  <c r="Q148"/>
  <c r="R147"/>
  <c r="Q147"/>
  <c r="R146"/>
  <c r="Q146"/>
  <c r="R145"/>
  <c r="Q145"/>
  <c r="R144"/>
  <c r="Q144"/>
  <c r="R143"/>
  <c r="Q143"/>
  <c r="R142"/>
  <c r="Q142"/>
  <c r="R141"/>
  <c r="Q141"/>
  <c r="R140"/>
  <c r="Q140"/>
  <c r="R139"/>
  <c r="Q139"/>
  <c r="R138"/>
  <c r="Q138"/>
  <c r="R137"/>
  <c r="Q137"/>
  <c r="R136"/>
  <c r="Q136"/>
  <c r="R135"/>
  <c r="Q135"/>
  <c r="R134"/>
  <c r="Q134"/>
  <c r="R133"/>
  <c r="Q133"/>
  <c r="R132"/>
  <c r="Q132"/>
  <c r="R66"/>
  <c r="R72"/>
  <c r="R71"/>
  <c r="R79"/>
  <c r="R40"/>
  <c r="R90"/>
  <c r="R54"/>
  <c r="R130"/>
  <c r="R70"/>
  <c r="R73"/>
  <c r="R68"/>
  <c r="R64"/>
  <c r="R101"/>
  <c r="R8"/>
  <c r="R37"/>
  <c r="R60"/>
  <c r="R41"/>
  <c r="R50"/>
  <c r="R46"/>
  <c r="R45"/>
  <c r="R51"/>
  <c r="J7"/>
  <c r="S112" s="1"/>
  <c r="K7"/>
  <c r="L7"/>
  <c r="M7"/>
  <c r="J8"/>
  <c r="K8"/>
  <c r="L8"/>
  <c r="M8"/>
  <c r="J9"/>
  <c r="K9"/>
  <c r="L9"/>
  <c r="M9"/>
  <c r="J10"/>
  <c r="K10"/>
  <c r="L10"/>
  <c r="M10"/>
  <c r="J11"/>
  <c r="K11"/>
  <c r="L11"/>
  <c r="M11"/>
  <c r="J12"/>
  <c r="K12"/>
  <c r="L12"/>
  <c r="M12"/>
  <c r="J13"/>
  <c r="K13"/>
  <c r="L13"/>
  <c r="M13"/>
  <c r="J14"/>
  <c r="K14"/>
  <c r="L14"/>
  <c r="M14"/>
  <c r="J15"/>
  <c r="K15"/>
  <c r="L15"/>
  <c r="M15"/>
  <c r="J16"/>
  <c r="K16"/>
  <c r="L16"/>
  <c r="M16"/>
  <c r="J17"/>
  <c r="K17"/>
  <c r="L17"/>
  <c r="M17"/>
  <c r="J18"/>
  <c r="K18"/>
  <c r="L18"/>
  <c r="M18"/>
  <c r="J19"/>
  <c r="K19"/>
  <c r="L19"/>
  <c r="M19"/>
  <c r="J20"/>
  <c r="K20"/>
  <c r="L20"/>
  <c r="M20"/>
  <c r="J21"/>
  <c r="K21"/>
  <c r="L21"/>
  <c r="M21"/>
  <c r="J22"/>
  <c r="K22"/>
  <c r="L22"/>
  <c r="M22"/>
  <c r="J23"/>
  <c r="K23"/>
  <c r="L23"/>
  <c r="M23"/>
  <c r="J24"/>
  <c r="K24"/>
  <c r="L24"/>
  <c r="M24"/>
  <c r="J25"/>
  <c r="K25"/>
  <c r="L25"/>
  <c r="M25"/>
  <c r="J26"/>
  <c r="K26"/>
  <c r="L26"/>
  <c r="M26"/>
  <c r="J27"/>
  <c r="K27"/>
  <c r="L27"/>
  <c r="M27"/>
  <c r="J28"/>
  <c r="K28"/>
  <c r="L28"/>
  <c r="M28"/>
  <c r="K29"/>
  <c r="L29"/>
  <c r="M29"/>
  <c r="J30"/>
  <c r="K30"/>
  <c r="L30"/>
  <c r="M30"/>
  <c r="J31"/>
  <c r="K31"/>
  <c r="L31"/>
  <c r="M31"/>
  <c r="J32"/>
  <c r="K32"/>
  <c r="L32"/>
  <c r="M32"/>
  <c r="J33"/>
  <c r="K33"/>
  <c r="L33"/>
  <c r="M33"/>
  <c r="J34"/>
  <c r="K34"/>
  <c r="L34"/>
  <c r="M34"/>
  <c r="J35"/>
  <c r="K35"/>
  <c r="L35"/>
  <c r="M35"/>
  <c r="J36"/>
  <c r="K36"/>
  <c r="L36"/>
  <c r="M36"/>
  <c r="J37"/>
  <c r="K37"/>
  <c r="L37"/>
  <c r="M37"/>
  <c r="J38"/>
  <c r="K38"/>
  <c r="L38"/>
  <c r="M38"/>
  <c r="J39"/>
  <c r="K39"/>
  <c r="L39"/>
  <c r="M39"/>
  <c r="J40"/>
  <c r="K40"/>
  <c r="L40"/>
  <c r="M40"/>
  <c r="J41"/>
  <c r="K41"/>
  <c r="L41"/>
  <c r="M41"/>
  <c r="J42"/>
  <c r="K42"/>
  <c r="L42"/>
  <c r="M42"/>
  <c r="J43"/>
  <c r="K43"/>
  <c r="L43"/>
  <c r="M43"/>
  <c r="J44"/>
  <c r="K44"/>
  <c r="L44"/>
  <c r="M44"/>
  <c r="J45"/>
  <c r="K45"/>
  <c r="L45"/>
  <c r="M45"/>
  <c r="J46"/>
  <c r="K46"/>
  <c r="L46"/>
  <c r="M46"/>
  <c r="J47"/>
  <c r="K47"/>
  <c r="L47"/>
  <c r="M47"/>
  <c r="J48"/>
  <c r="K48"/>
  <c r="L48"/>
  <c r="M48"/>
  <c r="J49"/>
  <c r="K49"/>
  <c r="L49"/>
  <c r="M49"/>
  <c r="J50"/>
  <c r="K50"/>
  <c r="L50"/>
  <c r="M50"/>
  <c r="J51"/>
  <c r="K51"/>
  <c r="L51"/>
  <c r="M51"/>
  <c r="J52"/>
  <c r="K52"/>
  <c r="L52"/>
  <c r="M52"/>
  <c r="J53"/>
  <c r="K53"/>
  <c r="L53"/>
  <c r="M53"/>
  <c r="J54"/>
  <c r="K54"/>
  <c r="L54"/>
  <c r="M54"/>
  <c r="J55"/>
  <c r="K55"/>
  <c r="L55"/>
  <c r="M55"/>
  <c r="J56"/>
  <c r="K56"/>
  <c r="L56"/>
  <c r="M56"/>
  <c r="J57"/>
  <c r="K57"/>
  <c r="L57"/>
  <c r="M57"/>
  <c r="J58"/>
  <c r="K58"/>
  <c r="L58"/>
  <c r="M58"/>
  <c r="J59"/>
  <c r="K59"/>
  <c r="L59"/>
  <c r="M59"/>
  <c r="J60"/>
  <c r="K60"/>
  <c r="L60"/>
  <c r="M60"/>
  <c r="J61"/>
  <c r="K61"/>
  <c r="L61"/>
  <c r="M61"/>
  <c r="J62"/>
  <c r="K62"/>
  <c r="L62"/>
  <c r="M62"/>
  <c r="J63"/>
  <c r="K63"/>
  <c r="L63"/>
  <c r="M63"/>
  <c r="J64"/>
  <c r="K64"/>
  <c r="L64"/>
  <c r="M64"/>
  <c r="J65"/>
  <c r="K65"/>
  <c r="L65"/>
  <c r="M65"/>
  <c r="J66"/>
  <c r="K66"/>
  <c r="L66"/>
  <c r="M66"/>
  <c r="J67"/>
  <c r="K67"/>
  <c r="L67"/>
  <c r="M67"/>
  <c r="J68"/>
  <c r="K68"/>
  <c r="L68"/>
  <c r="M68"/>
  <c r="J69"/>
  <c r="K69"/>
  <c r="L69"/>
  <c r="M69"/>
  <c r="J70"/>
  <c r="K70"/>
  <c r="L70"/>
  <c r="M70"/>
  <c r="J71"/>
  <c r="K71"/>
  <c r="L71"/>
  <c r="M71"/>
  <c r="J72"/>
  <c r="K72"/>
  <c r="L72"/>
  <c r="M72"/>
  <c r="J73"/>
  <c r="K73"/>
  <c r="L73"/>
  <c r="M73"/>
  <c r="J74"/>
  <c r="K74"/>
  <c r="L74"/>
  <c r="M74"/>
  <c r="J75"/>
  <c r="S30" s="1"/>
  <c r="K75"/>
  <c r="T30" s="1"/>
  <c r="L75"/>
  <c r="U30" s="1"/>
  <c r="M75"/>
  <c r="V30" s="1"/>
  <c r="J76"/>
  <c r="K76"/>
  <c r="L76"/>
  <c r="M76"/>
  <c r="J77"/>
  <c r="K77"/>
  <c r="L77"/>
  <c r="M77"/>
  <c r="J78"/>
  <c r="K78"/>
  <c r="L78"/>
  <c r="M78"/>
  <c r="J79"/>
  <c r="K79"/>
  <c r="L79"/>
  <c r="M79"/>
  <c r="J80"/>
  <c r="K80"/>
  <c r="L80"/>
  <c r="M80"/>
  <c r="J81"/>
  <c r="K81"/>
  <c r="L81"/>
  <c r="M81"/>
  <c r="J82"/>
  <c r="K82"/>
  <c r="L82"/>
  <c r="M82"/>
  <c r="J83"/>
  <c r="K83"/>
  <c r="L83"/>
  <c r="M83"/>
  <c r="J84"/>
  <c r="S32" s="1"/>
  <c r="K84"/>
  <c r="T32" s="1"/>
  <c r="L84"/>
  <c r="U32" s="1"/>
  <c r="M84"/>
  <c r="V32" s="1"/>
  <c r="J85"/>
  <c r="S33" s="1"/>
  <c r="K85"/>
  <c r="T33" s="1"/>
  <c r="L85"/>
  <c r="U33" s="1"/>
  <c r="M85"/>
  <c r="V33" s="1"/>
  <c r="J86"/>
  <c r="S34" s="1"/>
  <c r="K86"/>
  <c r="T34" s="1"/>
  <c r="L86"/>
  <c r="M86"/>
  <c r="V34" s="1"/>
  <c r="J87"/>
  <c r="K87"/>
  <c r="L87"/>
  <c r="M87"/>
  <c r="J88"/>
  <c r="K88"/>
  <c r="L88"/>
  <c r="M88"/>
  <c r="J89"/>
  <c r="K89"/>
  <c r="L89"/>
  <c r="M89"/>
  <c r="J90"/>
  <c r="K90"/>
  <c r="L90"/>
  <c r="M90"/>
  <c r="J91"/>
  <c r="K91"/>
  <c r="L91"/>
  <c r="M91"/>
  <c r="J92"/>
  <c r="K92"/>
  <c r="L92"/>
  <c r="M92"/>
  <c r="J93"/>
  <c r="K93"/>
  <c r="L93"/>
  <c r="M93"/>
  <c r="J94"/>
  <c r="K94"/>
  <c r="L94"/>
  <c r="M94"/>
  <c r="J95"/>
  <c r="S35" s="1"/>
  <c r="K95"/>
  <c r="T35" s="1"/>
  <c r="L95"/>
  <c r="U35" s="1"/>
  <c r="M95"/>
  <c r="J96"/>
  <c r="S36" s="1"/>
  <c r="K96"/>
  <c r="T36" s="1"/>
  <c r="L96"/>
  <c r="U36" s="1"/>
  <c r="M96"/>
  <c r="V36" s="1"/>
  <c r="J97"/>
  <c r="K97"/>
  <c r="L97"/>
  <c r="M97"/>
  <c r="J98"/>
  <c r="K98"/>
  <c r="L98"/>
  <c r="M98"/>
  <c r="J99"/>
  <c r="K99"/>
  <c r="L99"/>
  <c r="M99"/>
  <c r="J100"/>
  <c r="K100"/>
  <c r="L100"/>
  <c r="M100"/>
  <c r="J101"/>
  <c r="K101"/>
  <c r="L101"/>
  <c r="U29" s="1"/>
  <c r="M101"/>
  <c r="V29" s="1"/>
  <c r="J102"/>
  <c r="K102"/>
  <c r="L102"/>
  <c r="M102"/>
  <c r="J103"/>
  <c r="K103"/>
  <c r="L103"/>
  <c r="M103"/>
  <c r="J104"/>
  <c r="K104"/>
  <c r="T85" s="1"/>
  <c r="L104"/>
  <c r="U85" s="1"/>
  <c r="M104"/>
  <c r="J105"/>
  <c r="S86" s="1"/>
  <c r="K105"/>
  <c r="T86" s="1"/>
  <c r="L105"/>
  <c r="U86" s="1"/>
  <c r="M105"/>
  <c r="V86" s="1"/>
  <c r="J106"/>
  <c r="S83" s="1"/>
  <c r="K106"/>
  <c r="L106"/>
  <c r="U83" s="1"/>
  <c r="M106"/>
  <c r="V83" s="1"/>
  <c r="J107"/>
  <c r="S84" s="1"/>
  <c r="K107"/>
  <c r="T84" s="1"/>
  <c r="L107"/>
  <c r="M107"/>
  <c r="V84" s="1"/>
  <c r="J108"/>
  <c r="S92" s="1"/>
  <c r="K108"/>
  <c r="T92" s="1"/>
  <c r="L108"/>
  <c r="U92" s="1"/>
  <c r="M108"/>
  <c r="V92" s="1"/>
  <c r="J109"/>
  <c r="S93" s="1"/>
  <c r="K109"/>
  <c r="T93" s="1"/>
  <c r="L109"/>
  <c r="U93" s="1"/>
  <c r="M109"/>
  <c r="V93" s="1"/>
  <c r="J110"/>
  <c r="K110"/>
  <c r="L110"/>
  <c r="M110"/>
  <c r="J111"/>
  <c r="K111"/>
  <c r="L111"/>
  <c r="M111"/>
  <c r="K112"/>
  <c r="L112"/>
  <c r="M112"/>
  <c r="K113"/>
  <c r="L113"/>
  <c r="M113"/>
  <c r="L114"/>
  <c r="M114"/>
  <c r="K115"/>
  <c r="L115"/>
  <c r="M115"/>
  <c r="S132"/>
  <c r="T132"/>
  <c r="U132"/>
  <c r="V132"/>
  <c r="S133"/>
  <c r="T133"/>
  <c r="U133"/>
  <c r="V133"/>
  <c r="S134"/>
  <c r="T134"/>
  <c r="U134"/>
  <c r="V134"/>
  <c r="S135"/>
  <c r="T135"/>
  <c r="U135"/>
  <c r="V135"/>
  <c r="S136"/>
  <c r="T136"/>
  <c r="U136"/>
  <c r="V136"/>
  <c r="S137"/>
  <c r="T137"/>
  <c r="U137"/>
  <c r="V137"/>
  <c r="S138"/>
  <c r="T138"/>
  <c r="U138"/>
  <c r="V138"/>
  <c r="S139"/>
  <c r="T139"/>
  <c r="U139"/>
  <c r="V139"/>
  <c r="S140"/>
  <c r="T140"/>
  <c r="U140"/>
  <c r="V140"/>
  <c r="S141"/>
  <c r="T141"/>
  <c r="U141"/>
  <c r="V141"/>
  <c r="S142"/>
  <c r="T142"/>
  <c r="U142"/>
  <c r="V142"/>
  <c r="S143"/>
  <c r="T143"/>
  <c r="U143"/>
  <c r="V143"/>
  <c r="S144"/>
  <c r="T144"/>
  <c r="U144"/>
  <c r="V144"/>
  <c r="S145"/>
  <c r="T145"/>
  <c r="U145"/>
  <c r="V145"/>
  <c r="S146"/>
  <c r="T146"/>
  <c r="U146"/>
  <c r="V146"/>
  <c r="S147"/>
  <c r="T147"/>
  <c r="U147"/>
  <c r="V147"/>
  <c r="S148"/>
  <c r="T148"/>
  <c r="U148"/>
  <c r="V148"/>
  <c r="S149"/>
  <c r="T149"/>
  <c r="U149"/>
  <c r="V149"/>
  <c r="S150"/>
  <c r="T150"/>
  <c r="U150"/>
  <c r="V150"/>
  <c r="S151"/>
  <c r="T151"/>
  <c r="U151"/>
  <c r="V151"/>
  <c r="S152"/>
  <c r="T152"/>
  <c r="U152"/>
  <c r="V152"/>
  <c r="S153"/>
  <c r="T153"/>
  <c r="U153"/>
  <c r="V153"/>
  <c r="S154"/>
  <c r="T154"/>
  <c r="U154"/>
  <c r="V154"/>
  <c r="S155"/>
  <c r="T155"/>
  <c r="U155"/>
  <c r="V155"/>
  <c r="S156"/>
  <c r="T156"/>
  <c r="U156"/>
  <c r="V156"/>
  <c r="V35" l="1"/>
  <c r="U84"/>
  <c r="V85"/>
  <c r="T83"/>
  <c r="S85"/>
  <c r="S108"/>
  <c r="V113"/>
  <c r="U34"/>
  <c r="V23"/>
  <c r="V26"/>
  <c r="V7"/>
  <c r="V13"/>
  <c r="V28"/>
  <c r="V25"/>
  <c r="T125"/>
  <c r="V123"/>
  <c r="U122"/>
  <c r="T121"/>
  <c r="V119"/>
  <c r="U118"/>
  <c r="T117"/>
  <c r="V24"/>
  <c r="V27"/>
  <c r="U125"/>
  <c r="T124"/>
  <c r="V122"/>
  <c r="U121"/>
  <c r="T120"/>
  <c r="V118"/>
  <c r="U117"/>
  <c r="U24"/>
  <c r="U23"/>
  <c r="U28"/>
  <c r="U27"/>
  <c r="U26"/>
  <c r="U25"/>
  <c r="U7"/>
  <c r="U13"/>
  <c r="T26"/>
  <c r="T28"/>
  <c r="T13"/>
  <c r="U113"/>
  <c r="S28"/>
  <c r="S27"/>
  <c r="S26"/>
  <c r="S25"/>
  <c r="S7"/>
  <c r="S13"/>
  <c r="V125"/>
  <c r="U124"/>
  <c r="T123"/>
  <c r="V121"/>
  <c r="U120"/>
  <c r="T119"/>
  <c r="V117"/>
  <c r="U116"/>
  <c r="T115"/>
  <c r="T27"/>
  <c r="T25"/>
  <c r="T7"/>
  <c r="V124"/>
  <c r="U123"/>
  <c r="T122"/>
  <c r="V120"/>
  <c r="U119"/>
  <c r="T118"/>
  <c r="V116"/>
  <c r="U115"/>
  <c r="T114"/>
  <c r="V16"/>
  <c r="U16"/>
  <c r="T16"/>
  <c r="S16"/>
  <c r="V11"/>
  <c r="U11"/>
  <c r="T11"/>
  <c r="S11"/>
  <c r="V95"/>
  <c r="U95"/>
  <c r="T95"/>
  <c r="S95"/>
  <c r="V94"/>
  <c r="U94"/>
  <c r="T94"/>
  <c r="S94"/>
  <c r="S111"/>
  <c r="V91"/>
  <c r="U91"/>
  <c r="T91"/>
  <c r="S91"/>
  <c r="V22"/>
  <c r="U22"/>
  <c r="T22"/>
  <c r="S22"/>
  <c r="V21"/>
  <c r="U21"/>
  <c r="T21"/>
  <c r="S21"/>
  <c r="V20"/>
  <c r="U20"/>
  <c r="T20"/>
  <c r="S20"/>
  <c r="V87"/>
  <c r="U87"/>
  <c r="T87"/>
  <c r="S87"/>
  <c r="V111"/>
  <c r="U111"/>
  <c r="T111"/>
  <c r="V110"/>
  <c r="U110"/>
  <c r="T110"/>
  <c r="S110"/>
  <c r="V109"/>
  <c r="U109"/>
  <c r="T109"/>
  <c r="S109"/>
  <c r="T82"/>
  <c r="S82"/>
  <c r="V115"/>
  <c r="U114"/>
  <c r="T116"/>
  <c r="V114"/>
  <c r="U82"/>
  <c r="V82"/>
  <c r="V108"/>
  <c r="V112"/>
  <c r="U108"/>
  <c r="U112"/>
  <c r="T108"/>
  <c r="T112"/>
  <c r="V100"/>
  <c r="V75"/>
  <c r="U100"/>
  <c r="U75"/>
  <c r="T100"/>
  <c r="T75"/>
  <c r="S100"/>
  <c r="S75"/>
  <c r="V96"/>
  <c r="V76"/>
  <c r="U96"/>
  <c r="U76"/>
  <c r="T96"/>
  <c r="T76"/>
  <c r="S96"/>
  <c r="S76"/>
  <c r="T66"/>
  <c r="T24"/>
  <c r="S66"/>
  <c r="S24"/>
  <c r="T72"/>
  <c r="T23"/>
  <c r="S72"/>
  <c r="S23"/>
  <c r="T71"/>
  <c r="T29"/>
  <c r="S71"/>
  <c r="S29"/>
  <c r="V79"/>
  <c r="V103"/>
  <c r="U79"/>
  <c r="U103"/>
  <c r="T79"/>
  <c r="T103"/>
  <c r="S79"/>
  <c r="S103"/>
  <c r="V40"/>
  <c r="V19"/>
  <c r="U40"/>
  <c r="U19"/>
  <c r="T40"/>
  <c r="T19"/>
  <c r="S40"/>
  <c r="S19"/>
  <c r="V90"/>
  <c r="V18"/>
  <c r="U90"/>
  <c r="U18"/>
  <c r="T90"/>
  <c r="T18"/>
  <c r="S90"/>
  <c r="S18"/>
  <c r="V54"/>
  <c r="V17"/>
  <c r="U54"/>
  <c r="U17"/>
  <c r="T54"/>
  <c r="T17"/>
  <c r="S54"/>
  <c r="S17"/>
  <c r="V70"/>
  <c r="V15"/>
  <c r="U70"/>
  <c r="U15"/>
  <c r="T70"/>
  <c r="T15"/>
  <c r="S70"/>
  <c r="S15"/>
  <c r="V73"/>
  <c r="V61"/>
  <c r="U73"/>
  <c r="U61"/>
  <c r="T73"/>
  <c r="T61"/>
  <c r="S73"/>
  <c r="S61"/>
  <c r="V68"/>
  <c r="V10"/>
  <c r="U68"/>
  <c r="U10"/>
  <c r="T68"/>
  <c r="T10"/>
  <c r="S68"/>
  <c r="S10"/>
  <c r="V64"/>
  <c r="V12"/>
  <c r="U64"/>
  <c r="U12"/>
  <c r="T64"/>
  <c r="T12"/>
  <c r="S64"/>
  <c r="S12"/>
  <c r="V101"/>
  <c r="V9"/>
  <c r="U101"/>
  <c r="U9"/>
  <c r="T101"/>
  <c r="T9"/>
  <c r="S101"/>
  <c r="S9"/>
  <c r="V8"/>
  <c r="V31"/>
  <c r="U8"/>
  <c r="U31"/>
  <c r="T8"/>
  <c r="T31"/>
  <c r="S8"/>
  <c r="S31"/>
  <c r="V37"/>
  <c r="V14"/>
  <c r="U37"/>
  <c r="U14"/>
  <c r="T37"/>
  <c r="T14"/>
  <c r="S37"/>
  <c r="S14"/>
  <c r="V60"/>
  <c r="V99"/>
  <c r="U60"/>
  <c r="U99"/>
  <c r="T60"/>
  <c r="T99"/>
  <c r="S60"/>
  <c r="S99"/>
  <c r="V41"/>
  <c r="V98"/>
  <c r="U41"/>
  <c r="U98"/>
  <c r="T41"/>
  <c r="T98"/>
  <c r="S41"/>
  <c r="S98"/>
  <c r="V50"/>
  <c r="V97"/>
  <c r="U50"/>
  <c r="U97"/>
  <c r="T50"/>
  <c r="T97"/>
  <c r="S50"/>
  <c r="S97"/>
  <c r="V46"/>
  <c r="V105"/>
  <c r="U46"/>
  <c r="U105"/>
  <c r="T46"/>
  <c r="T105"/>
  <c r="S46"/>
  <c r="S105"/>
  <c r="V45"/>
  <c r="V104"/>
  <c r="U45"/>
  <c r="U104"/>
  <c r="T45"/>
  <c r="T104"/>
  <c r="S45"/>
  <c r="S104"/>
  <c r="V51"/>
  <c r="V88"/>
  <c r="U51"/>
  <c r="U88"/>
  <c r="T51"/>
  <c r="T88"/>
  <c r="S51"/>
  <c r="S88"/>
  <c r="T127"/>
  <c r="T129"/>
  <c r="U127"/>
  <c r="U129"/>
  <c r="V127"/>
  <c r="V129"/>
  <c r="T126"/>
  <c r="T128"/>
  <c r="U126"/>
  <c r="U128"/>
  <c r="V126"/>
  <c r="V128"/>
  <c r="V89"/>
  <c r="V131"/>
  <c r="U89"/>
  <c r="U131"/>
  <c r="T89"/>
  <c r="T131"/>
  <c r="S89"/>
  <c r="V78"/>
  <c r="U78"/>
  <c r="T78"/>
  <c r="S78"/>
  <c r="V72"/>
  <c r="U72"/>
  <c r="V71"/>
  <c r="U71"/>
  <c r="V69"/>
  <c r="U69"/>
  <c r="T69"/>
  <c r="S69"/>
  <c r="V67"/>
  <c r="U67"/>
  <c r="T67"/>
  <c r="S67"/>
  <c r="V66"/>
  <c r="U66"/>
  <c r="V65"/>
  <c r="U65"/>
  <c r="T65"/>
  <c r="S65"/>
  <c r="V63"/>
  <c r="U63"/>
  <c r="T63"/>
  <c r="S63"/>
  <c r="V62"/>
  <c r="U62"/>
  <c r="T62"/>
  <c r="S62"/>
  <c r="V130"/>
  <c r="U130"/>
  <c r="T130"/>
  <c r="V107"/>
  <c r="U107"/>
  <c r="T107"/>
  <c r="S107"/>
  <c r="V106"/>
  <c r="U106"/>
  <c r="T106"/>
  <c r="S106"/>
  <c r="V102"/>
  <c r="U102"/>
  <c r="T102"/>
  <c r="S102"/>
  <c r="V81"/>
  <c r="U81"/>
  <c r="T81"/>
  <c r="S81"/>
  <c r="V80"/>
  <c r="U80"/>
  <c r="T80"/>
  <c r="S80"/>
  <c r="V77"/>
  <c r="U77"/>
  <c r="T77"/>
  <c r="S77"/>
  <c r="V74"/>
  <c r="U74"/>
  <c r="T74"/>
  <c r="S74"/>
  <c r="V59"/>
  <c r="U59"/>
  <c r="T59"/>
  <c r="S59"/>
  <c r="V58"/>
  <c r="U58"/>
  <c r="T58"/>
  <c r="S58"/>
  <c r="V57"/>
  <c r="U57"/>
  <c r="T57"/>
  <c r="S57"/>
  <c r="V56"/>
  <c r="U56"/>
  <c r="T56"/>
  <c r="S56"/>
  <c r="V55"/>
  <c r="U55"/>
  <c r="T55"/>
  <c r="S55"/>
  <c r="V53"/>
  <c r="U53"/>
  <c r="T53"/>
  <c r="S53"/>
  <c r="V52"/>
  <c r="U52"/>
  <c r="T52"/>
  <c r="S52"/>
  <c r="V49"/>
  <c r="U49"/>
  <c r="T49"/>
  <c r="S49"/>
  <c r="V48"/>
  <c r="U48"/>
  <c r="T48"/>
  <c r="S48"/>
  <c r="V47"/>
  <c r="U47"/>
  <c r="T47"/>
  <c r="S47"/>
  <c r="V44"/>
  <c r="U44"/>
  <c r="T44"/>
  <c r="S44"/>
  <c r="V43"/>
  <c r="U43"/>
  <c r="T43"/>
  <c r="S43"/>
  <c r="V42"/>
  <c r="U42"/>
  <c r="T42"/>
  <c r="S42"/>
  <c r="V39"/>
  <c r="U39"/>
  <c r="T39"/>
  <c r="S39"/>
  <c r="V38"/>
  <c r="U38"/>
  <c r="T38"/>
  <c r="S38"/>
  <c r="AX127" i="1" l="1"/>
  <c r="AN127" s="1"/>
  <c r="AX169"/>
  <c r="AN169" s="1"/>
  <c r="AX145"/>
  <c r="AN145" s="1"/>
  <c r="AX451"/>
  <c r="AN451" s="1"/>
  <c r="AX197"/>
  <c r="AN197" s="1"/>
  <c r="AX479"/>
  <c r="AN479" s="1"/>
  <c r="AX457"/>
  <c r="AN457" s="1"/>
  <c r="AX126"/>
  <c r="AN126" s="1"/>
  <c r="AX138"/>
  <c r="AN138" s="1"/>
  <c r="AX323"/>
  <c r="AN323" s="1"/>
  <c r="AX501"/>
  <c r="AN501" s="1"/>
  <c r="AX62"/>
  <c r="AN62" s="1"/>
  <c r="AX222"/>
  <c r="AN222" s="1"/>
  <c r="AX427"/>
  <c r="AN427" s="1"/>
  <c r="AX389"/>
  <c r="AN389" s="1"/>
  <c r="AX246"/>
  <c r="AN246" s="1"/>
  <c r="AX458"/>
  <c r="AN458" s="1"/>
  <c r="AX382"/>
  <c r="AN382" s="1"/>
  <c r="AX139"/>
  <c r="AN139" s="1"/>
  <c r="AX324"/>
  <c r="AN324" s="1"/>
  <c r="AX428"/>
  <c r="AN428" s="1"/>
  <c r="AX237"/>
  <c r="AN237" s="1"/>
  <c r="AX177"/>
  <c r="AN177" s="1"/>
  <c r="AX383"/>
  <c r="AN383" s="1"/>
  <c r="AX388"/>
  <c r="AN388" s="1"/>
  <c r="AX502"/>
  <c r="AN502" s="1"/>
  <c r="AX144"/>
  <c r="AN144" s="1"/>
  <c r="AX223"/>
  <c r="AN223" s="1"/>
  <c r="AX340"/>
  <c r="AN340" s="1"/>
  <c r="AX480"/>
  <c r="AN480" s="1"/>
  <c r="AX193"/>
  <c r="AN193" s="1"/>
  <c r="AX360"/>
  <c r="AN360" s="1"/>
  <c r="AX295"/>
  <c r="AN295" s="1"/>
  <c r="AV295" s="1"/>
  <c r="AX283"/>
  <c r="AN283" s="1"/>
  <c r="AX391"/>
  <c r="AN391" s="1"/>
  <c r="AX284"/>
  <c r="AN284" s="1"/>
  <c r="AX314"/>
  <c r="AN314" s="1"/>
  <c r="AX478"/>
  <c r="AN478" s="1"/>
  <c r="AX506"/>
  <c r="AN506" s="1"/>
  <c r="AX115"/>
  <c r="AN115" s="1"/>
  <c r="AX357"/>
  <c r="AN357" s="1"/>
  <c r="AX350"/>
  <c r="AN350" s="1"/>
  <c r="AX175"/>
  <c r="AN175" s="1"/>
  <c r="AX367"/>
  <c r="AN367" s="1"/>
  <c r="AX320"/>
  <c r="AN320" s="1"/>
  <c r="AX381"/>
  <c r="AN381" s="1"/>
  <c r="AX425"/>
  <c r="AN425" s="1"/>
  <c r="AX212"/>
  <c r="AN212" s="1"/>
  <c r="AX141"/>
  <c r="AN141" s="1"/>
  <c r="AX79"/>
  <c r="AN79" s="1"/>
  <c r="AX418"/>
  <c r="AN418" s="1"/>
  <c r="AX397"/>
  <c r="AN397" s="1"/>
  <c r="AX187"/>
  <c r="AN187" s="1"/>
  <c r="AX81"/>
  <c r="AN81" s="1"/>
  <c r="AX192"/>
  <c r="AN192" s="1"/>
  <c r="AX404"/>
  <c r="AN404" s="1"/>
  <c r="AX334"/>
  <c r="AN334" s="1"/>
  <c r="AX296"/>
  <c r="AN296" s="1"/>
  <c r="AX301"/>
  <c r="AN301" s="1"/>
  <c r="AX459"/>
  <c r="AN459" s="1"/>
  <c r="AX285"/>
  <c r="AN285" s="1"/>
  <c r="AX313"/>
  <c r="AN313" s="1"/>
  <c r="AX477"/>
  <c r="AN477" s="1"/>
  <c r="AX519"/>
  <c r="AN519" s="1"/>
  <c r="AX95"/>
  <c r="AN95" s="1"/>
  <c r="AX176"/>
  <c r="AN176" s="1"/>
  <c r="AX167"/>
  <c r="AN167" s="1"/>
  <c r="AX321"/>
  <c r="AN321" s="1"/>
  <c r="AX326"/>
  <c r="AN326" s="1"/>
  <c r="AX495"/>
  <c r="AN495" s="1"/>
  <c r="AX426"/>
  <c r="AN426" s="1"/>
  <c r="AX268"/>
  <c r="AN268" s="1"/>
  <c r="AX234"/>
  <c r="AN234" s="1"/>
  <c r="AX267"/>
  <c r="AN267" s="1"/>
  <c r="AX217"/>
  <c r="AN217" s="1"/>
  <c r="AX132"/>
  <c r="AN132" s="1"/>
  <c r="AX300"/>
  <c r="AN300" s="1"/>
  <c r="AX396"/>
  <c r="AN396" s="1"/>
  <c r="AX85"/>
  <c r="AN85" s="1"/>
  <c r="AX335"/>
  <c r="AN335" s="1"/>
  <c r="AX302"/>
  <c r="AN302" s="1"/>
  <c r="AX224"/>
  <c r="AN224" s="1"/>
  <c r="AX329"/>
  <c r="AN329" s="1"/>
  <c r="AX272"/>
  <c r="AN272" s="1"/>
  <c r="AX505"/>
  <c r="AN505" s="1"/>
  <c r="AX464"/>
  <c r="AN464" s="1"/>
  <c r="AX38"/>
  <c r="AN38" s="1"/>
  <c r="AX368"/>
  <c r="AN368" s="1"/>
  <c r="AX198"/>
  <c r="AN198" s="1"/>
  <c r="AX215"/>
  <c r="AN215" s="1"/>
  <c r="AX453"/>
  <c r="AN453" s="1"/>
  <c r="AX327"/>
  <c r="AN327" s="1"/>
  <c r="AX496"/>
  <c r="AN496" s="1"/>
  <c r="AX90"/>
  <c r="AN90" s="1"/>
  <c r="AX363"/>
  <c r="AN363" s="1"/>
  <c r="AX485"/>
  <c r="AN485" s="1"/>
  <c r="AX128"/>
  <c r="AN128" s="1"/>
  <c r="AV128" s="1"/>
  <c r="AX142"/>
  <c r="AN142" s="1"/>
  <c r="AX299"/>
  <c r="AN299" s="1"/>
  <c r="AX352"/>
  <c r="AN352" s="1"/>
  <c r="AX254"/>
  <c r="AN254" s="1"/>
  <c r="AX405"/>
  <c r="AN405" s="1"/>
  <c r="AX359"/>
  <c r="AN359" s="1"/>
  <c r="AX211"/>
  <c r="AN211" s="1"/>
  <c r="AX282"/>
  <c r="AN282" s="1"/>
  <c r="AX460"/>
  <c r="AN460" s="1"/>
  <c r="AX194"/>
  <c r="AN194" s="1"/>
  <c r="AX116"/>
  <c r="AN116" s="1"/>
  <c r="AX358"/>
  <c r="AN358" s="1"/>
  <c r="AX101"/>
  <c r="AN101" s="1"/>
  <c r="AX174"/>
  <c r="AN174" s="1"/>
  <c r="AV174" s="1"/>
  <c r="AX366"/>
  <c r="AN366" s="1"/>
  <c r="AX179"/>
  <c r="AN179" s="1"/>
  <c r="AX319"/>
  <c r="AN319" s="1"/>
  <c r="AX454"/>
  <c r="AN454" s="1"/>
  <c r="AX380"/>
  <c r="AN380" s="1"/>
  <c r="AX497"/>
  <c r="AN497" s="1"/>
  <c r="AX499"/>
  <c r="AN499" s="1"/>
  <c r="AX364"/>
  <c r="AN364" s="1"/>
  <c r="AX450"/>
  <c r="AN450" s="1"/>
  <c r="AX63"/>
  <c r="AN63" s="1"/>
  <c r="AX498"/>
  <c r="AN498" s="1"/>
  <c r="AX395"/>
  <c r="AN395" s="1"/>
  <c r="AX351"/>
  <c r="AN351" s="1"/>
  <c r="AX253"/>
  <c r="AN253" s="1"/>
  <c r="AX104"/>
  <c r="AN104" s="1"/>
  <c r="AX80"/>
  <c r="AN80" s="1"/>
  <c r="AX345"/>
  <c r="AN345" s="1"/>
  <c r="AX346"/>
  <c r="AX291"/>
  <c r="AN291" s="1"/>
  <c r="AX292"/>
  <c r="AX290"/>
  <c r="AX130"/>
  <c r="AN130" s="1"/>
  <c r="AX330"/>
  <c r="AN330" s="1"/>
  <c r="AX129"/>
  <c r="AN129" s="1"/>
  <c r="AX333"/>
  <c r="AN333" s="1"/>
  <c r="AX456"/>
  <c r="AN456" s="1"/>
  <c r="AX343"/>
  <c r="AN343" s="1"/>
  <c r="AX377"/>
  <c r="AN377" s="1"/>
  <c r="AX446"/>
  <c r="AN446" s="1"/>
  <c r="AX338"/>
  <c r="AN338" s="1"/>
  <c r="AX385"/>
  <c r="AN385" s="1"/>
  <c r="AX249"/>
  <c r="AN249" s="1"/>
  <c r="AX422"/>
  <c r="AN422" s="1"/>
  <c r="AX429"/>
  <c r="AN429" s="1"/>
  <c r="AX420"/>
  <c r="AN420" s="1"/>
  <c r="AX386"/>
  <c r="AN386" s="1"/>
  <c r="AX248"/>
  <c r="AN248" s="1"/>
  <c r="AX421"/>
  <c r="AN421" s="1"/>
  <c r="AX344"/>
  <c r="AN344" s="1"/>
  <c r="AX375"/>
  <c r="AN375" s="1"/>
  <c r="AX398"/>
  <c r="AN398" s="1"/>
  <c r="AX432"/>
  <c r="AN432" s="1"/>
  <c r="AX257"/>
  <c r="AN257" s="1"/>
  <c r="AX400"/>
  <c r="AN400" s="1"/>
  <c r="AX378"/>
  <c r="AN378" s="1"/>
  <c r="AX339"/>
  <c r="AN339" s="1"/>
  <c r="AX431"/>
  <c r="AN431" s="1"/>
  <c r="AX256"/>
  <c r="AN256" s="1"/>
  <c r="AX430"/>
  <c r="AN430" s="1"/>
  <c r="AX399"/>
  <c r="AN399" s="1"/>
  <c r="AX387"/>
  <c r="AN387" s="1"/>
  <c r="AX78"/>
  <c r="AN78" s="1"/>
  <c r="AX119"/>
  <c r="AN119" s="1"/>
  <c r="AX376"/>
  <c r="AN376" s="1"/>
  <c r="AX384"/>
  <c r="AN384" s="1"/>
  <c r="AX419"/>
  <c r="AN419" s="1"/>
  <c r="AX118"/>
  <c r="AN118" s="1"/>
  <c r="AX247"/>
  <c r="AN247" s="1"/>
  <c r="AX297"/>
  <c r="AN297" s="1"/>
  <c r="AX31"/>
  <c r="AN31" s="1"/>
  <c r="AX89"/>
  <c r="AN89" s="1"/>
  <c r="AX303"/>
  <c r="AN303" s="1"/>
  <c r="AX407"/>
  <c r="AN407" s="1"/>
  <c r="AX98"/>
  <c r="AN98" s="1"/>
  <c r="AX30"/>
  <c r="AN30" s="1"/>
  <c r="AX48"/>
  <c r="AN48" s="1"/>
  <c r="AX408"/>
  <c r="AN408" s="1"/>
  <c r="AX298"/>
  <c r="AN298" s="1"/>
  <c r="AX461"/>
  <c r="AN461" s="1"/>
  <c r="AX189"/>
  <c r="AN189" s="1"/>
  <c r="AX47"/>
  <c r="AN47" s="1"/>
  <c r="AX392"/>
  <c r="AN392" s="1"/>
  <c r="AX409"/>
  <c r="AN409" s="1"/>
  <c r="AX32"/>
  <c r="AN32" s="1"/>
  <c r="AX114"/>
  <c r="AN114" s="1"/>
  <c r="AX287"/>
  <c r="AN287" s="1"/>
  <c r="AX170"/>
  <c r="AN170" s="1"/>
  <c r="AX489"/>
  <c r="AN489" s="1"/>
  <c r="AX288"/>
  <c r="AN288" s="1"/>
  <c r="AX401"/>
  <c r="AN401" s="1"/>
  <c r="AX440"/>
  <c r="AN440" s="1"/>
  <c r="AX13"/>
  <c r="AN13" s="1"/>
  <c r="AX36"/>
  <c r="AN36" s="1"/>
  <c r="AX226"/>
  <c r="AN226" s="1"/>
  <c r="AX238"/>
  <c r="AN238" s="1"/>
  <c r="AX131"/>
  <c r="AN131" s="1"/>
  <c r="AX86"/>
  <c r="AN86" s="1"/>
  <c r="AX484"/>
  <c r="AN484" s="1"/>
  <c r="AX136"/>
  <c r="AN136" s="1"/>
  <c r="AX445"/>
  <c r="AN445" s="1"/>
  <c r="AX46"/>
  <c r="AN46" s="1"/>
  <c r="AX289"/>
  <c r="AN289" s="1"/>
  <c r="AX490"/>
  <c r="AN490" s="1"/>
  <c r="AX307"/>
  <c r="AN307" s="1"/>
  <c r="AX410"/>
  <c r="AN410" s="1"/>
  <c r="AX503"/>
  <c r="AN503" s="1"/>
  <c r="AX439"/>
  <c r="AN439" s="1"/>
  <c r="AX171"/>
  <c r="AN171" s="1"/>
  <c r="AX37"/>
  <c r="AN37" s="1"/>
  <c r="AX262"/>
  <c r="AN262" s="1"/>
  <c r="AX225"/>
  <c r="AN225" s="1"/>
  <c r="AX196"/>
  <c r="AN196" s="1"/>
  <c r="AX178"/>
  <c r="AN178" s="1"/>
  <c r="AX403"/>
  <c r="AN403" s="1"/>
  <c r="AX137"/>
  <c r="AN137" s="1"/>
  <c r="AX20"/>
  <c r="AN20" s="1"/>
  <c r="AX444"/>
  <c r="AN444" s="1"/>
  <c r="AX325"/>
  <c r="AN325" s="1"/>
  <c r="AX402"/>
  <c r="AN402" s="1"/>
  <c r="AX511"/>
  <c r="AN511" s="1"/>
  <c r="AX306"/>
  <c r="AN306" s="1"/>
  <c r="AX390"/>
  <c r="AN390" s="1"/>
  <c r="AX203"/>
  <c r="AN203" s="1"/>
  <c r="AX121"/>
  <c r="AN121" s="1"/>
  <c r="AX269"/>
  <c r="AN269" s="1"/>
  <c r="AX164"/>
  <c r="AN164" s="1"/>
  <c r="AX181"/>
  <c r="AN181" s="1"/>
  <c r="AX277"/>
  <c r="AN277" s="1"/>
  <c r="AX455"/>
  <c r="AN455" s="1"/>
  <c r="AX258"/>
  <c r="AN258" s="1"/>
  <c r="AX362"/>
  <c r="AN362" s="1"/>
  <c r="AX361"/>
  <c r="AN361" s="1"/>
  <c r="AX379"/>
  <c r="AN379" s="1"/>
  <c r="AX332"/>
  <c r="AN332" s="1"/>
  <c r="AX331"/>
  <c r="AN331" s="1"/>
  <c r="AX394"/>
  <c r="AN394" s="1"/>
  <c r="AX393"/>
  <c r="AN393" s="1"/>
  <c r="AX316"/>
  <c r="AN316" s="1"/>
  <c r="AX315"/>
  <c r="AN315" s="1"/>
  <c r="AX374"/>
  <c r="AN374" s="1"/>
  <c r="AX373"/>
  <c r="AN373" s="1"/>
  <c r="AX70"/>
  <c r="AN70" s="1"/>
  <c r="AX69"/>
  <c r="AN69" s="1"/>
  <c r="AX354"/>
  <c r="AN354" s="1"/>
  <c r="AX353"/>
  <c r="AN353" s="1"/>
  <c r="AX412"/>
  <c r="AN412" s="1"/>
  <c r="AX411"/>
  <c r="AN411" s="1"/>
  <c r="AX209"/>
  <c r="AN209" s="1"/>
  <c r="AX184"/>
  <c r="AN184" s="1"/>
  <c r="AX486"/>
  <c r="AN486" s="1"/>
  <c r="AX516"/>
  <c r="AN516" s="1"/>
  <c r="AX507"/>
  <c r="AN507" s="1"/>
  <c r="AX424"/>
  <c r="AN424" s="1"/>
  <c r="AX423"/>
  <c r="AN423" s="1"/>
  <c r="AX443"/>
  <c r="AN443" s="1"/>
  <c r="AX442"/>
  <c r="AN442" s="1"/>
  <c r="AX441"/>
  <c r="AN441" s="1"/>
  <c r="AX512"/>
  <c r="AN512" s="1"/>
  <c r="AX5"/>
  <c r="AN5" s="1"/>
  <c r="AX406"/>
  <c r="AN406" s="1"/>
  <c r="AX369"/>
  <c r="AN369" s="1"/>
  <c r="AX447"/>
  <c r="AN447" s="1"/>
  <c r="AX372"/>
  <c r="AN372" s="1"/>
  <c r="AX452"/>
  <c r="AN452" s="1"/>
  <c r="AX417"/>
  <c r="AN417" s="1"/>
  <c r="AX416"/>
  <c r="AN416" s="1"/>
  <c r="AX415"/>
  <c r="AN415" s="1"/>
  <c r="AX293"/>
  <c r="AN293" s="1"/>
  <c r="AX275"/>
  <c r="AN275" s="1"/>
  <c r="AX356"/>
  <c r="AN356" s="1"/>
  <c r="AX355"/>
  <c r="AN355" s="1"/>
  <c r="AX434"/>
  <c r="AN434" s="1"/>
  <c r="AX433"/>
  <c r="AN433" s="1"/>
  <c r="AX370"/>
  <c r="AN370" s="1"/>
  <c r="AX371"/>
  <c r="AN371" s="1"/>
  <c r="AX88"/>
  <c r="AN88" s="1"/>
  <c r="AX87"/>
  <c r="AN87" s="1"/>
  <c r="AX34"/>
  <c r="AN34" s="1"/>
  <c r="AX33"/>
  <c r="AN33" s="1"/>
  <c r="AX483"/>
  <c r="AN483" s="1"/>
  <c r="AX482"/>
  <c r="AN482" s="1"/>
  <c r="AX481"/>
  <c r="AN481" s="1"/>
  <c r="AX39"/>
  <c r="AN39" s="1"/>
  <c r="AX513"/>
  <c r="AN513" s="1"/>
  <c r="AX449"/>
  <c r="AN449" s="1"/>
  <c r="AX448"/>
  <c r="AN448" s="1"/>
  <c r="AX514"/>
  <c r="AN514" s="1"/>
  <c r="AX281"/>
  <c r="AN281" s="1"/>
  <c r="AP281" s="1"/>
  <c r="AX500"/>
  <c r="AN500" s="1"/>
  <c r="AX255"/>
  <c r="AN255" s="1"/>
  <c r="AX122"/>
  <c r="AN122" s="1"/>
  <c r="AX322"/>
  <c r="AN322" s="1"/>
  <c r="AX476"/>
  <c r="AN476" s="1"/>
  <c r="AX475"/>
  <c r="AN475" s="1"/>
  <c r="AX202"/>
  <c r="AN202" s="1"/>
  <c r="AX349"/>
  <c r="AN349" s="1"/>
  <c r="AX172"/>
  <c r="AN172" s="1"/>
  <c r="AX304"/>
  <c r="AN304" s="1"/>
  <c r="AX22"/>
  <c r="AN22" s="1"/>
  <c r="AX21"/>
  <c r="AN21" s="1"/>
  <c r="AX518"/>
  <c r="AN518" s="1"/>
  <c r="AX494"/>
  <c r="AN494" s="1"/>
  <c r="AX493"/>
  <c r="AN493" s="1"/>
  <c r="AX436"/>
  <c r="AN436" s="1"/>
  <c r="AX435"/>
  <c r="AN435" s="1"/>
  <c r="AX466"/>
  <c r="AN466" s="1"/>
  <c r="AX465"/>
  <c r="AN465" s="1"/>
  <c r="AX146"/>
  <c r="AN146" s="1"/>
  <c r="AX462"/>
  <c r="AN462" s="1"/>
  <c r="AX463"/>
  <c r="AN463" s="1"/>
  <c r="AX413"/>
  <c r="AN413" s="1"/>
  <c r="AX414"/>
  <c r="AN414" s="1"/>
  <c r="AX83"/>
  <c r="AN83" s="1"/>
  <c r="AX365"/>
  <c r="AN365" s="1"/>
  <c r="AX117"/>
  <c r="AN117" s="1"/>
  <c r="AX74"/>
  <c r="AN74" s="1"/>
  <c r="AX73"/>
  <c r="AN73" s="1"/>
  <c r="AX271"/>
  <c r="AN271" s="1"/>
  <c r="AX58"/>
  <c r="AN58" s="1"/>
  <c r="AX57"/>
  <c r="AN57" s="1"/>
  <c r="AX312"/>
  <c r="AX517"/>
  <c r="AN517" s="1"/>
  <c r="AX311"/>
  <c r="AX472"/>
  <c r="AN472" s="1"/>
  <c r="AX471"/>
  <c r="AN471" s="1"/>
  <c r="AX504"/>
  <c r="AN504" s="1"/>
  <c r="AX259"/>
  <c r="AN259" s="1"/>
  <c r="AX97"/>
  <c r="AN97" s="1"/>
  <c r="AX96"/>
  <c r="AN96" s="1"/>
  <c r="AX492"/>
  <c r="AN492" s="1"/>
  <c r="AX491"/>
  <c r="AN491" s="1"/>
  <c r="AX155"/>
  <c r="AN155" s="1"/>
  <c r="AX154"/>
  <c r="AN154" s="1"/>
  <c r="AX152"/>
  <c r="AN152" s="1"/>
  <c r="AX199"/>
  <c r="AN199" s="1"/>
  <c r="AX77"/>
  <c r="AN77" s="1"/>
  <c r="AX229"/>
  <c r="AN229" s="1"/>
  <c r="AX470"/>
  <c r="AN470" s="1"/>
  <c r="AX467"/>
  <c r="AN467" s="1"/>
  <c r="AX469"/>
  <c r="AN469" s="1"/>
  <c r="AX468"/>
  <c r="AN468" s="1"/>
  <c r="AX160"/>
  <c r="AN160" s="1"/>
  <c r="AX509"/>
  <c r="AN509" s="1"/>
  <c r="AX65"/>
  <c r="AN65" s="1"/>
  <c r="AX125"/>
  <c r="AN125" s="1"/>
  <c r="AX124"/>
  <c r="AN124" s="1"/>
  <c r="AX123"/>
  <c r="AN123" s="1"/>
  <c r="AX286"/>
  <c r="AN286" s="1"/>
  <c r="AX310"/>
  <c r="AN310" s="1"/>
  <c r="AX309"/>
  <c r="AN309" s="1"/>
  <c r="AX308"/>
  <c r="AN308" s="1"/>
  <c r="AX111"/>
  <c r="AN111" s="1"/>
  <c r="AX93"/>
  <c r="AN93" s="1"/>
  <c r="AX6"/>
  <c r="AN6" s="1"/>
  <c r="AX15"/>
  <c r="AN15" s="1"/>
  <c r="AX16"/>
  <c r="AN16" s="1"/>
  <c r="AX149"/>
  <c r="AN149" s="1"/>
  <c r="AX173"/>
  <c r="AN173" s="1"/>
  <c r="AX265"/>
  <c r="AN265" s="1"/>
  <c r="AX27"/>
  <c r="AN27" s="1"/>
  <c r="AX210"/>
  <c r="AN210" s="1"/>
  <c r="AX143"/>
  <c r="AN143" s="1"/>
  <c r="AX263"/>
  <c r="AN263" s="1"/>
  <c r="AX264"/>
  <c r="AN264" s="1"/>
  <c r="AX206"/>
  <c r="AN206" s="1"/>
  <c r="AX250"/>
  <c r="AN250" s="1"/>
  <c r="AX251"/>
  <c r="AN251" s="1"/>
  <c r="AX252"/>
  <c r="AN252" s="1"/>
  <c r="AX99"/>
  <c r="AN99" s="1"/>
  <c r="AX100"/>
  <c r="AN100" s="1"/>
  <c r="AX28"/>
  <c r="AN28" s="1"/>
  <c r="AX182"/>
  <c r="AN182" s="1"/>
  <c r="AX305"/>
  <c r="AN305" s="1"/>
  <c r="AX180"/>
  <c r="AN180" s="1"/>
  <c r="AX159"/>
  <c r="AN159" s="1"/>
  <c r="AX133"/>
  <c r="AN133" s="1"/>
  <c r="AX487"/>
  <c r="AN487" s="1"/>
  <c r="AX488"/>
  <c r="AN488" s="1"/>
  <c r="AX56"/>
  <c r="AN56" s="1"/>
  <c r="AV56" s="1"/>
  <c r="AX26"/>
  <c r="AN26" s="1"/>
  <c r="AX227"/>
  <c r="AN227" s="1"/>
  <c r="AX23"/>
  <c r="AN23" s="1"/>
  <c r="AX276"/>
  <c r="AN276" s="1"/>
  <c r="AX473"/>
  <c r="AN473" s="1"/>
  <c r="AX474"/>
  <c r="AN474" s="1"/>
  <c r="AX195"/>
  <c r="AN195" s="1"/>
  <c r="AX29"/>
  <c r="AN29" s="1"/>
  <c r="AX112"/>
  <c r="AN112" s="1"/>
  <c r="AX216"/>
  <c r="AN216" s="1"/>
  <c r="AX228"/>
  <c r="AN228" s="1"/>
  <c r="AX328"/>
  <c r="AN328" s="1"/>
  <c r="AX140"/>
  <c r="AN140" s="1"/>
  <c r="AX4"/>
  <c r="AN4" s="1"/>
  <c r="AV4" s="1"/>
  <c r="AX7"/>
  <c r="AN7" s="1"/>
  <c r="AX8"/>
  <c r="AN8" s="1"/>
  <c r="AX17"/>
  <c r="AN17" s="1"/>
  <c r="AX190"/>
  <c r="AN190" s="1"/>
  <c r="AX191"/>
  <c r="AN191" s="1"/>
  <c r="AX218"/>
  <c r="AN218" s="1"/>
  <c r="AX219"/>
  <c r="AN219" s="1"/>
  <c r="AX204"/>
  <c r="AN204" s="1"/>
  <c r="AX205"/>
  <c r="AN205" s="1"/>
  <c r="AX341"/>
  <c r="AN341" s="1"/>
  <c r="AX342"/>
  <c r="AN342" s="1"/>
  <c r="AX102"/>
  <c r="AN102" s="1"/>
  <c r="AX103"/>
  <c r="AN103" s="1"/>
  <c r="AX44"/>
  <c r="AN44" s="1"/>
  <c r="AX45"/>
  <c r="AN45" s="1"/>
  <c r="AX43"/>
  <c r="AN43" s="1"/>
  <c r="AX239"/>
  <c r="AN239" s="1"/>
  <c r="AX240"/>
  <c r="AN240" s="1"/>
  <c r="AX241"/>
  <c r="AN241" s="1"/>
  <c r="AX242"/>
  <c r="AN242" s="1"/>
  <c r="AX243"/>
  <c r="AN243" s="1"/>
  <c r="AX244"/>
  <c r="AN244" s="1"/>
  <c r="AX245"/>
  <c r="AN245" s="1"/>
  <c r="AX186"/>
  <c r="AN186" s="1"/>
  <c r="AX220"/>
  <c r="AN220" s="1"/>
  <c r="AX221"/>
  <c r="AN221" s="1"/>
  <c r="AX66"/>
  <c r="AN66" s="1"/>
  <c r="AX67"/>
  <c r="AN67" s="1"/>
  <c r="AX68"/>
  <c r="AN68" s="1"/>
  <c r="AX94"/>
  <c r="AN94" s="1"/>
  <c r="AX188"/>
  <c r="AN188" s="1"/>
  <c r="AX52"/>
  <c r="AN52" s="1"/>
  <c r="AX53"/>
  <c r="AN53" s="1"/>
  <c r="AX54"/>
  <c r="AN54" s="1"/>
  <c r="AX162"/>
  <c r="AN162" s="1"/>
  <c r="AX163"/>
  <c r="AN163" s="1"/>
  <c r="AX35"/>
  <c r="AN35" s="1"/>
  <c r="AX270"/>
  <c r="AN270" s="1"/>
  <c r="AX168"/>
  <c r="AN168" s="1"/>
  <c r="AX278"/>
  <c r="AN278" s="1"/>
  <c r="AX279"/>
  <c r="AN279" s="1"/>
  <c r="AX280"/>
  <c r="AN280" s="1"/>
  <c r="AX75"/>
  <c r="AN75" s="1"/>
  <c r="AX76"/>
  <c r="AN76" s="1"/>
  <c r="AX200"/>
  <c r="AN200" s="1"/>
  <c r="AX201"/>
  <c r="AN201" s="1"/>
  <c r="AX49"/>
  <c r="AN49" s="1"/>
  <c r="AX50"/>
  <c r="AN50" s="1"/>
  <c r="AX51"/>
  <c r="AN51" s="1"/>
  <c r="AX14"/>
  <c r="AN14" s="1"/>
  <c r="AX235"/>
  <c r="AN235" s="1"/>
  <c r="AV235" s="1"/>
  <c r="AX236"/>
  <c r="AN236" s="1"/>
  <c r="AX161"/>
  <c r="AN161" s="1"/>
  <c r="AX18"/>
  <c r="AN18" s="1"/>
  <c r="AV18" s="1"/>
  <c r="AX19"/>
  <c r="AN19" s="1"/>
  <c r="AV19" s="1"/>
  <c r="AX150"/>
  <c r="AN150" s="1"/>
  <c r="AX151"/>
  <c r="AN151" s="1"/>
  <c r="AX61"/>
  <c r="AN61" s="1"/>
  <c r="AX40"/>
  <c r="AN40" s="1"/>
  <c r="AX41"/>
  <c r="AN41" s="1"/>
  <c r="AX42"/>
  <c r="AN42" s="1"/>
  <c r="AX230"/>
  <c r="AN230" s="1"/>
  <c r="AX231"/>
  <c r="AN231" s="1"/>
  <c r="AX347"/>
  <c r="AN347" s="1"/>
  <c r="AX348"/>
  <c r="AN348" s="1"/>
  <c r="AX294"/>
  <c r="AN294" s="1"/>
  <c r="AX82"/>
  <c r="AN82" s="1"/>
  <c r="AX156"/>
  <c r="AN156" s="1"/>
  <c r="AX157"/>
  <c r="AN157" s="1"/>
  <c r="AX158"/>
  <c r="AN158" s="1"/>
  <c r="AX113"/>
  <c r="AN113" s="1"/>
  <c r="AX147"/>
  <c r="AN147" s="1"/>
  <c r="AX64"/>
  <c r="AN64" s="1"/>
  <c r="AX84"/>
  <c r="AN84" s="1"/>
  <c r="AX437"/>
  <c r="AN437" s="1"/>
  <c r="AX438"/>
  <c r="AN438" s="1"/>
  <c r="AX232"/>
  <c r="AN232" s="1"/>
  <c r="AX233"/>
  <c r="AN233" s="1"/>
  <c r="AX508"/>
  <c r="AN508" s="1"/>
  <c r="AX510"/>
  <c r="AN510" s="1"/>
  <c r="AX109"/>
  <c r="AN109" s="1"/>
  <c r="AX110"/>
  <c r="AN110" s="1"/>
  <c r="AX260"/>
  <c r="AN260" s="1"/>
  <c r="AX72"/>
  <c r="AN72" s="1"/>
  <c r="AX515"/>
  <c r="AN515" s="1"/>
  <c r="AX134"/>
  <c r="AN134" s="1"/>
  <c r="AX135"/>
  <c r="AN135" s="1"/>
  <c r="AX153"/>
  <c r="AN153" s="1"/>
  <c r="AX165"/>
  <c r="AN165" s="1"/>
  <c r="AX185"/>
  <c r="AN185" s="1"/>
  <c r="AX213"/>
  <c r="AN213" s="1"/>
  <c r="AX214"/>
  <c r="AN214" s="1"/>
  <c r="AX107"/>
  <c r="AN107" s="1"/>
  <c r="AX108"/>
  <c r="AN108" s="1"/>
  <c r="AX59"/>
  <c r="AN59" s="1"/>
  <c r="AX60"/>
  <c r="AN60" s="1"/>
  <c r="AX336"/>
  <c r="AN336" s="1"/>
  <c r="AX337"/>
  <c r="AN337" s="1"/>
  <c r="AX317"/>
  <c r="AN317" s="1"/>
  <c r="AX166"/>
  <c r="AN166" s="1"/>
  <c r="AX11"/>
  <c r="AN11" s="1"/>
  <c r="AX12"/>
  <c r="AN12" s="1"/>
  <c r="AX9"/>
  <c r="AN9" s="1"/>
  <c r="AX10"/>
  <c r="AN10" s="1"/>
  <c r="AX55"/>
  <c r="AN55" s="1"/>
  <c r="AX105"/>
  <c r="AN105" s="1"/>
  <c r="AX106"/>
  <c r="AN106" s="1"/>
  <c r="AX266"/>
  <c r="AN266" s="1"/>
  <c r="AX71"/>
  <c r="AN71" s="1"/>
  <c r="AX318"/>
  <c r="AN318" s="1"/>
  <c r="AX261"/>
  <c r="AN261" s="1"/>
  <c r="AX273"/>
  <c r="AN273" s="1"/>
  <c r="AX274"/>
  <c r="AN274" s="1"/>
  <c r="AX183"/>
  <c r="AN183" s="1"/>
  <c r="AX120"/>
  <c r="AN120" s="1"/>
  <c r="AX24"/>
  <c r="AN24" s="1"/>
  <c r="AX25"/>
  <c r="AN25" s="1"/>
  <c r="AV25" s="1"/>
  <c r="AX207"/>
  <c r="AN207" s="1"/>
  <c r="AV207" s="1"/>
  <c r="AX208"/>
  <c r="AN208" s="1"/>
  <c r="AV208" s="1"/>
  <c r="AX2"/>
  <c r="AN2" s="1"/>
  <c r="AX3"/>
  <c r="AN3" s="1"/>
  <c r="AX148"/>
  <c r="AN148" s="1"/>
  <c r="AX92"/>
  <c r="AN92" s="1"/>
  <c r="AV92" s="1"/>
  <c r="AX91"/>
  <c r="AN91" s="1"/>
  <c r="AV91" s="1"/>
  <c r="S148" l="1"/>
  <c r="AV148"/>
  <c r="S3"/>
  <c r="AV3"/>
  <c r="S2"/>
  <c r="AV2"/>
  <c r="S24"/>
  <c r="AV24"/>
  <c r="S120"/>
  <c r="AV120"/>
  <c r="S183"/>
  <c r="AV183"/>
  <c r="S274"/>
  <c r="AV274"/>
  <c r="S273"/>
  <c r="AV273"/>
  <c r="S261"/>
  <c r="AV261"/>
  <c r="S318"/>
  <c r="AV318"/>
  <c r="S71"/>
  <c r="AV71"/>
  <c r="S266"/>
  <c r="AV266"/>
  <c r="S106"/>
  <c r="AV106"/>
  <c r="S105"/>
  <c r="AV105"/>
  <c r="S55"/>
  <c r="AV55"/>
  <c r="S10"/>
  <c r="AV10"/>
  <c r="S9"/>
  <c r="AV9"/>
  <c r="S12"/>
  <c r="AV12"/>
  <c r="S11"/>
  <c r="AV11"/>
  <c r="S166"/>
  <c r="AV166"/>
  <c r="S317"/>
  <c r="AV317"/>
  <c r="S337"/>
  <c r="AV337"/>
  <c r="S336"/>
  <c r="AV336"/>
  <c r="S60"/>
  <c r="AV60"/>
  <c r="S59"/>
  <c r="AV59"/>
  <c r="S108"/>
  <c r="AV108"/>
  <c r="S107"/>
  <c r="AV107"/>
  <c r="S214"/>
  <c r="AV214"/>
  <c r="S213"/>
  <c r="AV213"/>
  <c r="S185"/>
  <c r="AV185"/>
  <c r="S165"/>
  <c r="AV165"/>
  <c r="S153"/>
  <c r="AV153"/>
  <c r="S135"/>
  <c r="AV135"/>
  <c r="S134"/>
  <c r="AV134"/>
  <c r="S515"/>
  <c r="AV515"/>
  <c r="S72"/>
  <c r="AV72"/>
  <c r="S260"/>
  <c r="AV260"/>
  <c r="S110"/>
  <c r="AV110"/>
  <c r="S109"/>
  <c r="AV109"/>
  <c r="S510"/>
  <c r="AV510"/>
  <c r="S508"/>
  <c r="AV508"/>
  <c r="S233"/>
  <c r="AV233"/>
  <c r="S232"/>
  <c r="AV232"/>
  <c r="S438"/>
  <c r="AV438"/>
  <c r="S437"/>
  <c r="AV437"/>
  <c r="S84"/>
  <c r="AV84"/>
  <c r="S64"/>
  <c r="AV64"/>
  <c r="S147"/>
  <c r="AV147"/>
  <c r="S113"/>
  <c r="AV113"/>
  <c r="S158"/>
  <c r="AV158"/>
  <c r="S157"/>
  <c r="AV157"/>
  <c r="S156"/>
  <c r="AV156"/>
  <c r="S82"/>
  <c r="AV82"/>
  <c r="S294"/>
  <c r="AV294"/>
  <c r="S348"/>
  <c r="AV348"/>
  <c r="S347"/>
  <c r="AV347"/>
  <c r="S231"/>
  <c r="AV231"/>
  <c r="S230"/>
  <c r="AV230"/>
  <c r="S42"/>
  <c r="AV42"/>
  <c r="S41"/>
  <c r="AV41"/>
  <c r="S40"/>
  <c r="AV40"/>
  <c r="S61"/>
  <c r="AV61"/>
  <c r="S151"/>
  <c r="AV151"/>
  <c r="S150"/>
  <c r="AV150"/>
  <c r="S161"/>
  <c r="AV161"/>
  <c r="S236"/>
  <c r="AV236"/>
  <c r="S14"/>
  <c r="AV14"/>
  <c r="S51"/>
  <c r="AV51"/>
  <c r="S50"/>
  <c r="AV50"/>
  <c r="S49"/>
  <c r="AV49"/>
  <c r="S201"/>
  <c r="AV201"/>
  <c r="S200"/>
  <c r="AV200"/>
  <c r="S76"/>
  <c r="AV76"/>
  <c r="S75"/>
  <c r="AV75"/>
  <c r="S280"/>
  <c r="AV280"/>
  <c r="S279"/>
  <c r="AV279"/>
  <c r="S278"/>
  <c r="AV278"/>
  <c r="S168"/>
  <c r="AV168"/>
  <c r="S270"/>
  <c r="AV270"/>
  <c r="S35"/>
  <c r="AV35"/>
  <c r="S163"/>
  <c r="AV163"/>
  <c r="S162"/>
  <c r="AV162"/>
  <c r="S54"/>
  <c r="AV54"/>
  <c r="S53"/>
  <c r="AV53"/>
  <c r="S52"/>
  <c r="AV52"/>
  <c r="S188"/>
  <c r="AV188"/>
  <c r="S94"/>
  <c r="AV94"/>
  <c r="S68"/>
  <c r="AV68"/>
  <c r="S67"/>
  <c r="AV67"/>
  <c r="S66"/>
  <c r="AV66"/>
  <c r="S221"/>
  <c r="AV221"/>
  <c r="S220"/>
  <c r="AV220"/>
  <c r="S186"/>
  <c r="AV186"/>
  <c r="S245"/>
  <c r="AV245"/>
  <c r="S244"/>
  <c r="AV244"/>
  <c r="S243"/>
  <c r="AV243"/>
  <c r="S242"/>
  <c r="AV242"/>
  <c r="S241"/>
  <c r="AV241"/>
  <c r="S240"/>
  <c r="AV240"/>
  <c r="S239"/>
  <c r="AV239"/>
  <c r="S43"/>
  <c r="AV43"/>
  <c r="S45"/>
  <c r="AV45"/>
  <c r="S44"/>
  <c r="AV44"/>
  <c r="S103"/>
  <c r="AV103"/>
  <c r="S102"/>
  <c r="AV102"/>
  <c r="S342"/>
  <c r="AV342"/>
  <c r="S341"/>
  <c r="AV341"/>
  <c r="S205"/>
  <c r="AV205"/>
  <c r="S204"/>
  <c r="AV204"/>
  <c r="S219"/>
  <c r="AV219"/>
  <c r="S218"/>
  <c r="AV218"/>
  <c r="S191"/>
  <c r="AV191"/>
  <c r="S190"/>
  <c r="AV190"/>
  <c r="S17"/>
  <c r="AV17"/>
  <c r="S8"/>
  <c r="AV8"/>
  <c r="S7"/>
  <c r="AV7"/>
  <c r="S140"/>
  <c r="AV140"/>
  <c r="S328"/>
  <c r="AV328"/>
  <c r="S228"/>
  <c r="AV228"/>
  <c r="S216"/>
  <c r="AV216"/>
  <c r="S112"/>
  <c r="AV112"/>
  <c r="S29"/>
  <c r="AV29"/>
  <c r="S195"/>
  <c r="AV195"/>
  <c r="S474"/>
  <c r="AV474"/>
  <c r="S473"/>
  <c r="AV473"/>
  <c r="S276"/>
  <c r="AV276"/>
  <c r="S23"/>
  <c r="AV23"/>
  <c r="S227"/>
  <c r="AV227"/>
  <c r="S26"/>
  <c r="AV26"/>
  <c r="S488"/>
  <c r="AV488"/>
  <c r="S487"/>
  <c r="AV487"/>
  <c r="S133"/>
  <c r="AV133"/>
  <c r="S159"/>
  <c r="AV159"/>
  <c r="S180"/>
  <c r="AV180"/>
  <c r="S305"/>
  <c r="AV305"/>
  <c r="S182"/>
  <c r="AV182"/>
  <c r="S28"/>
  <c r="AV28"/>
  <c r="S100"/>
  <c r="AV100"/>
  <c r="S99"/>
  <c r="AV99"/>
  <c r="S252"/>
  <c r="AV252"/>
  <c r="S251"/>
  <c r="AV251"/>
  <c r="S250"/>
  <c r="AV250"/>
  <c r="S206"/>
  <c r="AV206"/>
  <c r="S264"/>
  <c r="AV264"/>
  <c r="S263"/>
  <c r="AV263"/>
  <c r="S143"/>
  <c r="AV143"/>
  <c r="S210"/>
  <c r="AV210"/>
  <c r="S27"/>
  <c r="AV27"/>
  <c r="S265"/>
  <c r="AV265"/>
  <c r="S173"/>
  <c r="AV173"/>
  <c r="S149"/>
  <c r="AV149"/>
  <c r="S16"/>
  <c r="AV16"/>
  <c r="S15"/>
  <c r="AV15"/>
  <c r="S6"/>
  <c r="AV6"/>
  <c r="S93"/>
  <c r="AV93"/>
  <c r="S111"/>
  <c r="AV111"/>
  <c r="S308"/>
  <c r="AV308"/>
  <c r="S309"/>
  <c r="AV309"/>
  <c r="S310"/>
  <c r="AV310"/>
  <c r="S286"/>
  <c r="AV286"/>
  <c r="S123"/>
  <c r="AV123"/>
  <c r="S124"/>
  <c r="AV124"/>
  <c r="S125"/>
  <c r="AV125"/>
  <c r="S65"/>
  <c r="AV65"/>
  <c r="S509"/>
  <c r="AV509"/>
  <c r="S160"/>
  <c r="AV160"/>
  <c r="S468"/>
  <c r="AV468"/>
  <c r="S469"/>
  <c r="AV469"/>
  <c r="S467"/>
  <c r="AV467"/>
  <c r="S470"/>
  <c r="AV470"/>
  <c r="S229"/>
  <c r="AV229"/>
  <c r="S77"/>
  <c r="AV77"/>
  <c r="S199"/>
  <c r="AV199"/>
  <c r="S152"/>
  <c r="AV152"/>
  <c r="S154"/>
  <c r="AV154"/>
  <c r="S155"/>
  <c r="AV155"/>
  <c r="S491"/>
  <c r="AV491"/>
  <c r="S492"/>
  <c r="AV492"/>
  <c r="S96"/>
  <c r="AV96"/>
  <c r="S97"/>
  <c r="AV97"/>
  <c r="S259"/>
  <c r="AV259"/>
  <c r="S504"/>
  <c r="AV504"/>
  <c r="S471"/>
  <c r="AV471"/>
  <c r="S472"/>
  <c r="AV472"/>
  <c r="S517"/>
  <c r="AV517"/>
  <c r="S57"/>
  <c r="AV57"/>
  <c r="S58"/>
  <c r="AV58"/>
  <c r="S271"/>
  <c r="AV271"/>
  <c r="S73"/>
  <c r="AV73"/>
  <c r="S74"/>
  <c r="AV74"/>
  <c r="S117"/>
  <c r="AV117"/>
  <c r="S365"/>
  <c r="AV365"/>
  <c r="S83"/>
  <c r="AV83"/>
  <c r="S414"/>
  <c r="AV414"/>
  <c r="S413"/>
  <c r="AV413"/>
  <c r="S463"/>
  <c r="AV463"/>
  <c r="S462"/>
  <c r="AV462"/>
  <c r="S146"/>
  <c r="AV146"/>
  <c r="S465"/>
  <c r="AV465"/>
  <c r="S466"/>
  <c r="AV466"/>
  <c r="S435"/>
  <c r="AV435"/>
  <c r="S436"/>
  <c r="AV436"/>
  <c r="S493"/>
  <c r="AV493"/>
  <c r="S494"/>
  <c r="AV494"/>
  <c r="S518"/>
  <c r="AV518"/>
  <c r="S21"/>
  <c r="AV21"/>
  <c r="S22"/>
  <c r="AV22"/>
  <c r="S304"/>
  <c r="AV304"/>
  <c r="S172"/>
  <c r="AV172"/>
  <c r="S349"/>
  <c r="AV349"/>
  <c r="S202"/>
  <c r="AV202"/>
  <c r="S475"/>
  <c r="AV475"/>
  <c r="S476"/>
  <c r="AV476"/>
  <c r="S322"/>
  <c r="AV322"/>
  <c r="S122"/>
  <c r="AV122"/>
  <c r="S255"/>
  <c r="AV255"/>
  <c r="S500"/>
  <c r="AV500"/>
  <c r="S281"/>
  <c r="AV281"/>
  <c r="S514"/>
  <c r="AV514"/>
  <c r="S448"/>
  <c r="AV448"/>
  <c r="S449"/>
  <c r="AV449"/>
  <c r="S513"/>
  <c r="AV513"/>
  <c r="S39"/>
  <c r="AV39"/>
  <c r="S481"/>
  <c r="AV481"/>
  <c r="S482"/>
  <c r="AV482"/>
  <c r="S483"/>
  <c r="AV483"/>
  <c r="S33"/>
  <c r="AV33"/>
  <c r="S34"/>
  <c r="AV34"/>
  <c r="S87"/>
  <c r="AV87"/>
  <c r="S88"/>
  <c r="AV88"/>
  <c r="S371"/>
  <c r="AV371"/>
  <c r="S370"/>
  <c r="AV370"/>
  <c r="S433"/>
  <c r="AV433"/>
  <c r="S434"/>
  <c r="AV434"/>
  <c r="S355"/>
  <c r="AV355"/>
  <c r="S356"/>
  <c r="AV356"/>
  <c r="S275"/>
  <c r="AV275"/>
  <c r="S293"/>
  <c r="AV293"/>
  <c r="S415"/>
  <c r="AV415"/>
  <c r="S416"/>
  <c r="AV416"/>
  <c r="S417"/>
  <c r="AV417"/>
  <c r="S452"/>
  <c r="AV452"/>
  <c r="S372"/>
  <c r="AV372"/>
  <c r="S447"/>
  <c r="AV447"/>
  <c r="S369"/>
  <c r="AV369"/>
  <c r="S406"/>
  <c r="AV406"/>
  <c r="S5"/>
  <c r="AV5"/>
  <c r="S512"/>
  <c r="AV512"/>
  <c r="S441"/>
  <c r="AV441"/>
  <c r="S442"/>
  <c r="AV442"/>
  <c r="S443"/>
  <c r="AV443"/>
  <c r="S423"/>
  <c r="AV423"/>
  <c r="S424"/>
  <c r="AV424"/>
  <c r="S507"/>
  <c r="AV507"/>
  <c r="S516"/>
  <c r="AV516"/>
  <c r="S486"/>
  <c r="AV486"/>
  <c r="S184"/>
  <c r="AV184"/>
  <c r="S209"/>
  <c r="AV209"/>
  <c r="S411"/>
  <c r="AV411"/>
  <c r="S412"/>
  <c r="AV412"/>
  <c r="S353"/>
  <c r="AV353"/>
  <c r="S354"/>
  <c r="AV354"/>
  <c r="S69"/>
  <c r="AV69"/>
  <c r="S70"/>
  <c r="AV70"/>
  <c r="S373"/>
  <c r="AV373"/>
  <c r="S374"/>
  <c r="AV374"/>
  <c r="S315"/>
  <c r="AV315"/>
  <c r="S316"/>
  <c r="AV316"/>
  <c r="S393"/>
  <c r="AV393"/>
  <c r="S394"/>
  <c r="AV394"/>
  <c r="S331"/>
  <c r="AV331"/>
  <c r="S332"/>
  <c r="AV332"/>
  <c r="S379"/>
  <c r="AV379"/>
  <c r="S361"/>
  <c r="AV361"/>
  <c r="S362"/>
  <c r="AV362"/>
  <c r="S258"/>
  <c r="AV258"/>
  <c r="S455"/>
  <c r="AV455"/>
  <c r="S277"/>
  <c r="AV277"/>
  <c r="S181"/>
  <c r="AV181"/>
  <c r="S164"/>
  <c r="AV164"/>
  <c r="S269"/>
  <c r="AV269"/>
  <c r="S121"/>
  <c r="AV121"/>
  <c r="S203"/>
  <c r="AV203"/>
  <c r="S390"/>
  <c r="AV390"/>
  <c r="S306"/>
  <c r="AV306"/>
  <c r="S511"/>
  <c r="AV511"/>
  <c r="S402"/>
  <c r="AV402"/>
  <c r="S325"/>
  <c r="AV325"/>
  <c r="S444"/>
  <c r="AV444"/>
  <c r="S20"/>
  <c r="AV20"/>
  <c r="S137"/>
  <c r="AV137"/>
  <c r="S403"/>
  <c r="AV403"/>
  <c r="S178"/>
  <c r="AV178"/>
  <c r="S196"/>
  <c r="AV196"/>
  <c r="S225"/>
  <c r="AV225"/>
  <c r="S262"/>
  <c r="AV262"/>
  <c r="S37"/>
  <c r="AV37"/>
  <c r="S171"/>
  <c r="AV171"/>
  <c r="S439"/>
  <c r="AV439"/>
  <c r="S503"/>
  <c r="AV503"/>
  <c r="S410"/>
  <c r="AV410"/>
  <c r="S307"/>
  <c r="AV307"/>
  <c r="S490"/>
  <c r="AV490"/>
  <c r="S289"/>
  <c r="AV289"/>
  <c r="S46"/>
  <c r="AV46"/>
  <c r="S445"/>
  <c r="AV445"/>
  <c r="S136"/>
  <c r="AV136"/>
  <c r="S484"/>
  <c r="AV484"/>
  <c r="S86"/>
  <c r="AV86"/>
  <c r="S131"/>
  <c r="AV131"/>
  <c r="S238"/>
  <c r="AV238"/>
  <c r="S226"/>
  <c r="AV226"/>
  <c r="S36"/>
  <c r="AV36"/>
  <c r="S13"/>
  <c r="AV13"/>
  <c r="S440"/>
  <c r="AV440"/>
  <c r="S401"/>
  <c r="AV401"/>
  <c r="S288"/>
  <c r="AV288"/>
  <c r="S489"/>
  <c r="AV489"/>
  <c r="S170"/>
  <c r="AV170"/>
  <c r="S287"/>
  <c r="AV287"/>
  <c r="S114"/>
  <c r="AV114"/>
  <c r="S32"/>
  <c r="AV32"/>
  <c r="S409"/>
  <c r="AV409"/>
  <c r="S392"/>
  <c r="AV392"/>
  <c r="S47"/>
  <c r="AV47"/>
  <c r="S189"/>
  <c r="AV189"/>
  <c r="S461"/>
  <c r="AV461"/>
  <c r="S298"/>
  <c r="AV298"/>
  <c r="S408"/>
  <c r="AV408"/>
  <c r="S48"/>
  <c r="AV48"/>
  <c r="S30"/>
  <c r="AV30"/>
  <c r="S98"/>
  <c r="AV98"/>
  <c r="S407"/>
  <c r="AV407"/>
  <c r="S303"/>
  <c r="AV303"/>
  <c r="S89"/>
  <c r="AV89"/>
  <c r="S31"/>
  <c r="AV31"/>
  <c r="S297"/>
  <c r="AV297"/>
  <c r="S247"/>
  <c r="AV247"/>
  <c r="S118"/>
  <c r="AV118"/>
  <c r="S419"/>
  <c r="AV419"/>
  <c r="S384"/>
  <c r="AV384"/>
  <c r="S376"/>
  <c r="AV376"/>
  <c r="S119"/>
  <c r="AV119"/>
  <c r="S78"/>
  <c r="AV78"/>
  <c r="S387"/>
  <c r="AV387"/>
  <c r="S399"/>
  <c r="AV399"/>
  <c r="S430"/>
  <c r="AV430"/>
  <c r="S256"/>
  <c r="AV256"/>
  <c r="S431"/>
  <c r="AV431"/>
  <c r="S339"/>
  <c r="AV339"/>
  <c r="S378"/>
  <c r="AV378"/>
  <c r="S400"/>
  <c r="AV400"/>
  <c r="S257"/>
  <c r="AV257"/>
  <c r="S432"/>
  <c r="AV432"/>
  <c r="S398"/>
  <c r="AV398"/>
  <c r="S375"/>
  <c r="AV375"/>
  <c r="S344"/>
  <c r="AV344"/>
  <c r="S421"/>
  <c r="AV421"/>
  <c r="S248"/>
  <c r="AV248"/>
  <c r="S386"/>
  <c r="AV386"/>
  <c r="S420"/>
  <c r="AV420"/>
  <c r="S429"/>
  <c r="AV429"/>
  <c r="S422"/>
  <c r="AV422"/>
  <c r="S249"/>
  <c r="AV249"/>
  <c r="S385"/>
  <c r="AV385"/>
  <c r="S338"/>
  <c r="AV338"/>
  <c r="S446"/>
  <c r="AV446"/>
  <c r="S377"/>
  <c r="AV377"/>
  <c r="S343"/>
  <c r="AV343"/>
  <c r="S456"/>
  <c r="AV456"/>
  <c r="S333"/>
  <c r="AV333"/>
  <c r="S129"/>
  <c r="AV129"/>
  <c r="S330"/>
  <c r="AV330"/>
  <c r="S130"/>
  <c r="AV130"/>
  <c r="S291"/>
  <c r="AV291"/>
  <c r="S345"/>
  <c r="AV345"/>
  <c r="S80"/>
  <c r="AV80"/>
  <c r="S104"/>
  <c r="AV104"/>
  <c r="S253"/>
  <c r="AV253"/>
  <c r="S351"/>
  <c r="AV351"/>
  <c r="S395"/>
  <c r="AV395"/>
  <c r="S498"/>
  <c r="AV498"/>
  <c r="S63"/>
  <c r="AV63"/>
  <c r="S450"/>
  <c r="AV450"/>
  <c r="S364"/>
  <c r="AV364"/>
  <c r="S499"/>
  <c r="AV499"/>
  <c r="S497"/>
  <c r="AV497"/>
  <c r="S380"/>
  <c r="AV380"/>
  <c r="S454"/>
  <c r="AV454"/>
  <c r="S319"/>
  <c r="AV319"/>
  <c r="S179"/>
  <c r="AV179"/>
  <c r="S366"/>
  <c r="AV366"/>
  <c r="S101"/>
  <c r="AV101"/>
  <c r="S358"/>
  <c r="AV358"/>
  <c r="S116"/>
  <c r="AV116"/>
  <c r="S194"/>
  <c r="AV194"/>
  <c r="S460"/>
  <c r="AV460"/>
  <c r="S282"/>
  <c r="AV282"/>
  <c r="S211"/>
  <c r="AV211"/>
  <c r="S359"/>
  <c r="AV359"/>
  <c r="S405"/>
  <c r="AV405"/>
  <c r="S254"/>
  <c r="AV254"/>
  <c r="S352"/>
  <c r="AV352"/>
  <c r="S299"/>
  <c r="AV299"/>
  <c r="S142"/>
  <c r="AV142"/>
  <c r="S485"/>
  <c r="AV485"/>
  <c r="S363"/>
  <c r="AV363"/>
  <c r="S90"/>
  <c r="AV90"/>
  <c r="S496"/>
  <c r="AV496"/>
  <c r="S327"/>
  <c r="AV327"/>
  <c r="S453"/>
  <c r="AV453"/>
  <c r="S215"/>
  <c r="AV215"/>
  <c r="S198"/>
  <c r="AV198"/>
  <c r="S368"/>
  <c r="AV368"/>
  <c r="S38"/>
  <c r="AV38"/>
  <c r="S464"/>
  <c r="AV464"/>
  <c r="S505"/>
  <c r="AV505"/>
  <c r="S272"/>
  <c r="AV272"/>
  <c r="S329"/>
  <c r="AV329"/>
  <c r="S224"/>
  <c r="AV224"/>
  <c r="S302"/>
  <c r="AV302"/>
  <c r="S335"/>
  <c r="AV335"/>
  <c r="S85"/>
  <c r="AV85"/>
  <c r="S396"/>
  <c r="AV396"/>
  <c r="S300"/>
  <c r="AV300"/>
  <c r="S132"/>
  <c r="AV132"/>
  <c r="S217"/>
  <c r="AV217"/>
  <c r="S267"/>
  <c r="AV267"/>
  <c r="S234"/>
  <c r="AV234"/>
  <c r="S268"/>
  <c r="AV268"/>
  <c r="S426"/>
  <c r="AV426"/>
  <c r="S495"/>
  <c r="AV495"/>
  <c r="S326"/>
  <c r="AV326"/>
  <c r="S321"/>
  <c r="AV321"/>
  <c r="S167"/>
  <c r="AV167"/>
  <c r="S176"/>
  <c r="AV176"/>
  <c r="S95"/>
  <c r="AV95"/>
  <c r="S519"/>
  <c r="AV519"/>
  <c r="S477"/>
  <c r="AV477"/>
  <c r="S313"/>
  <c r="AV313"/>
  <c r="S285"/>
  <c r="AV285"/>
  <c r="S459"/>
  <c r="AV459"/>
  <c r="S301"/>
  <c r="AV301"/>
  <c r="S296"/>
  <c r="AV296"/>
  <c r="S334"/>
  <c r="AV334"/>
  <c r="S404"/>
  <c r="AV404"/>
  <c r="S192"/>
  <c r="AV192"/>
  <c r="S81"/>
  <c r="AV81"/>
  <c r="S187"/>
  <c r="AV187"/>
  <c r="S397"/>
  <c r="AV397"/>
  <c r="S418"/>
  <c r="AV418"/>
  <c r="S79"/>
  <c r="AV79"/>
  <c r="S141"/>
  <c r="AV141"/>
  <c r="S212"/>
  <c r="AV212"/>
  <c r="S425"/>
  <c r="AV425"/>
  <c r="S381"/>
  <c r="AV381"/>
  <c r="S320"/>
  <c r="AV320"/>
  <c r="S367"/>
  <c r="AV367"/>
  <c r="S175"/>
  <c r="AV175"/>
  <c r="S350"/>
  <c r="AV350"/>
  <c r="S357"/>
  <c r="AV357"/>
  <c r="S115"/>
  <c r="AV115"/>
  <c r="S506"/>
  <c r="AV506"/>
  <c r="S478"/>
  <c r="AV478"/>
  <c r="S314"/>
  <c r="AV314"/>
  <c r="S284"/>
  <c r="AV284"/>
  <c r="S391"/>
  <c r="AV391"/>
  <c r="S283"/>
  <c r="AV283"/>
  <c r="S360"/>
  <c r="AV360"/>
  <c r="S193"/>
  <c r="AV193"/>
  <c r="S480"/>
  <c r="AV480"/>
  <c r="S340"/>
  <c r="AV340"/>
  <c r="S223"/>
  <c r="AV223"/>
  <c r="S144"/>
  <c r="AV144"/>
  <c r="S502"/>
  <c r="AV502"/>
  <c r="S388"/>
  <c r="AV388"/>
  <c r="S383"/>
  <c r="AV383"/>
  <c r="S177"/>
  <c r="AV177"/>
  <c r="S237"/>
  <c r="AV237"/>
  <c r="S428"/>
  <c r="AV428"/>
  <c r="S324"/>
  <c r="AV324"/>
  <c r="S139"/>
  <c r="AV139"/>
  <c r="S382"/>
  <c r="AV382"/>
  <c r="S458"/>
  <c r="AV458"/>
  <c r="S246"/>
  <c r="AV246"/>
  <c r="S389"/>
  <c r="AV389"/>
  <c r="S427"/>
  <c r="AV427"/>
  <c r="S222"/>
  <c r="AV222"/>
  <c r="S62"/>
  <c r="AV62"/>
  <c r="S501"/>
  <c r="AV501"/>
  <c r="S323"/>
  <c r="AV323"/>
  <c r="S138"/>
  <c r="AV138"/>
  <c r="S126"/>
  <c r="AV126"/>
  <c r="S457"/>
  <c r="AV457"/>
  <c r="S479"/>
  <c r="AV479"/>
  <c r="S197"/>
  <c r="AV197"/>
  <c r="S451"/>
  <c r="AV451"/>
  <c r="S145"/>
  <c r="AV145"/>
  <c r="S169"/>
  <c r="AV169"/>
  <c r="S127"/>
  <c r="AV127"/>
  <c r="S25"/>
  <c r="S235"/>
  <c r="S4"/>
  <c r="S207"/>
  <c r="S56"/>
  <c r="S128"/>
  <c r="S208"/>
  <c r="S295"/>
  <c r="S19"/>
  <c r="S18"/>
  <c r="S92"/>
  <c r="S91"/>
  <c r="S174"/>
  <c r="AP174"/>
  <c r="AW223"/>
  <c r="AP223"/>
  <c r="AO223"/>
  <c r="AT223"/>
  <c r="AU223" s="1"/>
  <c r="AW383"/>
  <c r="AO383"/>
  <c r="AT383"/>
  <c r="AU383" s="1"/>
  <c r="AW324"/>
  <c r="AP324"/>
  <c r="AO324"/>
  <c r="AT324"/>
  <c r="AU324" s="1"/>
  <c r="AW246"/>
  <c r="AP246"/>
  <c r="AO246"/>
  <c r="AT246"/>
  <c r="AU246" s="1"/>
  <c r="AW62"/>
  <c r="AP62"/>
  <c r="AO62"/>
  <c r="AT62"/>
  <c r="AU62" s="1"/>
  <c r="AW126"/>
  <c r="AO126"/>
  <c r="AP126"/>
  <c r="AT126"/>
  <c r="AU126" s="1"/>
  <c r="AW451"/>
  <c r="AO451"/>
  <c r="AT451"/>
  <c r="AU451" s="1"/>
  <c r="AW144"/>
  <c r="AP144"/>
  <c r="AO144"/>
  <c r="AT144"/>
  <c r="AU144" s="1"/>
  <c r="AW177"/>
  <c r="AP177"/>
  <c r="AO177"/>
  <c r="AT177"/>
  <c r="AU177" s="1"/>
  <c r="AW139"/>
  <c r="AO139"/>
  <c r="AP139"/>
  <c r="AT139"/>
  <c r="AU139" s="1"/>
  <c r="AW389"/>
  <c r="AO389"/>
  <c r="AT389"/>
  <c r="AU389" s="1"/>
  <c r="AW501"/>
  <c r="AO501"/>
  <c r="AT501"/>
  <c r="AU501" s="1"/>
  <c r="AW457"/>
  <c r="AO457"/>
  <c r="AT457"/>
  <c r="AU457" s="1"/>
  <c r="AW145"/>
  <c r="AP145"/>
  <c r="AO145"/>
  <c r="AT145"/>
  <c r="AU145" s="1"/>
  <c r="AW480"/>
  <c r="AO480"/>
  <c r="AT480"/>
  <c r="AU480" s="1"/>
  <c r="AW502"/>
  <c r="AO502"/>
  <c r="AT502"/>
  <c r="AU502" s="1"/>
  <c r="AW237"/>
  <c r="AO237"/>
  <c r="AP237"/>
  <c r="AT237"/>
  <c r="AU237" s="1"/>
  <c r="AW382"/>
  <c r="AT382"/>
  <c r="AU382" s="1"/>
  <c r="AO382"/>
  <c r="AW427"/>
  <c r="AO427"/>
  <c r="AT427"/>
  <c r="AU427" s="1"/>
  <c r="AW323"/>
  <c r="AP323"/>
  <c r="AO323"/>
  <c r="AT323"/>
  <c r="AU323" s="1"/>
  <c r="AW479"/>
  <c r="AO479"/>
  <c r="AT479"/>
  <c r="AU479" s="1"/>
  <c r="AW169"/>
  <c r="AO169"/>
  <c r="AP169"/>
  <c r="AT169"/>
  <c r="AU169" s="1"/>
  <c r="AW340"/>
  <c r="AO340"/>
  <c r="AP340"/>
  <c r="AT340"/>
  <c r="AU340" s="1"/>
  <c r="AW388"/>
  <c r="AO388"/>
  <c r="AT388"/>
  <c r="AU388" s="1"/>
  <c r="AW428"/>
  <c r="AO428"/>
  <c r="AT428"/>
  <c r="AU428" s="1"/>
  <c r="AW458"/>
  <c r="AO458"/>
  <c r="AT458"/>
  <c r="AU458" s="1"/>
  <c r="AW222"/>
  <c r="AT222"/>
  <c r="AU222" s="1"/>
  <c r="AP222"/>
  <c r="AO222"/>
  <c r="AW138"/>
  <c r="AO138"/>
  <c r="AP138"/>
  <c r="AT138"/>
  <c r="AU138" s="1"/>
  <c r="AW197"/>
  <c r="AO197"/>
  <c r="AP197"/>
  <c r="AT197"/>
  <c r="AU197" s="1"/>
  <c r="AW127"/>
  <c r="AP127"/>
  <c r="AO127"/>
  <c r="AT127"/>
  <c r="AU127" s="1"/>
  <c r="AW104"/>
  <c r="AP104"/>
  <c r="AO104"/>
  <c r="AT104"/>
  <c r="AU104" s="1"/>
  <c r="AW498"/>
  <c r="AO498"/>
  <c r="AT498"/>
  <c r="AU498" s="1"/>
  <c r="AW499"/>
  <c r="AO499"/>
  <c r="AT499"/>
  <c r="AU499" s="1"/>
  <c r="AW319"/>
  <c r="AO319"/>
  <c r="AP319"/>
  <c r="AT319"/>
  <c r="AU319" s="1"/>
  <c r="AW101"/>
  <c r="AP101"/>
  <c r="AO101"/>
  <c r="AT101"/>
  <c r="AU101" s="1"/>
  <c r="AW460"/>
  <c r="AO460"/>
  <c r="AT460"/>
  <c r="AU460" s="1"/>
  <c r="AW405"/>
  <c r="AO405"/>
  <c r="AT405"/>
  <c r="AU405" s="1"/>
  <c r="AW142"/>
  <c r="AO142"/>
  <c r="AP142"/>
  <c r="AT142"/>
  <c r="AU142" s="1"/>
  <c r="AW90"/>
  <c r="AO90"/>
  <c r="AP90"/>
  <c r="AT90"/>
  <c r="AU90" s="1"/>
  <c r="AW215"/>
  <c r="AO215"/>
  <c r="AP215"/>
  <c r="AT215"/>
  <c r="AU215" s="1"/>
  <c r="AW464"/>
  <c r="AO464"/>
  <c r="AT464"/>
  <c r="AU464" s="1"/>
  <c r="AW224"/>
  <c r="AO224"/>
  <c r="AP224"/>
  <c r="AT224"/>
  <c r="AU224" s="1"/>
  <c r="AW396"/>
  <c r="AO396"/>
  <c r="AT396"/>
  <c r="AU396" s="1"/>
  <c r="AW267"/>
  <c r="AP267"/>
  <c r="AO267"/>
  <c r="AT267"/>
  <c r="AU267" s="1"/>
  <c r="AW495"/>
  <c r="AT495"/>
  <c r="AU495" s="1"/>
  <c r="AO495"/>
  <c r="AW176"/>
  <c r="AP176"/>
  <c r="AO176"/>
  <c r="AT176"/>
  <c r="AU176" s="1"/>
  <c r="AW313"/>
  <c r="AO313"/>
  <c r="AP313"/>
  <c r="AT313"/>
  <c r="AU313" s="1"/>
  <c r="AW296"/>
  <c r="AP296"/>
  <c r="AO296"/>
  <c r="AT296"/>
  <c r="AU296" s="1"/>
  <c r="AW81"/>
  <c r="AP81"/>
  <c r="AO81"/>
  <c r="AT81"/>
  <c r="AU81" s="1"/>
  <c r="AW79"/>
  <c r="AP79"/>
  <c r="AO79"/>
  <c r="AT79"/>
  <c r="AU79" s="1"/>
  <c r="AW381"/>
  <c r="AO381"/>
  <c r="AT381"/>
  <c r="AU381" s="1"/>
  <c r="AW350"/>
  <c r="AO350"/>
  <c r="AP350"/>
  <c r="AT350"/>
  <c r="AU350" s="1"/>
  <c r="AW478"/>
  <c r="AO478"/>
  <c r="AT478"/>
  <c r="AU478" s="1"/>
  <c r="AW283"/>
  <c r="AO283"/>
  <c r="AP283"/>
  <c r="AT283"/>
  <c r="AU283" s="1"/>
  <c r="AW253"/>
  <c r="AO253"/>
  <c r="AP253"/>
  <c r="AT253"/>
  <c r="AU253" s="1"/>
  <c r="AW63"/>
  <c r="AO63"/>
  <c r="AP63"/>
  <c r="AT63"/>
  <c r="AU63" s="1"/>
  <c r="AW497"/>
  <c r="AO497"/>
  <c r="AT497"/>
  <c r="AU497" s="1"/>
  <c r="AW179"/>
  <c r="AO179"/>
  <c r="AP179"/>
  <c r="AT179"/>
  <c r="AU179" s="1"/>
  <c r="AW358"/>
  <c r="AO358"/>
  <c r="AT358"/>
  <c r="AU358" s="1"/>
  <c r="AW282"/>
  <c r="AP282"/>
  <c r="AO282"/>
  <c r="AT282"/>
  <c r="AU282" s="1"/>
  <c r="AW254"/>
  <c r="AP254"/>
  <c r="AO254"/>
  <c r="AT254"/>
  <c r="AU254" s="1"/>
  <c r="AW128"/>
  <c r="AO128"/>
  <c r="AP128"/>
  <c r="AT128"/>
  <c r="AU128" s="1"/>
  <c r="AW496"/>
  <c r="AO496"/>
  <c r="AT496"/>
  <c r="AU496" s="1"/>
  <c r="AW198"/>
  <c r="AP198"/>
  <c r="AO198"/>
  <c r="AT198"/>
  <c r="AU198" s="1"/>
  <c r="AW505"/>
  <c r="AT505"/>
  <c r="AU505" s="1"/>
  <c r="AO505"/>
  <c r="AW302"/>
  <c r="AO302"/>
  <c r="AP302"/>
  <c r="AT302"/>
  <c r="AU302" s="1"/>
  <c r="AW300"/>
  <c r="AO300"/>
  <c r="AP300"/>
  <c r="AT300"/>
  <c r="AU300" s="1"/>
  <c r="AW234"/>
  <c r="AO234"/>
  <c r="AP234"/>
  <c r="AT234"/>
  <c r="AU234" s="1"/>
  <c r="AW326"/>
  <c r="AP326"/>
  <c r="AO326"/>
  <c r="AT326"/>
  <c r="AU326" s="1"/>
  <c r="AW95"/>
  <c r="AO95"/>
  <c r="AP95"/>
  <c r="AT95"/>
  <c r="AU95" s="1"/>
  <c r="AW285"/>
  <c r="AO285"/>
  <c r="AP285"/>
  <c r="AT285"/>
  <c r="AU285" s="1"/>
  <c r="AW334"/>
  <c r="AP334"/>
  <c r="AO334"/>
  <c r="AT334"/>
  <c r="AU334" s="1"/>
  <c r="AW187"/>
  <c r="AO187"/>
  <c r="AP187"/>
  <c r="AT187"/>
  <c r="AU187" s="1"/>
  <c r="AW141"/>
  <c r="AP141"/>
  <c r="AO141"/>
  <c r="AT141"/>
  <c r="AU141" s="1"/>
  <c r="AW320"/>
  <c r="AP320"/>
  <c r="AO320"/>
  <c r="AT320"/>
  <c r="AU320" s="1"/>
  <c r="AW357"/>
  <c r="AO357"/>
  <c r="AT357"/>
  <c r="AU357" s="1"/>
  <c r="AW314"/>
  <c r="AO314"/>
  <c r="AP314"/>
  <c r="AT314"/>
  <c r="AU314" s="1"/>
  <c r="AW295"/>
  <c r="AP295"/>
  <c r="AO295"/>
  <c r="AT295"/>
  <c r="AU295" s="1"/>
  <c r="AW351"/>
  <c r="AT351"/>
  <c r="AU351" s="1"/>
  <c r="AO351"/>
  <c r="AP351"/>
  <c r="AW450"/>
  <c r="AO450"/>
  <c r="AT450"/>
  <c r="AU450" s="1"/>
  <c r="AW380"/>
  <c r="AO380"/>
  <c r="AT380"/>
  <c r="AU380" s="1"/>
  <c r="AW366"/>
  <c r="AO366"/>
  <c r="AT366"/>
  <c r="AU366" s="1"/>
  <c r="AW116"/>
  <c r="AO116"/>
  <c r="AP116"/>
  <c r="AT116"/>
  <c r="AU116" s="1"/>
  <c r="AW211"/>
  <c r="AO211"/>
  <c r="AP211"/>
  <c r="AT211"/>
  <c r="AU211" s="1"/>
  <c r="AW352"/>
  <c r="AP352"/>
  <c r="AO352"/>
  <c r="AT352"/>
  <c r="AU352" s="1"/>
  <c r="AW485"/>
  <c r="AO485"/>
  <c r="AT485"/>
  <c r="AU485" s="1"/>
  <c r="AW327"/>
  <c r="AO327"/>
  <c r="AP327"/>
  <c r="AT327"/>
  <c r="AU327" s="1"/>
  <c r="AW368"/>
  <c r="AO368"/>
  <c r="AT368"/>
  <c r="AU368" s="1"/>
  <c r="AW272"/>
  <c r="AP272"/>
  <c r="AO272"/>
  <c r="AT272"/>
  <c r="AU272" s="1"/>
  <c r="AW335"/>
  <c r="AP335"/>
  <c r="AO335"/>
  <c r="AT335"/>
  <c r="AU335" s="1"/>
  <c r="AW132"/>
  <c r="AO132"/>
  <c r="AP132"/>
  <c r="AT132"/>
  <c r="AU132" s="1"/>
  <c r="AW268"/>
  <c r="AO268"/>
  <c r="AP268"/>
  <c r="AT268"/>
  <c r="AU268" s="1"/>
  <c r="AW321"/>
  <c r="AO321"/>
  <c r="AP321"/>
  <c r="AT321"/>
  <c r="AU321" s="1"/>
  <c r="AW519"/>
  <c r="AO519"/>
  <c r="AT519"/>
  <c r="AU519" s="1"/>
  <c r="AW459"/>
  <c r="AO459"/>
  <c r="AT459"/>
  <c r="AU459" s="1"/>
  <c r="AW404"/>
  <c r="AO404"/>
  <c r="AT404"/>
  <c r="AU404" s="1"/>
  <c r="AW397"/>
  <c r="AO397"/>
  <c r="AT397"/>
  <c r="AU397" s="1"/>
  <c r="AW212"/>
  <c r="AO212"/>
  <c r="AP212"/>
  <c r="AT212"/>
  <c r="AU212" s="1"/>
  <c r="AW367"/>
  <c r="AO367"/>
  <c r="AT367"/>
  <c r="AU367" s="1"/>
  <c r="AW115"/>
  <c r="AO115"/>
  <c r="AP115"/>
  <c r="AT115"/>
  <c r="AU115" s="1"/>
  <c r="AW284"/>
  <c r="AO284"/>
  <c r="AP284"/>
  <c r="AT284"/>
  <c r="AU284" s="1"/>
  <c r="AW360"/>
  <c r="AO360"/>
  <c r="AT360"/>
  <c r="AU360" s="1"/>
  <c r="AW80"/>
  <c r="AP80"/>
  <c r="AO80"/>
  <c r="AT80"/>
  <c r="AU80" s="1"/>
  <c r="AW395"/>
  <c r="AO395"/>
  <c r="AT395"/>
  <c r="AU395" s="1"/>
  <c r="AW364"/>
  <c r="AO364"/>
  <c r="AT364"/>
  <c r="AU364" s="1"/>
  <c r="AW454"/>
  <c r="AO454"/>
  <c r="AT454"/>
  <c r="AU454" s="1"/>
  <c r="AW174"/>
  <c r="AO174"/>
  <c r="AT174"/>
  <c r="AU174" s="1"/>
  <c r="AW194"/>
  <c r="AO194"/>
  <c r="AP194"/>
  <c r="AT194"/>
  <c r="AU194" s="1"/>
  <c r="AW359"/>
  <c r="AO359"/>
  <c r="AT359"/>
  <c r="AU359" s="1"/>
  <c r="AW299"/>
  <c r="AO299"/>
  <c r="AP299"/>
  <c r="AT299"/>
  <c r="AU299" s="1"/>
  <c r="AW363"/>
  <c r="AO363"/>
  <c r="AT363"/>
  <c r="AU363" s="1"/>
  <c r="AW453"/>
  <c r="AO453"/>
  <c r="AT453"/>
  <c r="AU453" s="1"/>
  <c r="AW38"/>
  <c r="AP38"/>
  <c r="AO38"/>
  <c r="AT38"/>
  <c r="AU38" s="1"/>
  <c r="AW329"/>
  <c r="AO329"/>
  <c r="AP329"/>
  <c r="AT329"/>
  <c r="AU329" s="1"/>
  <c r="AW85"/>
  <c r="AO85"/>
  <c r="AP85"/>
  <c r="AT85"/>
  <c r="AU85" s="1"/>
  <c r="AW217"/>
  <c r="AO217"/>
  <c r="AP217"/>
  <c r="AT217"/>
  <c r="AU217" s="1"/>
  <c r="AW426"/>
  <c r="AO426"/>
  <c r="AT426"/>
  <c r="AU426" s="1"/>
  <c r="AW167"/>
  <c r="AP167"/>
  <c r="AO167"/>
  <c r="AT167"/>
  <c r="AU167" s="1"/>
  <c r="AW477"/>
  <c r="AO477"/>
  <c r="AT477"/>
  <c r="AU477" s="1"/>
  <c r="AW301"/>
  <c r="AO301"/>
  <c r="AP301"/>
  <c r="AT301"/>
  <c r="AU301" s="1"/>
  <c r="AW192"/>
  <c r="AP192"/>
  <c r="AO192"/>
  <c r="AT192"/>
  <c r="AU192" s="1"/>
  <c r="AW418"/>
  <c r="AO418"/>
  <c r="AT418"/>
  <c r="AU418" s="1"/>
  <c r="AW425"/>
  <c r="AO425"/>
  <c r="AT425"/>
  <c r="AU425" s="1"/>
  <c r="AW175"/>
  <c r="AO175"/>
  <c r="AP175"/>
  <c r="AT175"/>
  <c r="AU175" s="1"/>
  <c r="AW506"/>
  <c r="AO506"/>
  <c r="AT506"/>
  <c r="AU506" s="1"/>
  <c r="AW391"/>
  <c r="AO391"/>
  <c r="AT391"/>
  <c r="AU391" s="1"/>
  <c r="AW193"/>
  <c r="AT193"/>
  <c r="AU193" s="1"/>
  <c r="AN311"/>
  <c r="AV311" s="1"/>
  <c r="AN292"/>
  <c r="AV292" s="1"/>
  <c r="AN312"/>
  <c r="AV312" s="1"/>
  <c r="AN346"/>
  <c r="AV346" s="1"/>
  <c r="AN290"/>
  <c r="AT345"/>
  <c r="AU345" s="1"/>
  <c r="AP345"/>
  <c r="AW345"/>
  <c r="AO345"/>
  <c r="AO291"/>
  <c r="AP291"/>
  <c r="AT291"/>
  <c r="AU291" s="1"/>
  <c r="AW291"/>
  <c r="AW118"/>
  <c r="AP118"/>
  <c r="AO118"/>
  <c r="AT118"/>
  <c r="AU118" s="1"/>
  <c r="AW119"/>
  <c r="AO119"/>
  <c r="AP119"/>
  <c r="AT119"/>
  <c r="AU119" s="1"/>
  <c r="AW430"/>
  <c r="AO430"/>
  <c r="AT430"/>
  <c r="AU430" s="1"/>
  <c r="AW378"/>
  <c r="AO378"/>
  <c r="AT378"/>
  <c r="AU378" s="1"/>
  <c r="AW398"/>
  <c r="AO398"/>
  <c r="AT398"/>
  <c r="AU398" s="1"/>
  <c r="AW248"/>
  <c r="AP248"/>
  <c r="AO248"/>
  <c r="AT248"/>
  <c r="AU248" s="1"/>
  <c r="AW422"/>
  <c r="AO422"/>
  <c r="AT422"/>
  <c r="AU422" s="1"/>
  <c r="AW446"/>
  <c r="AO446"/>
  <c r="AT446"/>
  <c r="AU446" s="1"/>
  <c r="AW333"/>
  <c r="AP333"/>
  <c r="AO333"/>
  <c r="AT333"/>
  <c r="AU333" s="1"/>
  <c r="AW419"/>
  <c r="AO419"/>
  <c r="AT419"/>
  <c r="AU419" s="1"/>
  <c r="AT78"/>
  <c r="AU78" s="1"/>
  <c r="AW78"/>
  <c r="AO78"/>
  <c r="AP78"/>
  <c r="AW256"/>
  <c r="AP256"/>
  <c r="AO256"/>
  <c r="AT256"/>
  <c r="AU256" s="1"/>
  <c r="AW400"/>
  <c r="AO400"/>
  <c r="AT400"/>
  <c r="AU400" s="1"/>
  <c r="AT375"/>
  <c r="AU375" s="1"/>
  <c r="AW375"/>
  <c r="AO375"/>
  <c r="AW386"/>
  <c r="AO386"/>
  <c r="AT386"/>
  <c r="AU386" s="1"/>
  <c r="AW249"/>
  <c r="AO249"/>
  <c r="AP249"/>
  <c r="AT249"/>
  <c r="AU249" s="1"/>
  <c r="AT377"/>
  <c r="AU377" s="1"/>
  <c r="AW377"/>
  <c r="AO377"/>
  <c r="AW129"/>
  <c r="AP129"/>
  <c r="AO129"/>
  <c r="AT129"/>
  <c r="AU129" s="1"/>
  <c r="AW384"/>
  <c r="AO384"/>
  <c r="AT384"/>
  <c r="AU384" s="1"/>
  <c r="AW387"/>
  <c r="AO387"/>
  <c r="AT387"/>
  <c r="AU387" s="1"/>
  <c r="AW431"/>
  <c r="AO431"/>
  <c r="AT431"/>
  <c r="AU431" s="1"/>
  <c r="AW257"/>
  <c r="AO257"/>
  <c r="AP257"/>
  <c r="AT257"/>
  <c r="AU257" s="1"/>
  <c r="AW344"/>
  <c r="AP344"/>
  <c r="AO344"/>
  <c r="AT344"/>
  <c r="AU344" s="1"/>
  <c r="AW420"/>
  <c r="AO420"/>
  <c r="AT420"/>
  <c r="AU420" s="1"/>
  <c r="AW385"/>
  <c r="AO385"/>
  <c r="AT385"/>
  <c r="AU385" s="1"/>
  <c r="AW343"/>
  <c r="AT343"/>
  <c r="AU343" s="1"/>
  <c r="AO343"/>
  <c r="AP343"/>
  <c r="AW330"/>
  <c r="AP330"/>
  <c r="AO330"/>
  <c r="AT330"/>
  <c r="AU330" s="1"/>
  <c r="AW247"/>
  <c r="AO247"/>
  <c r="AP247"/>
  <c r="AT247"/>
  <c r="AU247" s="1"/>
  <c r="AW376"/>
  <c r="AO376"/>
  <c r="AT376"/>
  <c r="AU376" s="1"/>
  <c r="AW399"/>
  <c r="AT399"/>
  <c r="AU399" s="1"/>
  <c r="AO399"/>
  <c r="AW339"/>
  <c r="AP339"/>
  <c r="AO339"/>
  <c r="AT339"/>
  <c r="AU339" s="1"/>
  <c r="AW432"/>
  <c r="AO432"/>
  <c r="AT432"/>
  <c r="AU432" s="1"/>
  <c r="AW421"/>
  <c r="AO421"/>
  <c r="AT421"/>
  <c r="AU421" s="1"/>
  <c r="AW429"/>
  <c r="AO429"/>
  <c r="AT429"/>
  <c r="AU429" s="1"/>
  <c r="AW338"/>
  <c r="AP338"/>
  <c r="AO338"/>
  <c r="AT338"/>
  <c r="AU338" s="1"/>
  <c r="AT456"/>
  <c r="AU456" s="1"/>
  <c r="AW456"/>
  <c r="AO456"/>
  <c r="AW130"/>
  <c r="AO130"/>
  <c r="AP130"/>
  <c r="AT130"/>
  <c r="AU130" s="1"/>
  <c r="AW137"/>
  <c r="AO137"/>
  <c r="AP137"/>
  <c r="AT137"/>
  <c r="AU137" s="1"/>
  <c r="AW445"/>
  <c r="AO445"/>
  <c r="AT445"/>
  <c r="AU445" s="1"/>
  <c r="AW32"/>
  <c r="AT32"/>
  <c r="AU32" s="1"/>
  <c r="AO32"/>
  <c r="AP32"/>
  <c r="AW303"/>
  <c r="AP303"/>
  <c r="AO303"/>
  <c r="AT303"/>
  <c r="AU303" s="1"/>
  <c r="AW439"/>
  <c r="AT439"/>
  <c r="AU439" s="1"/>
  <c r="AO439"/>
  <c r="AW13"/>
  <c r="AP13"/>
  <c r="AO13"/>
  <c r="AT13"/>
  <c r="AU13" s="1"/>
  <c r="AW189"/>
  <c r="AP189"/>
  <c r="AO189"/>
  <c r="AT189"/>
  <c r="AU189" s="1"/>
  <c r="AW306"/>
  <c r="AT306"/>
  <c r="AU306" s="1"/>
  <c r="AP306"/>
  <c r="AO306"/>
  <c r="AW403"/>
  <c r="AO403"/>
  <c r="AT403"/>
  <c r="AU403" s="1"/>
  <c r="AW503"/>
  <c r="AO503"/>
  <c r="AT503"/>
  <c r="AU503" s="1"/>
  <c r="AW136"/>
  <c r="AP136"/>
  <c r="AO136"/>
  <c r="AT136"/>
  <c r="AU136" s="1"/>
  <c r="AW440"/>
  <c r="AO440"/>
  <c r="AT440"/>
  <c r="AU440" s="1"/>
  <c r="AW409"/>
  <c r="AO409"/>
  <c r="AT409"/>
  <c r="AU409" s="1"/>
  <c r="AW30"/>
  <c r="AP30"/>
  <c r="AO30"/>
  <c r="AT30"/>
  <c r="AU30" s="1"/>
  <c r="AW511"/>
  <c r="AO511"/>
  <c r="AT511"/>
  <c r="AU511" s="1"/>
  <c r="AW444"/>
  <c r="AT444"/>
  <c r="AU444" s="1"/>
  <c r="AO444"/>
  <c r="AW178"/>
  <c r="AP178"/>
  <c r="AO178"/>
  <c r="AT178"/>
  <c r="AU178" s="1"/>
  <c r="AW37"/>
  <c r="AO37"/>
  <c r="AP37"/>
  <c r="AT37"/>
  <c r="AU37" s="1"/>
  <c r="AW410"/>
  <c r="AO410"/>
  <c r="AT410"/>
  <c r="AU410" s="1"/>
  <c r="AW289"/>
  <c r="AP289"/>
  <c r="AO289"/>
  <c r="AT289"/>
  <c r="AU289" s="1"/>
  <c r="AW484"/>
  <c r="AO484"/>
  <c r="AT484"/>
  <c r="AU484" s="1"/>
  <c r="AW226"/>
  <c r="AO226"/>
  <c r="AP226"/>
  <c r="AT226"/>
  <c r="AU226" s="1"/>
  <c r="AW401"/>
  <c r="AO401"/>
  <c r="AT401"/>
  <c r="AU401" s="1"/>
  <c r="AW287"/>
  <c r="AO287"/>
  <c r="AP287"/>
  <c r="AT287"/>
  <c r="AU287" s="1"/>
  <c r="AW392"/>
  <c r="AO392"/>
  <c r="AT392"/>
  <c r="AU392" s="1"/>
  <c r="AW298"/>
  <c r="AP298"/>
  <c r="AO298"/>
  <c r="AT298"/>
  <c r="AU298" s="1"/>
  <c r="AW98"/>
  <c r="AP98"/>
  <c r="AO98"/>
  <c r="AT98"/>
  <c r="AU98" s="1"/>
  <c r="AW31"/>
  <c r="AP31"/>
  <c r="AO31"/>
  <c r="AT31"/>
  <c r="AU31" s="1"/>
  <c r="AW402"/>
  <c r="AO402"/>
  <c r="AT402"/>
  <c r="AU402" s="1"/>
  <c r="AW225"/>
  <c r="AP225"/>
  <c r="AO225"/>
  <c r="AT225"/>
  <c r="AU225" s="1"/>
  <c r="AW490"/>
  <c r="AO490"/>
  <c r="AT490"/>
  <c r="AU490" s="1"/>
  <c r="AW131"/>
  <c r="AO131"/>
  <c r="AP131"/>
  <c r="AT131"/>
  <c r="AU131" s="1"/>
  <c r="AW489"/>
  <c r="AO489"/>
  <c r="AT489"/>
  <c r="AU489" s="1"/>
  <c r="AW48"/>
  <c r="AP48"/>
  <c r="AO48"/>
  <c r="AT48"/>
  <c r="AU48" s="1"/>
  <c r="AW325"/>
  <c r="AP325"/>
  <c r="AO325"/>
  <c r="AT325"/>
  <c r="AU325" s="1"/>
  <c r="AW262"/>
  <c r="AP262"/>
  <c r="AO262"/>
  <c r="AT262"/>
  <c r="AU262" s="1"/>
  <c r="AW238"/>
  <c r="AO238"/>
  <c r="AP238"/>
  <c r="AT238"/>
  <c r="AU238" s="1"/>
  <c r="AW170"/>
  <c r="AO170"/>
  <c r="AP170"/>
  <c r="AT170"/>
  <c r="AU170" s="1"/>
  <c r="AW461"/>
  <c r="AO461"/>
  <c r="AT461"/>
  <c r="AU461" s="1"/>
  <c r="AW89"/>
  <c r="AP89"/>
  <c r="AO89"/>
  <c r="AT89"/>
  <c r="AU89" s="1"/>
  <c r="AW20"/>
  <c r="AO20"/>
  <c r="AP20"/>
  <c r="AT20"/>
  <c r="AU20" s="1"/>
  <c r="AW196"/>
  <c r="AP196"/>
  <c r="AO196"/>
  <c r="AT196"/>
  <c r="AU196" s="1"/>
  <c r="AW171"/>
  <c r="AP171"/>
  <c r="AO171"/>
  <c r="AT171"/>
  <c r="AU171" s="1"/>
  <c r="AW307"/>
  <c r="AP307"/>
  <c r="AO307"/>
  <c r="AT307"/>
  <c r="AU307" s="1"/>
  <c r="AW46"/>
  <c r="AO46"/>
  <c r="AP46"/>
  <c r="AT46"/>
  <c r="AU46" s="1"/>
  <c r="AT86"/>
  <c r="AU86" s="1"/>
  <c r="AW86"/>
  <c r="AO86"/>
  <c r="AP86"/>
  <c r="AW36"/>
  <c r="AP36"/>
  <c r="AO36"/>
  <c r="AT36"/>
  <c r="AU36" s="1"/>
  <c r="AW288"/>
  <c r="AO288"/>
  <c r="AP288"/>
  <c r="AT288"/>
  <c r="AU288" s="1"/>
  <c r="AW114"/>
  <c r="AP114"/>
  <c r="AO114"/>
  <c r="AT114"/>
  <c r="AU114" s="1"/>
  <c r="AW47"/>
  <c r="AP47"/>
  <c r="AO47"/>
  <c r="AT47"/>
  <c r="AU47" s="1"/>
  <c r="AW408"/>
  <c r="AO408"/>
  <c r="AT408"/>
  <c r="AU408" s="1"/>
  <c r="AW407"/>
  <c r="AO407"/>
  <c r="AT407"/>
  <c r="AU407" s="1"/>
  <c r="AW297"/>
  <c r="AP297"/>
  <c r="AO297"/>
  <c r="AT297"/>
  <c r="AU297" s="1"/>
  <c r="AO472"/>
  <c r="AW467"/>
  <c r="AT413"/>
  <c r="AU413" s="1"/>
  <c r="AT470"/>
  <c r="AU470" s="1"/>
  <c r="AO504"/>
  <c r="AW365"/>
  <c r="AW164"/>
  <c r="AO164"/>
  <c r="AP164"/>
  <c r="AT164"/>
  <c r="AU164" s="1"/>
  <c r="AW181"/>
  <c r="AO181"/>
  <c r="AP181"/>
  <c r="AT181"/>
  <c r="AU181" s="1"/>
  <c r="AW203"/>
  <c r="AO203"/>
  <c r="AP203"/>
  <c r="AT203"/>
  <c r="AU203" s="1"/>
  <c r="AW455"/>
  <c r="AO455"/>
  <c r="AT455"/>
  <c r="AU455" s="1"/>
  <c r="AW258"/>
  <c r="AO258"/>
  <c r="AP258"/>
  <c r="AT258"/>
  <c r="AU258" s="1"/>
  <c r="AW390"/>
  <c r="AO390"/>
  <c r="AT390"/>
  <c r="AU390" s="1"/>
  <c r="AW277"/>
  <c r="AO277"/>
  <c r="AP277"/>
  <c r="AT277"/>
  <c r="AU277" s="1"/>
  <c r="AW121"/>
  <c r="AO121"/>
  <c r="AP121"/>
  <c r="AT121"/>
  <c r="AU121" s="1"/>
  <c r="AW269"/>
  <c r="AO269"/>
  <c r="AP269"/>
  <c r="AT269"/>
  <c r="AU269" s="1"/>
  <c r="AO362"/>
  <c r="AW362"/>
  <c r="AT362"/>
  <c r="AU362" s="1"/>
  <c r="AO361"/>
  <c r="AW361"/>
  <c r="AT361"/>
  <c r="AU361" s="1"/>
  <c r="AW379"/>
  <c r="AO379"/>
  <c r="AT379"/>
  <c r="AU379" s="1"/>
  <c r="AW353"/>
  <c r="AO353"/>
  <c r="AP353"/>
  <c r="AT353"/>
  <c r="AU353" s="1"/>
  <c r="AW354"/>
  <c r="AO354"/>
  <c r="AP354"/>
  <c r="AT354"/>
  <c r="AU354" s="1"/>
  <c r="AW69"/>
  <c r="AO69"/>
  <c r="AP69"/>
  <c r="AT69"/>
  <c r="AU69" s="1"/>
  <c r="AW70"/>
  <c r="AO70"/>
  <c r="AP70"/>
  <c r="AT70"/>
  <c r="AU70" s="1"/>
  <c r="AW373"/>
  <c r="AO373"/>
  <c r="AT373"/>
  <c r="AU373" s="1"/>
  <c r="AW374"/>
  <c r="AO374"/>
  <c r="AT374"/>
  <c r="AU374" s="1"/>
  <c r="AW315"/>
  <c r="AO315"/>
  <c r="AP315"/>
  <c r="AT315"/>
  <c r="AU315" s="1"/>
  <c r="AW316"/>
  <c r="AO316"/>
  <c r="AP316"/>
  <c r="AT316"/>
  <c r="AU316" s="1"/>
  <c r="AO393"/>
  <c r="AW393"/>
  <c r="AT393"/>
  <c r="AU393" s="1"/>
  <c r="AO394"/>
  <c r="AW394"/>
  <c r="AT394"/>
  <c r="AU394" s="1"/>
  <c r="AP331"/>
  <c r="AO331"/>
  <c r="AW331"/>
  <c r="AT331"/>
  <c r="AU331" s="1"/>
  <c r="AP332"/>
  <c r="AO332"/>
  <c r="AW332"/>
  <c r="AT332"/>
  <c r="AU332" s="1"/>
  <c r="AW452"/>
  <c r="AO452"/>
  <c r="AT452"/>
  <c r="AU452" s="1"/>
  <c r="AW372"/>
  <c r="AO372"/>
  <c r="AT372"/>
  <c r="AU372" s="1"/>
  <c r="AT447"/>
  <c r="AU447" s="1"/>
  <c r="AW447"/>
  <c r="AO447"/>
  <c r="AW369"/>
  <c r="AO369"/>
  <c r="AT369"/>
  <c r="AU369" s="1"/>
  <c r="AW406"/>
  <c r="AO406"/>
  <c r="AT406"/>
  <c r="AU406" s="1"/>
  <c r="AW5"/>
  <c r="AO5"/>
  <c r="AP5"/>
  <c r="AT5"/>
  <c r="AU5" s="1"/>
  <c r="AW512"/>
  <c r="AO512"/>
  <c r="AT512"/>
  <c r="AU512" s="1"/>
  <c r="AW441"/>
  <c r="AO441"/>
  <c r="AT441"/>
  <c r="AU441" s="1"/>
  <c r="AW442"/>
  <c r="AO442"/>
  <c r="AT442"/>
  <c r="AU442" s="1"/>
  <c r="AW443"/>
  <c r="AO443"/>
  <c r="AT443"/>
  <c r="AU443" s="1"/>
  <c r="AW423"/>
  <c r="AO423"/>
  <c r="AT423"/>
  <c r="AU423" s="1"/>
  <c r="AW424"/>
  <c r="AO424"/>
  <c r="AT424"/>
  <c r="AU424" s="1"/>
  <c r="AW507"/>
  <c r="AO507"/>
  <c r="AT507"/>
  <c r="AU507" s="1"/>
  <c r="AW516"/>
  <c r="AO516"/>
  <c r="AT516"/>
  <c r="AU516" s="1"/>
  <c r="AW486"/>
  <c r="AO486"/>
  <c r="AT486"/>
  <c r="AU486" s="1"/>
  <c r="AW184"/>
  <c r="AO184"/>
  <c r="AP184"/>
  <c r="AT184"/>
  <c r="AU184" s="1"/>
  <c r="AW209"/>
  <c r="AO209"/>
  <c r="AP209"/>
  <c r="AT209"/>
  <c r="AU209" s="1"/>
  <c r="AW411"/>
  <c r="AO411"/>
  <c r="AT411"/>
  <c r="AU411" s="1"/>
  <c r="AW412"/>
  <c r="AO412"/>
  <c r="AT412"/>
  <c r="AU412" s="1"/>
  <c r="AW146"/>
  <c r="AO146"/>
  <c r="AP146"/>
  <c r="AT146"/>
  <c r="AU146" s="1"/>
  <c r="AW465"/>
  <c r="AO465"/>
  <c r="AT465"/>
  <c r="AU465" s="1"/>
  <c r="AW466"/>
  <c r="AO466"/>
  <c r="AT466"/>
  <c r="AU466" s="1"/>
  <c r="AW435"/>
  <c r="AO435"/>
  <c r="AT435"/>
  <c r="AU435" s="1"/>
  <c r="AW436"/>
  <c r="AO436"/>
  <c r="AT436"/>
  <c r="AU436" s="1"/>
  <c r="AT493"/>
  <c r="AU493" s="1"/>
  <c r="AW493"/>
  <c r="AO493"/>
  <c r="AT494"/>
  <c r="AU494" s="1"/>
  <c r="AW494"/>
  <c r="AO494"/>
  <c r="AW518"/>
  <c r="AO518"/>
  <c r="AT518"/>
  <c r="AU518" s="1"/>
  <c r="AW21"/>
  <c r="AO21"/>
  <c r="AP21"/>
  <c r="AT21"/>
  <c r="AU21" s="1"/>
  <c r="AW22"/>
  <c r="AO22"/>
  <c r="AP22"/>
  <c r="AT22"/>
  <c r="AU22" s="1"/>
  <c r="AW304"/>
  <c r="AO304"/>
  <c r="AP304"/>
  <c r="AT304"/>
  <c r="AU304" s="1"/>
  <c r="AW172"/>
  <c r="AO172"/>
  <c r="AP172"/>
  <c r="AT172"/>
  <c r="AU172" s="1"/>
  <c r="AW349"/>
  <c r="AO349"/>
  <c r="AP349"/>
  <c r="AT349"/>
  <c r="AU349" s="1"/>
  <c r="AW202"/>
  <c r="AO202"/>
  <c r="AP202"/>
  <c r="AT202"/>
  <c r="AU202" s="1"/>
  <c r="AW475"/>
  <c r="AO475"/>
  <c r="AT475"/>
  <c r="AU475" s="1"/>
  <c r="AW476"/>
  <c r="AO476"/>
  <c r="AT476"/>
  <c r="AU476" s="1"/>
  <c r="AW322"/>
  <c r="AO322"/>
  <c r="AP322"/>
  <c r="AT322"/>
  <c r="AU322" s="1"/>
  <c r="AW122"/>
  <c r="AO122"/>
  <c r="AP122"/>
  <c r="AT122"/>
  <c r="AU122" s="1"/>
  <c r="AW255"/>
  <c r="AO255"/>
  <c r="AP255"/>
  <c r="AT255"/>
  <c r="AU255" s="1"/>
  <c r="AW500"/>
  <c r="AO500"/>
  <c r="AT500"/>
  <c r="AU500" s="1"/>
  <c r="AW281"/>
  <c r="AO281"/>
  <c r="AT281"/>
  <c r="AU281" s="1"/>
  <c r="AT514"/>
  <c r="AU514" s="1"/>
  <c r="AW514"/>
  <c r="AO514"/>
  <c r="AW448"/>
  <c r="AO448"/>
  <c r="AT448"/>
  <c r="AU448" s="1"/>
  <c r="AW449"/>
  <c r="AO449"/>
  <c r="AT449"/>
  <c r="AU449" s="1"/>
  <c r="AT513"/>
  <c r="AU513" s="1"/>
  <c r="AW513"/>
  <c r="AO513"/>
  <c r="AW39"/>
  <c r="AO39"/>
  <c r="AP39"/>
  <c r="AT39"/>
  <c r="AU39" s="1"/>
  <c r="AW481"/>
  <c r="AO481"/>
  <c r="AT481"/>
  <c r="AU481" s="1"/>
  <c r="AW482"/>
  <c r="AO482"/>
  <c r="AT482"/>
  <c r="AU482" s="1"/>
  <c r="AW483"/>
  <c r="AO483"/>
  <c r="AT483"/>
  <c r="AU483" s="1"/>
  <c r="AW33"/>
  <c r="AO33"/>
  <c r="AP33"/>
  <c r="AT33"/>
  <c r="AU33" s="1"/>
  <c r="AW34"/>
  <c r="AO34"/>
  <c r="AP34"/>
  <c r="AT34"/>
  <c r="AU34" s="1"/>
  <c r="AW87"/>
  <c r="AO87"/>
  <c r="AP87"/>
  <c r="AT87"/>
  <c r="AU87" s="1"/>
  <c r="AW88"/>
  <c r="AO88"/>
  <c r="AP88"/>
  <c r="AT88"/>
  <c r="AU88" s="1"/>
  <c r="AW371"/>
  <c r="AO371"/>
  <c r="AT371"/>
  <c r="AU371" s="1"/>
  <c r="AW370"/>
  <c r="AO370"/>
  <c r="AT370"/>
  <c r="AU370" s="1"/>
  <c r="AW433"/>
  <c r="AO433"/>
  <c r="AT433"/>
  <c r="AU433" s="1"/>
  <c r="AW434"/>
  <c r="AO434"/>
  <c r="AT434"/>
  <c r="AU434" s="1"/>
  <c r="AW355"/>
  <c r="AO355"/>
  <c r="AP355"/>
  <c r="AT355"/>
  <c r="AU355" s="1"/>
  <c r="AW356"/>
  <c r="AO356"/>
  <c r="AP356"/>
  <c r="AT356"/>
  <c r="AU356" s="1"/>
  <c r="AW275"/>
  <c r="AO275"/>
  <c r="AP275"/>
  <c r="AT275"/>
  <c r="AU275" s="1"/>
  <c r="AW293"/>
  <c r="AO293"/>
  <c r="AP293"/>
  <c r="AT293"/>
  <c r="AU293" s="1"/>
  <c r="AW415"/>
  <c r="AO415"/>
  <c r="AT415"/>
  <c r="AU415" s="1"/>
  <c r="AW416"/>
  <c r="AO416"/>
  <c r="AT416"/>
  <c r="AU416" s="1"/>
  <c r="AW417"/>
  <c r="AO417"/>
  <c r="AT417"/>
  <c r="AU417" s="1"/>
  <c r="AP111"/>
  <c r="AP123"/>
  <c r="AO123"/>
  <c r="AP124"/>
  <c r="AP125"/>
  <c r="AP65"/>
  <c r="AP160"/>
  <c r="AP229"/>
  <c r="AP77"/>
  <c r="AP199"/>
  <c r="AP152"/>
  <c r="AP154"/>
  <c r="AP155"/>
  <c r="AP96"/>
  <c r="AP97"/>
  <c r="AP259"/>
  <c r="AP57"/>
  <c r="AP271"/>
  <c r="AP73"/>
  <c r="AP83"/>
  <c r="AO463"/>
  <c r="AT463"/>
  <c r="AU463" s="1"/>
  <c r="AW463"/>
  <c r="AO462"/>
  <c r="AT462"/>
  <c r="AU462" s="1"/>
  <c r="AW462"/>
  <c r="AO414"/>
  <c r="AT414"/>
  <c r="AU414" s="1"/>
  <c r="AW414"/>
  <c r="AO57"/>
  <c r="AO517"/>
  <c r="AT517"/>
  <c r="AU517" s="1"/>
  <c r="AW517"/>
  <c r="AO471"/>
  <c r="AT471"/>
  <c r="AU471" s="1"/>
  <c r="AW471"/>
  <c r="AO492"/>
  <c r="AT492"/>
  <c r="AU492" s="1"/>
  <c r="AW492"/>
  <c r="AO491"/>
  <c r="AT491"/>
  <c r="AU491" s="1"/>
  <c r="AW491"/>
  <c r="AO468"/>
  <c r="AT468"/>
  <c r="AU468" s="1"/>
  <c r="AW468"/>
  <c r="AO469"/>
  <c r="AT469"/>
  <c r="AU469" s="1"/>
  <c r="AW469"/>
  <c r="AO509"/>
  <c r="AT509"/>
  <c r="AU509" s="1"/>
  <c r="AW509"/>
  <c r="AP308"/>
  <c r="AO308"/>
  <c r="AT308"/>
  <c r="AU308" s="1"/>
  <c r="AW308"/>
  <c r="AP309"/>
  <c r="AO309"/>
  <c r="AT309"/>
  <c r="AU309" s="1"/>
  <c r="AW309"/>
  <c r="AP310"/>
  <c r="AO310"/>
  <c r="AT310"/>
  <c r="AU310" s="1"/>
  <c r="AW310"/>
  <c r="AW3"/>
  <c r="AO3"/>
  <c r="AP3"/>
  <c r="AT3"/>
  <c r="AU3" s="1"/>
  <c r="AW2"/>
  <c r="AO2"/>
  <c r="AP2"/>
  <c r="AT2"/>
  <c r="AU2" s="1"/>
  <c r="AW208"/>
  <c r="AO208"/>
  <c r="AP208"/>
  <c r="AT208"/>
  <c r="AU208" s="1"/>
  <c r="AO207"/>
  <c r="AP207"/>
  <c r="AW25"/>
  <c r="AO25"/>
  <c r="AP25"/>
  <c r="AT25"/>
  <c r="AU25" s="1"/>
  <c r="AW24"/>
  <c r="AO24"/>
  <c r="AP24"/>
  <c r="AT24"/>
  <c r="AU24" s="1"/>
  <c r="AW120"/>
  <c r="AO120"/>
  <c r="AP120"/>
  <c r="AT120"/>
  <c r="AU120" s="1"/>
  <c r="AW183"/>
  <c r="AO183"/>
  <c r="AP183"/>
  <c r="AT183"/>
  <c r="AU183" s="1"/>
  <c r="AW274"/>
  <c r="AO274"/>
  <c r="AP274"/>
  <c r="AT274"/>
  <c r="AU274" s="1"/>
  <c r="AO273"/>
  <c r="AP273"/>
  <c r="AO261"/>
  <c r="AP261"/>
  <c r="AW318"/>
  <c r="AO318"/>
  <c r="AP318"/>
  <c r="AT318"/>
  <c r="AU318" s="1"/>
  <c r="AO71"/>
  <c r="AP71"/>
  <c r="AW266"/>
  <c r="AO266"/>
  <c r="AP266"/>
  <c r="AT266"/>
  <c r="AU266" s="1"/>
  <c r="AW106"/>
  <c r="AO106"/>
  <c r="AP106"/>
  <c r="AT106"/>
  <c r="AU106" s="1"/>
  <c r="AW105"/>
  <c r="AO105"/>
  <c r="AP105"/>
  <c r="AT105"/>
  <c r="AU105" s="1"/>
  <c r="AW55"/>
  <c r="AO55"/>
  <c r="AP55"/>
  <c r="AT55"/>
  <c r="AU55" s="1"/>
  <c r="AW10"/>
  <c r="AO10"/>
  <c r="AP10"/>
  <c r="AT10"/>
  <c r="AU10" s="1"/>
  <c r="AW9"/>
  <c r="AO9"/>
  <c r="AP9"/>
  <c r="AT9"/>
  <c r="AU9" s="1"/>
  <c r="AW12"/>
  <c r="AO12"/>
  <c r="AP12"/>
  <c r="AT12"/>
  <c r="AU12" s="1"/>
  <c r="AW11"/>
  <c r="AO11"/>
  <c r="AP11"/>
  <c r="AT11"/>
  <c r="AU11" s="1"/>
  <c r="AW166"/>
  <c r="AO166"/>
  <c r="AP166"/>
  <c r="AT166"/>
  <c r="AU166" s="1"/>
  <c r="AW317"/>
  <c r="AO317"/>
  <c r="AP317"/>
  <c r="AT317"/>
  <c r="AU317" s="1"/>
  <c r="AO337"/>
  <c r="AP337"/>
  <c r="AO336"/>
  <c r="AP336"/>
  <c r="AW60"/>
  <c r="AO60"/>
  <c r="AP60"/>
  <c r="AT60"/>
  <c r="AU60" s="1"/>
  <c r="AW59"/>
  <c r="AO59"/>
  <c r="AP59"/>
  <c r="AT59"/>
  <c r="AU59" s="1"/>
  <c r="AW108"/>
  <c r="AO108"/>
  <c r="AP108"/>
  <c r="AT108"/>
  <c r="AU108" s="1"/>
  <c r="AW107"/>
  <c r="AO107"/>
  <c r="AP107"/>
  <c r="AT107"/>
  <c r="AU107" s="1"/>
  <c r="AW214"/>
  <c r="AO214"/>
  <c r="AP214"/>
  <c r="AT214"/>
  <c r="AU214" s="1"/>
  <c r="AW213"/>
  <c r="AO213"/>
  <c r="AP213"/>
  <c r="AT213"/>
  <c r="AU213" s="1"/>
  <c r="AW185"/>
  <c r="AO185"/>
  <c r="AP185"/>
  <c r="AT185"/>
  <c r="AU185" s="1"/>
  <c r="AO193"/>
  <c r="AP193"/>
  <c r="AW165"/>
  <c r="AO165"/>
  <c r="AP165"/>
  <c r="AT165"/>
  <c r="AU165" s="1"/>
  <c r="AW153"/>
  <c r="AO153"/>
  <c r="AP153"/>
  <c r="AT153"/>
  <c r="AU153" s="1"/>
  <c r="AW135"/>
  <c r="AO135"/>
  <c r="AP135"/>
  <c r="AT135"/>
  <c r="AU135" s="1"/>
  <c r="AW134"/>
  <c r="AO134"/>
  <c r="AP134"/>
  <c r="AT134"/>
  <c r="AU134" s="1"/>
  <c r="AW515"/>
  <c r="AO515"/>
  <c r="AP515"/>
  <c r="AT515"/>
  <c r="AU515" s="1"/>
  <c r="AO72"/>
  <c r="AP72"/>
  <c r="AW260"/>
  <c r="AO260"/>
  <c r="AP260"/>
  <c r="AT260"/>
  <c r="AU260" s="1"/>
  <c r="AO110"/>
  <c r="AP110"/>
  <c r="AO109"/>
  <c r="AP109"/>
  <c r="AW510"/>
  <c r="AO510"/>
  <c r="AT510"/>
  <c r="AU510" s="1"/>
  <c r="AW508"/>
  <c r="AO508"/>
  <c r="AT508"/>
  <c r="AU508" s="1"/>
  <c r="AW233"/>
  <c r="AO233"/>
  <c r="AP233"/>
  <c r="AT233"/>
  <c r="AU233" s="1"/>
  <c r="AW232"/>
  <c r="AO232"/>
  <c r="AP232"/>
  <c r="AT232"/>
  <c r="AU232" s="1"/>
  <c r="AW438"/>
  <c r="AO438"/>
  <c r="AT438"/>
  <c r="AU438" s="1"/>
  <c r="AW437"/>
  <c r="AO437"/>
  <c r="AT437"/>
  <c r="AU437" s="1"/>
  <c r="AW84"/>
  <c r="AO84"/>
  <c r="AP84"/>
  <c r="AT84"/>
  <c r="AU84" s="1"/>
  <c r="AW64"/>
  <c r="AO64"/>
  <c r="AP64"/>
  <c r="AT64"/>
  <c r="AU64" s="1"/>
  <c r="AW147"/>
  <c r="AO147"/>
  <c r="AP147"/>
  <c r="AT147"/>
  <c r="AU147" s="1"/>
  <c r="AW113"/>
  <c r="AO113"/>
  <c r="AP113"/>
  <c r="AT113"/>
  <c r="AU113" s="1"/>
  <c r="AW158"/>
  <c r="AO158"/>
  <c r="AP158"/>
  <c r="AT158"/>
  <c r="AU158" s="1"/>
  <c r="AW157"/>
  <c r="AO157"/>
  <c r="AP157"/>
  <c r="AT157"/>
  <c r="AU157" s="1"/>
  <c r="AW156"/>
  <c r="AO156"/>
  <c r="AP156"/>
  <c r="AT156"/>
  <c r="AU156" s="1"/>
  <c r="AW82"/>
  <c r="AO82"/>
  <c r="AP82"/>
  <c r="AT82"/>
  <c r="AU82" s="1"/>
  <c r="AW294"/>
  <c r="AO294"/>
  <c r="AP294"/>
  <c r="AT294"/>
  <c r="AU294" s="1"/>
  <c r="AW348"/>
  <c r="AO348"/>
  <c r="AP348"/>
  <c r="AT348"/>
  <c r="AU348" s="1"/>
  <c r="AW347"/>
  <c r="AO347"/>
  <c r="AP347"/>
  <c r="AT347"/>
  <c r="AU347" s="1"/>
  <c r="AW231"/>
  <c r="AO231"/>
  <c r="AP231"/>
  <c r="AT231"/>
  <c r="AU231" s="1"/>
  <c r="AW230"/>
  <c r="AO230"/>
  <c r="AP230"/>
  <c r="AT230"/>
  <c r="AU230" s="1"/>
  <c r="AO42"/>
  <c r="AP42"/>
  <c r="AW41"/>
  <c r="AO41"/>
  <c r="AP41"/>
  <c r="AT41"/>
  <c r="AU41" s="1"/>
  <c r="AO40"/>
  <c r="AP40"/>
  <c r="AW61"/>
  <c r="AO61"/>
  <c r="AP61"/>
  <c r="AT61"/>
  <c r="AU61" s="1"/>
  <c r="AW151"/>
  <c r="AO151"/>
  <c r="AP151"/>
  <c r="AT151"/>
  <c r="AU151" s="1"/>
  <c r="AW150"/>
  <c r="AO150"/>
  <c r="AP150"/>
  <c r="AT150"/>
  <c r="AU150" s="1"/>
  <c r="AO19"/>
  <c r="AP19"/>
  <c r="AO18"/>
  <c r="AP18"/>
  <c r="AW161"/>
  <c r="AO161"/>
  <c r="AP161"/>
  <c r="AT161"/>
  <c r="AU161" s="1"/>
  <c r="AW236"/>
  <c r="AO236"/>
  <c r="AP236"/>
  <c r="AT236"/>
  <c r="AU236" s="1"/>
  <c r="AW235"/>
  <c r="AO235"/>
  <c r="AP235"/>
  <c r="AT235"/>
  <c r="AU235" s="1"/>
  <c r="AW14"/>
  <c r="AO14"/>
  <c r="AP14"/>
  <c r="AT14"/>
  <c r="AU14" s="1"/>
  <c r="AO51"/>
  <c r="AP51"/>
  <c r="AW50"/>
  <c r="AO50"/>
  <c r="AP50"/>
  <c r="AT50"/>
  <c r="AU50" s="1"/>
  <c r="AO49"/>
  <c r="AP49"/>
  <c r="AW201"/>
  <c r="AO201"/>
  <c r="AP201"/>
  <c r="AT201"/>
  <c r="AU201" s="1"/>
  <c r="AW200"/>
  <c r="AO200"/>
  <c r="AP200"/>
  <c r="AT200"/>
  <c r="AU200" s="1"/>
  <c r="AW76"/>
  <c r="AO76"/>
  <c r="AP76"/>
  <c r="AT76"/>
  <c r="AU76" s="1"/>
  <c r="AW75"/>
  <c r="AO75"/>
  <c r="AP75"/>
  <c r="AT75"/>
  <c r="AU75" s="1"/>
  <c r="AO280"/>
  <c r="AP280"/>
  <c r="AW279"/>
  <c r="AO279"/>
  <c r="AP279"/>
  <c r="AT279"/>
  <c r="AU279" s="1"/>
  <c r="AO278"/>
  <c r="AP278"/>
  <c r="AW168"/>
  <c r="AO168"/>
  <c r="AP168"/>
  <c r="AT168"/>
  <c r="AU168" s="1"/>
  <c r="AW270"/>
  <c r="AO270"/>
  <c r="AP270"/>
  <c r="AT270"/>
  <c r="AU270" s="1"/>
  <c r="AW35"/>
  <c r="AO35"/>
  <c r="AP35"/>
  <c r="AT35"/>
  <c r="AU35" s="1"/>
  <c r="AO163"/>
  <c r="AP163"/>
  <c r="AO162"/>
  <c r="AP162"/>
  <c r="AO54"/>
  <c r="AP54"/>
  <c r="AW53"/>
  <c r="AO53"/>
  <c r="AP53"/>
  <c r="AT53"/>
  <c r="AU53" s="1"/>
  <c r="AO52"/>
  <c r="AP52"/>
  <c r="AO188"/>
  <c r="AP188"/>
  <c r="AO94"/>
  <c r="AP94"/>
  <c r="AW68"/>
  <c r="AO68"/>
  <c r="AP68"/>
  <c r="AT68"/>
  <c r="AU68" s="1"/>
  <c r="AO67"/>
  <c r="AP67"/>
  <c r="AO66"/>
  <c r="AP66"/>
  <c r="AW221"/>
  <c r="AO221"/>
  <c r="AP221"/>
  <c r="AT221"/>
  <c r="AU221" s="1"/>
  <c r="AO220"/>
  <c r="AP220"/>
  <c r="AW186"/>
  <c r="AO186"/>
  <c r="AP186"/>
  <c r="AT186"/>
  <c r="AU186" s="1"/>
  <c r="AW245"/>
  <c r="AO245"/>
  <c r="AP245"/>
  <c r="AT245"/>
  <c r="AU245" s="1"/>
  <c r="AW244"/>
  <c r="AO244"/>
  <c r="AP244"/>
  <c r="AT244"/>
  <c r="AU244" s="1"/>
  <c r="AW243"/>
  <c r="AO243"/>
  <c r="AP243"/>
  <c r="AT243"/>
  <c r="AU243" s="1"/>
  <c r="AW242"/>
  <c r="AO242"/>
  <c r="AP242"/>
  <c r="AT242"/>
  <c r="AU242" s="1"/>
  <c r="AO241"/>
  <c r="AP241"/>
  <c r="AO240"/>
  <c r="AP240"/>
  <c r="AW239"/>
  <c r="AO239"/>
  <c r="AP239"/>
  <c r="AT239"/>
  <c r="AU239" s="1"/>
  <c r="AW43"/>
  <c r="AO43"/>
  <c r="AP43"/>
  <c r="AT43"/>
  <c r="AU43" s="1"/>
  <c r="AW45"/>
  <c r="AO45"/>
  <c r="AP45"/>
  <c r="AT45"/>
  <c r="AU45" s="1"/>
  <c r="AW44"/>
  <c r="AO44"/>
  <c r="AP44"/>
  <c r="AT44"/>
  <c r="AU44" s="1"/>
  <c r="AO103"/>
  <c r="AP103"/>
  <c r="AO102"/>
  <c r="AP102"/>
  <c r="AW342"/>
  <c r="AO342"/>
  <c r="AP342"/>
  <c r="AT342"/>
  <c r="AU342" s="1"/>
  <c r="AO341"/>
  <c r="AP341"/>
  <c r="AW205"/>
  <c r="AO205"/>
  <c r="AP205"/>
  <c r="AT205"/>
  <c r="AU205" s="1"/>
  <c r="AW204"/>
  <c r="AO204"/>
  <c r="AP204"/>
  <c r="AT204"/>
  <c r="AU204" s="1"/>
  <c r="AW219"/>
  <c r="AO219"/>
  <c r="AP219"/>
  <c r="AT219"/>
  <c r="AU219" s="1"/>
  <c r="AW218"/>
  <c r="AO218"/>
  <c r="AP218"/>
  <c r="AT218"/>
  <c r="AU218" s="1"/>
  <c r="AW191"/>
  <c r="AO191"/>
  <c r="AP191"/>
  <c r="AT191"/>
  <c r="AU191" s="1"/>
  <c r="AW190"/>
  <c r="AO190"/>
  <c r="AP190"/>
  <c r="AT190"/>
  <c r="AU190" s="1"/>
  <c r="AW17"/>
  <c r="AO17"/>
  <c r="AP17"/>
  <c r="AT17"/>
  <c r="AU17" s="1"/>
  <c r="AW8"/>
  <c r="AO8"/>
  <c r="AP8"/>
  <c r="AT8"/>
  <c r="AU8" s="1"/>
  <c r="AW7"/>
  <c r="AO7"/>
  <c r="AP7"/>
  <c r="AT7"/>
  <c r="AU7" s="1"/>
  <c r="AO4"/>
  <c r="AP4"/>
  <c r="AW140"/>
  <c r="AO140"/>
  <c r="AP140"/>
  <c r="AT140"/>
  <c r="AU140" s="1"/>
  <c r="AO328"/>
  <c r="AP328"/>
  <c r="AW228"/>
  <c r="AO228"/>
  <c r="AP228"/>
  <c r="AT228"/>
  <c r="AU228" s="1"/>
  <c r="AO216"/>
  <c r="AP216"/>
  <c r="AW112"/>
  <c r="AO112"/>
  <c r="AP112"/>
  <c r="AT112"/>
  <c r="AU112" s="1"/>
  <c r="AW29"/>
  <c r="AO29"/>
  <c r="AP29"/>
  <c r="AT29"/>
  <c r="AU29" s="1"/>
  <c r="AW195"/>
  <c r="AO195"/>
  <c r="AP195"/>
  <c r="AT195"/>
  <c r="AU195" s="1"/>
  <c r="AW474"/>
  <c r="AO474"/>
  <c r="AT474"/>
  <c r="AU474" s="1"/>
  <c r="AW473"/>
  <c r="AO473"/>
  <c r="AT473"/>
  <c r="AU473" s="1"/>
  <c r="AW276"/>
  <c r="AO276"/>
  <c r="AP276"/>
  <c r="AT276"/>
  <c r="AU276" s="1"/>
  <c r="AW23"/>
  <c r="AO23"/>
  <c r="AP23"/>
  <c r="AT23"/>
  <c r="AU23" s="1"/>
  <c r="AW227"/>
  <c r="AO227"/>
  <c r="AP227"/>
  <c r="AT227"/>
  <c r="AU227" s="1"/>
  <c r="AW26"/>
  <c r="AO26"/>
  <c r="AP26"/>
  <c r="AT26"/>
  <c r="AU26" s="1"/>
  <c r="AW56"/>
  <c r="AO56"/>
  <c r="AP56"/>
  <c r="AT56"/>
  <c r="AU56" s="1"/>
  <c r="AW488"/>
  <c r="AO488"/>
  <c r="AT488"/>
  <c r="AU488" s="1"/>
  <c r="AW487"/>
  <c r="AO487"/>
  <c r="AT487"/>
  <c r="AU487" s="1"/>
  <c r="AW133"/>
  <c r="AO133"/>
  <c r="AP133"/>
  <c r="AT133"/>
  <c r="AU133" s="1"/>
  <c r="AO159"/>
  <c r="AP159"/>
  <c r="AW180"/>
  <c r="AO180"/>
  <c r="AP180"/>
  <c r="AT180"/>
  <c r="AU180" s="1"/>
  <c r="AW305"/>
  <c r="AO305"/>
  <c r="AP305"/>
  <c r="AT305"/>
  <c r="AU305" s="1"/>
  <c r="AW182"/>
  <c r="AO182"/>
  <c r="AP182"/>
  <c r="AT182"/>
  <c r="AU182" s="1"/>
  <c r="AO28"/>
  <c r="AP28"/>
  <c r="AW100"/>
  <c r="AO100"/>
  <c r="AP100"/>
  <c r="AT100"/>
  <c r="AU100" s="1"/>
  <c r="AW99"/>
  <c r="AO99"/>
  <c r="AP99"/>
  <c r="AT99"/>
  <c r="AU99" s="1"/>
  <c r="AO252"/>
  <c r="AP252"/>
  <c r="AW251"/>
  <c r="AO251"/>
  <c r="AP251"/>
  <c r="AT251"/>
  <c r="AU251" s="1"/>
  <c r="AO250"/>
  <c r="AP250"/>
  <c r="AW206"/>
  <c r="AO206"/>
  <c r="AP206"/>
  <c r="AT206"/>
  <c r="AU206" s="1"/>
  <c r="AW264"/>
  <c r="AO264"/>
  <c r="AP264"/>
  <c r="AT264"/>
  <c r="AU264" s="1"/>
  <c r="AW263"/>
  <c r="AO263"/>
  <c r="AP263"/>
  <c r="AT263"/>
  <c r="AU263" s="1"/>
  <c r="AW143"/>
  <c r="AO143"/>
  <c r="AP143"/>
  <c r="AT143"/>
  <c r="AU143" s="1"/>
  <c r="AW210"/>
  <c r="AO210"/>
  <c r="AP210"/>
  <c r="AT210"/>
  <c r="AU210" s="1"/>
  <c r="AW27"/>
  <c r="AO27"/>
  <c r="AP27"/>
  <c r="AT27"/>
  <c r="AU27" s="1"/>
  <c r="AW265"/>
  <c r="AO265"/>
  <c r="AP265"/>
  <c r="AT265"/>
  <c r="AU265" s="1"/>
  <c r="AW173"/>
  <c r="AO173"/>
  <c r="AP173"/>
  <c r="AT173"/>
  <c r="AU173" s="1"/>
  <c r="AO149"/>
  <c r="AP149"/>
  <c r="AW16"/>
  <c r="AO16"/>
  <c r="AP16"/>
  <c r="AT16"/>
  <c r="AU16" s="1"/>
  <c r="AW15"/>
  <c r="AO15"/>
  <c r="AP15"/>
  <c r="AT15"/>
  <c r="AU15" s="1"/>
  <c r="AW6"/>
  <c r="AO6"/>
  <c r="AP6"/>
  <c r="AT6"/>
  <c r="AU6" s="1"/>
  <c r="AO93"/>
  <c r="AP93"/>
  <c r="AP290" l="1"/>
  <c r="AV290"/>
  <c r="AO290"/>
  <c r="S290"/>
  <c r="AP311"/>
  <c r="S311"/>
  <c r="AP346"/>
  <c r="S346"/>
  <c r="AW312"/>
  <c r="S312"/>
  <c r="AT292"/>
  <c r="AU292" s="1"/>
  <c r="S292"/>
  <c r="AT311"/>
  <c r="AU311" s="1"/>
  <c r="AO311"/>
  <c r="AW311"/>
  <c r="AT290"/>
  <c r="AU290" s="1"/>
  <c r="AW290"/>
  <c r="AT312"/>
  <c r="AU312" s="1"/>
  <c r="AO346"/>
  <c r="AW292"/>
  <c r="AW346"/>
  <c r="AO312"/>
  <c r="AP312"/>
  <c r="AO292"/>
  <c r="AT346"/>
  <c r="AU346" s="1"/>
  <c r="AP292"/>
  <c r="AT472"/>
  <c r="AU472" s="1"/>
  <c r="AW472"/>
  <c r="AT467"/>
  <c r="AU467" s="1"/>
  <c r="AW504"/>
  <c r="AT504"/>
  <c r="AU504" s="1"/>
  <c r="AO365"/>
  <c r="AO467"/>
  <c r="AT365"/>
  <c r="AU365" s="1"/>
  <c r="AO470"/>
  <c r="AW470"/>
  <c r="AO413"/>
  <c r="AW413"/>
  <c r="AW199"/>
  <c r="AO155"/>
  <c r="AO96"/>
  <c r="AO91"/>
  <c r="AT125"/>
  <c r="AU125" s="1"/>
  <c r="AO77"/>
  <c r="AO111"/>
  <c r="AW77"/>
  <c r="AW229"/>
  <c r="AW65"/>
  <c r="AO65"/>
  <c r="AO160"/>
  <c r="AO199"/>
  <c r="AW96"/>
  <c r="AT96"/>
  <c r="AU96" s="1"/>
  <c r="AP92"/>
  <c r="AO92"/>
  <c r="AT65"/>
  <c r="AU65" s="1"/>
  <c r="AT199"/>
  <c r="AU199" s="1"/>
  <c r="AO259"/>
  <c r="AO124"/>
  <c r="AT229"/>
  <c r="AU229" s="1"/>
  <c r="AO154"/>
  <c r="AW155"/>
  <c r="AW57"/>
  <c r="AT123"/>
  <c r="AU123" s="1"/>
  <c r="AO97"/>
  <c r="AW111"/>
  <c r="AO152"/>
  <c r="AO148"/>
  <c r="AW160"/>
  <c r="AW152"/>
  <c r="AT124"/>
  <c r="AU124" s="1"/>
  <c r="AT154"/>
  <c r="AU154" s="1"/>
  <c r="AT259"/>
  <c r="AU259" s="1"/>
  <c r="AO271"/>
  <c r="AW97"/>
  <c r="AT111"/>
  <c r="AU111" s="1"/>
  <c r="AT148"/>
  <c r="AW124"/>
  <c r="AO229"/>
  <c r="AW154"/>
  <c r="AW259"/>
  <c r="AP148"/>
  <c r="AW123"/>
  <c r="AO125"/>
  <c r="AT160"/>
  <c r="AU160" s="1"/>
  <c r="AT77"/>
  <c r="AU77" s="1"/>
  <c r="AT155"/>
  <c r="AU155" s="1"/>
  <c r="AT97"/>
  <c r="AU97" s="1"/>
  <c r="AT271"/>
  <c r="AU271" s="1"/>
  <c r="AW83"/>
  <c r="AP91"/>
  <c r="AW125"/>
  <c r="AT152"/>
  <c r="AU152" s="1"/>
  <c r="AT57"/>
  <c r="AU57" s="1"/>
  <c r="AO73"/>
  <c r="AW271"/>
  <c r="AT73"/>
  <c r="AU73" s="1"/>
  <c r="AO83"/>
  <c r="AW73"/>
  <c r="AT83"/>
  <c r="AU83" s="1"/>
  <c r="AO117"/>
  <c r="AT117"/>
  <c r="AU117" s="1"/>
  <c r="AW117"/>
  <c r="AO74"/>
  <c r="AT74"/>
  <c r="AU74" s="1"/>
  <c r="AW74"/>
  <c r="AO58"/>
  <c r="AT58"/>
  <c r="AU58" s="1"/>
  <c r="AW58"/>
  <c r="AO286"/>
  <c r="AT286"/>
  <c r="AU286" s="1"/>
  <c r="AW286"/>
  <c r="AP117"/>
  <c r="AP74"/>
  <c r="AP58"/>
  <c r="AP286"/>
  <c r="AK148"/>
  <c r="AK91"/>
  <c r="AK92"/>
  <c r="AS326" l="1"/>
  <c r="AS152"/>
  <c r="AS97"/>
  <c r="AS155"/>
  <c r="AS117"/>
  <c r="AS57"/>
  <c r="AS77"/>
  <c r="AS365"/>
  <c r="AS312"/>
  <c r="AS389"/>
  <c r="AS222"/>
  <c r="AS396"/>
  <c r="AS505"/>
  <c r="AS485"/>
  <c r="AS359"/>
  <c r="AS192"/>
  <c r="AS248"/>
  <c r="AS330"/>
  <c r="AS13"/>
  <c r="AS484"/>
  <c r="AS407"/>
  <c r="AS277"/>
  <c r="AS452"/>
  <c r="AS443"/>
  <c r="AS322"/>
  <c r="AS513"/>
  <c r="AS462"/>
  <c r="AS108"/>
  <c r="AS185"/>
  <c r="AS239"/>
  <c r="AS451"/>
  <c r="AS480"/>
  <c r="AS498"/>
  <c r="AS283"/>
  <c r="AS300"/>
  <c r="AS271"/>
  <c r="AS160"/>
  <c r="AS259"/>
  <c r="AS199"/>
  <c r="AS96"/>
  <c r="AS467"/>
  <c r="AS346"/>
  <c r="AS311"/>
  <c r="AS502"/>
  <c r="AS499"/>
  <c r="AS267"/>
  <c r="AS357"/>
  <c r="AS327"/>
  <c r="AS299"/>
  <c r="AS391"/>
  <c r="AS400"/>
  <c r="AS247"/>
  <c r="AS189"/>
  <c r="AS226"/>
  <c r="AS297"/>
  <c r="AS121"/>
  <c r="AS447"/>
  <c r="AS516"/>
  <c r="AS122"/>
  <c r="AS482"/>
  <c r="AS491"/>
  <c r="AS107"/>
  <c r="AS438"/>
  <c r="AS43"/>
  <c r="AS144"/>
  <c r="AS479"/>
  <c r="AS464"/>
  <c r="AS253"/>
  <c r="AS234"/>
  <c r="AS73"/>
  <c r="AS83"/>
  <c r="AS111"/>
  <c r="AS154"/>
  <c r="AS123"/>
  <c r="AS229"/>
  <c r="AS65"/>
  <c r="AS290"/>
  <c r="AS237"/>
  <c r="AS319"/>
  <c r="AS497"/>
  <c r="AS314"/>
  <c r="AS404"/>
  <c r="AS477"/>
  <c r="AS345"/>
  <c r="AS384"/>
  <c r="AS421"/>
  <c r="AS409"/>
  <c r="AS490"/>
  <c r="AS470"/>
  <c r="AS269"/>
  <c r="AS406"/>
  <c r="AS465"/>
  <c r="AS255"/>
  <c r="AS433"/>
  <c r="AS60"/>
  <c r="AS214"/>
  <c r="AS279"/>
  <c r="AS45"/>
  <c r="AS177"/>
  <c r="AS169"/>
  <c r="AS224"/>
  <c r="AS63"/>
  <c r="AS74"/>
  <c r="AS58"/>
  <c r="AS286"/>
  <c r="AS27"/>
  <c r="AS245"/>
  <c r="AS10"/>
  <c r="AS228"/>
  <c r="AS168"/>
  <c r="AS161"/>
  <c r="AS348"/>
  <c r="AS143"/>
  <c r="AS41"/>
  <c r="AS105"/>
  <c r="AS2"/>
  <c r="AS415"/>
  <c r="AS202"/>
  <c r="AS22"/>
  <c r="AS195"/>
  <c r="AS165"/>
  <c r="AS180"/>
  <c r="AS219"/>
  <c r="AS201"/>
  <c r="AS232"/>
  <c r="AS274"/>
  <c r="AS243"/>
  <c r="AS55"/>
  <c r="AS8"/>
  <c r="AS68"/>
  <c r="AS56"/>
  <c r="AS276"/>
  <c r="AS157"/>
  <c r="AS64"/>
  <c r="AS468"/>
  <c r="AS275"/>
  <c r="AS88"/>
  <c r="AS483"/>
  <c r="AS486"/>
  <c r="AS316"/>
  <c r="AS413"/>
  <c r="AS262"/>
  <c r="AS287"/>
  <c r="AS439"/>
  <c r="AS376"/>
  <c r="AS119"/>
  <c r="AS364"/>
  <c r="AS268"/>
  <c r="AS368"/>
  <c r="AS282"/>
  <c r="AS296"/>
  <c r="AS428"/>
  <c r="AS493"/>
  <c r="AS441"/>
  <c r="AS181"/>
  <c r="AS288"/>
  <c r="AS171"/>
  <c r="AS461"/>
  <c r="AS392"/>
  <c r="AS503"/>
  <c r="AS339"/>
  <c r="AS431"/>
  <c r="AS333"/>
  <c r="AS193"/>
  <c r="AS85"/>
  <c r="AS454"/>
  <c r="AS519"/>
  <c r="AS496"/>
  <c r="AS215"/>
  <c r="AS104"/>
  <c r="AS458"/>
  <c r="AS145"/>
  <c r="AS246"/>
  <c r="AS120"/>
  <c r="AS309"/>
  <c r="AS463"/>
  <c r="AS475"/>
  <c r="AS412"/>
  <c r="AS332"/>
  <c r="AS69"/>
  <c r="AS258"/>
  <c r="AS402"/>
  <c r="AS440"/>
  <c r="AS399"/>
  <c r="AS256"/>
  <c r="AS167"/>
  <c r="AS80"/>
  <c r="AS211"/>
  <c r="AS141"/>
  <c r="AS264"/>
  <c r="AS510"/>
  <c r="AS15"/>
  <c r="AS221"/>
  <c r="AS14"/>
  <c r="AS230"/>
  <c r="AS294"/>
  <c r="AS206"/>
  <c r="AS134"/>
  <c r="AS106"/>
  <c r="AS3"/>
  <c r="AS371"/>
  <c r="AS349"/>
  <c r="AS21"/>
  <c r="AS342"/>
  <c r="AS12"/>
  <c r="AS7"/>
  <c r="AS205"/>
  <c r="AS150"/>
  <c r="AS233"/>
  <c r="AS210"/>
  <c r="AS50"/>
  <c r="AS16"/>
  <c r="AS190"/>
  <c r="AS76"/>
  <c r="AS26"/>
  <c r="AS473"/>
  <c r="AS158"/>
  <c r="AS84"/>
  <c r="AS517"/>
  <c r="AS356"/>
  <c r="AS87"/>
  <c r="AS449"/>
  <c r="AS466"/>
  <c r="AS423"/>
  <c r="AS315"/>
  <c r="AS86"/>
  <c r="AS325"/>
  <c r="AS401"/>
  <c r="AS32"/>
  <c r="AS387"/>
  <c r="AS118"/>
  <c r="AS212"/>
  <c r="AS132"/>
  <c r="AS450"/>
  <c r="AS358"/>
  <c r="AS313"/>
  <c r="AS501"/>
  <c r="AS435"/>
  <c r="AS393"/>
  <c r="AS164"/>
  <c r="AS36"/>
  <c r="AS196"/>
  <c r="AS31"/>
  <c r="AS37"/>
  <c r="AS306"/>
  <c r="AS343"/>
  <c r="AS249"/>
  <c r="AS446"/>
  <c r="AS175"/>
  <c r="AS329"/>
  <c r="AS284"/>
  <c r="AS380"/>
  <c r="AS350"/>
  <c r="AS90"/>
  <c r="AS127"/>
  <c r="AS323"/>
  <c r="AS457"/>
  <c r="AS324"/>
  <c r="AS24"/>
  <c r="AS308"/>
  <c r="AS416"/>
  <c r="AS494"/>
  <c r="AS507"/>
  <c r="AS331"/>
  <c r="AS354"/>
  <c r="AS455"/>
  <c r="AS289"/>
  <c r="AS303"/>
  <c r="AS420"/>
  <c r="AS419"/>
  <c r="AS426"/>
  <c r="AS360"/>
  <c r="AS116"/>
  <c r="AS187"/>
  <c r="AS487"/>
  <c r="AS153"/>
  <c r="AS251"/>
  <c r="AS35"/>
  <c r="AS235"/>
  <c r="AS231"/>
  <c r="AS82"/>
  <c r="AS29"/>
  <c r="AS317"/>
  <c r="AS266"/>
  <c r="AS469"/>
  <c r="AS39"/>
  <c r="AS172"/>
  <c r="AS265"/>
  <c r="AS186"/>
  <c r="AS6"/>
  <c r="AS17"/>
  <c r="AS75"/>
  <c r="AS151"/>
  <c r="AS508"/>
  <c r="AS133"/>
  <c r="AS135"/>
  <c r="AS305"/>
  <c r="AS218"/>
  <c r="AS99"/>
  <c r="AS227"/>
  <c r="AS140"/>
  <c r="AS113"/>
  <c r="AS437"/>
  <c r="AS414"/>
  <c r="AS355"/>
  <c r="AS34"/>
  <c r="AS514"/>
  <c r="AS209"/>
  <c r="AS512"/>
  <c r="AS374"/>
  <c r="AS170"/>
  <c r="AS48"/>
  <c r="AS511"/>
  <c r="AS338"/>
  <c r="AS377"/>
  <c r="AS418"/>
  <c r="AS397"/>
  <c r="AS335"/>
  <c r="AS128"/>
  <c r="AS79"/>
  <c r="AS176"/>
  <c r="AS223"/>
  <c r="AS411"/>
  <c r="AS361"/>
  <c r="AS47"/>
  <c r="AS46"/>
  <c r="AS20"/>
  <c r="AS98"/>
  <c r="AS178"/>
  <c r="AS137"/>
  <c r="AS344"/>
  <c r="AS386"/>
  <c r="AS430"/>
  <c r="AS425"/>
  <c r="AS38"/>
  <c r="AS115"/>
  <c r="AS351"/>
  <c r="AS381"/>
  <c r="AS142"/>
  <c r="AS197"/>
  <c r="AS427"/>
  <c r="AS126"/>
  <c r="AS383"/>
  <c r="AS25"/>
  <c r="AS509"/>
  <c r="AS370"/>
  <c r="AS436"/>
  <c r="AS442"/>
  <c r="AS394"/>
  <c r="AS353"/>
  <c r="AS408"/>
  <c r="AS410"/>
  <c r="AS445"/>
  <c r="AS129"/>
  <c r="AS378"/>
  <c r="AS194"/>
  <c r="AS459"/>
  <c r="AS366"/>
  <c r="AS334"/>
  <c r="AS242"/>
  <c r="AS11"/>
  <c r="AS488"/>
  <c r="AS270"/>
  <c r="AS236"/>
  <c r="AS347"/>
  <c r="AS173"/>
  <c r="AS244"/>
  <c r="AS9"/>
  <c r="AS208"/>
  <c r="AS471"/>
  <c r="AS281"/>
  <c r="AS304"/>
  <c r="AS263"/>
  <c r="AS515"/>
  <c r="AS182"/>
  <c r="AS191"/>
  <c r="AS200"/>
  <c r="AS61"/>
  <c r="AS260"/>
  <c r="AS112"/>
  <c r="AS166"/>
  <c r="AS474"/>
  <c r="AS204"/>
  <c r="AS100"/>
  <c r="AS23"/>
  <c r="AS156"/>
  <c r="AS147"/>
  <c r="AS318"/>
  <c r="AS293"/>
  <c r="AS434"/>
  <c r="AS33"/>
  <c r="AS500"/>
  <c r="AS184"/>
  <c r="AS372"/>
  <c r="AS362"/>
  <c r="AS238"/>
  <c r="AS489"/>
  <c r="AS403"/>
  <c r="AS429"/>
  <c r="AS422"/>
  <c r="AS363"/>
  <c r="AS321"/>
  <c r="AS272"/>
  <c r="AS254"/>
  <c r="AS81"/>
  <c r="AS460"/>
  <c r="AS518"/>
  <c r="AS424"/>
  <c r="AS203"/>
  <c r="AS114"/>
  <c r="AS307"/>
  <c r="AS89"/>
  <c r="AS298"/>
  <c r="AS136"/>
  <c r="AS130"/>
  <c r="AS257"/>
  <c r="AS78"/>
  <c r="AS291"/>
  <c r="AS217"/>
  <c r="AS453"/>
  <c r="AS367"/>
  <c r="AS198"/>
  <c r="AS495"/>
  <c r="AS405"/>
  <c r="AS138"/>
  <c r="AS382"/>
  <c r="AS62"/>
  <c r="AS183"/>
  <c r="AS310"/>
  <c r="AS492"/>
  <c r="AS481"/>
  <c r="AS146"/>
  <c r="AS369"/>
  <c r="AS70"/>
  <c r="AS379"/>
  <c r="AS225"/>
  <c r="AS444"/>
  <c r="AS432"/>
  <c r="AS375"/>
  <c r="AS506"/>
  <c r="AS174"/>
  <c r="AS352"/>
  <c r="AS320"/>
  <c r="AS285"/>
  <c r="AS124"/>
  <c r="AS125"/>
  <c r="AS504"/>
  <c r="AS472"/>
  <c r="AS292"/>
  <c r="AS388"/>
  <c r="AS101"/>
  <c r="AS179"/>
  <c r="AS295"/>
  <c r="AS395"/>
  <c r="AS301"/>
  <c r="AS398"/>
  <c r="AS385"/>
  <c r="AS456"/>
  <c r="AS30"/>
  <c r="AS131"/>
  <c r="AS390"/>
  <c r="AS373"/>
  <c r="AS5"/>
  <c r="AS476"/>
  <c r="AS448"/>
  <c r="AS417"/>
  <c r="AS59"/>
  <c r="AS213"/>
  <c r="AS53"/>
  <c r="AS44"/>
  <c r="AS139"/>
  <c r="AS340"/>
  <c r="AS478"/>
  <c r="AS302"/>
  <c r="AS95"/>
  <c r="AW207"/>
  <c r="AT207"/>
  <c r="AU207" s="1"/>
  <c r="AS207" s="1"/>
  <c r="AW91" l="1"/>
  <c r="AT91"/>
  <c r="AW92"/>
  <c r="AT92"/>
  <c r="AU92" s="1"/>
  <c r="AS92" s="1"/>
  <c r="AW93"/>
  <c r="AT93"/>
  <c r="AU93" s="1"/>
  <c r="AS93" s="1"/>
  <c r="AW149"/>
  <c r="AT149"/>
  <c r="AU149" s="1"/>
  <c r="AS149" s="1"/>
  <c r="AW250"/>
  <c r="AT250"/>
  <c r="AU250" s="1"/>
  <c r="AS250" s="1"/>
  <c r="AW252"/>
  <c r="AT252"/>
  <c r="AU252" s="1"/>
  <c r="AS252" s="1"/>
  <c r="AW28"/>
  <c r="AT28"/>
  <c r="AU28" s="1"/>
  <c r="AS28" s="1"/>
  <c r="AW159"/>
  <c r="AT159"/>
  <c r="AU159" s="1"/>
  <c r="AS159" s="1"/>
  <c r="AW216"/>
  <c r="AT216"/>
  <c r="AU216" s="1"/>
  <c r="AS216" s="1"/>
  <c r="AW328"/>
  <c r="AT328"/>
  <c r="AU328" s="1"/>
  <c r="AS328" s="1"/>
  <c r="AW4"/>
  <c r="AT4"/>
  <c r="AU4" s="1"/>
  <c r="AS4" s="1"/>
  <c r="AW102"/>
  <c r="AT102"/>
  <c r="AU102" s="1"/>
  <c r="AS102" s="1"/>
  <c r="AW103"/>
  <c r="AT103"/>
  <c r="AU103" s="1"/>
  <c r="AS103" s="1"/>
  <c r="AW240"/>
  <c r="AT240"/>
  <c r="AU240" s="1"/>
  <c r="AS240" s="1"/>
  <c r="AW241"/>
  <c r="AT241"/>
  <c r="AU241" s="1"/>
  <c r="AS241" s="1"/>
  <c r="AW220"/>
  <c r="AT220"/>
  <c r="AU220" s="1"/>
  <c r="AS220" s="1"/>
  <c r="AW66"/>
  <c r="AT66"/>
  <c r="AU66" s="1"/>
  <c r="AS66" s="1"/>
  <c r="AW67"/>
  <c r="AT67"/>
  <c r="AU67" s="1"/>
  <c r="AS67" s="1"/>
  <c r="AW94"/>
  <c r="AT94"/>
  <c r="AU94" s="1"/>
  <c r="AS94" s="1"/>
  <c r="AW188"/>
  <c r="AT188"/>
  <c r="AU188" s="1"/>
  <c r="AS188" s="1"/>
  <c r="AW52"/>
  <c r="AT52"/>
  <c r="AU52" s="1"/>
  <c r="AS52" s="1"/>
  <c r="AW54"/>
  <c r="AT54"/>
  <c r="AU54" s="1"/>
  <c r="AS54" s="1"/>
  <c r="AW162"/>
  <c r="AT162"/>
  <c r="AU162" s="1"/>
  <c r="AS162" s="1"/>
  <c r="AW163"/>
  <c r="AT163"/>
  <c r="AU163" s="1"/>
  <c r="AS163" s="1"/>
  <c r="AW278"/>
  <c r="AT278"/>
  <c r="AU278" s="1"/>
  <c r="AS278" s="1"/>
  <c r="AW280"/>
  <c r="AT280"/>
  <c r="AU280" s="1"/>
  <c r="AS280" s="1"/>
  <c r="AW49"/>
  <c r="AT49"/>
  <c r="AU49" s="1"/>
  <c r="AS49" s="1"/>
  <c r="AW51"/>
  <c r="AT51"/>
  <c r="AU51" s="1"/>
  <c r="AS51" s="1"/>
  <c r="AW19"/>
  <c r="AT19"/>
  <c r="AU19" s="1"/>
  <c r="AS19" s="1"/>
  <c r="AW40"/>
  <c r="AT40"/>
  <c r="AU40" s="1"/>
  <c r="AS40" s="1"/>
  <c r="AW42"/>
  <c r="AT42"/>
  <c r="AU42" s="1"/>
  <c r="AS42" s="1"/>
  <c r="AW109"/>
  <c r="AT109"/>
  <c r="AU109" s="1"/>
  <c r="AS109" s="1"/>
  <c r="AW110"/>
  <c r="AT110"/>
  <c r="AU110" s="1"/>
  <c r="AS110" s="1"/>
  <c r="AW72"/>
  <c r="AT72"/>
  <c r="AU72" s="1"/>
  <c r="AS72" s="1"/>
  <c r="AW336"/>
  <c r="AT336"/>
  <c r="AU336" s="1"/>
  <c r="AS336" s="1"/>
  <c r="AW337"/>
  <c r="AT337"/>
  <c r="AU337" s="1"/>
  <c r="AS337" s="1"/>
  <c r="AW71"/>
  <c r="AT71"/>
  <c r="AU71" s="1"/>
  <c r="AS71" s="1"/>
  <c r="AW261"/>
  <c r="AT261"/>
  <c r="AU261" s="1"/>
  <c r="AS261" s="1"/>
  <c r="AW273"/>
  <c r="AT273"/>
  <c r="AU273" s="1"/>
  <c r="AS273" s="1"/>
  <c r="AW341"/>
  <c r="AT341"/>
  <c r="AU341" s="1"/>
  <c r="AS341" s="1"/>
  <c r="AU148"/>
  <c r="AS148" s="1"/>
  <c r="AW148"/>
  <c r="AT18"/>
  <c r="AU91"/>
  <c r="AS91" s="1"/>
  <c r="AU18" l="1"/>
  <c r="AS18" s="1"/>
  <c r="AW18"/>
  <c r="K11" i="19"/>
  <c r="L11" s="1"/>
  <c r="H12" l="1"/>
  <c r="H13"/>
  <c r="H14"/>
  <c r="H15"/>
  <c r="H16"/>
  <c r="H17"/>
  <c r="H18"/>
  <c r="H19"/>
  <c r="H20"/>
  <c r="H21"/>
  <c r="H22"/>
  <c r="H23"/>
  <c r="K23" s="1"/>
  <c r="H25" l="1"/>
  <c r="L23"/>
  <c r="H24"/>
</calcChain>
</file>

<file path=xl/connections.xml><?xml version="1.0" encoding="utf-8"?>
<connections xmlns="http://schemas.openxmlformats.org/spreadsheetml/2006/main">
  <connection id="1" name="Conexão" type="4" refreshedVersion="0" background="1" saveData="1">
    <webPr url="http://download.finance.yahoo.com/d/quotes.csv?s=PITI3.SA&amp;f=nol1hgd1" htmlTables="1" htmlFormat="all"/>
  </connection>
  <connection id="2" name="Conexão1" type="4" refreshedVersion="0" background="1" saveData="1">
    <webPr url="http://download.finance.yahoo.com/d/quotes.csv?s=PITI3.SA&amp;f=nol1hgd1" htmlTables="1" htmlFormat="all"/>
  </connection>
  <connection id="3" name="Conexão10" type="4" refreshedVersion="3" background="1" saveData="1">
    <webPr xl2000="1" url="http://download.finance.yahoo.com/d/quotes.csv?s=IDVL3.SA+IDVL4.SA+BMEB3.SA+BMEB4.SA+BPNM3.SA+BPNM4.SA&amp;f=nol1hgd1" htmlFormat="all"/>
  </connection>
  <connection id="4" name="Conexão100" type="4" refreshedVersion="0" background="1" saveData="1">
    <webPr url="http://download.finance.yahoo.com/d/quotes.csv?s=ABCB4.SA+AELP3.SA+BAZA3.SA+BBAS3.SA+BBDC3.SA+BBDC4.SA+BEES3.SA+BEES4.SA+BGIP3.SA+BGIP4.SA+BICB3.SA+BICB4.SA+BMIN3.SA+BMIN4.SA+BNBR3.SA+BNBR4.SA+BRGE11.SA+BRGE12.SA+BRGE3.SA+BRGE5.SA+BRGE6.SA+BRGE7.SA+BRGE8.SA+BRIV3.SA+BRIV4.SA+BRSR3.SA+BRSR5.SA+BRSR6.SA+BSLI3.SA+BSLI4.SA+CASN3.SA+CEBR3.SA+CEBR5.SA+CEBR6.SA+CEEB3.SA+CEEB5.SA+CEPE5.SA+CEPE6.SA+CESP3.SA+CESP5.SA+CESP6.SA+CLSC4.SA+CMIG3.SA+CMIG4.SA+COCE3.SA+COCE5.SA+CPFE3.SA+CPLE3.SA+CPLE5.SA+CPLE6.SA+CSMG3.SA+CSRN3.SA+CSRN5.SA+CSRN6.SA+DAYC4.SA+EEEL3.SA+EEEL4.SA+ELET3.SA+ELET6.SA+ELPL3.SA+ELPL4.SA+EMAE4.SA+ENBR3.SA+ENGI11.SA+ENGI3.SA+ENGI4.SA+ENMA3B.SA+EQTL3.SA+FESA3.SA+FESA4.SA+GEPA3.SA+GEPA4.SA+GETI3.SA+GETI4.SA+GTDP3B.SA+GTDP4B.SA+ITSA3.SA+ITSA4.SA+ITUB3.SA+ITUB4.SA+KLBN3.SA+KLBN4.SA+LIGT3.SA+LIPR3.SA+PINE4.SA+PRBC4.SA+PSSA3.SA+RANI3.SA+RANI4.SA+RDTR3.SA+RPAD3.SA+RPAD5.SA+RPAD6.SA+SAPR3.SA+SAPR4.SA+SBSP3.SA+SFSA4.SA+SUZB5.SA+SUZB6.SA+TAEE11.SA+TBLE3.SA+TRPL3.SA+TRPL4.SA+UNIP5.SA+UNIP6.SA+PATI3.SA&amp;f=nol1hgd1" htmlTables="1" htmlFormat="all"/>
  </connection>
  <connection id="5" name="Conexão1001" type="4" refreshedVersion="3" deleted="1" background="1" saveData="1">
    <webPr xl2000="1" htmlTables="1" htmlFormat="all"/>
  </connection>
  <connection id="6" name="Conexão101" type="4" refreshedVersion="0" background="1" saveData="1">
    <webPr url="http://download.finance.yahoo.com/d/quotes.csv?s=ABCB3.SA+AFLT3.SA+AFLU3.SA+AFLU5.SA+AFLU6.SA+ALSC3.SA+ALUP11.SA+ALUP3.SA+ALUP4.SA+BAHI3.SA+BBSE3.SA+BRAP3.SA+BRAP4.SA+BRFS3.SA+BRIN3.SA+BRKM3.SA+BRKM5.SA+BRKM6.SA+BRML3.SA+BRPR3.SA+BVMF3.SA+CBEE3.SA+CCPR3.SA+CEEB6.SA+CELP3.SA+CELP5.SA+CELP6.SA+CELP7.SA+CIEL3.SA+CIQU3.SA+CIQU4.SA+clsc3.SA+CRIV3.SA+CRIV4.SA+CSAB3.SA+CSAB4.SA+CSAN3.SA+CTIP3.SA+DTEX3.SA+EBTP4.SA+ELEK3.SA+ELEK4.SA+elet5.SA+ETER3.SA+EUCA4.SA+GPAR3.SA+HBTS5.SA+IGTA3.SA+JBSS3.SA+JOPA3.SA+JOPA4.SA+LCAM3.SA+MAGG3.SA+MERC3.SA+MERC4.SA+MOAR3.SA+MULT3.SA+NUTR3M.SA+OIBR3.SA+OIBR4.SA+PATI4.SA+PETR3.SA+PETR4.SA+PRVI3.SA+PTPA4.SA+QGEP3.SA+SCAR3.SA+SMTO3.SA+SSBR3.SA+SULA11.SA+TERI3.SA+TIMP3.SA+TKNO4.SA+TRPN3.SA+UGPA3.SA+UNIP3.SA+VALE5.SA+VIGR3.SA+VIVT3.SA+VIVT4.SA+CEPE3.SA+COCE6.SA+ENMA5B.SA+ENMA6B.SA+CEED3.SA+CEED4.SA+EKTR3.SA+EKTR4.SA+ENEV3.SA+REDE3.SA+REDE4.SA+RNEW11.SA+RNEW3.SA+RNEW4.SA+TAEE3.SA+TAEE4.SA+CSAN4.SA+CGAS3.SA+CGAS5.SA+CEGR3.SA+INET3.SA+EBTP3.SA+MLFT3.SA+MLFT4.SA+LFFE3.SA+LFFE4.SA&amp;f=nol1hgd1" htmlTables="1" htmlFormat="all"/>
  </connection>
  <connection id="7" name="Conexão1010" type="4" refreshedVersion="3" background="1" saveData="1">
    <webPr xl2000="1" url="http://download.finance.yahoo.com/d/quotes.csv?s=IDVL3.SA+IDVL4.SA+BMEB3.SA+BMEB4.SA+BPNM3.SA+BPNM4.SA&amp;f=nol1hgd1" htmlFormat="all"/>
  </connection>
  <connection id="8" name="Conexão10101" type="4" refreshedVersion="3" background="1" saveData="1">
    <webPr xl2000="1" url="http://download.finance.yahoo.com/d/quotes.csv?s=IDVL3.SA+IDVL4.SA+BMEB3.SA+BMEB4.SA+BPNM3.SA+BPNM4.SA&amp;f=nol1hgd1" htmlFormat="all"/>
  </connection>
  <connection id="9" name="Conexão1011" type="4" refreshedVersion="0" deleted="1" background="1" saveData="1">
    <webPr htmlTables="1" htmlFormat="all"/>
  </connection>
  <connection id="10" name="Conexão102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+GSHP3.SA&amp;f=nol1hgd1" htmlFormat="all"/>
  </connection>
  <connection id="11" name="Conexão1021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+GSHP3.SA&amp;f=nol1hgd1" htmlFormat="all"/>
  </connection>
  <connection id="12" name="Conexão10211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+GSHP3.SA&amp;f=nol1hgd1" htmlFormat="all"/>
  </connection>
  <connection id="13" name="Conexão103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+GSHP3.SA+MNZC3B.SA&amp;f=nol1hgd1" htmlFormat="all"/>
  </connection>
  <connection id="14" name="Conexão1031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+GSHP3.SA+MNZC3B.SA&amp;f=nol1hgd1" htmlFormat="all"/>
  </connection>
  <connection id="15" name="Conexão10311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+GSHP3.SA+MNZC3B.SA&amp;f=nol1hgd1" htmlFormat="all"/>
  </connection>
  <connection id="16" name="Conexão10312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+GSHP3.SA+MNZC3B.SA&amp;f=nol1hgd1" htmlFormat="all"/>
  </connection>
  <connection id="17" name="Conexão104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+GSHP3.SA+MULT4.SA&amp;f=nol1hgd1" htmlFormat="all"/>
  </connection>
  <connection id="18" name="Conexão1041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+GSHP3.SA+MULT4.SA&amp;f=nol1hgd1" htmlFormat="all"/>
  </connection>
  <connection id="19" name="Conexão10411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+GSHP3.SA+MULT4.SA&amp;f=nol1hgd1" htmlFormat="all"/>
  </connection>
  <connection id="20" name="Conexão104111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+GSHP3.SA+MULT4.SA&amp;f=nol1hgd1" htmlFormat="all"/>
  </connection>
  <connection id="21" name="Conexão10412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+GSHP3.SA+MULT4.SA&amp;f=nol1hgd1" htmlFormat="all"/>
  </connection>
  <connection id="22" name="Conexão105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+GSHP3.SA+MULT4.SA+TEMP3.SA&amp;f=nol1hgd1" htmlFormat="all"/>
  </connection>
  <connection id="23" name="Conexão1051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+GSHP3.SA+MULT4.SA+TEMP3.SA&amp;f=nol1hgd1" htmlFormat="all"/>
  </connection>
  <connection id="24" name="Conexão10511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+GSHP3.SA+MULT4.SA+TEMP3.SA&amp;f=nol1hgd1" htmlFormat="all"/>
  </connection>
  <connection id="25" name="Conexão105111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+GSHP3.SA+MULT4.SA+TEMP3.SA&amp;f=nol1hgd1" htmlFormat="all"/>
  </connection>
  <connection id="26" name="Conexão10512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+GSHP3.SA+MULT4.SA+TEMP3.SA&amp;f=nol1hgd1" htmlFormat="all"/>
  </connection>
  <connection id="27" name="Conexão106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+GSHP3.SA+MULT4.SA+TEMP3.SA+DASA3.SA&amp;f=nol1hgd1" htmlFormat="all"/>
  </connection>
  <connection id="28" name="Conexão1061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+GSHP3.SA+MULT4.SA+TEMP3.SA+DASA3.SA&amp;f=nol1hgd1" htmlFormat="all"/>
  </connection>
  <connection id="29" name="Conexão10611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+GSHP3.SA+MULT4.SA+TEMP3.SA+DASA3.SA&amp;f=nol1hgd1" htmlFormat="all"/>
  </connection>
  <connection id="30" name="Conexão106111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+GSHP3.SA+MULT4.SA+TEMP3.SA+DASA3.SA&amp;f=nol1hgd1" htmlFormat="all"/>
  </connection>
  <connection id="31" name="Conexão10612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+GSHP3.SA+MULT4.SA+TEMP3.SA+DASA3.SA&amp;f=nol1hgd1" htmlFormat="all"/>
  </connection>
  <connection id="32" name="Conexão107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+GSHP3.SA+MULT4.SA+TEMP3.SA+DASA3.SA+FLRY3.SA&amp;f=nol1hgd1" htmlFormat="all"/>
  </connection>
  <connection id="33" name="Conexão1071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+GSHP3.SA+MULT4.SA+TEMP3.SA+DASA3.SA+FLRY3.SA&amp;f=nol1hgd1" htmlFormat="all"/>
  </connection>
  <connection id="34" name="Conexão10711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+GSHP3.SA+MULT4.SA+TEMP3.SA+DASA3.SA+FLRY3.SA&amp;f=nol1hgd1" htmlFormat="all"/>
  </connection>
  <connection id="35" name="Conexão107111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+GSHP3.SA+MULT4.SA+TEMP3.SA+DASA3.SA+FLRY3.SA&amp;f=nol1hgd1" htmlFormat="all"/>
  </connection>
  <connection id="36" name="Conexão10712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+GSHP3.SA+MULT4.SA+TEMP3.SA+DASA3.SA+FLRY3.SA&amp;f=nol1hgd1" htmlFormat="all"/>
  </connection>
  <connection id="37" name="Conexão108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+GSHP3.SA+MULT4.SA+TEMP3.SA+DASA3.SA+FLRY3.SA+ODPV3.SA&amp;f=nol1hgd1" htmlFormat="all"/>
  </connection>
  <connection id="38" name="Conexão1081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+GSHP3.SA+MULT4.SA+TEMP3.SA+DASA3.SA+FLRY3.SA+ODPV3.SA&amp;f=nol1hgd1" htmlFormat="all"/>
  </connection>
  <connection id="39" name="Conexão10811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+GSHP3.SA+MULT4.SA+TEMP3.SA+DASA3.SA+FLRY3.SA+ODPV3.SA&amp;f=nol1hgd1" htmlFormat="all"/>
  </connection>
  <connection id="40" name="Conexão10812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+GSHP3.SA+MULT4.SA+TEMP3.SA+DASA3.SA+FLRY3.SA+ODPV3.SA&amp;f=nol1hgd1" htmlFormat="all"/>
  </connection>
  <connection id="41" name="Conexão109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+GSHP3.SA+MULT4.SA+TEMP3.SA+DASA3.SA+FLRY3.SA+ODPV3.SA+QUAL3.SA&amp;f=nol1hgd1" htmlFormat="all"/>
  </connection>
  <connection id="42" name="Conexão1091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+GSHP3.SA+MULT4.SA+TEMP3.SA+DASA3.SA+FLRY3.SA+ODPV3.SA+QUAL3.SA&amp;f=nol1hgd1" htmlFormat="all"/>
  </connection>
  <connection id="43" name="Conexão10911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+GSHP3.SA+MULT4.SA+TEMP3.SA+DASA3.SA+FLRY3.SA+ODPV3.SA+QUAL3.SA&amp;f=nol1hgd1" htmlFormat="all"/>
  </connection>
  <connection id="44" name="Conexão10912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+GSHP3.SA+MULT4.SA+TEMP3.SA+DASA3.SA+FLRY3.SA+ODPV3.SA+QUAL3.SA&amp;f=nol1hgd1" htmlFormat="all"/>
  </connection>
  <connection id="45" name="Conexão11" type="4" refreshedVersion="0" background="1" saveData="1">
    <webPr url="http://download.finance.yahoo.com/d/quotes.csv?s=IDVL3.SA+IDVL4.SA+BMEB3.SA+BMEB4.SA+BPNM3.SA+BPNM4.SA+BPAT33.SA&amp;f=nol1hgd1" htmlTables="1" htmlFormat="all"/>
  </connection>
  <connection id="46" name="Conexão110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+GSHP3.SA+MULT4.SA+TEMP3.SA+DASA3.SA+FLRY3.SA+ODPV3.SA+QUAL3.SA+NRTQ3M.SA&amp;f=nol1hgd1" htmlFormat="all"/>
  </connection>
  <connection id="47" name="Conexão1101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+GSHP3.SA+MULT4.SA+TEMP3.SA+DASA3.SA+FLRY3.SA+ODPV3.SA+QUAL3.SA+NRTQ3M.SA&amp;f=nol1hgd1" htmlFormat="all"/>
  </connection>
  <connection id="48" name="Conexão11011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+GSHP3.SA+MULT4.SA+TEMP3.SA+DASA3.SA+FLRY3.SA+ODPV3.SA+QUAL3.SA+NRTQ3M.SA&amp;f=nol1hgd1" htmlFormat="all"/>
  </connection>
  <connection id="49" name="Conexão110111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+GSHP3.SA+MULT4.SA+TEMP3.SA+DASA3.SA+FLRY3.SA+ODPV3.SA+QUAL3.SA+NRTQ3M.SA&amp;f=nol1hgd1" htmlFormat="all"/>
  </connection>
  <connection id="50" name="Conexão11012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+GSHP3.SA+MULT4.SA+TEMP3.SA+DASA3.SA+FLRY3.SA+ODPV3.SA+QUAL3.SA+NRTQ3M.SA&amp;f=nol1hgd1" htmlFormat="all"/>
  </connection>
  <connection id="51" name="Conexão111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+GSHP3.SA+MULT4.SA+TEMP3.SA+DASA3.SA+FLRY3.SA+ODPV3.SA+QUAL3.SA+BIOM3M.SA&amp;f=nol1hgd1" htmlFormat="all"/>
  </connection>
  <connection id="52" name="Conexão1110" type="4" refreshedVersion="0" background="1" saveData="1">
    <webPr url="http://download.finance.yahoo.com/d/quotes.csv?s=IDVL3.SA+IDVL4.SA+BMEB3.SA+BMEB4.SA+BPNM3.SA+BPNM4.SA+BPAT33.SA&amp;f=nol1hgd1" htmlTables="1" htmlFormat="all"/>
  </connection>
  <connection id="53" name="Conexão11101" type="4" refreshedVersion="0" background="1" saveData="1">
    <webPr url="http://download.finance.yahoo.com/d/quotes.csv?s=IDVL3.SA+IDVL4.SA+BMEB3.SA+BMEB4.SA+BPNM3.SA+BPNM4.SA+BPAT33.SA&amp;f=nol1hgd1" htmlTables="1" htmlFormat="all"/>
  </connection>
  <connection id="54" name="Conexão1111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+GSHP3.SA+MULT4.SA+TEMP3.SA+DASA3.SA+FLRY3.SA+ODPV3.SA+QUAL3.SA+BIOM3M.SA&amp;f=nol1hgd1" htmlFormat="all"/>
  </connection>
  <connection id="55" name="Conexão11111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+GSHP3.SA+MULT4.SA+TEMP3.SA+DASA3.SA+FLRY3.SA+ODPV3.SA+QUAL3.SA+BIOM3M.SA&amp;f=nol1hgd1" htmlFormat="all"/>
  </connection>
  <connection id="56" name="Conexão111111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+GSHP3.SA+MULT4.SA+TEMP3.SA+DASA3.SA+FLRY3.SA+ODPV3.SA+QUAL3.SA+BIOM3M.SA&amp;f=nol1hgd1" htmlFormat="all"/>
  </connection>
  <connection id="57" name="Conexão11112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+GSHP3.SA+MULT4.SA+TEMP3.SA+DASA3.SA+FLRY3.SA+ODPV3.SA+QUAL3.SA+BIOM3M.SA&amp;f=nol1hgd1" htmlFormat="all"/>
  </connection>
  <connection id="58" name="Conexão112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+GSHP3.SA+MULT4.SA+TEMP3.SA+DASA3.SA+FLRY3.SA+ODPV3.SA+QUAL3.SA+BIOM3M.SA+CREM3.SA&amp;f=nol1hgd1" htmlFormat="all"/>
  </connection>
  <connection id="59" name="Conexão1121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+GSHP3.SA+MULT4.SA+TEMP3.SA+DASA3.SA+FLRY3.SA+ODPV3.SA+QUAL3.SA+BIOM3M.SA+CREM3.SA&amp;f=nol1hgd1" htmlFormat="all"/>
  </connection>
  <connection id="60" name="Conexão11211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+GSHP3.SA+MULT4.SA+TEMP3.SA+DASA3.SA+FLRY3.SA+ODPV3.SA+QUAL3.SA+BIOM3M.SA+CREM3.SA&amp;f=nol1hgd1" htmlFormat="all"/>
  </connection>
  <connection id="61" name="Conexão11212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+GSHP3.SA+MULT4.SA+TEMP3.SA+DASA3.SA+FLRY3.SA+ODPV3.SA+QUAL3.SA+BIOM3M.SA+CREM3.SA&amp;f=nol1hgd1" htmlFormat="all"/>
  </connection>
  <connection id="62" name="Conexão113" type="4" refreshedVersion="0" background="1" saveData="1">
    <webPr url="http://download.finance.yahoo.com/d/quotes.csv?s=ABCB4.SA+AELP3.SA+BAZA3.SA+BBAS3.SA+BBDC3.SA+BBDC4.SA+BEES3.SA+BEES4.SA+BGIP3.SA+BGIP4.SA+BICB3.SA+BICB4.SA+BMIN3.SA+BMIN4.SA+BNBR3.SA+BNBR4.SA+BRGE11.SA+BRGE12.SA+BRGE3.SA+BRGE5.SA+BRGE6.SA+BRGE7.SA+BRGE8.SA+BRIV3.SA+BRIV4.SA+BRSR3.SA+BRSR5.SA+BRSR6.SA+BSLI3.SA+BSLI4.SA+CASN3.SA+CEBR3.SA+CEBR5.SA+CEBR6.SA+CEEB3.SA+CEEB5.SA+CEPE5.SA+CEPE6.SA+CESP3.SA+CESP5.SA+CESP6.SA+CLSC4.SA+CMIG3.SA+CMIG4.SA+COCE3.SA+COCE5.SA+CPFE3.SA+CPLE3.SA+CPLE5.SA+CPLE6.SA+CSMG3.SA+CSRN3.SA+CSRN5.SA+CSRN6.SA+DAYC4.SA+EEEL3.SA+EEEL4.SA+ELET3.SA+ELET6.SA+ELPL3.SA+ELPL4.SA+EMAE4.SA+ENBR3.SA+ENGI11.SA+ENGI3.SA+ENGI4.SA+ENMA3B.SA+EQTL3.SA+FESA3.SA+FESA4.SA+GEPA3.SA+GEPA4.SA+GETI3.SA+GETI4.SA+GTDP3B.SA+GTDP4B.SA+ITSA3.SA+ITSA4.SA+ITUB3.SA+ITUB4.SA+KLBN3.SA+KLBN4.SA+LIGT3.SA+LIPR3.SA+PINE4.SA+PRBC4.SA+PSSA3.SA+RANI3.SA+RANI4.SA+RDTR3.SA+RPAD3.SA+RPAD5.SA+RPAD6.SA+SAPR3.SA+SAPR4.SA+SBSP3.SA+SFSA4.SA+SUZB5.SA+SUZB6.SA+TAEE11.SA+TBLE3.SA+TRPL3.SA+TRPL4.SA+UNIP5.SA+UNIP6.SA+PATI3.SA&amp;f=nol1hgd1" htmlTables="1" htmlFormat="all"/>
  </connection>
  <connection id="63" name="Conexão1131" type="4" refreshedVersion="0" deleted="1" background="1" saveData="1">
    <webPr htmlTables="1" htmlFormat="all"/>
  </connection>
  <connection id="64" name="Conexão114" type="4" refreshedVersion="0" background="1" saveData="1">
    <webPr url="http://download.finance.yahoo.com/d/quotes.csv?s=ABCB3.SA+AFLT3.SA+AFLU3.SA+AFLU5.SA+AFLU6.SA+ALSC3.SA+ALUP11.SA+ALUP3.SA+ALUP4.SA+BAHI3.SA+BBSE3.SA+BRAP3.SA+BRAP4.SA+BRFS3.SA+BRIN3.SA+BRKM3.SA+BRKM5.SA+BRKM6.SA+BRML3.SA+BRPR3.SA+BVMF3.SA+CBEE3.SA+CCPR3.SA+CEEB6.SA+CELP3.SA+CELP5.SA+CELP6.SA+CELP7.SA+CIEL3.SA+CIQU3.SA+CIQU4.SA+clsc3.SA+CRIV3.SA+CRIV4.SA+CSAB3.SA+CSAB4.SA+CSAN3.SA+CTIP3.SA+DTEX3.SA+EBTP4.SA+ELEK3.SA+ELEK4.SA+elet5.SA+ETER3.SA+EUCA4.SA+GPAR3.SA+HBTS5.SA+IGTA3.SA+JBSS3.SA+JOPA3.SA+JOPA4.SA+LCAM3.SA+MAGG3.SA+MERC3.SA+MERC4.SA+MOAR3.SA+MULT3.SA+NUTR3M.SA+OIBR3.SA+OIBR4.SA+PATI4.SA+PETR3.SA+PETR4.SA+PRVI3.SA+PTPA4.SA+QGEP3.SA+SCAR3.SA+SMTO3.SA+SSBR3.SA+SULA11.SA+TERI3.SA+TIMP3.SA+TKNO4.SA+TRPN3.SA+UGPA3.SA+UNIP3.SA+VALE5.SA+VIGR3.SA+VIVT3.SA+VIVT4.SA+CEPE3.SA+COCE6.SA+ENMA5B.SA+ENMA6B.SA+CEED3.SA+CEED4.SA+EKTR3.SA+EKTR4.SA+ENEV3.SA+REDE3.SA+REDE4.SA+RNEW11.SA+RNEW3.SA+RNEW4.SA+TAEE3.SA+TAEE4.SA+CSAN4.SA+CGAS3.SA+CGAS5.SA+CEGR3.SA+INET3.SA+EBTP3.SA+MLFT3.SA+MLFT4.SA+LFFE3.SA+LFFE4.SA&amp;f=nol1hgd1" htmlTables="1" htmlFormat="all"/>
  </connection>
  <connection id="65" name="Conexão1141" type="4" refreshedVersion="0" deleted="1" background="1" saveData="1">
    <webPr htmlTables="1" htmlFormat="all"/>
  </connection>
  <connection id="66" name="Conexão115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+GSHP3.SA+MULT4.SA+TEMP3.SA+DASA3.SA+FLRY3.SA+ODPV3.SA+QUAL3.SA+BIOM3M.SA+CREM3.SA&amp;f=nol1hgd1" htmlFormat="all"/>
  </connection>
  <connection id="67" name="Conexão1151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+GSHP3.SA+MULT4.SA+TEMP3.SA+DASA3.SA+FLRY3.SA+ODPV3.SA+QUAL3.SA+BIOM3M.SA+CREM3.SA&amp;f=nol1hgd1" htmlFormat="all"/>
  </connection>
  <connection id="68" name="Conexão11511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+GSHP3.SA+MULT4.SA+TEMP3.SA+DASA3.SA+FLRY3.SA+ODPV3.SA+QUAL3.SA+BIOM3M.SA+CREM3.SA&amp;f=nol1hgd1" htmlFormat="all"/>
  </connection>
  <connection id="69" name="Conexão115111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+GSHP3.SA+MULT4.SA+TEMP3.SA+DASA3.SA+FLRY3.SA+ODPV3.SA+QUAL3.SA+BIOM3M.SA+CREM3.SA&amp;f=nol1hgd1" htmlFormat="all"/>
  </connection>
  <connection id="70" name="Conexão11512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+GSHP3.SA+MULT4.SA+TEMP3.SA+DASA3.SA+FLRY3.SA+ODPV3.SA+QUAL3.SA+BIOM3M.SA+CREM3.SA&amp;f=nol1hgd1" htmlFormat="all"/>
  </connection>
  <connection id="71" name="Conexão116" type="4" refreshedVersion="0" background="1" saveData="1">
    <webPr url="http://download.finance.yahoo.com/d/quotes.csv?s=ABCB4.SA+AELP3.SA+BAZA3.SA+BBAS3.SA+BBDC3.SA+BBDC4.SA+BEES3.SA+BEES4.SA+BGIP3.SA+BGIP4.SA+BICB3.SA+BICB4.SA+BMIN3.SA+BMIN4.SA+BNBR3.SA+BNBR4.SA+BRGE11.SA+BRGE12.SA+BRGE3.SA+BRGE5.SA+BRGE6.SA+BRGE7.SA+BRGE8.SA+BRIV3.SA+BRIV4.SA+BRSR3.SA+BRSR5.SA+BRSR6.SA+BSLI3.SA+BSLI4.SA+CASN3.SA+CEBR3.SA+CEBR5.SA+CEBR6.SA+CEEB3.SA+CEEB5.SA+CEPE5.SA+CEPE6.SA+CESP3.SA+CESP5.SA+CESP6.SA+CLSC4.SA+CMIG3.SA+CMIG4.SA+COCE3.SA+COCE5.SA+CPFE3.SA+CPLE3.SA+CPLE5.SA+CPLE6.SA+CSMG3.SA+CSRN3.SA+CSRN5.SA+CSRN6.SA+DAYC4.SA+EEEL3.SA+EEEL4.SA+ELET3.SA+ELET6.SA+ELPL3.SA+ELPL4.SA+EMAE4.SA+ENBR3.SA+ENGI11.SA+ENGI3.SA+ENGI4.SA+ENMA3B.SA+EQTL3.SA+FESA3.SA+FESA4.SA+GEPA3.SA+GEPA4.SA+GETI3.SA+GETI4.SA+GTDP3B.SA+GTDP4B.SA+ITSA3.SA+ITSA4.SA+ITUB3.SA+ITUB4.SA+KLBN3.SA+KLBN4.SA+LIGT3.SA+LIPR3.SA+PINE4.SA+PRBC4.SA+PSSA3.SA+RANI3.SA+RANI4.SA+RDTR3.SA+RPAD3.SA+RPAD5.SA+RPAD6.SA+SAPR3.SA+SAPR4.SA+SBSP3.SA+SFSA4.SA+SUZB5.SA+SUZB6.SA+TAEE11.SA+TBLE3.SA+TRPL3.SA+TRPL4.SA+UNIP5.SA+UNIP6.SA+PATI3.SA&amp;f=nol1hgd1" htmlTables="1" htmlFormat="all"/>
  </connection>
  <connection id="72" name="Conexão1161" type="4" refreshedVersion="0" deleted="1" background="1" saveData="1">
    <webPr htmlTables="1" htmlFormat="all"/>
  </connection>
  <connection id="73" name="Conexão117" type="4" refreshedVersion="0" background="1" saveData="1">
    <webPr url="http://download.finance.yahoo.com/d/quotes.csv?s=ABCB3.SA+AFLT3.SA+AFLU3.SA+AFLU5.SA+AFLU6.SA+ALSC3.SA+ALUP11.SA+ALUP3.SA+ALUP4.SA+BAHI3.SA+BBSE3.SA+BRAP3.SA+BRAP4.SA+BRFS3.SA+BRIN3.SA+BRKM3.SA+BRKM5.SA+BRKM6.SA+BRML3.SA+BRPR3.SA+BVMF3.SA+CBEE3.SA+CCPR3.SA+CEEB6.SA+CELP3.SA+CELP5.SA+CELP6.SA+CELP7.SA+CIEL3.SA+CIQU3.SA+CIQU4.SA+clsc3.SA+CRIV3.SA+CRIV4.SA+CSAB3.SA+CSAB4.SA+CSAN3.SA+CTIP3.SA+DTEX3.SA+EBTP4.SA+ELEK3.SA+ELEK4.SA+elet5.SA+ETER3.SA+EUCA4.SA+GPAR3.SA+HBTS5.SA+IGTA3.SA+JBSS3.SA+JOPA3.SA+JOPA4.SA+LCAM3.SA+MAGG3.SA+MERC3.SA+MERC4.SA+MOAR3.SA+MULT3.SA+NUTR3M.SA+OIBR3.SA+OIBR4.SA+PATI4.SA+PETR3.SA+PETR4.SA+PRVI3.SA+PTPA4.SA+QGEP3.SA+SCAR3.SA+SMTO3.SA+SSBR3.SA+SULA11.SA+TERI3.SA+TIMP3.SA+TKNO4.SA+TRPN3.SA+UGPA3.SA+UNIP3.SA+VALE5.SA+VIGR3.SA+VIVT3.SA+VIVT4.SA+CEPE3.SA+COCE6.SA+ENMA5B.SA+ENMA6B.SA+CEED3.SA+CEED4.SA+EKTR3.SA+EKTR4.SA+ENEV3.SA+REDE3.SA+REDE4.SA+RNEW11.SA+RNEW3.SA+RNEW4.SA+TAEE3.SA+TAEE4.SA+CSAN4.SA+CGAS3.SA+CGAS5.SA+CEGR3.SA+INET3.SA+EBTP3.SA+MLFT3.SA+MLFT4.SA+LFFE3.SA+LFFE4.SA&amp;f=nol1hgd1" htmlTables="1" htmlFormat="all"/>
  </connection>
  <connection id="74" name="Conexão1171" type="4" refreshedVersion="0" deleted="1" background="1" saveData="1">
    <webPr htmlTables="1" htmlFormat="all"/>
  </connection>
  <connection id="75" name="Conexão118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+GSHP3.SA+MULT4.SA+TEMP3.SA+DASA3.SA+FLRY3.SA+ODPV3.SA+QUAL3.SA+BIOM3M.SA+CREM3.SA&amp;f=nol1hgd1" htmlFormat="all"/>
  </connection>
  <connection id="76" name="Conexão1181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+GSHP3.SA+MULT4.SA+TEMP3.SA+DASA3.SA+FLRY3.SA+ODPV3.SA+QUAL3.SA+BIOM3M.SA+CREM3.SA&amp;f=nol1hgd1" htmlFormat="all"/>
  </connection>
  <connection id="77" name="Conexão11811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+GSHP3.SA+MULT4.SA+TEMP3.SA+DASA3.SA+FLRY3.SA+ODPV3.SA+QUAL3.SA+BIOM3M.SA+CREM3.SA&amp;f=nol1hgd1" htmlFormat="all"/>
  </connection>
  <connection id="78" name="Conexão118111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+GSHP3.SA+MULT4.SA+TEMP3.SA+DASA3.SA+FLRY3.SA+ODPV3.SA+QUAL3.SA+BIOM3M.SA+CREM3.SA&amp;f=nol1hgd1" htmlFormat="all"/>
  </connection>
  <connection id="79" name="Conexão11812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+GSHP3.SA+MULT4.SA+TEMP3.SA+DASA3.SA+FLRY3.SA+ODPV3.SA+QUAL3.SA+BIOM3M.SA+CREM3.SA&amp;f=nol1hgd1" htmlFormat="all"/>
  </connection>
  <connection id="80" name="Conexão119" type="4" refreshedVersion="0" background="1" saveData="1">
    <webPr url="http://download.finance.yahoo.com/d/quotes.csv?s=PITI3.SA&amp;f=nol1hgd1" htmlTables="1" htmlFormat="all"/>
  </connection>
  <connection id="81" name="Conexão1191" type="4" refreshedVersion="0" background="1" saveData="1">
    <webPr url="http://download.finance.yahoo.com/d/quotes.csv?s=PITI3.SA&amp;f=nol1hgd1" htmlTables="1" htmlFormat="all"/>
  </connection>
  <connection id="82" name="Conexão12" type="4" refreshedVersion="0" background="1" saveData="1">
    <webPr url="http://download.finance.yahoo.com/d/quotes.csv?s=IDVL3.SA+IDVL4.SA+BMEB3.SA+BMEB4.SA+BPNM3.SA+BPNM4.SA+BPAT33.SA+SANB11.SA+SANB3.SA+SANB4.SA&amp;f=nol1hgd1" htmlTables="1" htmlFormat="all"/>
  </connection>
  <connection id="83" name="Conexão120" type="4" refreshedVersion="0" background="1" saveData="1">
    <webPr url="http://download.finance.yahoo.com/d/quotes.csv?s=PITI3.SA&amp;f=nol1hgd1" htmlTables="1" htmlFormat="all"/>
  </connection>
  <connection id="84" name="Conexão1201" type="4" refreshedVersion="0" background="1" saveData="1">
    <webPr url="http://download.finance.yahoo.com/d/quotes.csv?s=PITI3.SA&amp;f=nol1hgd1" htmlTables="1" htmlFormat="all"/>
  </connection>
  <connection id="85" name="Conexão12011" type="4" refreshedVersion="0" background="1" saveData="1">
    <webPr url="http://download.finance.yahoo.com/d/quotes.csv?s=PITI3.SA&amp;f=nol1hgd1" htmlTables="1" htmlFormat="all"/>
  </connection>
  <connection id="86" name="Conexão121" type="4" refreshedVersion="0" background="1" saveData="1">
    <webPr url="http://download.finance.yahoo.com/d/quotes.csv?s=IDVL3.SA+IDVL4.SA+BMEB3.SA+BMEB4.SA+BPNM3.SA+BPNM4.SA+BPAT33.SA+SANB11.SA+SANB3.SA+SANB4.SA&amp;f=nol1hgd1" htmlTables="1" htmlFormat="all"/>
  </connection>
  <connection id="87" name="Conexão1211" type="4" refreshedVersion="0" background="1" saveData="1">
    <webPr url="http://download.finance.yahoo.com/d/quotes.csv?s=IDVL3.SA+IDVL4.SA+BMEB3.SA+BMEB4.SA+BPNM3.SA+BPNM4.SA+BPAT33.SA+SANB11.SA+SANB3.SA+SANB4.SA&amp;f=nol1hgd1" htmlTables="1" htmlFormat="all"/>
  </connection>
  <connection id="88" name="Conexão12111" type="4" refreshedVersion="0" background="1" saveData="1">
    <webPr url="http://download.finance.yahoo.com/d/quotes.csv?s=IDVL3.SA+IDVL4.SA+BMEB3.SA+BMEB4.SA+BPNM3.SA+BPNM4.SA+BPAT33.SA+SANB11.SA+SANB3.SA+SANB4.SA&amp;f=nol1hgd1" htmlTables="1" htmlFormat="all"/>
  </connection>
  <connection id="89" name="Conexão122" type="4" refreshedVersion="0" background="1" saveData="1">
    <webPr url="http://download.finance.yahoo.com/d/quotes.csv?s=ABCB4.SA+AELP3.SA+BAZA3.SA+BBAS3.SA+BBDC3.SA+BBDC4.SA+BEES3.SA+BEES4.SA+BGIP3.SA+BGIP4.SA+BICB3.SA+BICB4.SA+BMIN3.SA+BMIN4.SA+BNBR3.SA+BNBR4.SA+BRGE11.SA+BRGE12.SA+BRGE3.SA+BRGE5.SA+BRGE6.SA+BRGE7.SA+BRGE8.SA+BRIV3.SA+BRIV4.SA+BRSR3.SA+BRSR5.SA+BRSR6.SA+BSLI3.SA+BSLI4.SA+CASN3.SA+CEBR3.SA+CEBR5.SA+CEBR6.SA+CEEB3.SA+CEEB5.SA+CEPE5.SA+CEPE6.SA+CESP3.SA+CESP5.SA+CESP6.SA+CLSC4.SA+CMIG3.SA+CMIG4.SA+COCE3.SA+COCE5.SA+CPFE3.SA+CPLE3.SA+CPLE5.SA+CPLE6.SA+CSMG3.SA+CSRN3.SA+CSRN5.SA+CSRN6.SA+DAYC4.SA+EEEL3.SA+EEEL4.SA+ELET3.SA+ELET6.SA+ELPL3.SA+ELPL4.SA+EMAE4.SA+ENBR3.SA+ENGI11.SA+ENGI3.SA+ENGI4.SA+ENMA3B.SA+EQTL3.SA+FESA3.SA+FESA4.SA+GEPA3.SA+GEPA4.SA+GETI3.SA+GETI4.SA+GTDP3B.SA+GTDP4B.SA+ITSA3.SA+ITSA4.SA+ITUB3.SA+ITUB4.SA+KLBN3.SA+KLBN4.SA+LIGT3.SA+LIPR3.SA+PINE4.SA+PRBC4.SA+PSSA3.SA+RANI3.SA+RANI4.SA+RDTR3.SA+RPAD3.SA+RPAD5.SA+RPAD6.SA+SAPR3.SA+SAPR4.SA+SBSP3.SA+SFSA4.SA+SUZB5.SA+SUZB6.SA+TAEE11.SA+TBLE3.SA+TRPL3.SA+TRPL4.SA+UNIP5.SA+UNIP6.SA+PATI3.SA&amp;f=nol1hgd1" htmlTables="1" htmlFormat="all"/>
  </connection>
  <connection id="90" name="Conexão1221" type="4" refreshedVersion="0" deleted="1" background="1" saveData="1">
    <webPr htmlTables="1" htmlFormat="all"/>
  </connection>
  <connection id="91" name="Conexão123" type="4" refreshedVersion="0" background="1" saveData="1">
    <webPr url="http://download.finance.yahoo.com/d/quotes.csv?s=ABCB3.SA+AFLT3.SA+AFLU3.SA+AFLU5.SA+AFLU6.SA+ALSC3.SA+ALUP11.SA+ALUP3.SA+ALUP4.SA+BAHI3.SA+BBSE3.SA+BRAP3.SA+BRAP4.SA+BRFS3.SA+BRIN3.SA+BRKM3.SA+BRKM5.SA+BRKM6.SA+BRML3.SA+BRPR3.SA+BVMF3.SA+CBEE3.SA+CCPR3.SA+CEEB6.SA+CELP3.SA+CELP5.SA+CELP6.SA+CELP7.SA+CIEL3.SA+CIQU3.SA+CIQU4.SA+clsc3.SA+CRIV3.SA+CRIV4.SA+CSAB3.SA+CSAB4.SA+CSAN3.SA+CTIP3.SA+DTEX3.SA+EBTP4.SA+ELEK3.SA+ELEK4.SA+elet5.SA+ETER3.SA+EUCA4.SA+GPAR3.SA+HBTS5.SA+IGTA3.SA+JBSS3.SA+JOPA3.SA+JOPA4.SA+LCAM3.SA+MAGG3.SA+MERC3.SA+MERC4.SA+MOAR3.SA+MULT3.SA+NUTR3M.SA+OIBR3.SA+OIBR4.SA+PATI4.SA+PETR3.SA+PETR4.SA+PRVI3.SA+PTPA4.SA+QGEP3.SA+SCAR3.SA+SMTO3.SA+SSBR3.SA+SULA11.SA+TERI3.SA+TIMP3.SA+TKNO4.SA+TRPN3.SA+UGPA3.SA+UNIP3.SA+VALE5.SA+VIGR3.SA+VIVT3.SA+VIVT4.SA+CEPE3.SA+COCE6.SA+ENMA5B.SA+ENMA6B.SA+CEED3.SA+CEED4.SA+EKTR3.SA+EKTR4.SA+ENEV3.SA+REDE3.SA+REDE4.SA+RNEW11.SA+RNEW3.SA+RNEW4.SA+TAEE3.SA+TAEE4.SA+CSAN4.SA+CGAS3.SA+CGAS5.SA+CEGR3.SA+INET3.SA+EBTP3.SA+MLFT3.SA+MLFT4.SA+LFFE3.SA+LFFE4.SA&amp;f=nol1hgd1" htmlTables="1" htmlFormat="all"/>
  </connection>
  <connection id="92" name="Conexão1231" type="4" refreshedVersion="3" deleted="1" background="1" saveData="1">
    <webPr xl2000="1" htmlTables="1" htmlFormat="all"/>
  </connection>
  <connection id="93" name="Conexão124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CAFE4.SA+PEAB3.SA+PEAB4.SA+SULA3.SA+SULA4.SA+BTTL3.SA+BTTL4.SA+HBTS3.SA+HBTS6.SA+DOCA3.SA+DOCA4.SA+JBDU3.SA+JBDU4.SA+AGRO3.SA+CORR3.SA+CORR4.SA+GSHP3.SA+MULT4.SA+TEMP3.SA+DASA3.SA+FLRY3.SA+ODPV3.SA+QUAL3.SA+BIOM3M.SA+CREM3.SA+NATU3.SA+BOBR3.SA+BOBR4.SA+CRUZ3.SA+LAME3.SA+LAME4.SA+BTOW3.SA+HYPE3.SA+RADL3.SA+BPHA3.SA+PNVL3.SA+PNVL4.SA+PFRM3.SA+PCAR3.SA+PCAR4.SA+ABEV3.SA+VIGR3.SA+CLAN3.SA+CLAN4.SA+MNPR3.SA+BAUH3.SA+BAUH4.SA+BEEF3.SA+MRFG3.SA+CAFE3.SA&amp;f=nol1hgd1" htmlFormat="all"/>
  </connection>
  <connection id="94" name="Conexão1241" type="4" refreshedVersion="3" deleted="1" background="1" saveData="1">
    <webPr xl2000="1" htmlTables="1" htmlFormat="all"/>
  </connection>
  <connection id="95" name="Conexão125" type="4" refreshedVersion="3" background="1" saveData="1">
    <webPr xl2000="1" url="http://download.finance.yahoo.com/d/quotes.csv?s=ABRE11.SA+ABRE3.SA+ABRE4.SA+AHEB3.SA+AHEB5.SA+AHEB6.SA+ALPA3.SA+ALPA4.SA+AMAR3.SA+ARZZ3.SA+BISA3.SA+BMKS3.SA+BMTO3.SA+BMTO4.SA+BSEV3.SA+CALI3.SA+CALI4.SA+CAMB3.SA+CAMB4.SA+CEDO3.SA+CEDO4.SA+CGRA3.SA+CGRA4.SA+CRDE3.SA+CTKA3.SA+CTKA4.SA+CTNM3.SA+CTNM4.SA+CTSA3.SA+CTSA4.SA+CTSA8.SA+CVCB3.SA+CYRE3.SA+DIRR3.SA+DOHL3.SA+DOHL4.SA+ECPR3.SA+ECPR4.SA+ESTR3.SA+ESTR4.SA+EVEN3.SA+EZTC3.SA+GFSA3.SA+GUAR3.SA+GUAR4.SA+HBOR3.SA+HETA3.SA+HETA4.SA+HGTX3.SA+IGBR3.SA+IGUA3.SA+IGUA5.SA+IGUA6.SA+IMCH3.SA+JFEN3.SA+JHSF3.SA+JOPA3.SA+JOPA4.SA+LHER3.SA+LHER4.SA+LLIS3.SA+LREN3.SA+MGLU3.SA+MNDL3.SA+MRVE3.SA+NAFG3.SA+NAFG4.SA+NETC3.SA+NETC4.SA+PDGR3.SA+PTNT3.SA+PTNT4.SA+RDNI3.SA+RENT3.SA+RNAR3.SA+RSID3.SA+SGEN3.SA+SGEN4.SA+SGPS3.SA+SHOW3.SA+SLCE3.SA+SLED3.SA+SLED4.SA+SMTO3.SA+SPRI3.SA+SPRI5.SA+SPRI6.SA+TCSA3.SA+TECN3.SA+TENE3.SA+TENE5.SA+TENE6.SA+TENE7.SA+TOYB3.SA+TOYB4.SA+TRIS3.SA+UCAS3.SA+VAGR3.SA+VIVR3.SA+VVAR11.SA+VVAR3.SA+VVAR4.SA+WHRL3.SA+WHRL4.SA+WMBY3.SA&amp;f=nol1hgd1" htmlFormat="all"/>
  </connection>
  <connection id="96" name="Conexão1251" type="4" refreshedVersion="3" deleted="1" background="1" saveData="1">
    <webPr xl2000="1" htmlTables="1" htmlFormat="all"/>
  </connection>
  <connection id="97" name="Conexão126" type="4" refreshedVersion="3" background="1" saveData="1">
    <webPr xl2000="1" url="http://download.finance.yahoo.com/d/quotes.csv?s=AZEV3.SA+AZEV4.SA+LIXC3.SA+LIXC4.SA+MEND3.SA+MEND5.SA+MEND6.SA+SULT3.SA+SULT4.SA+SOND3.SA+SOND5.SA+SOND6.SA+TCNO3.SA+TCNO4.SA+BBRK3.SA+LPSB3.SA+CCHI3.SA+CCHI4.SA+HAGA3.SA+HAGA4.SA+PTBL3.SA+CTAX11.SA+CTAX3.SA+CTAX4.SA+CARD3.SA+DTCY3.SA+DTCY4.SA+MILS3.SA+VLID3.SA+ARTR3.SA+CCRO3.SA+ECOR3.SA+TPIS3.SA+IMBI3.SA+IMBI4.SA+LLXL3.SA+STBP11.SA+STBP3.SA+STBP4.SA+GOLL3.SA+GOLL4.SA+ALLL3.SA+VSPT3.SA+VSPT4.SA+LOGN3.SA+LUXM3.SA+LUXM4.SA+JSLG3.SA+TGMA3.SA+SGAS3.SA+SGAS4.SA+FRIO3.SA+FJTA3.SA+FJTA4.SA+EALT3.SA+EALT4.SA+MTSA3.SA+MTSA4.SA+BALM3.SA+BALM4.SA+BDLL3.SA+BDLL4.SA+ROMI3.SA+INEP3.SA+INEP4.SA+KEPL3.SA+NORD3.SA+SHUL3.SA+SHUL4.SA+WEGE3.SA+EMBR3.SA+CBMA3.SA+CBMA4.SA+AUTM3.SA+DHBI3.SA+DHBI4.SA+MYPK3.SA+LEVE3.SA+POMO3.SA+RSUL3.SA+RSUL4.SA+PLAS3.SA+RAPT3.SA+RAPT4.SA+RCSL3.SA+TUPY3.SA+MWET3.SA+MWET4.SA+FRAS3.SA+POMO4.SA+RCSL4.SA&amp;f=nol1hgd1" htmlFormat="all"/>
  </connection>
  <connection id="98" name="Conexão1261" type="4" refreshedVersion="3" deleted="1" background="1" saveData="1">
    <webPr xl2000="1" htmlTables="1" htmlFormat="all"/>
  </connection>
  <connection id="99" name="Conexão127" type="4" refreshedVersion="3" deleted="1" background="1" saveData="1">
    <webPr xl2000="1" htmlTables="1" htmlFormat="all"/>
  </connection>
  <connection id="100" name="Conexão1271" type="4" refreshedVersion="3" deleted="1" background="1" saveData="1">
    <webPr xl2000="1" htmlTables="1" htmlFormat="all"/>
  </connection>
  <connection id="101" name="Conexão128" type="4" refreshedVersion="3" deleted="1" background="1" saveData="1">
    <webPr xl2000="1" htmlTables="1" htmlFormat="all"/>
  </connection>
  <connection id="102" name="Conexão129" type="4" refreshedVersion="3" deleted="1" background="1" saveData="1">
    <webPr xl2000="1" htmlTables="1" htmlFormat="all"/>
  </connection>
  <connection id="103" name="Conexão13" type="4" refreshedVersion="0" background="1" saveData="1">
    <webPr url="http://download.finance.yahoo.com/d/quotes.csv?s=IDVL3.SA+IDVL4.SA+BMEB3.SA+BMEB4.SA+BPNM3.SA+BPNM4.SA+BPAT33.SA+SANB11.SA+SANB3.SA+SANB4.SA+SFSA3.SA&amp;f=nol1hgd1" htmlTables="1" htmlFormat="all"/>
  </connection>
  <connection id="104" name="Conexão130" type="4" refreshedVersion="3" deleted="1" background="1" saveData="1">
    <webPr xl2000="1" htmlTables="1" htmlFormat="all"/>
  </connection>
  <connection id="105" name="Conexão1301" type="4" refreshedVersion="3" deleted="1" background="1" saveData="1">
    <webPr xl2000="1" htmlTables="1" htmlFormat="all"/>
  </connection>
  <connection id="106" name="Conexão131" type="4" refreshedVersion="0" deleted="1" background="1" saveData="1">
    <webPr htmlTables="1" htmlFormat="all"/>
  </connection>
  <connection id="107" name="Conexão1311" type="4" refreshedVersion="0" deleted="1" background="1" saveData="1">
    <webPr htmlTables="1" htmlFormat="all"/>
  </connection>
  <connection id="108" name="Conexão132" type="4" refreshedVersion="0" deleted="1" background="1" saveData="1">
    <webPr htmlTables="1" htmlFormat="all"/>
  </connection>
  <connection id="109" name="Conexão1321" type="4" refreshedVersion="0" deleted="1" background="1" saveData="1">
    <webPr htmlTables="1" htmlFormat="all"/>
  </connection>
  <connection id="110" name="Conexão133" type="4" refreshedVersion="3" deleted="1" background="1" saveData="1">
    <webPr xl2000="1" htmlTables="1" htmlFormat="all"/>
  </connection>
  <connection id="111" name="Conexão134" type="4" refreshedVersion="3" deleted="1" background="1" saveData="1">
    <webPr xl2000="1" htmlTables="1" htmlFormat="all"/>
  </connection>
  <connection id="112" name="Conexão1341" type="4" refreshedVersion="3" deleted="1" background="1" saveData="1">
    <webPr xl2000="1" htmlTables="1" htmlFormat="all"/>
  </connection>
  <connection id="113" name="Conexão135" type="4" refreshedVersion="3" deleted="1" background="1" saveData="1">
    <webPr xl2000="1" htmlTables="1" htmlFormat="all"/>
  </connection>
  <connection id="114" name="Conexão1351" type="4" refreshedVersion="3" deleted="1" background="1" saveData="1">
    <webPr xl2000="1" htmlTables="1" htmlFormat="all"/>
  </connection>
  <connection id="115" name="Conexão136" type="4" refreshedVersion="3" deleted="1" background="1" saveData="1">
    <webPr xl2000="1" htmlTables="1" htmlFormat="all"/>
  </connection>
  <connection id="116" name="Conexão137" type="4" refreshedVersion="3" deleted="1" background="1" saveData="1">
    <webPr xl2000="1" htmlTables="1" htmlFormat="all"/>
  </connection>
  <connection id="117" name="Conexão138" type="4" refreshedVersion="3" deleted="1" background="1" saveData="1">
    <webPr xl2000="1" htmlTables="1" htmlFormat="all"/>
  </connection>
  <connection id="118" name="Conexão1381" type="4" refreshedVersion="3" deleted="1" background="1" saveData="1">
    <webPr xl2000="1" htmlTables="1" htmlFormat="all"/>
  </connection>
  <connection id="119" name="Conexão139" type="4" refreshedVersion="3" deleted="1" background="1" saveData="1">
    <webPr xl2000="1" htmlTables="1" htmlFormat="all"/>
  </connection>
  <connection id="120" name="Conexão14" type="4" refreshedVersion="0" background="1" saveData="1">
    <webPr url="http://download.finance.yahoo.com/d/quotes.csv?s=IDVL3.SA+IDVL4.SA+BMEB3.SA+BMEB4.SA+BPNM3.SA+BPNM4.SA+BPAT33.SA+SANB11.SA+SANB3.SA+SANB4.SA+SFSA3.SA&amp;f=nol1hgd1" htmlTables="1" htmlFormat="all"/>
  </connection>
  <connection id="121" name="Conexão140" type="4" refreshedVersion="3" deleted="1" background="1" saveData="1">
    <webPr xl2000="1" htmlTables="1" htmlFormat="all"/>
  </connection>
  <connection id="122" name="Conexão141" type="4" refreshedVersion="0" deleted="1" background="1" saveData="1">
    <webPr htmlTables="1" htmlFormat="all"/>
  </connection>
  <connection id="123" name="Conexão1411" type="4" refreshedVersion="0" deleted="1" background="1" saveData="1">
    <webPr htmlTables="1" htmlFormat="all"/>
  </connection>
  <connection id="124" name="Conexão142" type="4" refreshedVersion="0" deleted="1" background="1" saveData="1">
    <webPr htmlTables="1" htmlFormat="all"/>
  </connection>
  <connection id="125" name="Conexão1421" type="4" refreshedVersion="0" deleted="1" background="1" saveData="1">
    <webPr htmlTables="1" htmlFormat="all"/>
  </connection>
  <connection id="126" name="Conexão143" type="4" refreshedVersion="3" deleted="1" background="1" saveData="1">
    <webPr xl2000="1" htmlTables="1" htmlFormat="all"/>
  </connection>
  <connection id="127" name="Conexão1431" type="4" refreshedVersion="3" deleted="1" background="1" saveData="1">
    <webPr xl2000="1" htmlTables="1" htmlFormat="all"/>
  </connection>
  <connection id="128" name="Conexão144" type="4" refreshedVersion="3" deleted="1" background="1" saveData="1">
    <webPr xl2000="1" htmlTables="1" htmlFormat="all"/>
  </connection>
  <connection id="129" name="Conexão145" type="4" refreshedVersion="3" deleted="1" background="1" saveData="1">
    <webPr xl2000="1" htmlTables="1" htmlFormat="all"/>
  </connection>
  <connection id="130" name="Conexão1451" type="4" refreshedVersion="3" deleted="1" background="1" saveData="1">
    <webPr xl2000="1" htmlTables="1" htmlFormat="all"/>
  </connection>
  <connection id="131" name="Conexão146" type="4" refreshedVersion="3" deleted="1" background="1" saveData="1">
    <webPr xl2000="1" htmlTables="1" htmlFormat="all"/>
  </connection>
  <connection id="132" name="Conexão147" type="4" refreshedVersion="3" deleted="1" background="1" saveData="1">
    <webPr xl2000="1" htmlTables="1" htmlFormat="all"/>
  </connection>
  <connection id="133" name="Conexão1471" type="4" refreshedVersion="3" deleted="1" background="1" saveData="1">
    <webPr xl2000="1" htmlTables="1" htmlFormat="all"/>
  </connection>
  <connection id="134" name="Conexão148" type="4" refreshedVersion="3" deleted="1" background="1" saveData="1">
    <webPr xl2000="1" htmlTables="1" htmlFormat="all"/>
  </connection>
  <connection id="135" name="Conexão149" type="4" refreshedVersion="3" deleted="1" background="1" saveData="1">
    <webPr xl2000="1" htmlTables="1" htmlFormat="all"/>
  </connection>
  <connection id="136" name="Conexão1491" type="4" refreshedVersion="3" deleted="1" background="1" saveData="1">
    <webPr xl2000="1" htmlTables="1" htmlFormat="all"/>
  </connection>
  <connection id="137" name="Conexão15" type="4" refreshedVersion="0" background="1" saveData="1">
    <webPr url="http://download.finance.yahoo.com/d/quotes.csv?s=IDVL3.SA+IDVL4.SA+BMEB3.SA+BMEB4.SA+BPNM3.SA+BPNM4.SA+BPAT33.SA+SANB11.SA+SANB3.SA+SANB4.SA+SFSA3.SA&amp;f=nol1hgd1" htmlTables="1" htmlFormat="all"/>
  </connection>
  <connection id="138" name="Conexão150" type="4" refreshedVersion="3" deleted="1" background="1" saveData="1">
    <webPr xl2000="1" htmlTables="1" htmlFormat="all"/>
  </connection>
  <connection id="139" name="Conexão1501" type="4" refreshedVersion="3" deleted="1" background="1" saveData="1">
    <webPr xl2000="1" htmlTables="1" htmlFormat="all"/>
  </connection>
  <connection id="140" name="Conexão151" type="4" refreshedVersion="0" deleted="1" background="1" saveData="1">
    <webPr htmlTables="1" htmlFormat="all"/>
  </connection>
  <connection id="141" name="Conexão1511" type="4" refreshedVersion="0" deleted="1" background="1" saveData="1">
    <webPr htmlTables="1" htmlFormat="all"/>
  </connection>
  <connection id="142" name="Conexão152" type="4" refreshedVersion="0" deleted="1" background="1" saveData="1">
    <webPr htmlTables="1" htmlFormat="all"/>
  </connection>
  <connection id="143" name="Conexão1521" type="4" refreshedVersion="0" deleted="1" background="1" saveData="1">
    <webPr htmlTables="1" htmlFormat="all"/>
  </connection>
  <connection id="144" name="Conexão153" type="4" refreshedVersion="3" deleted="1" background="1" saveData="1">
    <webPr xl2000="1" htmlTables="1" htmlFormat="all"/>
  </connection>
  <connection id="145" name="Conexão1531" type="4" refreshedVersion="3" deleted="1" background="1" saveData="1">
    <webPr xl2000="1" htmlTables="1" htmlFormat="all"/>
  </connection>
  <connection id="146" name="Conexão154" type="4" refreshedVersion="3" deleted="1" background="1" saveData="1">
    <webPr xl2000="1" htmlTables="1" htmlFormat="all"/>
  </connection>
  <connection id="147" name="Conexão1541" type="4" refreshedVersion="3" deleted="1" background="1" saveData="1">
    <webPr xl2000="1" htmlTables="1" htmlFormat="all"/>
  </connection>
  <connection id="148" name="Conexão155" type="4" refreshedVersion="3" deleted="1" background="1" saveData="1">
    <webPr xl2000="1" htmlTables="1" htmlFormat="all"/>
  </connection>
  <connection id="149" name="Conexão1551" type="4" refreshedVersion="3" deleted="1" background="1" saveData="1">
    <webPr xl2000="1" htmlTables="1" htmlFormat="all"/>
  </connection>
  <connection id="150" name="Conexão156" type="4" refreshedVersion="3" deleted="1" background="1" saveData="1">
    <webPr xl2000="1" htmlTables="1" htmlFormat="all"/>
  </connection>
  <connection id="151" name="Conexão1561" type="4" refreshedVersion="3" deleted="1" background="1" saveData="1">
    <webPr xl2000="1" htmlTables="1" htmlFormat="all"/>
  </connection>
  <connection id="152" name="Conexão157" type="4" refreshedVersion="3" deleted="1" background="1" saveData="1">
    <webPr xl2000="1" htmlTables="1" htmlFormat="all"/>
  </connection>
  <connection id="153" name="Conexão1571" type="4" refreshedVersion="3" deleted="1" background="1" saveData="1">
    <webPr xl2000="1" htmlTables="1" htmlFormat="all"/>
  </connection>
  <connection id="154" name="Conexão158" type="4" refreshedVersion="3" deleted="1" background="1" saveData="1">
    <webPr xl2000="1" htmlTables="1" htmlFormat="all"/>
  </connection>
  <connection id="155" name="Conexão1581" type="4" refreshedVersion="3" deleted="1" background="1" saveData="1">
    <webPr xl2000="1" htmlTables="1" htmlFormat="all"/>
  </connection>
  <connection id="156" name="Conexão159" type="4" refreshedVersion="3" deleted="1" background="1" saveData="1">
    <webPr xl2000="1" htmlTables="1" htmlFormat="all"/>
  </connection>
  <connection id="157" name="Conexão1591" type="4" refreshedVersion="3" deleted="1" background="1" saveData="1">
    <webPr xl2000="1" htmlTables="1" htmlFormat="all"/>
  </connection>
  <connection id="158" name="Conexão16" type="4" refreshedVersion="0" background="1" saveData="1">
    <webPr url="http://download.finance.yahoo.com/d/quotes.csv?s=IDVL3.SA+IDVL4.SA+BMEB3.SA+BMEB4.SA+BPNM3.SA+BPNM4.SA+BPAT33.SA+SANB11.SA+SANB3.SA+SANB4.SA+SFSA3.SA&amp;f=nol1hgd1" htmlTables="1" htmlFormat="all"/>
  </connection>
  <connection id="159" name="Conexão160" type="4" refreshedVersion="3" deleted="1" background="1" saveData="1">
    <webPr xl2000="1" htmlTables="1" htmlFormat="all"/>
  </connection>
  <connection id="160" name="Conexão1601" type="4" refreshedVersion="3" deleted="1" background="1" saveData="1">
    <webPr xl2000="1" htmlTables="1" htmlFormat="all"/>
  </connection>
  <connection id="161" name="Conexão161" type="4" refreshedVersion="0" deleted="1" background="1" saveData="1">
    <webPr htmlTables="1" htmlFormat="all"/>
  </connection>
  <connection id="162" name="Conexão1611" type="4" refreshedVersion="0" deleted="1" background="1" saveData="1">
    <webPr htmlTables="1" htmlFormat="all"/>
  </connection>
  <connection id="163" name="Conexão162" type="4" refreshedVersion="0" deleted="1" background="1" saveData="1">
    <webPr htmlTables="1" htmlFormat="all"/>
  </connection>
  <connection id="164" name="Conexão1621" type="4" refreshedVersion="0" deleted="1" background="1" saveData="1">
    <webPr htmlTables="1" htmlFormat="all"/>
  </connection>
  <connection id="165" name="Conexão163" type="4" refreshedVersion="3" deleted="1" background="1" saveData="1">
    <webPr xl2000="1" htmlTables="1" htmlFormat="all"/>
  </connection>
  <connection id="166" name="Conexão1631" type="4" refreshedVersion="3" deleted="1" background="1" saveData="1">
    <webPr xl2000="1" htmlTables="1" htmlFormat="all"/>
  </connection>
  <connection id="167" name="Conexão164" type="4" refreshedVersion="3" deleted="1" background="1" saveData="1">
    <webPr xl2000="1" htmlTables="1" htmlFormat="all"/>
  </connection>
  <connection id="168" name="Conexão1641" type="4" refreshedVersion="3" deleted="1" background="1" saveData="1">
    <webPr xl2000="1" htmlTables="1" htmlFormat="all"/>
  </connection>
  <connection id="169" name="Conexão165" type="4" refreshedVersion="3" deleted="1" background="1" saveData="1">
    <webPr xl2000="1" htmlTables="1" htmlFormat="all"/>
  </connection>
  <connection id="170" name="Conexão166" type="4" refreshedVersion="3" deleted="1" background="1" saveData="1">
    <webPr xl2000="1" htmlTables="1" htmlFormat="all"/>
  </connection>
  <connection id="171" name="Conexão1661" type="4" refreshedVersion="3" deleted="1" background="1" saveData="1">
    <webPr xl2000="1" htmlTables="1" htmlFormat="all"/>
  </connection>
  <connection id="172" name="Conexão168" type="4" refreshedVersion="3" deleted="1" background="1" saveData="1">
    <webPr xl2000="1" htmlTables="1" htmlFormat="all"/>
  </connection>
  <connection id="173" name="Conexão1681" type="4" refreshedVersion="3" deleted="1" background="1" saveData="1">
    <webPr xl2000="1" htmlTables="1" htmlFormat="all"/>
  </connection>
  <connection id="174" name="Conexão169" type="4" refreshedVersion="3" deleted="1" background="1" saveData="1">
    <webPr xl2000="1" htmlTables="1" htmlFormat="all"/>
  </connection>
  <connection id="175" name="Conexão17" type="4" refreshedVersion="0" background="1" saveData="1">
    <webPr url="http://download.finance.yahoo.com/d/quotes.csv?s=IDVL3.SA+IDVL4.SA+BMEB3.SA+BMEB4.SA+BPNM3.SA+BPNM4.SA+BPAT33.SA+SANB11.SA+SANB3.SA+SANB4.SA+SFSA3.SA&amp;f=nol1hgd1" htmlTables="1" htmlFormat="all"/>
  </connection>
  <connection id="176" name="Conexão170" type="4" refreshedVersion="3" deleted="1" background="1" saveData="1">
    <webPr xl2000="1" htmlTables="1" htmlFormat="all"/>
  </connection>
  <connection id="177" name="Conexão171" type="4" refreshedVersion="0" deleted="1" background="1" saveData="1">
    <webPr htmlTables="1" htmlFormat="all"/>
  </connection>
  <connection id="178" name="Conexão1711" type="4" refreshedVersion="0" deleted="1" background="1" saveData="1">
    <webPr htmlTables="1" htmlFormat="all"/>
  </connection>
  <connection id="179" name="Conexão172" type="4" refreshedVersion="0" deleted="1" background="1" saveData="1">
    <webPr htmlTables="1" htmlFormat="all"/>
  </connection>
  <connection id="180" name="Conexão1721" type="4" refreshedVersion="0" deleted="1" background="1" saveData="1">
    <webPr htmlTables="1" htmlFormat="all"/>
  </connection>
  <connection id="181" name="Conexão173" type="4" refreshedVersion="3" deleted="1" background="1" saveData="1">
    <webPr xl2000="1" htmlTables="1" htmlFormat="all"/>
  </connection>
  <connection id="182" name="Conexão1731" type="4" refreshedVersion="3" deleted="1" background="1" saveData="1">
    <webPr xl2000="1" htmlTables="1" htmlFormat="all"/>
  </connection>
  <connection id="183" name="Conexão174" type="4" refreshedVersion="3" deleted="1" background="1" saveData="1">
    <webPr xl2000="1" htmlTables="1" htmlFormat="all"/>
  </connection>
  <connection id="184" name="Conexão175" type="4" refreshedVersion="3" deleted="1" background="1" saveData="1">
    <webPr xl2000="1" htmlTables="1" htmlFormat="all"/>
  </connection>
  <connection id="185" name="Conexão1751" type="4" refreshedVersion="3" deleted="1" background="1" saveData="1">
    <webPr xl2000="1" htmlTables="1" htmlFormat="all"/>
  </connection>
  <connection id="186" name="Conexão176" type="4" refreshedVersion="3" deleted="1" background="1" saveData="1">
    <webPr xl2000="1" htmlTables="1" htmlFormat="all"/>
  </connection>
  <connection id="187" name="Conexão1761" type="4" refreshedVersion="3" deleted="1" background="1" saveData="1">
    <webPr xl2000="1" htmlTables="1" htmlFormat="all"/>
  </connection>
  <connection id="188" name="Conexão177" type="4" refreshedVersion="3" deleted="1" background="1" saveData="1">
    <webPr xl2000="1" htmlTables="1" htmlFormat="all"/>
  </connection>
  <connection id="189" name="Conexão1771" type="4" refreshedVersion="3" deleted="1" background="1" saveData="1">
    <webPr xl2000="1" htmlTables="1" htmlFormat="all"/>
  </connection>
  <connection id="190" name="Conexão178" type="4" refreshedVersion="3" deleted="1" background="1" saveData="1">
    <webPr xl2000="1" htmlTables="1" htmlFormat="all"/>
  </connection>
  <connection id="191" name="Conexão1781" type="4" refreshedVersion="3" deleted="1" background="1" saveData="1">
    <webPr xl2000="1" htmlTables="1" htmlFormat="all"/>
  </connection>
  <connection id="192" name="Conexão179" type="4" refreshedVersion="3" deleted="1" background="1" saveData="1">
    <webPr xl2000="1" htmlTables="1" htmlFormat="all"/>
  </connection>
  <connection id="193" name="Conexão1791" type="4" refreshedVersion="3" deleted="1" background="1" saveData="1">
    <webPr xl2000="1" htmlTables="1" htmlFormat="all"/>
  </connection>
  <connection id="194" name="Conexão18" type="4" refreshedVersion="3" background="1" saveData="1">
    <webPr xl2000="1" url="http://download.finance.yahoo.com/d/quotes.csv?s=IDVL3.SA+IDVL4.SA+BMEB3.SA+BMEB4.SA+BPNM3.SA+BPNM4.SA+BPAT33.SA+SANB11.SA+SANB3.SA+SANB4.SA+SFSA3.SA&amp;f=nol1hgd1" htmlFormat="all"/>
  </connection>
  <connection id="195" name="Conexão181" type="4" refreshedVersion="3" background="1" saveData="1">
    <webPr xl2000="1" url="http://download.finance.yahoo.com/d/quotes.csv?s=IDVL3.SA+IDVL4.SA+BMEB3.SA+BMEB4.SA+BPNM3.SA+BPNM4.SA+BPAT33.SA+SANB11.SA+SANB3.SA+SANB4.SA+SFSA3.SA&amp;f=nol1hgd1" htmlFormat="all"/>
  </connection>
  <connection id="196" name="Conexão1811" type="4" refreshedVersion="3" background="1" saveData="1">
    <webPr xl2000="1" url="http://download.finance.yahoo.com/d/quotes.csv?s=IDVL3.SA+IDVL4.SA+BMEB3.SA+BMEB4.SA+BPNM3.SA+BPNM4.SA+BPAT33.SA+SANB11.SA+SANB3.SA+SANB4.SA+SFSA3.SA&amp;f=nol1hgd1" htmlFormat="all"/>
  </connection>
  <connection id="197" name="Conexão18111" type="4" refreshedVersion="3" background="1" saveData="1">
    <webPr xl2000="1" url="http://download.finance.yahoo.com/d/quotes.csv?s=IDVL3.SA+IDVL4.SA+BMEB3.SA+BMEB4.SA+BPNM3.SA+BPNM4.SA+BPAT33.SA+SANB11.SA+SANB3.SA+SANB4.SA+SFSA3.SA&amp;f=nol1hgd1" htmlFormat="all"/>
  </connection>
  <connection id="198" name="Conexão182" type="4" refreshedVersion="0" deleted="1" background="1" saveData="1">
    <webPr htmlTables="1" htmlFormat="all"/>
  </connection>
  <connection id="199" name="Conexão1821" type="4" refreshedVersion="0" deleted="1" background="1" saveData="1">
    <webPr htmlTables="1" htmlFormat="all"/>
  </connection>
  <connection id="200" name="Conexão183" type="4" refreshedVersion="3" deleted="1" background="1" saveData="1">
    <webPr xl2000="1" htmlTables="1" htmlFormat="all"/>
  </connection>
  <connection id="201" name="Conexão1831" type="4" refreshedVersion="3" deleted="1" background="1" saveData="1">
    <webPr xl2000="1" htmlTables="1" htmlFormat="all"/>
  </connection>
  <connection id="202" name="Conexão184" type="4" refreshedVersion="3" deleted="1" background="1" saveData="1">
    <webPr xl2000="1" htmlTables="1" htmlFormat="all"/>
  </connection>
  <connection id="203" name="Conexão1841" type="4" refreshedVersion="3" deleted="1" background="1" saveData="1">
    <webPr xl2000="1" htmlTables="1" htmlFormat="all"/>
  </connection>
  <connection id="204" name="Conexão185" type="4" refreshedVersion="3" deleted="1" background="1" saveData="1">
    <webPr xl2000="1" htmlTables="1" htmlFormat="all"/>
  </connection>
  <connection id="205" name="Conexão1851" type="4" refreshedVersion="3" deleted="1" background="1" saveData="1">
    <webPr xl2000="1" htmlTables="1" htmlFormat="all"/>
  </connection>
  <connection id="206" name="Conexão186" type="4" refreshedVersion="3" deleted="1" background="1" saveData="1">
    <webPr xl2000="1" htmlTables="1" htmlFormat="all"/>
  </connection>
  <connection id="207" name="Conexão1861" type="4" refreshedVersion="3" deleted="1" background="1" saveData="1">
    <webPr xl2000="1" htmlTables="1" htmlFormat="all"/>
  </connection>
  <connection id="208" name="Conexão189" type="4" refreshedVersion="3" deleted="1" background="1" saveData="1">
    <webPr xl2000="1" htmlTables="1" htmlFormat="all"/>
  </connection>
  <connection id="209" name="Conexão1891" type="4" refreshedVersion="3" deleted="1" background="1" saveData="1">
    <webPr xl2000="1" htmlTables="1" htmlFormat="all"/>
  </connection>
  <connection id="210" name="Conexão19" type="4" refreshedVersion="3" background="1" saveData="1">
    <webPr xl2000="1" url="http://download.finance.yahoo.com/d/quotes.csv?s=IDVL3.SA+IDVL4.SA+BMEB3.SA+BMEB4.SA+BPNM3.SA+BPNM4.SA+BPAT33.SA+SANB11.SA+SANB3.SA+SANB4.SA+SFSA3.SA&amp;f=nol1hgd1" htmlFormat="all"/>
  </connection>
  <connection id="211" name="Conexão190" type="4" refreshedVersion="3" deleted="1" background="1" saveData="1">
    <webPr xl2000="1" htmlTables="1" htmlFormat="all"/>
  </connection>
  <connection id="212" name="Conexão1901" type="4" refreshedVersion="3" deleted="1" background="1" saveData="1">
    <webPr xl2000="1" htmlTables="1" htmlFormat="all"/>
  </connection>
  <connection id="213" name="Conexão191" type="4" refreshedVersion="3" background="1" saveData="1">
    <webPr xl2000="1" url="http://download.finance.yahoo.com/d/quotes.csv?s=IDVL3.SA+IDVL4.SA+BMEB3.SA+BMEB4.SA+BPNM3.SA+BPNM4.SA+BPAT33.SA+SANB11.SA+SANB3.SA+SANB4.SA+SFSA3.SA&amp;f=nol1hgd1" htmlFormat="all"/>
  </connection>
  <connection id="214" name="Conexão1911" type="4" refreshedVersion="3" background="1" saveData="1">
    <webPr xl2000="1" url="http://download.finance.yahoo.com/d/quotes.csv?s=IDVL3.SA+IDVL4.SA+BMEB3.SA+BMEB4.SA+BPNM3.SA+BPNM4.SA+BPAT33.SA+SANB11.SA+SANB3.SA+SANB4.SA+SFSA3.SA&amp;f=nol1hgd1" htmlFormat="all"/>
  </connection>
  <connection id="215" name="Conexão192" type="4" refreshedVersion="0" deleted="1" background="1" saveData="1">
    <webPr htmlTables="1" htmlFormat="all"/>
  </connection>
  <connection id="216" name="Conexão1921" type="4" refreshedVersion="0" deleted="1" background="1" saveData="1">
    <webPr htmlTables="1" htmlFormat="all"/>
  </connection>
  <connection id="217" name="Conexão193" type="4" refreshedVersion="3" deleted="1" background="1" saveData="1">
    <webPr xl2000="1" htmlTables="1" htmlFormat="all"/>
  </connection>
  <connection id="218" name="Conexão1931" type="4" refreshedVersion="3" deleted="1" background="1" saveData="1">
    <webPr xl2000="1" htmlTables="1" htmlFormat="all"/>
  </connection>
  <connection id="219" name="Conexão195" type="4" refreshedVersion="3" deleted="1" background="1" saveData="1">
    <webPr xl2000="1" htmlTables="1" htmlFormat="all"/>
  </connection>
  <connection id="220" name="Conexão1951" type="4" refreshedVersion="3" deleted="1" background="1" saveData="1">
    <webPr xl2000="1" htmlTables="1" htmlFormat="all"/>
  </connection>
  <connection id="221" name="Conexão196" type="4" refreshedVersion="3" deleted="1" background="1" saveData="1">
    <webPr xl2000="1" htmlTables="1" htmlFormat="all"/>
  </connection>
  <connection id="222" name="Conexão1961" type="4" refreshedVersion="3" deleted="1" background="1" saveData="1">
    <webPr xl2000="1" htmlTables="1" htmlFormat="all"/>
  </connection>
  <connection id="223" name="Conexão197" type="4" refreshedVersion="3" deleted="1" background="1" saveData="1">
    <webPr xl2000="1" htmlTables="1" htmlFormat="all"/>
  </connection>
  <connection id="224" name="Conexão1971" type="4" refreshedVersion="3" deleted="1" background="1" saveData="1">
    <webPr xl2000="1" htmlTables="1" htmlFormat="all"/>
  </connection>
  <connection id="225" name="Conexão199" type="4" refreshedVersion="3" deleted="1" background="1" saveData="1">
    <webPr xl2000="1" htmlTables="1" htmlFormat="all"/>
  </connection>
  <connection id="226" name="Conexão2" type="4" refreshedVersion="0" background="1" saveData="1">
    <webPr url="http://download.finance.yahoo.com/d/quotes.csv?s=PITI3.SA+BPAC3.SA+BPAC5.SA&amp;f=nol1hgd1" htmlTables="1" htmlFormat="all"/>
  </connection>
  <connection id="227" name="Conexão20" type="4" refreshedVersion="3" background="1" saveData="1">
    <webPr xl2000="1" url="http://download.finance.yahoo.com/d/quotes.csv?s=IDVL3.SA+IDVL4.SA+BMEB3.SA+BMEB4.SA+BPNM3.SA+BPNM4.SA+BPAT33.SA+SANB11.SA+SANB3.SA+SANB4.SA+SFSA3.SA+OPGM3B.SA&amp;f=nol1hgd1" htmlFormat="all"/>
  </connection>
  <connection id="228" name="Conexão200" type="4" refreshedVersion="3" deleted="1" background="1" saveData="1">
    <webPr xl2000="1" htmlTables="1" htmlFormat="all"/>
  </connection>
  <connection id="229" name="Conexão2001" type="4" refreshedVersion="3" deleted="1" background="1" saveData="1">
    <webPr xl2000="1" htmlTables="1" htmlFormat="all"/>
  </connection>
  <connection id="230" name="Conexão201" type="4" refreshedVersion="3" background="1" saveData="1">
    <webPr xl2000="1" url="http://download.finance.yahoo.com/d/quotes.csv?s=IDVL3.SA+IDVL4.SA+BMEB3.SA+BMEB4.SA+BPNM3.SA+BPNM4.SA+BPAT33.SA+SANB11.SA+SANB3.SA+SANB4.SA+SFSA3.SA+OPGM3B.SA&amp;f=nol1hgd1" htmlFormat="all"/>
  </connection>
  <connection id="231" name="Conexão2011" type="4" refreshedVersion="3" background="1" saveData="1">
    <webPr xl2000="1" url="http://download.finance.yahoo.com/d/quotes.csv?s=IDVL3.SA+IDVL4.SA+BMEB3.SA+BMEB4.SA+BPNM3.SA+BPNM4.SA+BPAT33.SA+SANB11.SA+SANB3.SA+SANB4.SA+SFSA3.SA+OPGM3B.SA&amp;f=nol1hgd1" htmlFormat="all"/>
  </connection>
  <connection id="232" name="Conexão202" type="4" refreshedVersion="0" deleted="1" background="1" saveData="1">
    <webPr htmlTables="1" htmlFormat="all"/>
  </connection>
  <connection id="233" name="Conexão2021" type="4" refreshedVersion="0" deleted="1" background="1" saveData="1">
    <webPr htmlTables="1" htmlFormat="all"/>
  </connection>
  <connection id="234" name="Conexão203" type="4" refreshedVersion="3" deleted="1" background="1" saveData="1">
    <webPr xl2000="1" htmlTables="1" htmlFormat="all"/>
  </connection>
  <connection id="235" name="Conexão2031" type="4" refreshedVersion="3" deleted="1" background="1" saveData="1">
    <webPr xl2000="1" htmlTables="1" htmlFormat="all"/>
  </connection>
  <connection id="236" name="Conexão204" type="4" refreshedVersion="3" deleted="1" background="1" saveData="1">
    <webPr xl2000="1" htmlTables="1" htmlFormat="all"/>
  </connection>
  <connection id="237" name="Conexão205" type="4" refreshedVersion="3" deleted="1" background="1" saveData="1">
    <webPr xl2000="1" htmlTables="1" htmlFormat="all"/>
  </connection>
  <connection id="238" name="Conexão206" type="4" refreshedVersion="3" deleted="1" background="1" saveData="1">
    <webPr xl2000="1" htmlTables="1" htmlFormat="all"/>
  </connection>
  <connection id="239" name="Conexão2061" type="4" refreshedVersion="3" deleted="1" background="1" saveData="1">
    <webPr xl2000="1" htmlTables="1" htmlFormat="all"/>
  </connection>
  <connection id="240" name="Conexão207" type="4" refreshedVersion="3" deleted="1" background="1" saveData="1">
    <webPr xl2000="1" htmlTables="1" htmlFormat="all"/>
  </connection>
  <connection id="241" name="Conexão208" type="4" refreshedVersion="3" deleted="1" background="1" saveData="1">
    <webPr xl2000="1" htmlTables="1" htmlFormat="all"/>
  </connection>
  <connection id="242" name="Conexão2081" type="4" refreshedVersion="3" deleted="1" background="1" saveData="1">
    <webPr xl2000="1" htmlTables="1" htmlFormat="all"/>
  </connection>
  <connection id="243" name="Conexão209" type="4" refreshedVersion="3" deleted="1" background="1" saveData="1">
    <webPr xl2000="1" htmlTables="1" htmlFormat="all"/>
  </connection>
  <connection id="244" name="Conexão21" type="4" refreshedVersion="3" background="1" saveData="1">
    <webPr xl2000="1" url="http://download.finance.yahoo.com/d/quotes.csv?s=IDVL3.SA+IDVL4.SA+BMEB3.SA+BMEB4.SA+BPNM3.SA+BPNM4.SA+BPAT33.SA+SANB11.SA+SANB3.SA+SANB4.SA+SFSA3.SA+IDNT3.SA&amp;f=nol1hgd1" htmlFormat="all"/>
  </connection>
  <connection id="245" name="Conexão210" type="4" refreshedVersion="0" background="1" saveData="1">
    <webPr url="http://download.finance.yahoo.com/d/quotes.csv?s=PITI3.SA+BPAC3.SA+BPAC5.SA&amp;f=nol1hgd1" htmlTables="1" htmlFormat="all"/>
  </connection>
  <connection id="246" name="Conexão2101" type="4" refreshedVersion="0" background="1" saveData="1">
    <webPr url="http://download.finance.yahoo.com/d/quotes.csv?s=PITI3.SA+BPAC3.SA+BPAC5.SA&amp;f=nol1hgd1" htmlTables="1" htmlFormat="all"/>
  </connection>
  <connection id="247" name="Conexão21011" type="4" refreshedVersion="0" background="1" saveData="1">
    <webPr url="http://download.finance.yahoo.com/d/quotes.csv?s=PITI3.SA+BPAC3.SA+BPAC5.SA&amp;f=nol1hgd1" htmlTables="1" htmlFormat="all"/>
  </connection>
  <connection id="248" name="Conexão211" type="4" refreshedVersion="3" background="1" saveData="1">
    <webPr xl2000="1" url="http://download.finance.yahoo.com/d/quotes.csv?s=IDVL3.SA+IDVL4.SA+BMEB3.SA+BMEB4.SA+BPNM3.SA+BPNM4.SA+BPAT33.SA+SANB11.SA+SANB3.SA+SANB4.SA+SFSA3.SA+IDNT3.SA&amp;f=nol1hgd1" htmlFormat="all"/>
  </connection>
  <connection id="249" name="Conexão2111" type="4" refreshedVersion="3" background="1" saveData="1">
    <webPr xl2000="1" url="http://download.finance.yahoo.com/d/quotes.csv?s=IDVL3.SA+IDVL4.SA+BMEB3.SA+BMEB4.SA+BPNM3.SA+BPNM4.SA+BPAT33.SA+SANB11.SA+SANB3.SA+SANB4.SA+SFSA3.SA+IDNT3.SA&amp;f=nol1hgd1" htmlFormat="all"/>
  </connection>
  <connection id="250" name="Conexão212" type="4" refreshedVersion="0" deleted="1" background="1" saveData="1">
    <webPr htmlTables="1" htmlFormat="all"/>
  </connection>
  <connection id="251" name="Conexão2121" type="4" refreshedVersion="0" deleted="1" background="1" saveData="1">
    <webPr htmlTables="1" htmlFormat="all"/>
  </connection>
  <connection id="252" name="Conexão213" type="4" refreshedVersion="0" deleted="1" background="1" saveData="1">
    <webPr htmlTables="1" htmlFormat="all"/>
  </connection>
  <connection id="253" name="Conexão2131" type="4" refreshedVersion="0" deleted="1" background="1" saveData="1">
    <webPr htmlTables="1" htmlFormat="all"/>
  </connection>
  <connection id="254" name="Conexão214" type="4" refreshedVersion="0" deleted="1" background="1" saveData="1">
    <webPr htmlTables="1" htmlFormat="all"/>
  </connection>
  <connection id="255" name="Conexão2141" type="4" refreshedVersion="0" deleted="1" background="1" saveData="1">
    <webPr htmlTables="1" htmlFormat="all"/>
  </connection>
  <connection id="256" name="Conexão215" type="4" refreshedVersion="0" deleted="1" background="1" saveData="1">
    <webPr htmlTables="1" htmlFormat="all"/>
  </connection>
  <connection id="257" name="Conexão2151" type="4" refreshedVersion="0" deleted="1" background="1" saveData="1">
    <webPr htmlTables="1" htmlFormat="all"/>
  </connection>
  <connection id="258" name="Conexão216" type="4" refreshedVersion="0" deleted="1" background="1" saveData="1">
    <webPr htmlTables="1" htmlFormat="all"/>
  </connection>
  <connection id="259" name="Conexão2161" type="4" refreshedVersion="0" deleted="1" background="1" saveData="1">
    <webPr htmlTables="1" htmlFormat="all"/>
  </connection>
  <connection id="260" name="Conexão217" type="4" refreshedVersion="3" deleted="1" background="1" saveData="1">
    <webPr xl2000="1" htmlTables="1" htmlFormat="all"/>
  </connection>
  <connection id="261" name="Conexão2171" type="4" refreshedVersion="3" deleted="1" background="1" saveData="1">
    <webPr xl2000="1" htmlTables="1" htmlFormat="all"/>
  </connection>
  <connection id="262" name="Conexão218" type="4" refreshedVersion="3" deleted="1" background="1" saveData="1">
    <webPr xl2000="1" htmlTables="1" htmlFormat="all"/>
  </connection>
  <connection id="263" name="Conexão22" type="4" refreshedVersion="3" background="1" saveData="1">
    <webPr xl2000="1" url="http://download.finance.yahoo.com/d/quotes.csv?s=IDVL3.SA+IDVL4.SA+BMEB3.SA+BMEB4.SA+BPNM3.SA+BPNM4.SA+BPAT33.SA+SANB11.SA+SANB3.SA+SANB4.SA+SFSA3.SA+IDNT3.SA+LINX3.SA+TELB3.SA+TELB4.SA&amp;f=nol1hgd1" htmlFormat="all"/>
  </connection>
  <connection id="264" name="Conexão220" type="4" refreshedVersion="3" deleted="1" background="1" saveData="1">
    <webPr xl2000="1" htmlTables="1" htmlFormat="all"/>
  </connection>
  <connection id="265" name="Conexão2201" type="4" refreshedVersion="3" deleted="1" background="1" saveData="1">
    <webPr xl2000="1" htmlTables="1" htmlFormat="all"/>
  </connection>
  <connection id="266" name="Conexão221" type="4" refreshedVersion="3" background="1" saveData="1">
    <webPr xl2000="1" url="http://download.finance.yahoo.com/d/quotes.csv?s=IDVL3.SA+IDVL4.SA+BMEB3.SA+BMEB4.SA+BPNM3.SA+BPNM4.SA+BPAT33.SA+SANB11.SA+SANB3.SA+SANB4.SA+SFSA3.SA+IDNT3.SA+LINX3.SA+TELB3.SA+TELB4.SA&amp;f=nol1hgd1" htmlFormat="all"/>
  </connection>
  <connection id="267" name="Conexão2211" type="4" refreshedVersion="3" background="1" saveData="1">
    <webPr xl2000="1" url="http://download.finance.yahoo.com/d/quotes.csv?s=IDVL3.SA+IDVL4.SA+BMEB3.SA+BMEB4.SA+BPNM3.SA+BPNM4.SA+BPAT33.SA+SANB11.SA+SANB3.SA+SANB4.SA+SFSA3.SA+IDNT3.SA+LINX3.SA+TELB3.SA+TELB4.SA&amp;f=nol1hgd1" htmlFormat="all"/>
  </connection>
  <connection id="268" name="Conexão222" type="4" refreshedVersion="0" deleted="1" background="1" saveData="1">
    <webPr htmlTables="1" htmlFormat="all"/>
  </connection>
  <connection id="269" name="Conexão2221" type="4" refreshedVersion="0" deleted="1" background="1" saveData="1">
    <webPr htmlTables="1" htmlFormat="all"/>
  </connection>
  <connection id="270" name="Conexão223" type="4" refreshedVersion="3" deleted="1" background="1" saveData="1">
    <webPr xl2000="1" htmlTables="1" htmlFormat="all"/>
  </connection>
  <connection id="271" name="Conexão226" type="4" refreshedVersion="3" deleted="1" background="1" saveData="1">
    <webPr xl2000="1" htmlTables="1" htmlFormat="all"/>
  </connection>
  <connection id="272" name="Conexão2261" type="4" refreshedVersion="3" deleted="1" background="1" saveData="1">
    <webPr xl2000="1" htmlTables="1" htmlFormat="all"/>
  </connection>
  <connection id="273" name="Conexão227" type="4" refreshedVersion="3" deleted="1" background="1" saveData="1">
    <webPr xl2000="1" htmlTables="1" htmlFormat="all"/>
  </connection>
  <connection id="274" name="Conexão2271" type="4" refreshedVersion="3" deleted="1" background="1" saveData="1">
    <webPr xl2000="1" htmlTables="1" htmlFormat="all"/>
  </connection>
  <connection id="275" name="Conexão228" type="4" refreshedVersion="3" deleted="1" background="1" saveData="1">
    <webPr xl2000="1" htmlTables="1" htmlFormat="all"/>
  </connection>
  <connection id="276" name="Conexão23" type="4" refreshedVersion="0" background="1" saveData="1">
    <webPr url="http://download.finance.yahoo.com/d/quotes.csv?s=IDVL3.SA+IDVL4.SA+BMEB3.SA+BMEB4.SA+BPNM3.SA+BPNM4.SA+BPAT33.SA+SANB11.SA+SANB3.SA+SANB4.SA+SFSA3.SA+IDNT3.SA+LINX3.SA+TELB3.SA+TELB4.SA+SNSL3M.SA&amp;f=nol1hgd1" htmlTables="1" htmlFormat="all"/>
  </connection>
  <connection id="277" name="Conexão230" type="4" refreshedVersion="3" deleted="1" background="1" saveData="1">
    <webPr xl2000="1" htmlTables="1" htmlFormat="all"/>
  </connection>
  <connection id="278" name="Conexão231" type="4" refreshedVersion="0" deleted="1" background="1" saveData="1">
    <webPr htmlTables="1" htmlFormat="all"/>
  </connection>
  <connection id="279" name="Conexão2311" type="4" refreshedVersion="0" deleted="1" background="1" saveData="1">
    <webPr htmlTables="1" htmlFormat="all"/>
  </connection>
  <connection id="280" name="Conexão232" type="4" refreshedVersion="0" deleted="1" background="1" saveData="1">
    <webPr htmlTables="1" htmlFormat="all"/>
  </connection>
  <connection id="281" name="Conexão2321" type="4" refreshedVersion="0" deleted="1" background="1" saveData="1">
    <webPr htmlTables="1" htmlFormat="all"/>
  </connection>
  <connection id="282" name="Conexão233" type="4" refreshedVersion="3" deleted="1" background="1" saveData="1">
    <webPr xl2000="1" htmlTables="1" htmlFormat="all"/>
  </connection>
  <connection id="283" name="Conexão2331" type="4" refreshedVersion="3" deleted="1" background="1" saveData="1">
    <webPr xl2000="1" htmlTables="1" htmlFormat="all"/>
  </connection>
  <connection id="284" name="Conexão235" type="4" refreshedVersion="3" deleted="1" background="1" saveData="1">
    <webPr xl2000="1" htmlTables="1" htmlFormat="all"/>
  </connection>
  <connection id="285" name="Conexão2351" type="4" refreshedVersion="3" deleted="1" background="1" saveData="1">
    <webPr xl2000="1" htmlTables="1" htmlFormat="all"/>
  </connection>
  <connection id="286" name="Conexão238" type="4" refreshedVersion="3" deleted="1" background="1" saveData="1">
    <webPr xl2000="1" htmlTables="1" htmlFormat="all"/>
  </connection>
  <connection id="287" name="Conexão2381" type="4" refreshedVersion="3" deleted="1" background="1" saveData="1">
    <webPr xl2000="1" htmlTables="1" htmlFormat="all"/>
  </connection>
  <connection id="288" name="Conexão24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&amp;f=nol1hgd1" htmlFormat="all"/>
  </connection>
  <connection id="289" name="Conexão240" type="4" refreshedVersion="3" deleted="1" background="1" saveData="1">
    <webPr xl2000="1" htmlTables="1" htmlFormat="all"/>
  </connection>
  <connection id="290" name="Conexão241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&amp;f=nol1hgd1" htmlFormat="all"/>
  </connection>
  <connection id="291" name="Conexão2411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&amp;f=nol1hgd1" htmlFormat="all"/>
  </connection>
  <connection id="292" name="Conexão242" type="4" refreshedVersion="0" deleted="1" background="1" saveData="1">
    <webPr htmlTables="1" htmlFormat="all"/>
  </connection>
  <connection id="293" name="Conexão2421" type="4" refreshedVersion="0" deleted="1" background="1" saveData="1">
    <webPr htmlTables="1" htmlFormat="all"/>
  </connection>
  <connection id="294" name="Conexão243" type="4" refreshedVersion="3" deleted="1" background="1" saveData="1">
    <webPr xl2000="1" htmlTables="1" htmlFormat="all"/>
  </connection>
  <connection id="295" name="Conexão2431" type="4" refreshedVersion="3" deleted="1" background="1" saveData="1">
    <webPr xl2000="1" htmlTables="1" htmlFormat="all"/>
  </connection>
  <connection id="296" name="Conexão244" type="4" refreshedVersion="3" deleted="1" background="1" saveData="1">
    <webPr xl2000="1" htmlTables="1" htmlFormat="all"/>
  </connection>
  <connection id="297" name="Conexão245" type="4" refreshedVersion="3" deleted="1" background="1" saveData="1">
    <webPr xl2000="1" htmlTables="1" htmlFormat="all"/>
  </connection>
  <connection id="298" name="Conexão246" type="4" refreshedVersion="3" deleted="1" background="1" saveData="1">
    <webPr xl2000="1" htmlTables="1" htmlFormat="all"/>
  </connection>
  <connection id="299" name="Conexão2461" type="4" refreshedVersion="3" deleted="1" background="1" saveData="1">
    <webPr xl2000="1" htmlTables="1" htmlFormat="all"/>
  </connection>
  <connection id="300" name="Conexão248" type="4" refreshedVersion="3" deleted="1" background="1" saveData="1">
    <webPr xl2000="1" htmlTables="1" htmlFormat="all"/>
  </connection>
  <connection id="301" name="Conexão249" type="4" refreshedVersion="3" deleted="1" background="1" saveData="1">
    <webPr xl2000="1" htmlTables="1" htmlFormat="all"/>
  </connection>
  <connection id="302" name="Conexão2491" type="4" refreshedVersion="3" deleted="1" background="1" saveData="1">
    <webPr xl2000="1" htmlTables="1" htmlFormat="all"/>
  </connection>
  <connection id="303" name="Conexão25" type="4" refreshedVersion="0" background="1" saveData="1">
    <webPr url="http://download.finance.yahoo.com/d/quotes.csv?s=IDVL3.SA+IDVL4.SA+BMEB3.SA+BMEB4.SA+BPNM3.SA+BPNM4.SA+BPAT33.SA+SANB11.SA+SANB3.SA+SANB4.SA+SFSA3.SA+IDNT3.SA+LINX3.SA+TELB3.SA+TELB4.SA+SNSL3M.SA+TOTS3.SA&amp;f=nol1hgd1" htmlTables="1" htmlFormat="all"/>
  </connection>
  <connection id="304" name="Conexão250" type="4" refreshedVersion="3" deleted="1" background="1" saveData="1">
    <webPr xl2000="1" htmlTables="1" htmlFormat="all"/>
  </connection>
  <connection id="305" name="Conexão251" type="4" refreshedVersion="0" deleted="1" background="1" saveData="1">
    <webPr htmlTables="1" htmlFormat="all"/>
  </connection>
  <connection id="306" name="Conexão2511" type="4" refreshedVersion="0" deleted="1" background="1" saveData="1">
    <webPr htmlTables="1" htmlFormat="all"/>
  </connection>
  <connection id="307" name="Conexão252" type="4" refreshedVersion="0" deleted="1" background="1" saveData="1">
    <webPr htmlTables="1" htmlFormat="all"/>
  </connection>
  <connection id="308" name="Conexão2521" type="4" refreshedVersion="0" deleted="1" background="1" saveData="1">
    <webPr htmlTables="1" htmlFormat="all"/>
  </connection>
  <connection id="309" name="Conexão253" type="4" refreshedVersion="3" deleted="1" background="1" saveData="1">
    <webPr xl2000="1" htmlTables="1" htmlFormat="all"/>
  </connection>
  <connection id="310" name="Conexão2531" type="4" refreshedVersion="3" deleted="1" background="1" saveData="1">
    <webPr xl2000="1" htmlTables="1" htmlFormat="all"/>
  </connection>
  <connection id="311" name="Conexão254" type="4" refreshedVersion="3" deleted="1" background="1" saveData="1">
    <webPr xl2000="1" htmlTables="1" htmlFormat="all"/>
  </connection>
  <connection id="312" name="Conexão255" type="4" refreshedVersion="3" deleted="1" background="1" saveData="1">
    <webPr xl2000="1" htmlTables="1" htmlFormat="all"/>
  </connection>
  <connection id="313" name="Conexão2551" type="4" refreshedVersion="3" deleted="1" background="1" saveData="1">
    <webPr xl2000="1" htmlTables="1" htmlFormat="all"/>
  </connection>
  <connection id="314" name="Conexão256" type="4" refreshedVersion="3" deleted="1" background="1" saveData="1">
    <webPr xl2000="1" htmlTables="1" htmlFormat="all"/>
  </connection>
  <connection id="315" name="Conexão257" type="4" refreshedVersion="3" deleted="1" background="1" saveData="1">
    <webPr xl2000="1" htmlTables="1" htmlFormat="all"/>
  </connection>
  <connection id="316" name="Conexão2571" type="4" refreshedVersion="3" deleted="1" background="1" saveData="1">
    <webPr xl2000="1" htmlTables="1" htmlFormat="all"/>
  </connection>
  <connection id="317" name="Conexão258" type="4" refreshedVersion="3" deleted="1" background="1" saveData="1">
    <webPr xl2000="1" htmlTables="1" htmlFormat="all"/>
  </connection>
  <connection id="318" name="Conexão259" type="4" refreshedVersion="3" deleted="1" background="1" saveData="1">
    <webPr xl2000="1" htmlTables="1" htmlFormat="all"/>
  </connection>
  <connection id="319" name="Conexão2591" type="4" refreshedVersion="3" deleted="1" background="1" saveData="1">
    <webPr xl2000="1" htmlTables="1" htmlFormat="all"/>
  </connection>
  <connection id="320" name="Conexão26" type="4" refreshedVersion="0" background="1" saveData="1">
    <webPr url="http://download.finance.yahoo.com/d/quotes.csv?s=IDVL3.SA+IDVL4.SA+BMEB3.SA+BMEB4.SA+BPNM3.SA+BPNM4.SA+BPAT33.SA+SANB11.SA+SANB3.SA+SANB4.SA+SFSA3.SA+IDNT3.SA+LINX3.SA+TELB3.SA+TELB4.SA+SNSL3M.SA+TOTS3.SA&amp;f=nol1hgd1" htmlTables="1" htmlFormat="all"/>
  </connection>
  <connection id="321" name="Conexão260" type="4" refreshedVersion="3" deleted="1" background="1" saveData="1">
    <webPr xl2000="1" htmlTables="1" htmlFormat="all"/>
  </connection>
  <connection id="322" name="Conexão261" type="4" refreshedVersion="0" deleted="1" background="1" saveData="1">
    <webPr htmlTables="1" htmlFormat="all"/>
  </connection>
  <connection id="323" name="Conexão2611" type="4" refreshedVersion="0" deleted="1" background="1" saveData="1">
    <webPr htmlTables="1" htmlFormat="all"/>
  </connection>
  <connection id="324" name="Conexão262" type="4" refreshedVersion="0" deleted="1" background="1" saveData="1">
    <webPr htmlTables="1" htmlFormat="all"/>
  </connection>
  <connection id="325" name="Conexão2621" type="4" refreshedVersion="0" deleted="1" background="1" saveData="1">
    <webPr htmlTables="1" htmlFormat="all"/>
  </connection>
  <connection id="326" name="Conexão264" type="4" refreshedVersion="3" deleted="1" background="1" saveData="1">
    <webPr xl2000="1" htmlTables="1" htmlFormat="all"/>
  </connection>
  <connection id="327" name="Conexão2641" type="4" refreshedVersion="3" deleted="1" background="1" saveData="1">
    <webPr xl2000="1" htmlTables="1" htmlFormat="all"/>
  </connection>
  <connection id="328" name="Conexão265" type="4" refreshedVersion="3" deleted="1" background="1" saveData="1">
    <webPr xl2000="1" htmlTables="1" htmlFormat="all"/>
  </connection>
  <connection id="329" name="Conexão266" type="4" refreshedVersion="3" deleted="1" background="1" saveData="1">
    <webPr xl2000="1" htmlTables="1" htmlFormat="all"/>
  </connection>
  <connection id="330" name="Conexão269" type="4" refreshedVersion="3" deleted="1" background="1" saveData="1">
    <webPr xl2000="1" htmlTables="1" htmlFormat="all"/>
  </connection>
  <connection id="331" name="Conexão2691" type="4" refreshedVersion="3" deleted="1" background="1" saveData="1">
    <webPr xl2000="1" htmlTables="1" htmlFormat="all"/>
  </connection>
  <connection id="332" name="Conexão27" type="4" refreshedVersion="0" background="1" saveData="1">
    <webPr url="http://download.finance.yahoo.com/d/quotes.csv?s=IDVL3.SA+IDVL4.SA+BMEB3.SA+BMEB4.SA+BPNM3.SA+BPNM4.SA+BPAT33.SA+SANB11.SA+SANB3.SA+SANB4.SA+SFSA3.SA+IDNT3.SA+LINX3.SA+TELB3.SA+TELB4.SA+SNSL3M.SA+TOTS3.SA&amp;f=nol1hgd1" htmlTables="1" htmlFormat="all"/>
  </connection>
  <connection id="333" name="Conexão270" type="4" refreshedVersion="3" deleted="1" background="1" saveData="1">
    <webPr xl2000="1" htmlTables="1" htmlFormat="all"/>
  </connection>
  <connection id="334" name="Conexão2701" type="4" refreshedVersion="3" deleted="1" background="1" saveData="1">
    <webPr xl2000="1" htmlTables="1" htmlFormat="all"/>
  </connection>
  <connection id="335" name="Conexão271" type="4" refreshedVersion="0" background="1" saveData="1">
    <webPr url="http://download.finance.yahoo.com/d/quotes.csv?s=IDVL3.SA+IDVL4.SA+BMEB3.SA+BMEB4.SA+BPNM3.SA+BPNM4.SA+BPAT33.SA+SANB11.SA+SANB3.SA+SANB4.SA+SFSA3.SA+IDNT3.SA+LINX3.SA+TELB3.SA+TELB4.SA+SNSL3M.SA+TOTS3.SA&amp;f=nol1hgd1" htmlTables="1" htmlFormat="all"/>
  </connection>
  <connection id="336" name="Conexão2711" type="4" refreshedVersion="0" background="1" saveData="1">
    <webPr url="http://download.finance.yahoo.com/d/quotes.csv?s=IDVL3.SA+IDVL4.SA+BMEB3.SA+BMEB4.SA+BPNM3.SA+BPNM4.SA+BPAT33.SA+SANB11.SA+SANB3.SA+SANB4.SA+SFSA3.SA+IDNT3.SA+LINX3.SA+TELB3.SA+TELB4.SA+SNSL3M.SA+TOTS3.SA&amp;f=nol1hgd1" htmlTables="1" htmlFormat="all"/>
  </connection>
  <connection id="337" name="Conexão27111" type="4" refreshedVersion="0" background="1" saveData="1">
    <webPr url="http://download.finance.yahoo.com/d/quotes.csv?s=IDVL3.SA+IDVL4.SA+BMEB3.SA+BMEB4.SA+BPNM3.SA+BPNM4.SA+BPAT33.SA+SANB11.SA+SANB3.SA+SANB4.SA+SFSA3.SA+IDNT3.SA+LINX3.SA+TELB3.SA+TELB4.SA+SNSL3M.SA+TOTS3.SA&amp;f=nol1hgd1" htmlTables="1" htmlFormat="all"/>
  </connection>
  <connection id="338" name="Conexão272" type="4" refreshedVersion="0" deleted="1" background="1" saveData="1">
    <webPr htmlTables="1" htmlFormat="all"/>
  </connection>
  <connection id="339" name="Conexão2721" type="4" refreshedVersion="0" deleted="1" background="1" saveData="1">
    <webPr htmlTables="1" htmlFormat="all"/>
  </connection>
  <connection id="340" name="Conexão274" type="4" refreshedVersion="3" deleted="1" background="1" saveData="1">
    <webPr xl2000="1" htmlTables="1" htmlFormat="all"/>
  </connection>
  <connection id="341" name="Conexão275" type="4" refreshedVersion="3" deleted="1" background="1" saveData="1">
    <webPr xl2000="1" htmlTables="1" htmlFormat="all"/>
  </connection>
  <connection id="342" name="Conexão276" type="4" refreshedVersion="3" deleted="1" background="1" saveData="1">
    <webPr xl2000="1" htmlTables="1" htmlFormat="all"/>
  </connection>
  <connection id="343" name="Conexão2761" type="4" refreshedVersion="3" deleted="1" background="1" saveData="1">
    <webPr xl2000="1" htmlTables="1" htmlFormat="all"/>
  </connection>
  <connection id="344" name="Conexão277" type="4" refreshedVersion="3" deleted="1" background="1" saveData="1">
    <webPr xl2000="1" htmlTables="1" htmlFormat="all"/>
  </connection>
  <connection id="345" name="Conexão278" type="4" refreshedVersion="3" deleted="1" background="1" saveData="1">
    <webPr xl2000="1" htmlTables="1" htmlFormat="all"/>
  </connection>
  <connection id="346" name="Conexão2781" type="4" refreshedVersion="3" deleted="1" background="1" saveData="1">
    <webPr xl2000="1" htmlTables="1" htmlFormat="all"/>
  </connection>
  <connection id="347" name="Conexão28" type="4" refreshedVersion="0" background="1" saveData="1">
    <webPr url="http://download.finance.yahoo.com/d/quotes.csv?s=IDVL3.SA+IDVL4.SA+BMEB3.SA+BMEB4.SA+BPNM3.SA+BPNM4.SA+BPAT33.SA+SANB11.SA+SANB3.SA+SANB4.SA+SFSA3.SA+IDNT3.SA+LINX3.SA+TELB3.SA+TELB4.SA+SNSL3M.SA+TOTS3.SA+BEMA3.SA+ITEC3.SA+POSI3.SA&amp;f=nol1hgd1" htmlTables="1" htmlFormat="all"/>
  </connection>
  <connection id="348" name="Conexão280" type="4" refreshedVersion="3" deleted="1" background="1" saveData="1">
    <webPr xl2000="1" htmlTables="1" htmlFormat="all"/>
  </connection>
  <connection id="349" name="Conexão281" type="4" refreshedVersion="0" background="1" saveData="1">
    <webPr url="http://download.finance.yahoo.com/d/quotes.csv?s=IDVL3.SA+IDVL4.SA+BMEB3.SA+BMEB4.SA+BPNM3.SA+BPNM4.SA+BPAT33.SA+SANB11.SA+SANB3.SA+SANB4.SA+SFSA3.SA+IDNT3.SA+LINX3.SA+TELB3.SA+TELB4.SA+SNSL3M.SA+TOTS3.SA+BEMA3.SA+ITEC3.SA+POSI3.SA&amp;f=nol1hgd1" htmlTables="1" htmlFormat="all"/>
  </connection>
  <connection id="350" name="Conexão2811" type="4" refreshedVersion="0" background="1" saveData="1">
    <webPr url="http://download.finance.yahoo.com/d/quotes.csv?s=IDVL3.SA+IDVL4.SA+BMEB3.SA+BMEB4.SA+BPNM3.SA+BPNM4.SA+BPAT33.SA+SANB11.SA+SANB3.SA+SANB4.SA+SFSA3.SA+IDNT3.SA+LINX3.SA+TELB3.SA+TELB4.SA+SNSL3M.SA+TOTS3.SA+BEMA3.SA+ITEC3.SA+POSI3.SA&amp;f=nol1hgd1" htmlTables="1" htmlFormat="all"/>
  </connection>
  <connection id="351" name="Conexão282" type="4" refreshedVersion="0" deleted="1" background="1" saveData="1">
    <webPr htmlTables="1" htmlFormat="all"/>
  </connection>
  <connection id="352" name="Conexão2821" type="4" refreshedVersion="0" deleted="1" background="1" saveData="1">
    <webPr htmlTables="1" htmlFormat="all"/>
  </connection>
  <connection id="353" name="Conexão283" type="4" refreshedVersion="3" deleted="1" background="1" saveData="1">
    <webPr xl2000="1" htmlTables="1" htmlFormat="all"/>
  </connection>
  <connection id="354" name="Conexão2831" type="4" refreshedVersion="3" deleted="1" background="1" saveData="1">
    <webPr xl2000="1" htmlTables="1" htmlFormat="all"/>
  </connection>
  <connection id="355" name="Conexão284" type="4" refreshedVersion="3" deleted="1" background="1" saveData="1">
    <webPr xl2000="1" htmlTables="1" htmlFormat="all"/>
  </connection>
  <connection id="356" name="Conexão287" type="4" refreshedVersion="3" deleted="1" background="1" saveData="1">
    <webPr xl2000="1" htmlTables="1" htmlFormat="all"/>
  </connection>
  <connection id="357" name="Conexão2871" type="4" refreshedVersion="3" deleted="1" background="1" saveData="1">
    <webPr xl2000="1" htmlTables="1" htmlFormat="all"/>
  </connection>
  <connection id="358" name="Conexão288" type="4" refreshedVersion="3" deleted="1" background="1" saveData="1">
    <webPr xl2000="1" htmlTables="1" htmlFormat="all"/>
  </connection>
  <connection id="359" name="Conexão289" type="4" refreshedVersion="3" deleted="1" background="1" saveData="1">
    <webPr xl2000="1" htmlTables="1" htmlFormat="all"/>
  </connection>
  <connection id="360" name="Conexão2891" type="4" refreshedVersion="3" deleted="1" background="1" saveData="1">
    <webPr xl2000="1" htmlTables="1" htmlFormat="all"/>
  </connection>
  <connection id="361" name="Conexão29" type="4" refreshedVersion="0" background="1" saveData="1">
    <webPr url="http://download.finance.yahoo.com/d/quotes.csv?s=IDVL3.SA+IDVL4.SA+BMEB3.SA+BMEB4.SA+BPNM3.SA+BPNM4.SA+BPAT33.SA+SANB11.SA+SANB3.SA+SANB4.SA+SFSA3.SA+IDNT3.SA+LINX3.SA+TELB3.SA+TELB4.SA+SNSL3M.SA+TOTS3.SA+BEMA3.SA+ITEC3.SA+POSI3.SA+PREB32.SA&amp;f=nol1hgd1" htmlTables="1" htmlFormat="all"/>
  </connection>
  <connection id="362" name="Conexão290" type="4" refreshedVersion="3" deleted="1" background="1" saveData="1">
    <webPr xl2000="1" htmlTables="1" htmlFormat="all"/>
  </connection>
  <connection id="363" name="Conexão291" type="4" refreshedVersion="0" deleted="1" background="1" saveData="1">
    <webPr htmlTables="1" htmlFormat="all"/>
  </connection>
  <connection id="364" name="Conexão2911" type="4" refreshedVersion="0" deleted="1" background="1" saveData="1">
    <webPr htmlTables="1" htmlFormat="all"/>
  </connection>
  <connection id="365" name="Conexão292" type="4" refreshedVersion="0" deleted="1" background="1" saveData="1">
    <webPr htmlTables="1" htmlFormat="all"/>
  </connection>
  <connection id="366" name="Conexão2921" type="4" refreshedVersion="0" deleted="1" background="1" saveData="1">
    <webPr htmlTables="1" htmlFormat="all"/>
  </connection>
  <connection id="367" name="Conexão293" type="4" refreshedVersion="3" deleted="1" background="1" saveData="1">
    <webPr xl2000="1" htmlTables="1" htmlFormat="all"/>
  </connection>
  <connection id="368" name="Conexão2931" type="4" refreshedVersion="3" deleted="1" background="1" saveData="1">
    <webPr xl2000="1" htmlTables="1" htmlFormat="all"/>
  </connection>
  <connection id="369" name="Conexão294" type="4" refreshedVersion="3" deleted="1" background="1" saveData="1">
    <webPr xl2000="1" htmlTables="1" htmlFormat="all"/>
  </connection>
  <connection id="370" name="Conexão295" type="4" refreshedVersion="3" deleted="1" background="1" saveData="1">
    <webPr xl2000="1" htmlTables="1" htmlFormat="all"/>
  </connection>
  <connection id="371" name="Conexão2951" type="4" refreshedVersion="3" deleted="1" background="1" saveData="1">
    <webPr xl2000="1" htmlTables="1" htmlFormat="all"/>
  </connection>
  <connection id="372" name="Conexão296" type="4" refreshedVersion="3" deleted="1" background="1" saveData="1">
    <webPr xl2000="1" htmlTables="1" htmlFormat="all"/>
  </connection>
  <connection id="373" name="Conexão297" type="4" refreshedVersion="3" deleted="1" background="1" saveData="1">
    <webPr xl2000="1" htmlTables="1" htmlFormat="all"/>
  </connection>
  <connection id="374" name="Conexão2971" type="4" refreshedVersion="3" deleted="1" background="1" saveData="1">
    <webPr xl2000="1" htmlTables="1" htmlFormat="all"/>
  </connection>
  <connection id="375" name="Conexão298" type="4" refreshedVersion="3" deleted="1" background="1" saveData="1">
    <webPr xl2000="1" htmlTables="1" htmlFormat="all"/>
  </connection>
  <connection id="376" name="Conexão2981" type="4" refreshedVersion="3" deleted="1" background="1" saveData="1">
    <webPr xl2000="1" htmlTables="1" htmlFormat="all"/>
  </connection>
  <connection id="377" name="Conexão3" type="4" refreshedVersion="3" background="1" saveData="1">
    <webPr xl2000="1" url="http://download.finance.yahoo.com/d/quotes.csv?s=PITI3.SA+BPAC3.SA+BPAC5.SA&amp;f=nol1hgd1" htmlFormat="all"/>
  </connection>
  <connection id="378" name="Conexão30" type="4" refreshedVersion="0" background="1" saveData="1">
    <webPr url="http://download.finance.yahoo.com/d/quotes.csv?s=IDVL3.SA+IDVL4.SA+BMEB3.SA+BMEB4.SA+BPNM3.SA+BPNM4.SA+BPAT33.SA+SANB11.SA+SANB3.SA+SANB4.SA+SFSA3.SA+IDNT3.SA+LINX3.SA+TELB3.SA+TELB4.SA+SNSL3M.SA+TOTS3.SA+BEMA3.SA+ITEC3.SA+POSI3.SA+PREB32.SA&amp;f=nol1hgd1" htmlTables="1" htmlFormat="all"/>
  </connection>
  <connection id="379" name="Conexão300" type="4" refreshedVersion="3" deleted="1" background="1" saveData="1">
    <webPr xl2000="1" htmlTables="1" htmlFormat="all"/>
  </connection>
  <connection id="380" name="Conexão301" type="4" refreshedVersion="0" background="1" saveData="1">
    <webPr url="http://download.finance.yahoo.com/d/quotes.csv?s=IDVL3.SA+IDVL4.SA+BMEB3.SA+BMEB4.SA+BPNM3.SA+BPNM4.SA+BPAT33.SA+SANB11.SA+SANB3.SA+SANB4.SA+SFSA3.SA+IDNT3.SA+LINX3.SA+TELB3.SA+TELB4.SA+SNSL3M.SA+TOTS3.SA+BEMA3.SA+ITEC3.SA+POSI3.SA+PREB32.SA&amp;f=nol1hgd1" htmlTables="1" htmlFormat="all"/>
  </connection>
  <connection id="381" name="Conexão3011" type="4" refreshedVersion="0" background="1" saveData="1">
    <webPr url="http://download.finance.yahoo.com/d/quotes.csv?s=IDVL3.SA+IDVL4.SA+BMEB3.SA+BMEB4.SA+BPNM3.SA+BPNM4.SA+BPAT33.SA+SANB11.SA+SANB3.SA+SANB4.SA+SFSA3.SA+IDNT3.SA+LINX3.SA+TELB3.SA+TELB4.SA+SNSL3M.SA+TOTS3.SA+BEMA3.SA+ITEC3.SA+POSI3.SA+PREB32.SA&amp;f=nol1hgd1" htmlTables="1" htmlFormat="all"/>
  </connection>
  <connection id="382" name="Conexão302" type="4" refreshedVersion="0" deleted="1" background="1" saveData="1">
    <webPr htmlTables="1" htmlFormat="all"/>
  </connection>
  <connection id="383" name="Conexão3021" type="4" refreshedVersion="0" deleted="1" background="1" saveData="1">
    <webPr htmlTables="1" htmlFormat="all"/>
  </connection>
  <connection id="384" name="Conexão303" type="4" refreshedVersion="3" deleted="1" background="1" saveData="1">
    <webPr xl2000="1" htmlTables="1" htmlFormat="all"/>
  </connection>
  <connection id="385" name="Conexão3031" type="4" refreshedVersion="3" deleted="1" background="1" saveData="1">
    <webPr xl2000="1" htmlTables="1" htmlFormat="all"/>
  </connection>
  <connection id="386" name="Conexão305" type="4" refreshedVersion="3" deleted="1" background="1" saveData="1">
    <webPr xl2000="1" htmlTables="1" htmlFormat="all"/>
  </connection>
  <connection id="387" name="Conexão306" type="4" refreshedVersion="3" deleted="1" background="1" saveData="1">
    <webPr xl2000="1" htmlTables="1" htmlFormat="all"/>
  </connection>
  <connection id="388" name="Conexão3061" type="4" refreshedVersion="3" deleted="1" background="1" saveData="1">
    <webPr xl2000="1" htmlTables="1" htmlFormat="all"/>
  </connection>
  <connection id="389" name="Conexão307" type="4" refreshedVersion="3" deleted="1" background="1" saveData="1">
    <webPr xl2000="1" htmlTables="1" htmlFormat="all"/>
  </connection>
  <connection id="390" name="Conexão31" type="4" refreshedVersion="0" background="1" saveData="1">
    <webPr url="http://download.finance.yahoo.com/d/quotes.csv?s=IDVL3.SA+IDVL4.SA+BMEB3.SA+BMEB4.SA+BPNM3.SA+BPNM4.SA+BPAT33.SA+SANB11.SA+SANB3.SA+SANB4.SA+SFSA3.SA+IDNT3.SA+LINX3.SA+TELB3.SA+TELB4.SA+SNSL3M.SA+TOTS3.SA+BEMA3.SA+ITEC3.SA+POSI3.SA+RPMG3.SA+RPMG4.SA&amp;f=nol1hgd1" htmlTables="1" htmlFormat="all"/>
  </connection>
  <connection id="391" name="Conexão310" type="4" refreshedVersion="3" background="1" saveData="1">
    <webPr xl2000="1" url="http://download.finance.yahoo.com/d/quotes.csv?s=PITI3.SA+BPAC3.SA+BPAC5.SA&amp;f=nol1hgd1" htmlFormat="all"/>
  </connection>
  <connection id="392" name="Conexão3101" type="4" refreshedVersion="3" background="1" saveData="1">
    <webPr xl2000="1" url="http://download.finance.yahoo.com/d/quotes.csv?s=PITI3.SA+BPAC3.SA+BPAC5.SA&amp;f=nol1hgd1" htmlFormat="all"/>
  </connection>
  <connection id="393" name="Conexão31011" type="4" refreshedVersion="3" background="1" saveData="1">
    <webPr xl2000="1" url="http://download.finance.yahoo.com/d/quotes.csv?s=PITI3.SA+BPAC3.SA+BPAC5.SA&amp;f=nol1hgd1" htmlFormat="all"/>
  </connection>
  <connection id="394" name="Conexão311" type="4" refreshedVersion="0" background="1" saveData="1">
    <webPr url="http://download.finance.yahoo.com/d/quotes.csv?s=IDVL3.SA+IDVL4.SA+BMEB3.SA+BMEB4.SA+BPNM3.SA+BPNM4.SA+BPAT33.SA+SANB11.SA+SANB3.SA+SANB4.SA+SFSA3.SA+IDNT3.SA+LINX3.SA+TELB3.SA+TELB4.SA+SNSL3M.SA+TOTS3.SA+BEMA3.SA+ITEC3.SA+POSI3.SA+RPMG3.SA+RPMG4.SA&amp;f=nol1hgd1" htmlTables="1" htmlFormat="all"/>
  </connection>
  <connection id="395" name="Conexão3111" type="4" refreshedVersion="0" background="1" saveData="1">
    <webPr url="http://download.finance.yahoo.com/d/quotes.csv?s=IDVL3.SA+IDVL4.SA+BMEB3.SA+BMEB4.SA+BPNM3.SA+BPNM4.SA+BPAT33.SA+SANB11.SA+SANB3.SA+SANB4.SA+SFSA3.SA+IDNT3.SA+LINX3.SA+TELB3.SA+TELB4.SA+SNSL3M.SA+TOTS3.SA+BEMA3.SA+ITEC3.SA+POSI3.SA+RPMG3.SA+RPMG4.SA&amp;f=nol1hgd1" htmlTables="1" htmlFormat="all"/>
  </connection>
  <connection id="396" name="Conexão312" type="4" refreshedVersion="0" deleted="1" background="1" saveData="1">
    <webPr htmlTables="1" htmlFormat="all"/>
  </connection>
  <connection id="397" name="Conexão3121" type="4" refreshedVersion="0" deleted="1" background="1" saveData="1">
    <webPr htmlTables="1" htmlFormat="all"/>
  </connection>
  <connection id="398" name="Conexão313" type="4" refreshedVersion="0" deleted="1" background="1" saveData="1">
    <webPr htmlTables="1" htmlFormat="all"/>
  </connection>
  <connection id="399" name="Conexão3131" type="4" refreshedVersion="0" deleted="1" background="1" saveData="1">
    <webPr htmlTables="1" htmlFormat="all"/>
  </connection>
  <connection id="400" name="Conexão314" type="4" refreshedVersion="0" deleted="1" background="1" saveData="1">
    <webPr htmlTables="1" htmlFormat="all"/>
  </connection>
  <connection id="401" name="Conexão3141" type="4" refreshedVersion="0" deleted="1" background="1" saveData="1">
    <webPr htmlTables="1" htmlFormat="all"/>
  </connection>
  <connection id="402" name="Conexão315" type="4" refreshedVersion="0" deleted="1" background="1" saveData="1">
    <webPr htmlTables="1" htmlFormat="all"/>
  </connection>
  <connection id="403" name="Conexão3151" type="4" refreshedVersion="0" deleted="1" background="1" saveData="1">
    <webPr htmlTables="1" htmlFormat="all"/>
  </connection>
  <connection id="404" name="Conexão318" type="4" refreshedVersion="3" deleted="1" background="1" saveData="1">
    <webPr xl2000="1" htmlTables="1" htmlFormat="all"/>
  </connection>
  <connection id="405" name="Conexão3181" type="4" refreshedVersion="3" deleted="1" background="1" saveData="1">
    <webPr xl2000="1" htmlTables="1" htmlFormat="all"/>
  </connection>
  <connection id="406" name="Conexão319" type="4" refreshedVersion="3" deleted="1" background="1" saveData="1">
    <webPr xl2000="1" htmlTables="1" htmlFormat="all"/>
  </connection>
  <connection id="407" name="Conexão3191" type="4" refreshedVersion="3" deleted="1" background="1" saveData="1">
    <webPr xl2000="1" htmlTables="1" htmlFormat="all"/>
  </connection>
  <connection id="408" name="Conexão32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&amp;f=nol1hgd1" htmlFormat="all"/>
  </connection>
  <connection id="409" name="Conexão321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&amp;f=nol1hgd1" htmlFormat="all"/>
  </connection>
  <connection id="410" name="Conexão3211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&amp;f=nol1hgd1" htmlFormat="all"/>
  </connection>
  <connection id="411" name="Conexão322" type="4" refreshedVersion="0" deleted="1" background="1" saveData="1">
    <webPr htmlTables="1" htmlFormat="all"/>
  </connection>
  <connection id="412" name="Conexão3221" type="4" refreshedVersion="0" deleted="1" background="1" saveData="1">
    <webPr htmlTables="1" htmlFormat="all"/>
  </connection>
  <connection id="413" name="Conexão323" type="4" refreshedVersion="3" deleted="1" background="1" saveData="1">
    <webPr xl2000="1" htmlTables="1" htmlFormat="all"/>
  </connection>
  <connection id="414" name="Conexão325" type="4" refreshedVersion="3" deleted="1" background="1" saveData="1">
    <webPr xl2000="1" htmlTables="1" htmlFormat="all"/>
  </connection>
  <connection id="415" name="Conexão3251" type="4" refreshedVersion="3" deleted="1" background="1" saveData="1">
    <webPr xl2000="1" htmlTables="1" htmlFormat="all"/>
  </connection>
  <connection id="416" name="Conexão326" type="4" refreshedVersion="3" deleted="1" background="1" saveData="1">
    <webPr xl2000="1" htmlTables="1" htmlFormat="all"/>
  </connection>
  <connection id="417" name="Conexão327" type="4" refreshedVersion="3" deleted="1" background="1" saveData="1">
    <webPr xl2000="1" htmlTables="1" htmlFormat="all"/>
  </connection>
  <connection id="418" name="Conexão3271" type="4" refreshedVersion="3" deleted="1" background="1" saveData="1">
    <webPr xl2000="1" htmlTables="1" htmlFormat="all"/>
  </connection>
  <connection id="419" name="Conexão329" type="4" refreshedVersion="3" deleted="1" background="1" saveData="1">
    <webPr xl2000="1" htmlTables="1" htmlFormat="all"/>
  </connection>
  <connection id="420" name="Conexão33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&amp;f=nol1hgd1" htmlFormat="all"/>
  </connection>
  <connection id="421" name="Conexão330" type="4" refreshedVersion="3" deleted="1" background="1" saveData="1">
    <webPr xl2000="1" htmlTables="1" htmlFormat="all"/>
  </connection>
  <connection id="422" name="Conexão3301" type="4" refreshedVersion="3" deleted="1" background="1" saveData="1">
    <webPr xl2000="1" htmlTables="1" htmlFormat="all"/>
  </connection>
  <connection id="423" name="Conexão331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&amp;f=nol1hgd1" htmlFormat="all"/>
  </connection>
  <connection id="424" name="Conexão3311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&amp;f=nol1hgd1" htmlFormat="all"/>
  </connection>
  <connection id="425" name="Conexão332" type="4" refreshedVersion="0" deleted="1" background="1" saveData="1">
    <webPr htmlTables="1" htmlFormat="all"/>
  </connection>
  <connection id="426" name="Conexão3321" type="4" refreshedVersion="0" deleted="1" background="1" saveData="1">
    <webPr htmlTables="1" htmlFormat="all"/>
  </connection>
  <connection id="427" name="Conexão333" type="4" refreshedVersion="3" deleted="1" background="1" saveData="1">
    <webPr xl2000="1" htmlTables="1" htmlFormat="all"/>
  </connection>
  <connection id="428" name="Conexão334" type="4" refreshedVersion="3" deleted="1" background="1" saveData="1">
    <webPr xl2000="1" htmlTables="1" htmlFormat="all"/>
  </connection>
  <connection id="429" name="Conexão3341" type="4" refreshedVersion="3" deleted="1" background="1" saveData="1">
    <webPr xl2000="1" htmlTables="1" htmlFormat="all"/>
  </connection>
  <connection id="430" name="Conexão335" type="4" refreshedVersion="3" deleted="1" background="1" saveData="1">
    <webPr xl2000="1" htmlTables="1" htmlFormat="all"/>
  </connection>
  <connection id="431" name="Conexão3351" type="4" refreshedVersion="3" deleted="1" background="1" saveData="1">
    <webPr xl2000="1" htmlTables="1" htmlFormat="all"/>
  </connection>
  <connection id="432" name="Conexão336" type="4" refreshedVersion="3" deleted="1" background="1" saveData="1">
    <webPr xl2000="1" htmlTables="1" htmlFormat="all"/>
  </connection>
  <connection id="433" name="Conexão337" type="4" refreshedVersion="3" deleted="1" background="1" saveData="1">
    <webPr xl2000="1" htmlTables="1" htmlFormat="all"/>
  </connection>
  <connection id="434" name="Conexão3371" type="4" refreshedVersion="3" deleted="1" background="1" saveData="1">
    <webPr xl2000="1" htmlTables="1" htmlFormat="all"/>
  </connection>
  <connection id="435" name="Conexão338" type="4" refreshedVersion="3" deleted="1" background="1" saveData="1">
    <webPr xl2000="1" htmlTables="1" htmlFormat="all"/>
  </connection>
  <connection id="436" name="Conexão3381" type="4" refreshedVersion="3" deleted="1" background="1" saveData="1">
    <webPr xl2000="1" htmlTables="1" htmlFormat="all"/>
  </connection>
  <connection id="437" name="Conexão339" type="4" refreshedVersion="3" deleted="1" background="1" saveData="1">
    <webPr xl2000="1" htmlTables="1" htmlFormat="all"/>
  </connection>
  <connection id="438" name="Conexão3391" type="4" refreshedVersion="3" deleted="1" background="1" saveData="1">
    <webPr xl2000="1" htmlTables="1" htmlFormat="all"/>
  </connection>
  <connection id="439" name="Conexão34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&amp;f=nol1hgd1" htmlFormat="all"/>
  </connection>
  <connection id="440" name="Conexão340" type="4" refreshedVersion="3" deleted="1" background="1" saveData="1">
    <webPr xl2000="1" htmlTables="1" htmlFormat="all"/>
  </connection>
  <connection id="441" name="Conexão3401" type="4" refreshedVersion="3" deleted="1" background="1" saveData="1">
    <webPr xl2000="1" htmlTables="1" htmlFormat="all"/>
  </connection>
  <connection id="442" name="Conexão341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&amp;f=nol1hgd1" htmlFormat="all"/>
  </connection>
  <connection id="443" name="Conexão3411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&amp;f=nol1hgd1" htmlFormat="all"/>
  </connection>
  <connection id="444" name="Conexão34111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&amp;f=nol1hgd1" htmlFormat="all"/>
  </connection>
  <connection id="445" name="Conexão342" type="4" refreshedVersion="0" deleted="1" background="1" saveData="1">
    <webPr htmlTables="1" htmlFormat="all"/>
  </connection>
  <connection id="446" name="Conexão3421" type="4" refreshedVersion="0" deleted="1" background="1" saveData="1">
    <webPr htmlTables="1" htmlFormat="all"/>
  </connection>
  <connection id="447" name="Conexão343" type="4" refreshedVersion="3" deleted="1" background="1" saveData="1">
    <webPr xl2000="1" htmlTables="1" htmlFormat="all"/>
  </connection>
  <connection id="448" name="Conexão3431" type="4" refreshedVersion="3" deleted="1" background="1" saveData="1">
    <webPr xl2000="1" htmlTables="1" htmlFormat="all"/>
  </connection>
  <connection id="449" name="Conexão344" type="4" refreshedVersion="3" deleted="1" background="1" saveData="1">
    <webPr xl2000="1" htmlTables="1" htmlFormat="all"/>
  </connection>
  <connection id="450" name="Conexão3441" type="4" refreshedVersion="3" deleted="1" background="1" saveData="1">
    <webPr xl2000="1" htmlTables="1" htmlFormat="all"/>
  </connection>
  <connection id="451" name="Conexão346" type="4" refreshedVersion="3" deleted="1" background="1" saveData="1">
    <webPr xl2000="1" htmlTables="1" htmlFormat="all"/>
  </connection>
  <connection id="452" name="Conexão3461" type="4" refreshedVersion="3" deleted="1" background="1" saveData="1">
    <webPr xl2000="1" htmlTables="1" htmlFormat="all"/>
  </connection>
  <connection id="453" name="Conexão348" type="4" refreshedVersion="3" deleted="1" background="1" saveData="1">
    <webPr xl2000="1" htmlTables="1" htmlFormat="all"/>
  </connection>
  <connection id="454" name="Conexão3481" type="4" refreshedVersion="3" deleted="1" background="1" saveData="1">
    <webPr xl2000="1" htmlTables="1" htmlFormat="all"/>
  </connection>
  <connection id="455" name="Conexão349" type="4" refreshedVersion="3" deleted="1" background="1" saveData="1">
    <webPr xl2000="1" htmlTables="1" htmlFormat="all"/>
  </connection>
  <connection id="456" name="Conexão3491" type="4" refreshedVersion="3" deleted="1" background="1" saveData="1">
    <webPr xl2000="1" htmlTables="1" htmlFormat="all"/>
  </connection>
  <connection id="457" name="Conexão35" type="4" refreshedVersion="0" background="1" saveData="1">
    <webPr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&amp;f=nol1hgd1" htmlTables="1" htmlFormat="all"/>
  </connection>
  <connection id="458" name="Conexão351" type="4" refreshedVersion="0" deleted="1" background="1" saveData="1">
    <webPr htmlTables="1" htmlFormat="all"/>
  </connection>
  <connection id="459" name="Conexão3511" type="4" refreshedVersion="0" deleted="1" background="1" saveData="1">
    <webPr htmlTables="1" htmlFormat="all"/>
  </connection>
  <connection id="460" name="Conexão352" type="4" refreshedVersion="0" deleted="1" background="1" saveData="1">
    <webPr htmlTables="1" htmlFormat="all"/>
  </connection>
  <connection id="461" name="Conexão3521" type="4" refreshedVersion="0" deleted="1" background="1" saveData="1">
    <webPr htmlTables="1" htmlFormat="all"/>
  </connection>
  <connection id="462" name="Conexão353" type="4" refreshedVersion="3" deleted="1" background="1" saveData="1">
    <webPr xl2000="1" htmlTables="1" htmlFormat="all"/>
  </connection>
  <connection id="463" name="Conexão3531" type="4" refreshedVersion="3" deleted="1" background="1" saveData="1">
    <webPr xl2000="1" htmlTables="1" htmlFormat="all"/>
  </connection>
  <connection id="464" name="Conexão354" type="4" refreshedVersion="3" deleted="1" background="1" saveData="1">
    <webPr xl2000="1" htmlTables="1" htmlFormat="all"/>
  </connection>
  <connection id="465" name="Conexão3541" type="4" refreshedVersion="3" deleted="1" background="1" saveData="1">
    <webPr xl2000="1" htmlTables="1" htmlFormat="all"/>
  </connection>
  <connection id="466" name="Conexão355" type="4" refreshedVersion="3" deleted="1" background="1" saveData="1">
    <webPr xl2000="1" htmlTables="1" htmlFormat="all"/>
  </connection>
  <connection id="467" name="Conexão3551" type="4" refreshedVersion="3" deleted="1" background="1" saveData="1">
    <webPr xl2000="1" htmlTables="1" htmlFormat="all"/>
  </connection>
  <connection id="468" name="Conexão357" type="4" refreshedVersion="3" deleted="1" background="1" saveData="1">
    <webPr xl2000="1" htmlTables="1" htmlFormat="all"/>
  </connection>
  <connection id="469" name="Conexão3571" type="4" refreshedVersion="3" deleted="1" background="1" saveData="1">
    <webPr xl2000="1" htmlTables="1" htmlFormat="all"/>
  </connection>
  <connection id="470" name="Conexão36" type="4" refreshedVersion="0" background="1" saveData="1">
    <webPr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&amp;f=nol1hgd1" htmlTables="1" htmlFormat="all"/>
  </connection>
  <connection id="471" name="Conexão361" type="4" refreshedVersion="0" deleted="1" background="1" saveData="1">
    <webPr htmlTables="1" htmlFormat="all"/>
  </connection>
  <connection id="472" name="Conexão3611" type="4" refreshedVersion="0" deleted="1" background="1" saveData="1">
    <webPr htmlTables="1" htmlFormat="all"/>
  </connection>
  <connection id="473" name="Conexão362" type="4" refreshedVersion="0" deleted="1" background="1" saveData="1">
    <webPr htmlTables="1" htmlFormat="all"/>
  </connection>
  <connection id="474" name="Conexão3621" type="4" refreshedVersion="0" deleted="1" background="1" saveData="1">
    <webPr htmlTables="1" htmlFormat="all"/>
  </connection>
  <connection id="475" name="Conexão363" type="4" refreshedVersion="3" deleted="1" background="1" saveData="1">
    <webPr xl2000="1" htmlTables="1" htmlFormat="all"/>
  </connection>
  <connection id="476" name="Conexão3631" type="4" refreshedVersion="3" deleted="1" background="1" saveData="1">
    <webPr xl2000="1" htmlTables="1" htmlFormat="all"/>
  </connection>
  <connection id="477" name="Conexão365" type="4" refreshedVersion="3" deleted="1" background="1" saveData="1">
    <webPr xl2000="1" htmlTables="1" htmlFormat="all"/>
  </connection>
  <connection id="478" name="Conexão3651" type="4" refreshedVersion="3" deleted="1" background="1" saveData="1">
    <webPr xl2000="1" htmlTables="1" htmlFormat="all"/>
  </connection>
  <connection id="479" name="Conexão366" type="4" refreshedVersion="3" deleted="1" background="1" saveData="1">
    <webPr xl2000="1" htmlTables="1" htmlFormat="all"/>
  </connection>
  <connection id="480" name="Conexão3661" type="4" refreshedVersion="3" deleted="1" background="1" saveData="1">
    <webPr xl2000="1" htmlTables="1" htmlFormat="all"/>
  </connection>
  <connection id="481" name="Conexão368" type="4" refreshedVersion="3" deleted="1" background="1" saveData="1">
    <webPr xl2000="1" htmlTables="1" htmlFormat="all"/>
  </connection>
  <connection id="482" name="Conexão369" type="4" refreshedVersion="3" deleted="1" background="1" saveData="1">
    <webPr xl2000="1" htmlTables="1" htmlFormat="all"/>
  </connection>
  <connection id="483" name="Conexão3691" type="4" refreshedVersion="3" deleted="1" background="1" saveData="1">
    <webPr xl2000="1" htmlTables="1" htmlFormat="all"/>
  </connection>
  <connection id="484" name="Conexão37" type="4" refreshedVersion="0" background="1" saveData="1">
    <webPr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&amp;f=nol1hgd1" htmlTables="1" htmlFormat="all"/>
  </connection>
  <connection id="485" name="Conexão370" type="4" refreshedVersion="3" deleted="1" background="1" saveData="1">
    <webPr xl2000="1" htmlTables="1" htmlFormat="all"/>
  </connection>
  <connection id="486" name="Conexão3701" type="4" refreshedVersion="3" deleted="1" background="1" saveData="1">
    <webPr xl2000="1" htmlTables="1" htmlFormat="all"/>
  </connection>
  <connection id="487" name="Conexão371" type="4" refreshedVersion="0" deleted="1" background="1" saveData="1">
    <webPr htmlTables="1" htmlFormat="all"/>
  </connection>
  <connection id="488" name="Conexão3711" type="4" refreshedVersion="0" deleted="1" background="1" saveData="1">
    <webPr htmlTables="1" htmlFormat="all"/>
  </connection>
  <connection id="489" name="Conexão372" type="4" refreshedVersion="0" deleted="1" background="1" saveData="1">
    <webPr htmlTables="1" htmlFormat="all"/>
  </connection>
  <connection id="490" name="Conexão3721" type="4" refreshedVersion="0" deleted="1" background="1" saveData="1">
    <webPr htmlTables="1" htmlFormat="all"/>
  </connection>
  <connection id="491" name="Conexão375" type="4" refreshedVersion="3" deleted="1" background="1" saveData="1">
    <webPr xl2000="1" htmlTables="1" htmlFormat="all"/>
  </connection>
  <connection id="492" name="Conexão3751" type="4" refreshedVersion="3" deleted="1" background="1" saveData="1">
    <webPr xl2000="1" htmlTables="1" htmlFormat="all"/>
  </connection>
  <connection id="493" name="Conexão376" type="4" refreshedVersion="3" deleted="1" background="1" saveData="1">
    <webPr xl2000="1" htmlTables="1" htmlFormat="all"/>
  </connection>
  <connection id="494" name="Conexão3761" type="4" refreshedVersion="3" deleted="1" background="1" saveData="1">
    <webPr xl2000="1" htmlTables="1" htmlFormat="all"/>
  </connection>
  <connection id="495" name="Conexão377" type="4" refreshedVersion="3" deleted="1" background="1" saveData="1">
    <webPr xl2000="1" htmlTables="1" htmlFormat="all"/>
  </connection>
  <connection id="496" name="Conexão3771" type="4" refreshedVersion="3" deleted="1" background="1" saveData="1">
    <webPr xl2000="1" htmlTables="1" htmlFormat="all"/>
  </connection>
  <connection id="497" name="Conexão378" type="4" refreshedVersion="3" deleted="1" background="1" saveData="1">
    <webPr xl2000="1" htmlTables="1" htmlFormat="all"/>
  </connection>
  <connection id="498" name="Conexão3781" type="4" refreshedVersion="3" deleted="1" background="1" saveData="1">
    <webPr xl2000="1" htmlTables="1" htmlFormat="all"/>
  </connection>
  <connection id="499" name="Conexão379" type="4" refreshedVersion="3" deleted="1" background="1" saveData="1">
    <webPr xl2000="1" htmlTables="1" htmlFormat="all"/>
  </connection>
  <connection id="500" name="Conexão3791" type="4" refreshedVersion="3" deleted="1" background="1" saveData="1">
    <webPr xl2000="1" htmlTables="1" htmlFormat="all"/>
  </connection>
  <connection id="501" name="Conexão38" type="4" refreshedVersion="0" background="1" saveData="1">
    <webPr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&amp;f=nol1hgd1" htmlTables="1" htmlFormat="all"/>
  </connection>
  <connection id="502" name="Conexão380" type="4" refreshedVersion="3" deleted="1" background="1" saveData="1">
    <webPr xl2000="1" htmlTables="1" htmlFormat="all"/>
  </connection>
  <connection id="503" name="Conexão3801" type="4" refreshedVersion="3" deleted="1" background="1" saveData="1">
    <webPr xl2000="1" htmlTables="1" htmlFormat="all"/>
  </connection>
  <connection id="504" name="Conexão381" type="4" refreshedVersion="0" background="1" saveData="1">
    <webPr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&amp;f=nol1hgd1" htmlTables="1" htmlFormat="all"/>
  </connection>
  <connection id="505" name="Conexão3811" type="4" refreshedVersion="0" background="1" saveData="1">
    <webPr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&amp;f=nol1hgd1" htmlTables="1" htmlFormat="all"/>
  </connection>
  <connection id="506" name="Conexão38111" type="4" refreshedVersion="0" background="1" saveData="1">
    <webPr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&amp;f=nol1hgd1" htmlTables="1" htmlFormat="all"/>
  </connection>
  <connection id="507" name="Conexão382" type="4" refreshedVersion="0" deleted="1" background="1" saveData="1">
    <webPr htmlTables="1" htmlFormat="all"/>
  </connection>
  <connection id="508" name="Conexão3821" type="4" refreshedVersion="0" deleted="1" background="1" saveData="1">
    <webPr htmlTables="1" htmlFormat="all"/>
  </connection>
  <connection id="509" name="Conexão383" type="4" refreshedVersion="3" deleted="1" background="1" saveData="1">
    <webPr xl2000="1" htmlTables="1" htmlFormat="all"/>
  </connection>
  <connection id="510" name="Conexão3831" type="4" refreshedVersion="3" deleted="1" background="1" saveData="1">
    <webPr xl2000="1" htmlTables="1" htmlFormat="all"/>
  </connection>
  <connection id="511" name="Conexão384" type="4" refreshedVersion="3" deleted="1" background="1" saveData="1">
    <webPr xl2000="1" htmlTables="1" htmlFormat="all"/>
  </connection>
  <connection id="512" name="Conexão3841" type="4" refreshedVersion="3" deleted="1" background="1" saveData="1">
    <webPr xl2000="1" htmlTables="1" htmlFormat="all"/>
  </connection>
  <connection id="513" name="Conexão385" type="4" refreshedVersion="3" deleted="1" background="1" saveData="1">
    <webPr xl2000="1" htmlTables="1" htmlFormat="all"/>
  </connection>
  <connection id="514" name="Conexão3851" type="4" refreshedVersion="3" deleted="1" background="1" saveData="1">
    <webPr xl2000="1" htmlTables="1" htmlFormat="all"/>
  </connection>
  <connection id="515" name="Conexão387" type="4" refreshedVersion="3" deleted="1" background="1" saveData="1">
    <webPr xl2000="1" htmlTables="1" htmlFormat="all"/>
  </connection>
  <connection id="516" name="Conexão3871" type="4" refreshedVersion="3" deleted="1" background="1" saveData="1">
    <webPr xl2000="1" htmlTables="1" htmlFormat="all"/>
  </connection>
  <connection id="517" name="Conexão39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&amp;f=nol1hgd1" htmlFormat="all"/>
  </connection>
  <connection id="518" name="Conexão390" type="4" refreshedVersion="3" deleted="1" background="1" saveData="1">
    <webPr xl2000="1" htmlTables="1" htmlFormat="all"/>
  </connection>
  <connection id="519" name="Conexão3901" type="4" refreshedVersion="3" deleted="1" background="1" saveData="1">
    <webPr xl2000="1" htmlTables="1" htmlFormat="all"/>
  </connection>
  <connection id="520" name="Conexão391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&amp;f=nol1hgd1" htmlFormat="all"/>
  </connection>
  <connection id="521" name="Conexão3911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&amp;f=nol1hgd1" htmlFormat="all"/>
  </connection>
  <connection id="522" name="Conexão39111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&amp;f=nol1hgd1" htmlFormat="all"/>
  </connection>
  <connection id="523" name="Conexão392" type="4" refreshedVersion="0" deleted="1" background="1" saveData="1">
    <webPr htmlTables="1" htmlFormat="all"/>
  </connection>
  <connection id="524" name="Conexão3921" type="4" refreshedVersion="0" deleted="1" background="1" saveData="1">
    <webPr htmlTables="1" htmlFormat="all"/>
  </connection>
  <connection id="525" name="Conexão393" type="4" refreshedVersion="3" deleted="1" background="1" saveData="1">
    <webPr xl2000="1" htmlTables="1" htmlFormat="all"/>
  </connection>
  <connection id="526" name="Conexão3931" type="4" refreshedVersion="3" deleted="1" background="1" saveData="1">
    <webPr xl2000="1" htmlTables="1" htmlFormat="all"/>
  </connection>
  <connection id="527" name="Conexão394" type="4" refreshedVersion="3" deleted="1" background="1" saveData="1">
    <webPr xl2000="1" htmlTables="1" htmlFormat="all"/>
  </connection>
  <connection id="528" name="Conexão3941" type="4" refreshedVersion="3" deleted="1" background="1" saveData="1">
    <webPr xl2000="1" htmlTables="1" htmlFormat="all"/>
  </connection>
  <connection id="529" name="Conexão395" type="4" refreshedVersion="3" deleted="1" background="1" saveData="1">
    <webPr xl2000="1" htmlTables="1" htmlFormat="all"/>
  </connection>
  <connection id="530" name="Conexão3951" type="4" refreshedVersion="3" deleted="1" background="1" saveData="1">
    <webPr xl2000="1" htmlTables="1" htmlFormat="all"/>
  </connection>
  <connection id="531" name="Conexão398" type="4" refreshedVersion="3" deleted="1" background="1" saveData="1">
    <webPr xl2000="1" htmlTables="1" htmlFormat="all"/>
  </connection>
  <connection id="532" name="Conexão3981" type="4" refreshedVersion="3" deleted="1" background="1" saveData="1">
    <webPr xl2000="1" htmlTables="1" htmlFormat="all"/>
  </connection>
  <connection id="533" name="Conexão399" type="4" refreshedVersion="3" deleted="1" background="1" saveData="1">
    <webPr xl2000="1" htmlTables="1" htmlFormat="all"/>
  </connection>
  <connection id="534" name="Conexão3991" type="4" refreshedVersion="3" deleted="1" background="1" saveData="1">
    <webPr xl2000="1" htmlTables="1" htmlFormat="all"/>
  </connection>
  <connection id="535" name="Conexão4" type="4" refreshedVersion="3" background="1" saveData="1">
    <webPr xl2000="1" url="http://download.finance.yahoo.com/d/quotes.csv?s=PITI3.SA+BPAC3.SA+BPAC5.SA&amp;f=nol1hgd1" htmlFormat="all"/>
  </connection>
  <connection id="536" name="Conexão40" type="4" refreshedVersion="0" background="1" saveData="1">
    <webPr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&amp;f=nol1hgd1" htmlTables="1" htmlFormat="all"/>
  </connection>
  <connection id="537" name="Conexão400" type="4" refreshedVersion="3" deleted="1" background="1" saveData="1">
    <webPr xl2000="1" htmlTables="1" htmlFormat="all"/>
  </connection>
  <connection id="538" name="Conexão4001" type="4" refreshedVersion="3" deleted="1" background="1" saveData="1">
    <webPr xl2000="1" htmlTables="1" htmlFormat="all"/>
  </connection>
  <connection id="539" name="Conexão401" type="4" refreshedVersion="0" background="1" saveData="1">
    <webPr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&amp;f=nol1hgd1" htmlTables="1" htmlFormat="all"/>
  </connection>
  <connection id="540" name="Conexão4011" type="4" refreshedVersion="0" background="1" saveData="1">
    <webPr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&amp;f=nol1hgd1" htmlTables="1" htmlFormat="all"/>
  </connection>
  <connection id="541" name="Conexão40111" type="4" refreshedVersion="0" background="1" saveData="1">
    <webPr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&amp;f=nol1hgd1" htmlTables="1" htmlFormat="all"/>
  </connection>
  <connection id="542" name="Conexão402" type="4" refreshedVersion="0" deleted="1" background="1" saveData="1">
    <webPr htmlTables="1" htmlFormat="all"/>
  </connection>
  <connection id="543" name="Conexão4021" type="4" refreshedVersion="0" deleted="1" background="1" saveData="1">
    <webPr htmlTables="1" htmlFormat="all"/>
  </connection>
  <connection id="544" name="Conexão403" type="4" refreshedVersion="3" deleted="1" background="1" saveData="1">
    <webPr xl2000="1" htmlTables="1" htmlFormat="all"/>
  </connection>
  <connection id="545" name="Conexão4031" type="4" refreshedVersion="3" deleted="1" background="1" saveData="1">
    <webPr xl2000="1" htmlTables="1" htmlFormat="all"/>
  </connection>
  <connection id="546" name="Conexão407" type="4" refreshedVersion="3" deleted="1" background="1" saveData="1">
    <webPr xl2000="1" htmlTables="1" htmlFormat="all"/>
  </connection>
  <connection id="547" name="Conexão4071" type="4" refreshedVersion="3" deleted="1" background="1" saveData="1">
    <webPr xl2000="1" htmlTables="1" htmlFormat="all"/>
  </connection>
  <connection id="548" name="Conexão408" type="4" refreshedVersion="3" deleted="1" background="1" saveData="1">
    <webPr xl2000="1" htmlTables="1" htmlFormat="all"/>
  </connection>
  <connection id="549" name="Conexão4081" type="4" refreshedVersion="3" deleted="1" background="1" saveData="1">
    <webPr xl2000="1" htmlTables="1" htmlFormat="all"/>
  </connection>
  <connection id="550" name="Conexão41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&amp;f=nol1hgd1" htmlFormat="all"/>
  </connection>
  <connection id="551" name="Conexão410" type="4" refreshedVersion="3" background="1" saveData="1">
    <webPr xl2000="1" url="http://download.finance.yahoo.com/d/quotes.csv?s=PITI3.SA+BPAC3.SA+BPAC5.SA&amp;f=nol1hgd1" htmlFormat="all"/>
  </connection>
  <connection id="552" name="Conexão4101" type="4" refreshedVersion="3" background="1" saveData="1">
    <webPr xl2000="1" url="http://download.finance.yahoo.com/d/quotes.csv?s=PITI3.SA+BPAC3.SA+BPAC5.SA&amp;f=nol1hgd1" htmlFormat="all"/>
  </connection>
  <connection id="553" name="Conexão41011" type="4" refreshedVersion="3" background="1" saveData="1">
    <webPr xl2000="1" url="http://download.finance.yahoo.com/d/quotes.csv?s=PITI3.SA+BPAC3.SA+BPAC5.SA&amp;f=nol1hgd1" htmlFormat="all"/>
  </connection>
  <connection id="554" name="Conexão411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&amp;f=nol1hgd1" htmlFormat="all"/>
  </connection>
  <connection id="555" name="Conexão4111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&amp;f=nol1hgd1" htmlFormat="all"/>
  </connection>
  <connection id="556" name="Conexão412" type="4" refreshedVersion="0" deleted="1" background="1" saveData="1">
    <webPr htmlTables="1" htmlFormat="all"/>
  </connection>
  <connection id="557" name="Conexão4121" type="4" refreshedVersion="0" deleted="1" background="1" saveData="1">
    <webPr htmlTables="1" htmlFormat="all"/>
  </connection>
  <connection id="558" name="Conexão413" type="4" refreshedVersion="3" deleted="1" background="1" saveData="1">
    <webPr xl2000="1" htmlTables="1" htmlFormat="all"/>
  </connection>
  <connection id="559" name="Conexão4131" type="4" refreshedVersion="3" deleted="1" background="1" saveData="1">
    <webPr xl2000="1" htmlTables="1" htmlFormat="all"/>
  </connection>
  <connection id="560" name="Conexão414" type="4" refreshedVersion="3" deleted="1" background="1" saveData="1">
    <webPr xl2000="1" htmlTables="1" htmlFormat="all"/>
  </connection>
  <connection id="561" name="Conexão4141" type="4" refreshedVersion="3" deleted="1" background="1" saveData="1">
    <webPr xl2000="1" htmlTables="1" htmlFormat="all"/>
  </connection>
  <connection id="562" name="Conexão417" type="4" refreshedVersion="3" deleted="1" background="1" saveData="1">
    <webPr xl2000="1" htmlTables="1" htmlFormat="all"/>
  </connection>
  <connection id="563" name="Conexão4171" type="4" refreshedVersion="3" deleted="1" background="1" saveData="1">
    <webPr xl2000="1" htmlTables="1" htmlFormat="all"/>
  </connection>
  <connection id="564" name="Conexão419" type="4" refreshedVersion="3" deleted="1" background="1" saveData="1">
    <webPr xl2000="1" htmlTables="1" htmlFormat="all"/>
  </connection>
  <connection id="565" name="Conexão4191" type="4" refreshedVersion="3" deleted="1" background="1" saveData="1">
    <webPr xl2000="1" htmlTables="1" htmlFormat="all"/>
  </connection>
  <connection id="566" name="Conexão42" type="4" refreshedVersion="0" background="1" saveData="1">
    <webPr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APTI3.SA+APTI4.SA&amp;f=nol1hgd1" htmlTables="1" htmlFormat="all"/>
  </connection>
  <connection id="567" name="Conexão421" type="4" refreshedVersion="3" deleted="1" background="1" saveData="1">
    <webPr xl2000="1" htmlTables="1" htmlFormat="all"/>
  </connection>
  <connection id="568" name="Conexão4211" type="4" refreshedVersion="3" deleted="1" background="1" saveData="1">
    <webPr xl2000="1" htmlTables="1" htmlFormat="all"/>
  </connection>
  <connection id="569" name="Conexão422" type="4" refreshedVersion="3" deleted="1" background="1" saveData="1">
    <webPr xl2000="1" htmlTables="1" htmlFormat="all"/>
  </connection>
  <connection id="570" name="Conexão4221" type="4" refreshedVersion="3" deleted="1" background="1" saveData="1">
    <webPr xl2000="1" htmlTables="1" htmlFormat="all"/>
  </connection>
  <connection id="571" name="Conexão423" type="4" refreshedVersion="3" deleted="1" background="1" saveData="1">
    <webPr xl2000="1" htmlTables="1" htmlFormat="all"/>
  </connection>
  <connection id="572" name="Conexão4231" type="4" refreshedVersion="3" deleted="1" background="1" saveData="1">
    <webPr xl2000="1" htmlTables="1" htmlFormat="all"/>
  </connection>
  <connection id="573" name="Conexão424" type="4" refreshedVersion="3" deleted="1" background="1" saveData="1">
    <webPr xl2000="1" htmlTables="1" htmlFormat="all"/>
  </connection>
  <connection id="574" name="Conexão4241" type="4" refreshedVersion="3" deleted="1" background="1" saveData="1">
    <webPr xl2000="1" htmlTables="1" htmlFormat="all"/>
  </connection>
  <connection id="575" name="Conexão425" type="4" refreshedVersion="3" deleted="1" background="1" saveData="1">
    <webPr xl2000="1" htmlTables="1" htmlFormat="all"/>
  </connection>
  <connection id="576" name="Conexão4251" type="4" refreshedVersion="3" deleted="1" background="1" saveData="1">
    <webPr xl2000="1" htmlTables="1" htmlFormat="all"/>
  </connection>
  <connection id="577" name="Conexão427" type="4" refreshedVersion="3" deleted="1" background="1" saveData="1">
    <webPr xl2000="1" htmlTables="1" htmlFormat="all"/>
  </connection>
  <connection id="578" name="Conexão4271" type="4" refreshedVersion="3" deleted="1" background="1" saveData="1">
    <webPr xl2000="1" htmlTables="1" htmlFormat="all"/>
  </connection>
  <connection id="579" name="Conexão429" type="4" refreshedVersion="3" deleted="1" background="1" saveData="1">
    <webPr xl2000="1" htmlTables="1" htmlFormat="all"/>
  </connection>
  <connection id="580" name="Conexão4291" type="4" refreshedVersion="3" deleted="1" background="1" saveData="1">
    <webPr xl2000="1" htmlTables="1" htmlFormat="all"/>
  </connection>
  <connection id="581" name="Conexão43" type="4" refreshedVersion="0" background="1" saveData="1">
    <webPr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APTI3.SA+APTI4.SA&amp;f=nol1hgd1" htmlTables="1" htmlFormat="all"/>
  </connection>
  <connection id="582" name="Conexão431" type="4" refreshedVersion="3" deleted="1" background="1" saveData="1">
    <webPr xl2000="1" htmlTables="1" htmlFormat="all"/>
  </connection>
  <connection id="583" name="Conexão4311" type="4" refreshedVersion="3" deleted="1" background="1" saveData="1">
    <webPr xl2000="1" htmlTables="1" htmlFormat="all"/>
  </connection>
  <connection id="584" name="Conexão432" type="4" refreshedVersion="3" deleted="1" background="1" saveData="1">
    <webPr xl2000="1" htmlTables="1" htmlFormat="all"/>
  </connection>
  <connection id="585" name="Conexão4321" type="4" refreshedVersion="3" deleted="1" background="1" saveData="1">
    <webPr xl2000="1" htmlTables="1" htmlFormat="all"/>
  </connection>
  <connection id="586" name="Conexão44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APTI3.SA+APTI4.SA&amp;f=nol1hgd1" htmlFormat="all"/>
  </connection>
  <connection id="587" name="Conexão441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APTI3.SA+APTI4.SA&amp;f=nol1hgd1" htmlFormat="all"/>
  </connection>
  <connection id="588" name="Conexão4411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APTI3.SA+APTI4.SA&amp;f=nol1hgd1" htmlFormat="all"/>
  </connection>
  <connection id="589" name="Conexão45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&amp;f=nol1hgd1" htmlFormat="all"/>
  </connection>
  <connection id="590" name="Conexão451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&amp;f=nol1hgd1" htmlFormat="all"/>
  </connection>
  <connection id="591" name="Conexão4511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&amp;f=nol1hgd1" htmlFormat="all"/>
  </connection>
  <connection id="592" name="Conexão45111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&amp;f=nol1hgd1" htmlFormat="all"/>
  </connection>
  <connection id="593" name="Conexão46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&amp;f=nol1hgd1" htmlFormat="all"/>
  </connection>
  <connection id="594" name="Conexão461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&amp;f=nol1hgd1" htmlFormat="all"/>
  </connection>
  <connection id="595" name="Conexão4611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&amp;f=nol1hgd1" htmlFormat="all"/>
  </connection>
  <connection id="596" name="Conexão46111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&amp;f=nol1hgd1" htmlFormat="all"/>
  </connection>
  <connection id="597" name="Conexão47" type="4" refreshedVersion="3" background="1" saveData="1">
    <webPr xl2000="1" url="http://download.finance.yahoo.com/d/quotes.csv?s=ABCB3.SA+AFLT3.SA+AFLU3.SA+AFLU5.SA+AFLU6.SA+ALSC3.SA+ALUP11.SA+ALUP3.SA+ALUP4.SA+BAHI3.SA+BBSE3.SA+BRAP3.SA+BRAP4.SA+BRFS3.SA+BRIN3.SA+BRKM3.SA+BRKM5.SA+BRKM6.SA+BRML3.SA+BRPR3.SA+BVMF3.SA+CBEE3.SA+CCPR3.SA+CEEB6.SA+CELP3.SA+CELP5.SA+CELP6.SA+CELP7.SA+CIEL3.SA+CIQU3.SA+CIQU4.SA+clsc3.SA+CRIV3.SA+CRIV4.SA+CSAB3.SA+CSAB4.SA+CSAN3.SA+CTIP3.SA+DTEX3.SA+EBTP4.SA+ELEK3.SA+ELEK4.SA+elet5.SA+ETER3.SA+EUCA4.SA+GPAR3.SA+HBTS5.SA+IGTA3.SA+JBSS3.SA+JOPA3.SA+JOPA4.SA+LCAM3.SA+MAGG3.SA+MERC3.SA+MERC4.SA+MOAR3.SA+MULT3.SA+NUTR3M.SA+OIBR3.SA+OIBR4.SA+PATI4.SA+PETR3.SA+PETR4.SA+PRVI3.SA+PTPA4.SA+QGEP3.SA+SCAR3.SA+SMTO3.SA+SSBR3.SA+SULA11.SA+TERI3.SA+TIMP3.SA+TKNO4.SA+TRPN3.SA+UGPA3.SA+UNIP3.SA+VALE5.SA+VIGR3.SA+VIVT3.SA+VIVT4.SA+CEPE3.SA+COCE6.SA+ENMA5B.SA+ENMA6B.SA+CEED3.SA+CEED4.SA+EKTR3.SA+EKTR4.SA+ENEV3.SA+REDE3.SA+REDE4.SA+RNEW11.SA+RNEW3.SA+RNEW4.SA+TAEE3.SA+TAEE4.SA+CSAN4.SA+CGAS3.SA+CGAS5.SA+CEGR3.SA+INET3.SA+EBTP3.SA+MLFT3.SA+MLFT4.SA+LFFE3.SA+LFFE4.SA&amp;f=nol1hgd1" htmlFormat="all"/>
  </connection>
  <connection id="598" name="Conexão471" type="4" refreshedVersion="3" deleted="1" background="1" saveData="1">
    <webPr xl2000="1" htmlTables="1" htmlFormat="all"/>
  </connection>
  <connection id="599" name="Conexão4711" type="4" refreshedVersion="3" deleted="1" background="1" saveData="1">
    <webPr xl2000="1" htmlTables="1" htmlFormat="all"/>
  </connection>
  <connection id="600" name="Conexão48" type="4" refreshedVersion="0" background="1" saveData="1">
    <webPr url="http://download.finance.yahoo.com/d/quotes.csv?s=ABCB4.SA+AELP3.SA+BAZA3.SA+BBAS3.SA+BBDC3.SA+BBDC4.SA+BEES3.SA+BEES4.SA+BGIP3.SA+BGIP4.SA+BICB3.SA+BICB4.SA+BMIN3.SA+BMIN4.SA+BNBR3.SA+BNBR4.SA+BRGE11.SA+BRGE12.SA+BRGE3.SA+BRGE5.SA+BRGE6.SA+BRGE7.SA+BRGE8.SA+BRIV3.SA+BRIV4.SA+BRSR3.SA+BRSR5.SA+BRSR6.SA+BSLI3.SA+BSLI4.SA+CASN3.SA+CEBR3.SA+CEBR5.SA+CEBR6.SA+CEEB3.SA+CEEB5.SA+CEPE5.SA+CEPE6.SA+CESP3.SA+CESP5.SA+CESP6.SA+CLSC4.SA+CMIG3.SA+CMIG4.SA+COCE3.SA+COCE5.SA+CPFE3.SA+CPLE3.SA+CPLE5.SA+CPLE6.SA+CSMG3.SA+CSRN3.SA+CSRN5.SA+CSRN6.SA+DAYC4.SA+EEEL3.SA+EEEL4.SA+ELET3.SA+ELET6.SA+ELPL3.SA+ELPL4.SA+EMAE4.SA+ENBR3.SA+ENGI11.SA+ENGI3.SA+ENGI4.SA+ENMA3B.SA+EQTL3.SA+FESA3.SA+FESA4.SA+GEPA3.SA+GEPA4.SA+GETI3.SA+GETI4.SA+GTDP3B.SA+GTDP4B.SA+ITSA3.SA+ITSA4.SA+ITUB3.SA+ITUB4.SA+KLBN3.SA+KLBN4.SA+LIGT3.SA+LIPR3.SA+PINE4.SA+PRBC4.SA+PSSA3.SA+RANI3.SA+RANI4.SA+RDTR3.SA+RPAD3.SA+RPAD5.SA+RPAD6.SA+SAPR3.SA+SAPR4.SA+SBSP3.SA+SFSA4.SA+SUZB5.SA+SUZB6.SA+TAEE11.SA+TBLE3.SA+TRPL3.SA+TRPL4.SA+UNIP5.SA+UNIP6.SA+PATI3.SA&amp;f=nol1hgd1" htmlTables="1" htmlFormat="all"/>
  </connection>
  <connection id="601" name="Conexão481" type="4" refreshedVersion="3" deleted="1" background="1" saveData="1">
    <webPr xl2000="1" htmlTables="1" htmlFormat="all"/>
  </connection>
  <connection id="602" name="Conexão4811" type="4" refreshedVersion="3" deleted="1" background="1" saveData="1">
    <webPr xl2000="1" htmlTables="1" htmlFormat="all"/>
  </connection>
  <connection id="603" name="Conexão49" type="4" refreshedVersion="0" background="1" saveData="1">
    <webPr url="http://download.finance.yahoo.com/d/quotes.csv?s=ABCB4.SA+AELP3.SA+BAZA3.SA+BBAS3.SA+BBDC3.SA+BBDC4.SA+BEES3.SA+BEES4.SA+BGIP3.SA+BGIP4.SA+BICB3.SA+BICB4.SA+BMIN3.SA+BMIN4.SA+BNBR3.SA+BNBR4.SA+BRGE11.SA+BRGE12.SA+BRGE3.SA+BRGE5.SA+BRGE6.SA+BRGE7.SA+BRGE8.SA+BRIV3.SA+BRIV4.SA+BRSR3.SA+BRSR5.SA+BRSR6.SA+BSLI3.SA+BSLI4.SA+CASN3.SA+CEBR3.SA+CEBR5.SA+CEBR6.SA+CEEB3.SA+CEEB5.SA+CEPE5.SA+CEPE6.SA+CESP3.SA+CESP5.SA+CESP6.SA+CLSC4.SA+CMIG3.SA+CMIG4.SA+COCE3.SA+COCE5.SA+CPFE3.SA+CPLE3.SA+CPLE5.SA+CPLE6.SA+CSMG3.SA+CSRN3.SA+CSRN5.SA+CSRN6.SA+DAYC4.SA+EEEL3.SA+EEEL4.SA+ELET3.SA+ELET6.SA+ELPL3.SA+ELPL4.SA+EMAE4.SA+ENBR3.SA+ENGI11.SA+ENGI3.SA+ENGI4.SA+ENMA3B.SA+EQTL3.SA+FESA3.SA+FESA4.SA+GEPA3.SA+GEPA4.SA+GETI3.SA+GETI4.SA+GTDP3B.SA+GTDP4B.SA+ITSA3.SA+ITSA4.SA+ITUB3.SA+ITUB4.SA+KLBN3.SA+KLBN4.SA+LIGT3.SA+LIPR3.SA+PINE4.SA+PRBC4.SA+PSSA3.SA+RANI3.SA+RANI4.SA+RDTR3.SA+RPAD3.SA+RPAD5.SA+RPAD6.SA+SAPR3.SA+SAPR4.SA+SBSP3.SA+SFSA4.SA+SUZB5.SA+SUZB6.SA+TAEE11.SA+TBLE3.SA+TRPL3.SA+TRPL4.SA+UNIP5.SA+UNIP6.SA+PATI3.SA&amp;f=nol1hgd1" htmlTables="1" htmlFormat="all"/>
  </connection>
  <connection id="604" name="Conexão491" type="4" refreshedVersion="3" deleted="1" background="1" saveData="1">
    <webPr xl2000="1" htmlTables="1" htmlFormat="all"/>
  </connection>
  <connection id="605" name="Conexão4911" type="4" refreshedVersion="3" deleted="1" background="1" saveData="1">
    <webPr xl2000="1" htmlTables="1" htmlFormat="all"/>
  </connection>
  <connection id="606" name="Conexão5" type="4" refreshedVersion="0" background="1" saveData="1">
    <webPr url="http://download.finance.yahoo.com/d/quotes.csv?s=BPAR3.SA&amp;f=nol1hgd1" htmlTables="1" htmlFormat="all"/>
  </connection>
  <connection id="607" name="Conexão50" type="4" refreshedVersion="0" background="1" saveData="1">
    <webPr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&amp;f=nol1hgd1" htmlTables="1" htmlFormat="all"/>
  </connection>
  <connection id="608" name="Conexão501" type="4" refreshedVersion="3" deleted="1" background="1" saveData="1">
    <webPr xl2000="1" htmlTables="1" htmlFormat="all"/>
  </connection>
  <connection id="609" name="Conexão5011" type="4" refreshedVersion="3" deleted="1" background="1" saveData="1">
    <webPr xl2000="1" htmlTables="1" htmlFormat="all"/>
  </connection>
  <connection id="610" name="Conexão51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&amp;f=nol1hgd1" htmlFormat="all"/>
  </connection>
  <connection id="611" name="Conexão510" type="4" refreshedVersion="0" deleted="1" background="1" saveData="1">
    <webPr htmlTables="1" htmlFormat="all"/>
  </connection>
  <connection id="612" name="Conexão5101" type="4" refreshedVersion="0" deleted="1" background="1" saveData="1">
    <webPr htmlTables="1" htmlFormat="all"/>
  </connection>
  <connection id="613" name="Conexão511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&amp;f=nol1hgd1" htmlFormat="all"/>
  </connection>
  <connection id="614" name="Conexão5111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&amp;f=nol1hgd1" htmlFormat="all"/>
  </connection>
  <connection id="615" name="Conexão51111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&amp;f=nol1hgd1" htmlFormat="all"/>
  </connection>
  <connection id="616" name="Conexão512" type="4" refreshedVersion="0" deleted="1" background="1" saveData="1">
    <webPr htmlTables="1" htmlFormat="all"/>
  </connection>
  <connection id="617" name="Conexão5121" type="4" refreshedVersion="0" deleted="1" background="1" saveData="1">
    <webPr htmlTables="1" htmlFormat="all"/>
  </connection>
  <connection id="618" name="Conexão513" type="4" refreshedVersion="0" deleted="1" background="1" saveData="1">
    <webPr htmlTables="1" htmlFormat="all"/>
  </connection>
  <connection id="619" name="Conexão5131" type="4" refreshedVersion="0" deleted="1" background="1" saveData="1">
    <webPr htmlTables="1" htmlFormat="all"/>
  </connection>
  <connection id="620" name="Conexão52" type="4" refreshedVersion="0" background="1" saveData="1">
    <webPr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&amp;f=nol1hgd1" htmlTables="1" htmlFormat="all"/>
  </connection>
  <connection id="621" name="Conexão521" type="4" refreshedVersion="3" deleted="1" background="1" saveData="1">
    <webPr xl2000="1" htmlTables="1" htmlFormat="all"/>
  </connection>
  <connection id="622" name="Conexão5211" type="4" refreshedVersion="3" deleted="1" background="1" saveData="1">
    <webPr xl2000="1" htmlTables="1" htmlFormat="all"/>
  </connection>
  <connection id="623" name="Conexão53" type="4" refreshedVersion="0" background="1" saveData="1">
    <webPr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&amp;f=nol1hgd1" htmlTables="1" htmlFormat="all"/>
  </connection>
  <connection id="624" name="Conexão531" type="4" refreshedVersion="3" deleted="1" background="1" saveData="1">
    <webPr xl2000="1" htmlTables="1" htmlFormat="all"/>
  </connection>
  <connection id="625" name="Conexão5311" type="4" refreshedVersion="3" deleted="1" background="1" saveData="1">
    <webPr xl2000="1" htmlTables="1" htmlFormat="all"/>
  </connection>
  <connection id="626" name="Conexão54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&amp;f=nol1hgd1" htmlFormat="all"/>
  </connection>
  <connection id="627" name="Conexão541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&amp;f=nol1hgd1" htmlFormat="all"/>
  </connection>
  <connection id="628" name="Conexão5411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&amp;f=nol1hgd1" htmlFormat="all"/>
  </connection>
  <connection id="629" name="Conexão55" type="4" refreshedVersion="0" background="1" saveData="1">
    <webPr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&amp;f=nol1hgd1" htmlTables="1" htmlFormat="all"/>
  </connection>
  <connection id="630" name="Conexão551" type="4" refreshedVersion="3" deleted="1" background="1" saveData="1">
    <webPr xl2000="1" htmlTables="1" htmlFormat="all"/>
  </connection>
  <connection id="631" name="Conexão5511" type="4" refreshedVersion="3" deleted="1" background="1" saveData="1">
    <webPr xl2000="1" htmlTables="1" htmlFormat="all"/>
  </connection>
  <connection id="632" name="Conexão56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&amp;f=nol1hgd1" htmlFormat="all"/>
  </connection>
  <connection id="633" name="Conexão561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&amp;f=nol1hgd1" htmlFormat="all"/>
  </connection>
  <connection id="634" name="Conexão5611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&amp;f=nol1hgd1" htmlFormat="all"/>
  </connection>
  <connection id="635" name="Conexão56111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&amp;f=nol1hgd1" htmlFormat="all"/>
  </connection>
  <connection id="636" name="Conexão57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&amp;f=nol1hgd1" htmlFormat="all"/>
  </connection>
  <connection id="637" name="Conexão571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&amp;f=nol1hgd1" htmlFormat="all"/>
  </connection>
  <connection id="638" name="Conexão5711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&amp;f=nol1hgd1" htmlFormat="all"/>
  </connection>
  <connection id="639" name="Conexão57111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&amp;f=nol1hgd1" htmlFormat="all"/>
  </connection>
  <connection id="640" name="Conexão58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LTEL3B.SA+LTEL11.SA+LTEL5B.SA&amp;f=nol1hgd1" htmlFormat="all"/>
  </connection>
  <connection id="641" name="Conexão581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LTEL3B.SA+LTEL11.SA+LTEL5B.SA&amp;f=nol1hgd1" htmlFormat="all"/>
  </connection>
  <connection id="642" name="Conexão5811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LTEL3B.SA+LTEL11.SA+LTEL5B.SA&amp;f=nol1hgd1" htmlFormat="all"/>
  </connection>
  <connection id="643" name="Conexão59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&amp;f=nol1hgd1" htmlFormat="all"/>
  </connection>
  <connection id="644" name="Conexão591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&amp;f=nol1hgd1" htmlFormat="all"/>
  </connection>
  <connection id="645" name="Conexão5911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&amp;f=nol1hgd1" htmlFormat="all"/>
  </connection>
  <connection id="646" name="Conexão59111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&amp;f=nol1hgd1" htmlFormat="all"/>
  </connection>
  <connection id="647" name="Conexão6" type="4" refreshedVersion="0" background="1" saveData="1">
    <webPr url="http://download.finance.yahoo.com/d/quotes.csv?s=BPAR3.SA&amp;f=nol1hgd1" htmlTables="1" htmlFormat="all"/>
  </connection>
  <connection id="648" name="Conexão60" type="4" refreshedVersion="0" background="1" saveData="1">
    <webPr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MMXM11.SA&amp;f=nol1hgd1" htmlTables="1" htmlFormat="all"/>
  </connection>
  <connection id="649" name="Conexão601" type="4" refreshedVersion="3" deleted="1" background="1" saveData="1">
    <webPr xl2000="1" htmlTables="1" htmlFormat="all"/>
  </connection>
  <connection id="650" name="Conexão6011" type="4" refreshedVersion="3" deleted="1" background="1" saveData="1">
    <webPr xl2000="1" htmlTables="1" htmlFormat="all"/>
  </connection>
  <connection id="651" name="Conexão61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MMXM11.SA&amp;f=nol1hgd1" htmlFormat="all"/>
  </connection>
  <connection id="652" name="Conexão610" type="4" refreshedVersion="0" background="1" saveData="1">
    <webPr url="http://download.finance.yahoo.com/d/quotes.csv?s=BPAR3.SA&amp;f=nol1hgd1" htmlTables="1" htmlFormat="all"/>
  </connection>
  <connection id="653" name="Conexão6101" type="4" refreshedVersion="0" background="1" saveData="1">
    <webPr url="http://download.finance.yahoo.com/d/quotes.csv?s=BPAR3.SA&amp;f=nol1hgd1" htmlTables="1" htmlFormat="all"/>
  </connection>
  <connection id="654" name="Conexão61011" type="4" refreshedVersion="0" background="1" saveData="1">
    <webPr url="http://download.finance.yahoo.com/d/quotes.csv?s=BPAR3.SA&amp;f=nol1hgd1" htmlTables="1" htmlFormat="all"/>
  </connection>
  <connection id="655" name="Conexão611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MMXM11.SA&amp;f=nol1hgd1" htmlFormat="all"/>
  </connection>
  <connection id="656" name="Conexão6111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MMXM11.SA&amp;f=nol1hgd1" htmlFormat="all"/>
  </connection>
  <connection id="657" name="Conexão612" type="4" refreshedVersion="0" deleted="1" background="1" saveData="1">
    <webPr htmlTables="1" htmlFormat="all"/>
  </connection>
  <connection id="658" name="Conexão6121" type="4" refreshedVersion="0" deleted="1" background="1" saveData="1">
    <webPr htmlTables="1" htmlFormat="all"/>
  </connection>
  <connection id="659" name="Conexão613" type="4" refreshedVersion="3" deleted="1" background="1" saveData="1">
    <webPr xl2000="1" htmlTables="1" htmlFormat="all"/>
  </connection>
  <connection id="660" name="Conexão6131" type="4" refreshedVersion="3" deleted="1" background="1" saveData="1">
    <webPr xl2000="1" htmlTables="1" htmlFormat="all"/>
  </connection>
  <connection id="661" name="Conexão62" type="4" refreshedVersion="0" background="1" saveData="1">
    <webPr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&amp;f=nol1hgd1" htmlTables="1" htmlFormat="all"/>
  </connection>
  <connection id="662" name="Conexão621" type="4" refreshedVersion="3" deleted="1" background="1" saveData="1">
    <webPr xl2000="1" htmlTables="1" htmlFormat="all"/>
  </connection>
  <connection id="663" name="Conexão6211" type="4" refreshedVersion="3" deleted="1" background="1" saveData="1">
    <webPr xl2000="1" htmlTables="1" htmlFormat="all"/>
  </connection>
  <connection id="664" name="Conexão63" type="4" refreshedVersion="0" background="1" saveData="1">
    <webPr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&amp;f=nol1hgd1" htmlTables="1" htmlFormat="all"/>
  </connection>
  <connection id="665" name="Conexão631" type="4" refreshedVersion="3" deleted="1" background="1" saveData="1">
    <webPr xl2000="1" htmlTables="1" htmlFormat="all"/>
  </connection>
  <connection id="666" name="Conexão6311" type="4" refreshedVersion="3" deleted="1" background="1" saveData="1">
    <webPr xl2000="1" htmlTables="1" htmlFormat="all"/>
  </connection>
  <connection id="667" name="Conexão64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&amp;f=nol1hgd1" htmlFormat="all"/>
  </connection>
  <connection id="668" name="Conexão641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&amp;f=nol1hgd1" htmlFormat="all"/>
  </connection>
  <connection id="669" name="Conexão6411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&amp;f=nol1hgd1" htmlFormat="all"/>
  </connection>
  <connection id="670" name="Conexão64111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&amp;f=nol1hgd1" htmlFormat="all"/>
  </connection>
  <connection id="671" name="Conexão65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&amp;f=nol1hgd1" htmlFormat="all"/>
  </connection>
  <connection id="672" name="Conexão651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&amp;f=nol1hgd1" htmlFormat="all"/>
  </connection>
  <connection id="673" name="Conexão6511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&amp;f=nol1hgd1" htmlFormat="all"/>
  </connection>
  <connection id="674" name="Conexão65111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&amp;f=nol1hgd1" htmlFormat="all"/>
  </connection>
  <connection id="675" name="Conexão66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&amp;f=nol1hgd1" htmlFormat="all"/>
  </connection>
  <connection id="676" name="Conexão661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&amp;f=nol1hgd1" htmlFormat="all"/>
  </connection>
  <connection id="677" name="Conexão6611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&amp;f=nol1hgd1" htmlFormat="all"/>
  </connection>
  <connection id="678" name="Conexão67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&amp;f=nol1hgd1" htmlFormat="all"/>
  </connection>
  <connection id="679" name="Conexão671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&amp;f=nol1hgd1" htmlFormat="all"/>
  </connection>
  <connection id="680" name="Conexão6711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&amp;f=nol1hgd1" htmlFormat="all"/>
  </connection>
  <connection id="681" name="Conexão68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NEMO3.SA+NEMO5.SA+NEMO6.SA&amp;f=nol1hgd1" htmlFormat="all"/>
  </connection>
  <connection id="682" name="Conexão681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NEMO3.SA+NEMO5.SA+NEMO6.SA&amp;f=nol1hgd1" htmlFormat="all"/>
  </connection>
  <connection id="683" name="Conexão6811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NEMO3.SA+NEMO5.SA+NEMO6.SA&amp;f=nol1hgd1" htmlFormat="all"/>
  </connection>
  <connection id="684" name="Conexão68111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NEMO3.SA+NEMO5.SA+NEMO6.SA&amp;f=nol1hgd1" htmlFormat="all"/>
  </connection>
  <connection id="685" name="Conexão69" type="4" refreshedVersion="0" background="1" saveData="1">
    <webPr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&amp;f=nol1hgd1" htmlTables="1" htmlFormat="all"/>
  </connection>
  <connection id="686" name="Conexão691" type="4" refreshedVersion="3" deleted="1" background="1" saveData="1">
    <webPr xl2000="1" htmlTables="1" htmlFormat="all"/>
  </connection>
  <connection id="687" name="Conexão6911" type="4" refreshedVersion="3" deleted="1" background="1" saveData="1">
    <webPr xl2000="1" htmlTables="1" htmlFormat="all"/>
  </connection>
  <connection id="688" name="Conexão7" type="4" refreshedVersion="0" background="1" saveData="1">
    <webPr url="http://download.finance.yahoo.com/d/quotes.csv?s=BPAR3.SA&amp;f=nol1hgd1" htmlTables="1" htmlFormat="all"/>
  </connection>
  <connection id="689" name="Conexão70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&amp;f=nol1hgd1" htmlFormat="all"/>
  </connection>
  <connection id="690" name="Conexão701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&amp;f=nol1hgd1" htmlFormat="all"/>
  </connection>
  <connection id="691" name="Conexão7011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&amp;f=nol1hgd1" htmlFormat="all"/>
  </connection>
  <connection id="692" name="Conexão70111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&amp;f=nol1hgd1" htmlFormat="all"/>
  </connection>
  <connection id="693" name="Conexão71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&amp;f=nol1hgd1" htmlFormat="all"/>
  </connection>
  <connection id="694" name="Conexão710" type="4" refreshedVersion="0" background="1" saveData="1">
    <webPr url="http://download.finance.yahoo.com/d/quotes.csv?s=BPAR3.SA&amp;f=nol1hgd1" htmlTables="1" htmlFormat="all"/>
  </connection>
  <connection id="695" name="Conexão7101" type="4" refreshedVersion="0" background="1" saveData="1">
    <webPr url="http://download.finance.yahoo.com/d/quotes.csv?s=BPAR3.SA&amp;f=nol1hgd1" htmlTables="1" htmlFormat="all"/>
  </connection>
  <connection id="696" name="Conexão711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&amp;f=nol1hgd1" htmlFormat="all"/>
  </connection>
  <connection id="697" name="Conexão7111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&amp;f=nol1hgd1" htmlFormat="all"/>
  </connection>
  <connection id="698" name="Conexão71111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&amp;f=nol1hgd1" htmlFormat="all"/>
  </connection>
  <connection id="699" name="Conexão712" type="4" refreshedVersion="3" deleted="1" background="1" saveData="1">
    <webPr xl2000="1" htmlTables="1" htmlFormat="all"/>
  </connection>
  <connection id="700" name="Conexão7121" type="4" refreshedVersion="3" deleted="1" background="1" saveData="1">
    <webPr xl2000="1" htmlTables="1" htmlFormat="all"/>
  </connection>
  <connection id="701" name="Conexão713" type="4" refreshedVersion="0" deleted="1" background="1" saveData="1">
    <webPr htmlTables="1" htmlFormat="all"/>
  </connection>
  <connection id="702" name="Conexão7131" type="4" refreshedVersion="0" deleted="1" background="1" saveData="1">
    <webPr htmlTables="1" htmlFormat="all"/>
  </connection>
  <connection id="703" name="Conexão72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&amp;f=nol1hgd1" htmlFormat="all"/>
  </connection>
  <connection id="704" name="Conexão721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&amp;f=nol1hgd1" htmlFormat="all"/>
  </connection>
  <connection id="705" name="Conexão7211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&amp;f=nol1hgd1" htmlFormat="all"/>
  </connection>
  <connection id="706" name="Conexão72111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&amp;f=nol1hgd1" htmlFormat="all"/>
  </connection>
  <connection id="707" name="Conexão73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BBTG11.SA+BBTG35.SA+BBTG36.SA&amp;f=nol1hgd1" htmlFormat="all"/>
  </connection>
  <connection id="708" name="Conexão731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BBTG11.SA+BBTG35.SA+BBTG36.SA&amp;f=nol1hgd1" htmlFormat="all"/>
  </connection>
  <connection id="709" name="Conexão7311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BBTG11.SA+BBTG35.SA+BBTG36.SA&amp;f=nol1hgd1" htmlFormat="all"/>
  </connection>
  <connection id="710" name="Conexão73111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BBTG11.SA+BBTG35.SA+BBTG36.SA&amp;f=nol1hgd1" htmlFormat="all"/>
  </connection>
  <connection id="711" name="Conexão74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&amp;f=nol1hgd1" htmlFormat="all"/>
  </connection>
  <connection id="712" name="Conexão741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&amp;f=nol1hgd1" htmlFormat="all"/>
  </connection>
  <connection id="713" name="Conexão7411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&amp;f=nol1hgd1" htmlFormat="all"/>
  </connection>
  <connection id="714" name="Conexão74111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&amp;f=nol1hgd1" htmlFormat="all"/>
  </connection>
  <connection id="715" name="Conexão75" type="4" refreshedVersion="0" background="1" saveData="1">
    <webPr url="http://download.finance.yahoo.com/d/quotes.csv?s=ABCB4.SA+AELP3.SA+BAZA3.SA+BBAS3.SA+BBDC3.SA+BBDC4.SA+BEES3.SA+BEES4.SA+BGIP3.SA+BGIP4.SA+BICB3.SA+BICB4.SA+BMIN3.SA+BMIN4.SA+BNBR3.SA+BNBR4.SA+BRGE11.SA+BRGE12.SA+BRGE3.SA+BRGE5.SA+BRGE6.SA+BRGE7.SA+BRGE8.SA+BRIV3.SA+BRIV4.SA+BRSR3.SA+BRSR5.SA+BRSR6.SA+BSLI3.SA+BSLI4.SA+CASN3.SA+CEBR3.SA+CEBR5.SA+CEBR6.SA+CEEB3.SA+CEEB5.SA+CEPE5.SA+CEPE6.SA+CESP3.SA+CESP5.SA+CESP6.SA+CLSC4.SA+CMIG3.SA+CMIG4.SA+COCE3.SA+COCE5.SA+CPFE3.SA+CPLE3.SA+CPLE5.SA+CPLE6.SA+CSMG3.SA+CSRN3.SA+CSRN5.SA+CSRN6.SA+DAYC4.SA+EEEL3.SA+EEEL4.SA+ELET3.SA+ELET6.SA+ELPL3.SA+ELPL4.SA+EMAE4.SA+ENBR3.SA+ENGI11.SA+ENGI3.SA+ENGI4.SA+ENMA3B.SA+EQTL3.SA+FESA3.SA+FESA4.SA+GEPA3.SA+GEPA4.SA+GETI3.SA+GETI4.SA+GTDP3B.SA+GTDP4B.SA+ITSA3.SA+ITSA4.SA+ITUB3.SA+ITUB4.SA+KLBN3.SA+KLBN4.SA+LIGT3.SA+LIPR3.SA+PINE4.SA+PRBC4.SA+PSSA3.SA+RANI3.SA+RANI4.SA+RDTR3.SA+RPAD3.SA+RPAD5.SA+RPAD6.SA+SAPR3.SA+SAPR4.SA+SBSP3.SA+SFSA4.SA+SUZB5.SA+SUZB6.SA+TAEE11.SA+TBLE3.SA+TRPL3.SA+TRPL4.SA+UNIP5.SA+UNIP6.SA+PATI3.SA&amp;f=nol1hgd1" htmlTables="1" htmlFormat="all"/>
  </connection>
  <connection id="716" name="Conexão751" type="4" refreshedVersion="3" deleted="1" background="1" saveData="1">
    <webPr xl2000="1" htmlTables="1" htmlFormat="all"/>
  </connection>
  <connection id="717" name="Conexão7511" type="4" refreshedVersion="3" deleted="1" background="1" saveData="1">
    <webPr xl2000="1" htmlTables="1" htmlFormat="all"/>
  </connection>
  <connection id="718" name="Conexão76" type="4" refreshedVersion="3" background="1" saveData="1">
    <webPr xl2000="1" url="http://download.finance.yahoo.com/d/quotes.csv?s=ABCB3.SA+AFLT3.SA+AFLU3.SA+AFLU5.SA+AFLU6.SA+ALSC3.SA+ALUP11.SA+ALUP3.SA+ALUP4.SA+BAHI3.SA+BBSE3.SA+BRAP3.SA+BRAP4.SA+BRFS3.SA+BRIN3.SA+BRKM3.SA+BRKM5.SA+BRKM6.SA+BRML3.SA+BRPR3.SA+BVMF3.SA+CBEE3.SA+CCPR3.SA+CEEB6.SA+CELP3.SA+CELP5.SA+CELP6.SA+CELP7.SA+CIEL3.SA+CIQU3.SA+CIQU4.SA+clsc3.SA+CRIV3.SA+CRIV4.SA+CSAB3.SA+CSAB4.SA+CSAN3.SA+CTIP3.SA+DTEX3.SA+EBTP4.SA+ELEK3.SA+ELEK4.SA+elet5.SA+ETER3.SA+EUCA4.SA+GPAR3.SA+HBTS5.SA+IGTA3.SA+JBSS3.SA+JOPA3.SA+JOPA4.SA+LCAM3.SA+MAGG3.SA+MERC3.SA+MERC4.SA+MOAR3.SA+MULT3.SA+NUTR3M.SA+OIBR3.SA+OIBR4.SA+PATI4.SA+PETR3.SA+PETR4.SA+PRVI3.SA+PTPA4.SA+QGEP3.SA+SCAR3.SA+SMTO3.SA+SSBR3.SA+SULA11.SA+TERI3.SA+TIMP3.SA+TKNO4.SA+TRPN3.SA+UGPA3.SA+UNIP3.SA+VALE5.SA+VIGR3.SA+VIVT3.SA+VIVT4.SA+CEPE3.SA+COCE6.SA+ENMA5B.SA+ENMA6B.SA+CEED3.SA+CEED4.SA+EKTR3.SA+EKTR4.SA+ENEV3.SA+REDE3.SA+REDE4.SA+RNEW11.SA+RNEW3.SA+RNEW4.SA+TAEE3.SA+TAEE4.SA+CSAN4.SA+CGAS3.SA+CGAS5.SA+CEGR3.SA+INET3.SA+EBTP3.SA+MLFT3.SA+MLFT4.SA+LFFE3.SA+LFFE4.SA&amp;f=nol1hgd1" htmlFormat="all"/>
  </connection>
  <connection id="719" name="Conexão761" type="4" refreshedVersion="3" deleted="1" background="1" saveData="1">
    <webPr xl2000="1" htmlTables="1" htmlFormat="all"/>
  </connection>
  <connection id="720" name="Conexão7611" type="4" refreshedVersion="3" deleted="1" background="1" saveData="1">
    <webPr xl2000="1" htmlTables="1" htmlFormat="all"/>
  </connection>
  <connection id="721" name="Conexão77" type="4" refreshedVersion="0" background="1" saveData="1">
    <webPr url="http://download.finance.yahoo.com/d/quotes.csv?s=ABCB3.SA+AFLT3.SA+AFLU3.SA+AFLU5.SA+AFLU6.SA+ALSC3.SA+ALUP11.SA+ALUP3.SA+ALUP4.SA+BAHI3.SA+BBSE3.SA+BRAP3.SA+BRAP4.SA+BRFS3.SA+BRIN3.SA+BRKM3.SA+BRKM5.SA+BRKM6.SA+BRML3.SA+BRPR3.SA+BVMF3.SA+CBEE3.SA+CCPR3.SA+CEEB6.SA+CELP3.SA+CELP5.SA+CELP6.SA+CELP7.SA+CIEL3.SA+CIQU3.SA+CIQU4.SA+clsc3.SA+CRIV3.SA+CRIV4.SA+CSAB3.SA+CSAB4.SA+CSAN3.SA+CTIP3.SA+DTEX3.SA+EBTP4.SA+ELEK3.SA+ELEK4.SA+elet5.SA+ETER3.SA+EUCA4.SA+GPAR3.SA+HBTS5.SA+IGTA3.SA+JBSS3.SA+JOPA3.SA+JOPA4.SA+LCAM3.SA+MAGG3.SA+MERC3.SA+MERC4.SA+MOAR3.SA+MULT3.SA+NUTR3M.SA+OIBR3.SA+OIBR4.SA+PATI4.SA+PETR3.SA+PETR4.SA+PRVI3.SA+PTPA4.SA+QGEP3.SA+SCAR3.SA+SMTO3.SA+SSBR3.SA+SULA11.SA+TERI3.SA+TIMP3.SA+TKNO4.SA+TRPN3.SA+UGPA3.SA+UNIP3.SA+VALE5.SA+VIGR3.SA+VIVT3.SA+VIVT4.SA+CEPE3.SA+COCE6.SA+ENMA5B.SA+ENMA6B.SA+CEED3.SA+CEED4.SA+EKTR3.SA+EKTR4.SA+ENEV3.SA+REDE3.SA+REDE4.SA+RNEW11.SA+RNEW3.SA+RNEW4.SA+TAEE3.SA+TAEE4.SA+CSAN4.SA+CGAS3.SA+CGAS5.SA+CEGR3.SA+INET3.SA+EBTP3.SA+MLFT3.SA+MLFT4.SA+LFFE3.SA+LFFE4.SA&amp;f=nol1hgd1" htmlTables="1" htmlFormat="all"/>
  </connection>
  <connection id="722" name="Conexão771" type="4" refreshedVersion="3" deleted="1" background="1" saveData="1">
    <webPr xl2000="1" htmlTables="1" htmlFormat="all"/>
  </connection>
  <connection id="723" name="Conexão7711" type="4" refreshedVersion="3" deleted="1" background="1" saveData="1">
    <webPr xl2000="1" htmlTables="1" htmlFormat="all"/>
  </connection>
  <connection id="724" name="Conexão78" type="4" refreshedVersion="0" background="1" saveData="1">
    <webPr url="http://download.finance.yahoo.com/d/quotes.csv?s=ABCB3.SA+AFLT3.SA+AFLU3.SA+AFLU5.SA+AFLU6.SA+ALSC3.SA+ALUP11.SA+ALUP3.SA+ALUP4.SA+BAHI3.SA+BBSE3.SA+BRAP3.SA+BRAP4.SA+BRFS3.SA+BRIN3.SA+BRKM3.SA+BRKM5.SA+BRKM6.SA+BRML3.SA+BRPR3.SA+BVMF3.SA+CBEE3.SA+CCPR3.SA+CEEB6.SA+CELP3.SA+CELP5.SA+CELP6.SA+CELP7.SA+CIEL3.SA+CIQU3.SA+CIQU4.SA+clsc3.SA+CRIV3.SA+CRIV4.SA+CSAB3.SA+CSAB4.SA+CSAN3.SA+CTIP3.SA+DTEX3.SA+EBTP4.SA+ELEK3.SA+ELEK4.SA+elet5.SA+ETER3.SA+EUCA4.SA+GPAR3.SA+HBTS5.SA+IGTA3.SA+JBSS3.SA+JOPA3.SA+JOPA4.SA+LCAM3.SA+MAGG3.SA+MERC3.SA+MERC4.SA+MOAR3.SA+MULT3.SA+NUTR3M.SA+OIBR3.SA+OIBR4.SA+PATI4.SA+PETR3.SA+PETR4.SA+PRVI3.SA+PTPA4.SA+QGEP3.SA+SCAR3.SA+SMTO3.SA+SSBR3.SA+SULA11.SA+TERI3.SA+TIMP3.SA+TKNO4.SA+TRPN3.SA+UGPA3.SA+UNIP3.SA+VALE5.SA+VIGR3.SA+VIVT3.SA+VIVT4.SA+CEPE3.SA+COCE6.SA+ENMA5B.SA+ENMA6B.SA+CEED3.SA+CEED4.SA+EKTR3.SA+EKTR4.SA+ENEV3.SA+REDE3.SA+REDE4.SA+RNEW11.SA+RNEW3.SA+RNEW4.SA+TAEE3.SA+TAEE4.SA+CSAN4.SA+CGAS3.SA+CGAS5.SA+CEGR3.SA+INET3.SA+EBTP3.SA+MLFT3.SA+MLFT4.SA+LFFE3.SA+LFFE4.SA&amp;f=nol1hgd1" htmlTables="1" htmlFormat="all"/>
  </connection>
  <connection id="725" name="Conexão781" type="4" refreshedVersion="3" deleted="1" background="1" saveData="1">
    <webPr xl2000="1" htmlTables="1" htmlFormat="all"/>
  </connection>
  <connection id="726" name="Conexão7811" type="4" refreshedVersion="3" deleted="1" background="1" saveData="1">
    <webPr xl2000="1" htmlTables="1" htmlFormat="all"/>
  </connection>
  <connection id="727" name="Conexão79" type="4" refreshedVersion="0" background="1" saveData="1">
    <webPr url="http://download.finance.yahoo.com/d/quotes.csv?s=ABCB3.SA+AFLT3.SA+AFLU3.SA+AFLU5.SA+AFLU6.SA+ALSC3.SA+ALUP11.SA+ALUP3.SA+ALUP4.SA+BAHI3.SA+BBSE3.SA+BRAP3.SA+BRAP4.SA+BRFS3.SA+BRIN3.SA+BRKM3.SA+BRKM5.SA+BRKM6.SA+BRML3.SA+BRPR3.SA+BVMF3.SA+CBEE3.SA+CCPR3.SA+CEEB6.SA+CELP3.SA+CELP5.SA+CELP6.SA+CELP7.SA+CIEL3.SA+CIQU3.SA+CIQU4.SA+clsc3.SA+CRIV3.SA+CRIV4.SA+CSAB3.SA+CSAB4.SA+CSAN3.SA+CTIP3.SA+DTEX3.SA+EBTP4.SA+ELEK3.SA+ELEK4.SA+elet5.SA+ETER3.SA+EUCA4.SA+GPAR3.SA+HBTS5.SA+IGTA3.SA+JBSS3.SA+JOPA3.SA+JOPA4.SA+LCAM3.SA+MAGG3.SA+MERC3.SA+MERC4.SA+MOAR3.SA+MULT3.SA+NUTR3M.SA+OIBR3.SA+OIBR4.SA+PATI4.SA+PETR3.SA+PETR4.SA+PRVI3.SA+PTPA4.SA+QGEP3.SA+SCAR3.SA+SMTO3.SA+SSBR3.SA+SULA11.SA+TERI3.SA+TIMP3.SA+TKNO4.SA+TRPN3.SA+UGPA3.SA+UNIP3.SA+VALE5.SA+VIGR3.SA+VIVT3.SA+VIVT4.SA+CEPE3.SA+COCE6.SA+ENMA5B.SA+ENMA6B.SA+CEED3.SA+CEED4.SA+EKTR3.SA+EKTR4.SA+ENEV3.SA+REDE3.SA+REDE4.SA+RNEW11.SA+RNEW3.SA+RNEW4.SA+TAEE3.SA+TAEE4.SA+CSAN4.SA+CGAS3.SA+CGAS5.SA+CEGR3.SA+INET3.SA+EBTP3.SA+MLFT3.SA+MLFT4.SA+LFFE3.SA+LFFE4.SA&amp;f=nol1hgd1" htmlTables="1" htmlFormat="all"/>
  </connection>
  <connection id="728" name="Conexão791" type="4" refreshedVersion="3" deleted="1" background="1" saveData="1">
    <webPr xl2000="1" htmlTables="1" htmlFormat="all"/>
  </connection>
  <connection id="729" name="Conexão7911" type="4" refreshedVersion="3" deleted="1" background="1" saveData="1">
    <webPr xl2000="1" htmlTables="1" htmlFormat="all"/>
  </connection>
  <connection id="730" name="Conexão8" type="4" refreshedVersion="0" background="1" saveData="1">
    <webPr url="http://download.finance.yahoo.com/d/quotes.csv?s=IDVL3.SA+IDVL4.SA+IDVL11.SA&amp;f=nol1hgd1" htmlTables="1" htmlFormat="all"/>
  </connection>
  <connection id="731" name="Conexão80" type="4" refreshedVersion="3" background="1" saveData="1">
    <webPr xl2000="1" url="http://download.finance.yahoo.com/d/quotes.csv?s=ABCB3.SA+AFLT3.SA+AFLU3.SA+AFLU5.SA+AFLU6.SA+ALSC3.SA+ALUP11.SA+ALUP3.SA+ALUP4.SA+BAHI3.SA+BBSE3.SA+BRAP3.SA+BRAP4.SA+BRFS3.SA+BRIN3.SA+BRKM3.SA+BRKM5.SA+BRKM6.SA+BRML3.SA+BRPR3.SA+BVMF3.SA+CBEE3.SA+CCPR3.SA+CEEB6.SA+CELP3.SA+CELP5.SA+CELP6.SA+CELP7.SA+CIEL3.SA+CIQU3.SA+CIQU4.SA+clsc3.SA+CRIV3.SA+CRIV4.SA+CSAB3.SA+CSAB4.SA+CSAN3.SA+CTIP3.SA+DTEX3.SA+EBTP4.SA+ELEK3.SA+ELEK4.SA+elet5.SA+ETER3.SA+EUCA4.SA+GPAR3.SA+HBTS5.SA+IGTA3.SA+JBSS3.SA+JOPA3.SA+JOPA4.SA+LCAM3.SA+MAGG3.SA+MERC3.SA+MERC4.SA+MOAR3.SA+MULT3.SA+NUTR3M.SA+OIBR3.SA+OIBR4.SA+PATI4.SA+PETR3.SA+PETR4.SA+PRVI3.SA+PTPA4.SA+QGEP3.SA+SCAR3.SA+SMTO3.SA+SSBR3.SA+SULA11.SA+TERI3.SA+TIMP3.SA+TKNO4.SA+TRPN3.SA+UGPA3.SA+UNIP3.SA+VALE5.SA+VIGR3.SA+VIVT3.SA+VIVT4.SA+CEPE3.SA+COCE6.SA+ENMA5B.SA+ENMA6B.SA+CEED3.SA+CEED4.SA+EKTR3.SA+EKTR4.SA+ENEV3.SA+REDE3.SA+REDE4.SA+RNEW11.SA+RNEW3.SA+RNEW4.SA+TAEE3.SA+TAEE4.SA+CSAN4.SA+CGAS3.SA+CGAS5.SA+CEGR3.SA+INET3.SA+EBTP3.SA+MLFT3.SA+MLFT4.SA+LFFE3.SA+LFFE4.SA&amp;f=nol1hgd1" htmlFormat="all"/>
  </connection>
  <connection id="732" name="Conexão801" type="4" refreshedVersion="3" deleted="1" background="1" saveData="1">
    <webPr xl2000="1" htmlTables="1" htmlFormat="all"/>
  </connection>
  <connection id="733" name="Conexão8011" type="4" refreshedVersion="3" deleted="1" background="1" saveData="1">
    <webPr xl2000="1" htmlTables="1" htmlFormat="all"/>
  </connection>
  <connection id="734" name="Conexão81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&amp;f=nol1hgd1" htmlFormat="all"/>
  </connection>
  <connection id="735" name="Conexão810" type="4" refreshedVersion="0" background="1" saveData="1">
    <webPr url="http://download.finance.yahoo.com/d/quotes.csv?s=IDVL3.SA+IDVL4.SA+IDVL11.SA&amp;f=nol1hgd1" htmlTables="1" htmlFormat="all"/>
  </connection>
  <connection id="736" name="Conexão8101" type="4" refreshedVersion="0" background="1" saveData="1">
    <webPr url="http://download.finance.yahoo.com/d/quotes.csv?s=IDVL3.SA+IDVL4.SA+IDVL11.SA&amp;f=nol1hgd1" htmlTables="1" htmlFormat="all"/>
  </connection>
  <connection id="737" name="Conexão811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&amp;f=nol1hgd1" htmlFormat="all"/>
  </connection>
  <connection id="738" name="Conexão8111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&amp;f=nol1hgd1" htmlFormat="all"/>
  </connection>
  <connection id="739" name="Conexão81111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&amp;f=nol1hgd1" htmlFormat="all"/>
  </connection>
  <connection id="740" name="Conexão812" type="4" refreshedVersion="3" deleted="1" background="1" saveData="1">
    <webPr xl2000="1" htmlTables="1" htmlFormat="all"/>
  </connection>
  <connection id="741" name="Conexão8121" type="4" refreshedVersion="3" deleted="1" background="1" saveData="1">
    <webPr xl2000="1" htmlTables="1" htmlFormat="all"/>
  </connection>
  <connection id="742" name="Conexão813" type="4" refreshedVersion="0" deleted="1" background="1" saveData="1">
    <webPr htmlTables="1" htmlFormat="all"/>
  </connection>
  <connection id="743" name="Conexão8131" type="4" refreshedVersion="0" deleted="1" background="1" saveData="1">
    <webPr htmlTables="1" htmlFormat="all"/>
  </connection>
  <connection id="744" name="Conexão814" type="4" refreshedVersion="0" deleted="1" background="1" saveData="1">
    <webPr htmlTables="1" htmlFormat="all"/>
  </connection>
  <connection id="745" name="Conexão8141" type="4" refreshedVersion="0" deleted="1" background="1" saveData="1">
    <webPr htmlTables="1" htmlFormat="all"/>
  </connection>
  <connection id="746" name="Conexão82" type="4" refreshedVersion="0" background="1" saveData="1">
    <webPr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&amp;f=nol1hgd1" htmlTables="1" htmlFormat="all"/>
  </connection>
  <connection id="747" name="Conexão821" type="4" refreshedVersion="3" deleted="1" background="1" saveData="1">
    <webPr xl2000="1" htmlTables="1" htmlFormat="all"/>
  </connection>
  <connection id="748" name="Conexão8211" type="4" refreshedVersion="3" deleted="1" background="1" saveData="1">
    <webPr xl2000="1" htmlTables="1" htmlFormat="all"/>
  </connection>
  <connection id="749" name="Conexão83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&amp;f=nol1hgd1" htmlFormat="all"/>
  </connection>
  <connection id="750" name="Conexão831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&amp;f=nol1hgd1" htmlFormat="all"/>
  </connection>
  <connection id="751" name="Conexão8311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&amp;f=nol1hgd1" htmlFormat="all"/>
  </connection>
  <connection id="752" name="Conexão84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CANT3B.SA&amp;f=nol1hgd1" htmlFormat="all"/>
  </connection>
  <connection id="753" name="Conexão841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CANT3B.SA&amp;f=nol1hgd1" htmlFormat="all"/>
  </connection>
  <connection id="754" name="Conexão8411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CANT3B.SA&amp;f=nol1hgd1" htmlFormat="all"/>
  </connection>
  <connection id="755" name="Conexão85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&amp;f=nol1hgd1" htmlFormat="all"/>
  </connection>
  <connection id="756" name="Conexão851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&amp;f=nol1hgd1" htmlFormat="all"/>
  </connection>
  <connection id="757" name="Conexão8511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&amp;f=nol1hgd1" htmlFormat="all"/>
  </connection>
  <connection id="758" name="Conexão86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&amp;f=nol1hgd1" htmlFormat="all"/>
  </connection>
  <connection id="759" name="Conexão861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&amp;f=nol1hgd1" htmlFormat="all"/>
  </connection>
  <connection id="760" name="Conexão8611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&amp;f=nol1hgd1" htmlFormat="all"/>
  </connection>
  <connection id="761" name="Conexão87" type="4" refreshedVersion="0" background="1" saveData="1">
    <webPr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&amp;f=nol1hgd1" htmlTables="1" htmlFormat="all"/>
  </connection>
  <connection id="762" name="Conexão871" type="4" refreshedVersion="3" deleted="1" background="1" saveData="1">
    <webPr xl2000="1" htmlTables="1" htmlFormat="all"/>
  </connection>
  <connection id="763" name="Conexão8711" type="4" refreshedVersion="3" deleted="1" background="1" saveData="1">
    <webPr xl2000="1" htmlTables="1" htmlFormat="all"/>
  </connection>
  <connection id="764" name="Conexão88" type="4" refreshedVersion="0" background="1" saveData="1">
    <webPr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&amp;f=nol1hgd1" htmlTables="1" htmlFormat="all"/>
  </connection>
  <connection id="765" name="Conexão881" type="4" refreshedVersion="0" deleted="1" background="1" saveData="1">
    <webPr htmlTables="1" htmlFormat="all"/>
  </connection>
  <connection id="766" name="Conexão89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&amp;f=nol1hgd1" htmlFormat="all"/>
  </connection>
  <connection id="767" name="Conexão891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&amp;f=nol1hgd1" htmlFormat="all"/>
  </connection>
  <connection id="768" name="Conexão8911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&amp;f=nol1hgd1" htmlFormat="all"/>
  </connection>
  <connection id="769" name="Conexão89111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&amp;f=nol1hgd1" htmlFormat="all"/>
  </connection>
  <connection id="770" name="Conexão8912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&amp;f=nol1hgd1" htmlFormat="all"/>
  </connection>
  <connection id="771" name="Conexão9" type="4" refreshedVersion="0" background="1" saveData="1">
    <webPr url="http://download.finance.yahoo.com/d/quotes.csv?s=IDVL3.SA+IDVL4.SA+BMEB3.SA+BMEB4.SA&amp;f=nol1hgd1" htmlTables="1" htmlFormat="all"/>
  </connection>
  <connection id="772" name="Conexão90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&amp;f=nol1hgd1" htmlFormat="all"/>
  </connection>
  <connection id="773" name="Conexão901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&amp;f=nol1hgd1" htmlFormat="all"/>
  </connection>
  <connection id="774" name="Conexão9011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&amp;f=nol1hgd1" htmlFormat="all"/>
  </connection>
  <connection id="775" name="Conexão9012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&amp;f=nol1hgd1" htmlFormat="all"/>
  </connection>
  <connection id="776" name="Conexão91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&amp;f=nol1hgd1" htmlFormat="all"/>
  </connection>
  <connection id="777" name="Conexão910" type="4" refreshedVersion="0" background="1" saveData="1">
    <webPr url="http://download.finance.yahoo.com/d/quotes.csv?s=IDVL3.SA+IDVL4.SA+BMEB3.SA+BMEB4.SA&amp;f=nol1hgd1" htmlTables="1" htmlFormat="all"/>
  </connection>
  <connection id="778" name="Conexão9101" type="4" refreshedVersion="0" background="1" saveData="1">
    <webPr url="http://download.finance.yahoo.com/d/quotes.csv?s=IDVL3.SA+IDVL4.SA+BMEB3.SA+BMEB4.SA&amp;f=nol1hgd1" htmlTables="1" htmlFormat="all"/>
  </connection>
  <connection id="779" name="Conexão911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&amp;f=nol1hgd1" htmlFormat="all"/>
  </connection>
  <connection id="780" name="Conexão9111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&amp;f=nol1hgd1" htmlFormat="all"/>
  </connection>
  <connection id="781" name="Conexão9112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&amp;f=nol1hgd1" htmlFormat="all"/>
  </connection>
  <connection id="782" name="Conexão92" type="4" refreshedVersion="0" background="1" saveData="1">
    <webPr url="http://download.finance.yahoo.com/d/quotes.csv?s=ABCB4.SA+AELP3.SA+BAZA3.SA+BBAS3.SA+BBDC3.SA+BBDC4.SA+BEES3.SA+BEES4.SA+BGIP3.SA+BGIP4.SA+BICB3.SA+BICB4.SA+BMIN3.SA+BMIN4.SA+BNBR3.SA+BNBR4.SA+BRGE11.SA+BRGE12.SA+BRGE3.SA+BRGE5.SA+BRGE6.SA+BRGE7.SA+BRGE8.SA+BRIV3.SA+BRIV4.SA+BRSR3.SA+BRSR5.SA+BRSR6.SA+BSLI3.SA+BSLI4.SA+CASN3.SA+CEBR3.SA+CEBR5.SA+CEBR6.SA+CEEB3.SA+CEEB5.SA+CEPE5.SA+CEPE6.SA+CESP3.SA+CESP5.SA+CESP6.SA+CLSC4.SA+CMIG3.SA+CMIG4.SA+COCE3.SA+COCE5.SA+CPFE3.SA+CPLE3.SA+CPLE5.SA+CPLE6.SA+CSMG3.SA+CSRN3.SA+CSRN5.SA+CSRN6.SA+DAYC4.SA+EEEL3.SA+EEEL4.SA+ELET3.SA+ELET6.SA+ELPL3.SA+ELPL4.SA+EMAE4.SA+ENBR3.SA+ENGI11.SA+ENGI3.SA+ENGI4.SA+ENMA3B.SA+EQTL3.SA+FESA3.SA+FESA4.SA+GEPA3.SA+GEPA4.SA+GETI3.SA+GETI4.SA+GTDP3B.SA+GTDP4B.SA+ITSA3.SA+ITSA4.SA+ITUB3.SA+ITUB4.SA+KLBN3.SA+KLBN4.SA+LIGT3.SA+LIPR3.SA+PINE4.SA+PRBC4.SA+PSSA3.SA+RANI3.SA+RANI4.SA+RDTR3.SA+RPAD3.SA+RPAD5.SA+RPAD6.SA+SAPR3.SA+SAPR4.SA+SBSP3.SA+SFSA4.SA+SUZB5.SA+SUZB6.SA+TAEE11.SA+TBLE3.SA+TRPL3.SA+TRPL4.SA+UNIP5.SA+UNIP6.SA+PATI3.SA&amp;f=nol1hgd1" htmlTables="1" htmlFormat="all"/>
  </connection>
  <connection id="783" name="Conexão921" type="4" refreshedVersion="0" deleted="1" background="1" saveData="1">
    <webPr htmlTables="1" htmlFormat="all"/>
  </connection>
  <connection id="784" name="Conexão93" type="4" refreshedVersion="0" background="1" saveData="1">
    <webPr url="http://download.finance.yahoo.com/d/quotes.csv?s=ABCB4.SA+AELP3.SA+BAZA3.SA+BBAS3.SA+BBDC3.SA+BBDC4.SA+BEES3.SA+BEES4.SA+BGIP3.SA+BGIP4.SA+BICB3.SA+BICB4.SA+BMIN3.SA+BMIN4.SA+BNBR3.SA+BNBR4.SA+BRGE11.SA+BRGE12.SA+BRGE3.SA+BRGE5.SA+BRGE6.SA+BRGE7.SA+BRGE8.SA+BRIV3.SA+BRIV4.SA+BRSR3.SA+BRSR5.SA+BRSR6.SA+BSLI3.SA+BSLI4.SA+CASN3.SA+CEBR3.SA+CEBR5.SA+CEBR6.SA+CEEB3.SA+CEEB5.SA+CEPE5.SA+CEPE6.SA+CESP3.SA+CESP5.SA+CESP6.SA+CLSC4.SA+CMIG3.SA+CMIG4.SA+COCE3.SA+COCE5.SA+CPFE3.SA+CPLE3.SA+CPLE5.SA+CPLE6.SA+CSMG3.SA+CSRN3.SA+CSRN5.SA+CSRN6.SA+DAYC4.SA+EEEL3.SA+EEEL4.SA+ELET3.SA+ELET6.SA+ELPL3.SA+ELPL4.SA+EMAE4.SA+ENBR3.SA+ENGI11.SA+ENGI3.SA+ENGI4.SA+ENMA3B.SA+EQTL3.SA+FESA3.SA+FESA4.SA+GEPA3.SA+GEPA4.SA+GETI3.SA+GETI4.SA+GTDP3B.SA+GTDP4B.SA+ITSA3.SA+ITSA4.SA+ITUB3.SA+ITUB4.SA+KLBN3.SA+KLBN4.SA+LIGT3.SA+LIPR3.SA+PINE4.SA+PRBC4.SA+PSSA3.SA+RANI3.SA+RANI4.SA+RDTR3.SA+RPAD3.SA+RPAD5.SA+RPAD6.SA+SAPR3.SA+SAPR4.SA+SBSP3.SA+SFSA4.SA+SUZB5.SA+SUZB6.SA+TAEE11.SA+TBLE3.SA+TRPL3.SA+TRPL4.SA+UNIP5.SA+UNIP6.SA+PATI3.SA&amp;f=nol1hgd1" htmlTables="1" htmlFormat="all"/>
  </connection>
  <connection id="785" name="Conexão931" type="4" refreshedVersion="0" deleted="1" background="1" saveData="1">
    <webPr htmlTables="1" htmlFormat="all"/>
  </connection>
  <connection id="786" name="Conexão94" type="4" refreshedVersion="0" background="1" saveData="1">
    <webPr url="http://download.finance.yahoo.com/d/quotes.csv?s=ABCB3.SA+AFLT3.SA+AFLU3.SA+AFLU5.SA+AFLU6.SA+ALSC3.SA+ALUP11.SA+ALUP3.SA+ALUP4.SA+BAHI3.SA+BBSE3.SA+BRAP3.SA+BRAP4.SA+BRFS3.SA+BRIN3.SA+BRKM3.SA+BRKM5.SA+BRKM6.SA+BRML3.SA+BRPR3.SA+BVMF3.SA+CBEE3.SA+CCPR3.SA+CEEB6.SA+CELP3.SA+CELP5.SA+CELP6.SA+CELP7.SA+CIEL3.SA+CIQU3.SA+CIQU4.SA+clsc3.SA+CRIV3.SA+CRIV4.SA+CSAB3.SA+CSAB4.SA+CSAN3.SA+CTIP3.SA+DTEX3.SA+EBTP4.SA+ELEK3.SA+ELEK4.SA+elet5.SA+ETER3.SA+EUCA4.SA+GPAR3.SA+HBTS5.SA+IGTA3.SA+JBSS3.SA+JOPA3.SA+JOPA4.SA+LCAM3.SA+MAGG3.SA+MERC3.SA+MERC4.SA+MOAR3.SA+MULT3.SA+NUTR3M.SA+OIBR3.SA+OIBR4.SA+PATI4.SA+PETR3.SA+PETR4.SA+PRVI3.SA+PTPA4.SA+QGEP3.SA+SCAR3.SA+SMTO3.SA+SSBR3.SA+SULA11.SA+TERI3.SA+TIMP3.SA+TKNO4.SA+TRPN3.SA+UGPA3.SA+UNIP3.SA+VALE5.SA+VIGR3.SA+VIVT3.SA+VIVT4.SA+CEPE3.SA+COCE6.SA+ENMA5B.SA+ENMA6B.SA+CEED3.SA+CEED4.SA+EKTR3.SA+EKTR4.SA+ENEV3.SA+REDE3.SA+REDE4.SA+RNEW11.SA+RNEW3.SA+RNEW4.SA+TAEE3.SA+TAEE4.SA+CSAN4.SA+CGAS3.SA+CGAS5.SA+CEGR3.SA+INET3.SA+EBTP3.SA+MLFT3.SA+MLFT4.SA+LFFE3.SA+LFFE4.SA&amp;f=nol1hgd1" htmlTables="1" htmlFormat="all"/>
  </connection>
  <connection id="787" name="Conexão941" type="4" refreshedVersion="0" deleted="1" background="1" saveData="1">
    <webPr htmlTables="1" htmlFormat="all"/>
  </connection>
  <connection id="788" name="Conexão95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&amp;f=nol1hgd1" htmlFormat="all"/>
  </connection>
  <connection id="789" name="Conexão951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&amp;f=nol1hgd1" htmlFormat="all"/>
  </connection>
  <connection id="790" name="Conexão9511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&amp;f=nol1hgd1" htmlFormat="all"/>
  </connection>
  <connection id="791" name="Conexão95111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&amp;f=nol1hgd1" htmlFormat="all"/>
  </connection>
  <connection id="792" name="Conexão9512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&amp;f=nol1hgd1" htmlFormat="all"/>
  </connection>
  <connection id="793" name="Conexão96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&amp;f=nol1hgd1" htmlFormat="all"/>
  </connection>
  <connection id="794" name="Conexão961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&amp;f=nol1hgd1" htmlFormat="all"/>
  </connection>
  <connection id="795" name="Conexão9611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&amp;f=nol1hgd1" htmlFormat="all"/>
  </connection>
  <connection id="796" name="Conexão9612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&amp;f=nol1hgd1" htmlFormat="all"/>
  </connection>
  <connection id="797" name="Conexão97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&amp;f=nol1hgd1" htmlFormat="all"/>
  </connection>
  <connection id="798" name="Conexão971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&amp;f=nol1hgd1" htmlFormat="all"/>
  </connection>
  <connection id="799" name="Conexão9711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&amp;f=nol1hgd1" htmlFormat="all"/>
  </connection>
  <connection id="800" name="Conexão97111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&amp;f=nol1hgd1" htmlFormat="all"/>
  </connection>
  <connection id="801" name="Conexão9712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&amp;f=nol1hgd1" htmlFormat="all"/>
  </connection>
  <connection id="802" name="Conexão98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&amp;f=nol1hgd1" htmlFormat="all"/>
  </connection>
  <connection id="803" name="Conexão981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&amp;f=nol1hgd1" htmlFormat="all"/>
  </connection>
  <connection id="804" name="Conexão9811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&amp;f=nol1hgd1" htmlFormat="all"/>
  </connection>
  <connection id="805" name="Conexão99" type="4" refreshedVersion="0" background="1" saveData="1">
    <webPr url="http://download.finance.yahoo.com/d/quotes.csv?s=ABCB4.SA+AELP3.SA+BAZA3.SA+BBAS3.SA+BBDC3.SA+BBDC4.SA+BEES3.SA+BEES4.SA+BGIP3.SA+BGIP4.SA+BICB3.SA+BICB4.SA+BMIN3.SA+BMIN4.SA+BNBR3.SA+BNBR4.SA+BRGE11.SA+BRGE12.SA+BRGE3.SA+BRGE5.SA+BRGE6.SA+BRGE7.SA+BRGE8.SA+BRIV3.SA+BRIV4.SA+BRSR3.SA+BRSR5.SA+BRSR6.SA+BSLI3.SA+BSLI4.SA+CASN3.SA+CEBR3.SA+CEBR5.SA+CEBR6.SA+CEEB3.SA+CEEB5.SA+CEPE5.SA+CEPE6.SA+CESP3.SA+CESP5.SA+CESP6.SA+CLSC4.SA+CMIG3.SA+CMIG4.SA+COCE3.SA+COCE5.SA+CPFE3.SA+CPLE3.SA+CPLE5.SA+CPLE6.SA+CSMG3.SA+CSRN3.SA+CSRN5.SA+CSRN6.SA+DAYC4.SA+EEEL3.SA+EEEL4.SA+ELET3.SA+ELET6.SA+ELPL3.SA+ELPL4.SA+EMAE4.SA+ENBR3.SA+ENGI11.SA+ENGI3.SA+ENGI4.SA+ENMA3B.SA+EQTL3.SA+FESA3.SA+FESA4.SA+GEPA3.SA+GEPA4.SA+GETI3.SA+GETI4.SA+GTDP3B.SA+GTDP4B.SA+ITSA3.SA+ITSA4.SA+ITUB3.SA+ITUB4.SA+KLBN3.SA+KLBN4.SA+LIGT3.SA+LIPR3.SA+PINE4.SA+PRBC4.SA+PSSA3.SA+RANI3.SA+RANI4.SA+RDTR3.SA+RPAD3.SA+RPAD5.SA+RPAD6.SA+SAPR3.SA+SAPR4.SA+SBSP3.SA+SFSA4.SA+SUZB5.SA+SUZB6.SA+TAEE11.SA+TBLE3.SA+TRPL3.SA+TRPL4.SA+UNIP5.SA+UNIP6.SA+PATI3.SA&amp;f=nol1hgd1" htmlTables="1" htmlFormat="all"/>
  </connection>
  <connection id="806" name="Conexão991" type="4" refreshedVersion="3" deleted="1" background="1" saveData="1">
    <webPr xl2000="1" htmlTables="1" htmlFormat="all"/>
  </connection>
  <connection id="807" name="Connection" type="4" refreshedVersion="0" background="1" saveData="1">
    <webPr url="http://download.finance.yahoo.com/d/quotes.csv?s=ABCB4.SA+AELP3.SA+BAZA3.SA+BBAS3.SA+BBDC3.SA+BBDC4.SA+BEES3.SA+BEES4.SA+BGIP3.SA+BGIP4.SA+BICB3.SA+BICB4.SA+BMIN3.SA+BMIN4.SA+BNBR3.SA+BNBR4.SA+BRGE11.SA+BRGE12.SA+BRGE3.SA+BRGE5.SA+BRGE6.SA+BRGE7.SA+BRGE8.SA+BRIV3.SA+BRIV4.SA+BRSR3.SA+BRSR5.SA+BRSR6.SA+BSLI3.SA+BSLI4.SA+CASN3.SA+CEBR3.SA+CEBR5.SA+CEBR6.SA+CEEB3.SA+CEEB5.SA+CEPE5.SA+CEPE6.SA+CESP3.SA+CESP5.SA+CESP6.SA+CLSC4.SA+CMIG3.SA+CMIG4.SA+COCE3.SA+COCE5.SA+CPFE3.SA+CPLE3.SA+CPLE5.SA+CPLE6.SA+CSMG3.SA+CSRN3.SA+CSRN5.SA+CSRN6.SA+DAYC4.SA+EEEL3.SA+EEEL4.SA+ELET3.SA+ELET6.SA+ELPL3.SA+ELPL4.SA+EMAE4.SA+ENBR3.SA+ENGI11.SA+ENGI3.SA+ENGI4.SA+ENMA3B.SA+EQTL3.SA+FESA3.SA+FESA4.SA+GEPA3.SA+GEPA4.SA+GETI3.SA+GETI4.SA+GTDP3B.SA+GTDP4B.SA+ITSA3.SA+ITSA4.SA+ITUB3.SA+ITUB4.SA+KLBN3.SA+KLBN4.SA+LIGT3.SA+LIPR3.SA+PINE4.SA+PRBC4.SA+PSSA3.SA+RANI3.SA+RANI4.SA+RDTR3.SA+RPAD3.SA+RPAD5.SA+RPAD6.SA+SAPR3.SA+SAPR4.SA+SBSP3.SA+SFSA4.SA+SUZB5.SA+SUZB6.SA+TAEE11.SA+TBLE3.SA+TRPL3.SA+TRPL4.SA+UNIP5.SA+UNIP6.SA+PATI3.SA&amp;f=nol1hgd1" htmlTables="1" htmlFormat="all"/>
  </connection>
  <connection id="808" name="Connection1" type="4" refreshedVersion="0" background="1" saveData="1">
    <webPr url="http://download.finance.yahoo.com/d/quotes.csv?s=ABCB3.SA+AFLT3.SA+AFLU3.SA+AFLU5.SA+AFLU6.SA+ALSC3.SA+ALUP11.SA+ALUP3.SA+ALUP4.SA+BAHI3.SA+BBSE3.SA+BRAP3.SA+BRAP4.SA+BRFS3.SA+BRIN3.SA+BRKM3.SA+BRKM5.SA+BRKM6.SA+BRML3.SA+BRPR3.SA+BVMF3.SA+CBEE3.SA+CCPR3.SA+CEEB6.SA+CELP3.SA+CELP5.SA+CELP6.SA+CELP7.SA+CIEL3.SA+CIQU3.SA+CIQU4.SA+clsc3.SA+CRIV3.SA+CRIV4.SA+CSAB3.SA+CSAB4.SA+CSAN3.SA+CTIP3.SA+DTEX3.SA+EBTP4.SA+ELEK3.SA+ELEK4.SA+elet5.SA+ETER3.SA+EUCA4.SA+GPAR3.SA+HBTS5.SA+IGTA3.SA+JBSS3.SA+JOPA3.SA+JOPA4.SA+LCAM3.SA+MAGG3.SA+MERC3.SA+MERC4.SA+MOAR3.SA+MULT3.SA+NUTR3M.SA+OIBR3.SA+OIBR4.SA+PATI4.SA+PETR3.SA+PETR4.SA+PRVI3.SA+PTPA4.SA+QGEP3.SA+SCAR3.SA+SMTO3.SA+SSBR3.SA+SULA11.SA+TERI3.SA+TIMP3.SA+TKNO4.SA+TRPN3.SA+UGPA3.SA+UNIP3.SA+VALE5.SA+VIGR3.SA+VIVT3.SA+VIVT4.SA+CEPE3.SA+COCE6.SA+ENMA5B.SA+ENMA6B.SA+CEED3.SA+CEED4.SA+EKTR3.SA+EKTR4.SA+ENEV3.SA+REDE3.SA+REDE4.SA+RNEW11.SA+RNEW3.SA+RNEW4.SA+TAEE3.SA+TAEE4.SA+CSAN4.SA+CGAS3.SA+CGAS5.SA+CEGR3.SA+INET3.SA+EBTP3.SA+MLFT3.SA+MLFT4.SA+LFFE3.SA+LFFE4.SA&amp;f=nol1hgd1" htmlTables="1" htmlFormat="all"/>
  </connection>
  <connection id="809" name="Connection10" type="4" refreshedVersion="0" background="1" saveData="1">
    <webPr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+GSHP3.SA+MULT4.SA+TEMP3.SA+DASA3.SA+FLRY3.SA+ODPV3.SA+QUAL3.SA+BIOM3M.SA+CREM3.SA+NATU3.SA+BOBR3.SA+BOBR4.SA+CRUZ3.SA+LAME3.SA+LAME4.SA+BTOW3.SA&amp;f=nol1hgd1" htmlTables="1" htmlFormat="all"/>
  </connection>
  <connection id="810" name="Connection100" type="4" refreshedVersion="4" background="1" saveData="1">
    <webPr xl2000="1" url="http://download.finance.yahoo.com/d/quotes.csv?s=IGUA3.SA+IGUA5.SA+IGUA6.SA+JOPA3.SA+JOPA4.SA+SMTO3.SA+BSEV3.SA+VAGR3.SA+RNAR3.SA+SLCE3.SA+CVCB3.SA+AHEB3.SA+AHEB5.SA+AHEB6.SA+SHOW3.SA+BMKS3.SA+UCAS3.SA+WHRL3.SA+WHRL4.SA+BMTO3.SA+BMTO4.SA+MGLU3.SA+VVAR11.SA+VVAR3.SA+VVAR4.SA+IGBR3.SA+HGTX3.SA+CEDO3.SA+CEDO4.SA+TOYB3.SA+TOYB4.SA+ESTR3.SA+ESTR4.SA+NAFG3.SA+NAFG4.SA+HETA3.SA+HETA4.SA+CTNM3.SA+CTNM4.SA+CTSA3.SA+CTSA4.SA+CTSA8.SA+DOHL3.SA+DOHL4.SA+ECPR3.SA+ECPR4.SA+CTKA3.SA+CTKA4.SA+PTNT3.SA+PTNT4.SA+WMBY3.SA+SGPS3.SA+TENE3.SA+TENE5.SA+TENE6.SA+TENE7.SA+ALPA3.SA+ALPA4.SA+CAMB3.SA+CAMB4.SA+MNDL3.SA+TECN3.SA+NETC3.SA+NETC4.SA&amp;f=nol1hgd1" htmlFormat="all"/>
  </connection>
  <connection id="811" name="Connection1001" type="4" refreshedVersion="4" background="1" saveData="1">
    <webPr xl2000="1" url="http://download.finance.yahoo.com/d/quotes.csv?s=IGUA3.SA+IGUA5.SA+IGUA6.SA+JOPA3.SA+JOPA4.SA+SMTO3.SA+BSEV3.SA+VAGR3.SA+RNAR3.SA+SLCE3.SA+CVCB3.SA+AHEB3.SA+AHEB5.SA+AHEB6.SA+SHOW3.SA+BMKS3.SA+UCAS3.SA+WHRL3.SA+WHRL4.SA+BMTO3.SA+BMTO4.SA+MGLU3.SA+VVAR11.SA+VVAR3.SA+VVAR4.SA+IGBR3.SA+HGTX3.SA+CEDO3.SA+CEDO4.SA+TOYB3.SA+TOYB4.SA+ESTR3.SA+ESTR4.SA+NAFG3.SA+NAFG4.SA+HETA3.SA+HETA4.SA+CTNM3.SA+CTNM4.SA+CTSA3.SA+CTSA4.SA+CTSA8.SA+DOHL3.SA+DOHL4.SA+ECPR3.SA+ECPR4.SA+CTKA3.SA+CTKA4.SA+PTNT3.SA+PTNT4.SA+WMBY3.SA+SGPS3.SA+TENE3.SA+TENE5.SA+TENE6.SA+TENE7.SA+ALPA3.SA+ALPA4.SA+CAMB3.SA+CAMB4.SA+MNDL3.SA+TECN3.SA+NETC3.SA+NETC4.SA&amp;f=nol1hgd1" htmlFormat="all"/>
  </connection>
  <connection id="812" name="Connection101" type="4" refreshedVersion="4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+GSHP3.SA+MULT4.SA+TEMP3.SA+DASA3.SA+FLRY3.SA+ODPV3.SA+QUAL3.SA+BIOM3M.SA+CREM3.SA+NATU3.SA+BOBR3.SA+BOBR4.SA+CRUZ3.SA+LAME3.SA+LAME4.SA+BTOW3.SA&amp;f=nol1hgd1" htmlFormat="all"/>
  </connection>
  <connection id="813" name="Connection1011" type="4" refreshedVersion="4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+GSHP3.SA+MULT4.SA+TEMP3.SA+DASA3.SA+FLRY3.SA+ODPV3.SA+QUAL3.SA+BIOM3M.SA+CREM3.SA+NATU3.SA+BOBR3.SA+BOBR4.SA+CRUZ3.SA+LAME3.SA+LAME4.SA+BTOW3.SA&amp;f=nol1hgd1" htmlFormat="all"/>
  </connection>
  <connection id="814" name="Connection10111" type="4" refreshedVersion="4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+GSHP3.SA+MULT4.SA+TEMP3.SA+DASA3.SA+FLRY3.SA+ODPV3.SA+QUAL3.SA+BIOM3M.SA+CREM3.SA+NATU3.SA+BOBR3.SA+BOBR4.SA+CRUZ3.SA+LAME3.SA+LAME4.SA+BTOW3.SA&amp;f=nol1hgd1" htmlFormat="all"/>
  </connection>
  <connection id="815" name="Connection1012" type="4" refreshedVersion="4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+GSHP3.SA+MULT4.SA+TEMP3.SA+DASA3.SA+FLRY3.SA+ODPV3.SA+QUAL3.SA+BIOM3M.SA+CREM3.SA+NATU3.SA+BOBR3.SA+BOBR4.SA+CRUZ3.SA+LAME3.SA+LAME4.SA+BTOW3.SA&amp;f=nol1hgd1" htmlFormat="all"/>
  </connection>
  <connection id="816" name="Connection102" type="4" refreshedVersion="4" background="1" saveData="1">
    <webPr xl2000="1" url="http://download.finance.yahoo.com/d/quotes.csv?s=IGUA3.SA+IGUA5.SA+IGUA6.SA+JOPA3.SA+JOPA4.SA+SMTO3.SA+BSEV3.SA+VAGR3.SA+RNAR3.SA+SLCE3.SA+CVCB3.SA+AHEB3.SA+AHEB5.SA+AHEB6.SA+SHOW3.SA+BMKS3.SA+UCAS3.SA+WHRL3.SA+WHRL4.SA+BMTO3.SA+BMTO4.SA+MGLU3.SA+VVAR11.SA+VVAR3.SA+VVAR4.SA+IGBR3.SA+HGTX3.SA+CEDO3.SA+CEDO4.SA+TOYB3.SA+TOYB4.SA+ESTR3.SA+ESTR4.SA+NAFG3.SA+NAFG4.SA+HETA3.SA+HETA4.SA+CTNM3.SA+CTNM4.SA+CTSA3.SA+CTSA4.SA+CTSA8.SA+DOHL3.SA+DOHL4.SA+ECPR3.SA+ECPR4.SA+CTKA3.SA+CTKA4.SA+PTNT3.SA+PTNT4.SA+WMBY3.SA+SGPS3.SA+TENE3.SA+TENE5.SA+TENE6.SA+TENE7.SA+ALPA3.SA+ALPA4.SA+CAMB3.SA+CAMB4.SA+MNDL3.SA+TECN3.SA+NETC3.SA+NETC4.SA+ABRE3.SA+ABRE4.SA+ABRE11.SA&amp;f=nol1hgd1" htmlFormat="all"/>
  </connection>
  <connection id="817" name="Connection1021" type="4" refreshedVersion="4" background="1" saveData="1">
    <webPr xl2000="1" url="http://download.finance.yahoo.com/d/quotes.csv?s=IGUA3.SA+IGUA5.SA+IGUA6.SA+JOPA3.SA+JOPA4.SA+SMTO3.SA+BSEV3.SA+VAGR3.SA+RNAR3.SA+SLCE3.SA+CVCB3.SA+AHEB3.SA+AHEB5.SA+AHEB6.SA+SHOW3.SA+BMKS3.SA+UCAS3.SA+WHRL3.SA+WHRL4.SA+BMTO3.SA+BMTO4.SA+MGLU3.SA+VVAR11.SA+VVAR3.SA+VVAR4.SA+IGBR3.SA+HGTX3.SA+CEDO3.SA+CEDO4.SA+TOYB3.SA+TOYB4.SA+ESTR3.SA+ESTR4.SA+NAFG3.SA+NAFG4.SA+HETA3.SA+HETA4.SA+CTNM3.SA+CTNM4.SA+CTSA3.SA+CTSA4.SA+CTSA8.SA+DOHL3.SA+DOHL4.SA+ECPR3.SA+ECPR4.SA+CTKA3.SA+CTKA4.SA+PTNT3.SA+PTNT4.SA+WMBY3.SA+SGPS3.SA+TENE3.SA+TENE5.SA+TENE6.SA+TENE7.SA+ALPA3.SA+ALPA4.SA+CAMB3.SA+CAMB4.SA+MNDL3.SA+TECN3.SA+NETC3.SA+NETC4.SA+ABRE3.SA+ABRE4.SA+ABRE11.SA&amp;f=nol1hgd1" htmlFormat="all"/>
  </connection>
  <connection id="818" name="Connection1022" type="4" refreshedVersion="4" background="1" saveData="1">
    <webPr xl2000="1" url="http://download.finance.yahoo.com/d/quotes.csv?s=IGUA3.SA+IGUA5.SA+IGUA6.SA+JOPA3.SA+JOPA4.SA+SMTO3.SA+BSEV3.SA+VAGR3.SA+RNAR3.SA+SLCE3.SA+CVCB3.SA+AHEB3.SA+AHEB5.SA+AHEB6.SA+SHOW3.SA+BMKS3.SA+UCAS3.SA+WHRL3.SA+WHRL4.SA+BMTO3.SA+BMTO4.SA+MGLU3.SA+VVAR11.SA+VVAR3.SA+VVAR4.SA+IGBR3.SA+HGTX3.SA+CEDO3.SA+CEDO4.SA+TOYB3.SA+TOYB4.SA+ESTR3.SA+ESTR4.SA+NAFG3.SA+NAFG4.SA+HETA3.SA+HETA4.SA+CTNM3.SA+CTNM4.SA+CTSA3.SA+CTSA4.SA+CTSA8.SA+DOHL3.SA+DOHL4.SA+ECPR3.SA+ECPR4.SA+CTKA3.SA+CTKA4.SA+PTNT3.SA+PTNT4.SA+WMBY3.SA+SGPS3.SA+TENE3.SA+TENE5.SA+TENE6.SA+TENE7.SA+ALPA3.SA+ALPA4.SA+CAMB3.SA+CAMB4.SA+MNDL3.SA+TECN3.SA+NETC3.SA+NETC4.SA+ABRE3.SA+ABRE4.SA+ABRE11.SA&amp;f=nol1hgd1" htmlFormat="all"/>
  </connection>
  <connection id="819" name="Connection103" type="4" refreshedVersion="4" background="1" saveData="1">
    <webPr xl2000="1" url="http://download.finance.yahoo.com/d/quotes.csv?s=IGUA3.SA+IGUA5.SA+IGUA6.SA+JOPA3.SA+JOPA4.SA+SMTO3.SA+BSEV3.SA+VAGR3.SA+RNAR3.SA+SLCE3.SA+CVCB3.SA+AHEB3.SA+AHEB5.SA+AHEB6.SA+SHOW3.SA+BMKS3.SA+UCAS3.SA+WHRL3.SA+WHRL4.SA+BMTO3.SA+BMTO4.SA+MGLU3.SA+VVAR11.SA+VVAR3.SA+VVAR4.SA+IGBR3.SA+HGTX3.SA+CEDO3.SA+CEDO4.SA+TOYB3.SA+TOYB4.SA+ESTR3.SA+ESTR4.SA+NAFG3.SA+NAFG4.SA+HETA3.SA+HETA4.SA+CTNM3.SA+CTNM4.SA+CTSA3.SA+CTSA4.SA+CTSA8.SA+DOHL3.SA+DOHL4.SA+ECPR3.SA+ECPR4.SA+CTKA3.SA+CTKA4.SA+PTNT3.SA+PTNT4.SA+WMBY3.SA+SGPS3.SA+TENE3.SA+TENE5.SA+TENE6.SA+TENE7.SA+ALPA3.SA+ALPA4.SA+CAMB3.SA+CAMB4.SA+MNDL3.SA+TECN3.SA+NETC3.SA+NETC4.SA+ABRE3.SA+ABRE4.SA+ABRE11.SA+SLED3.SA+SLED4.SA&amp;f=nol1hgd1" htmlFormat="all"/>
  </connection>
  <connection id="820" name="Connection1031" type="4" refreshedVersion="4" background="1" saveData="1">
    <webPr xl2000="1" url="http://download.finance.yahoo.com/d/quotes.csv?s=IGUA3.SA+IGUA5.SA+IGUA6.SA+JOPA3.SA+JOPA4.SA+SMTO3.SA+BSEV3.SA+VAGR3.SA+RNAR3.SA+SLCE3.SA+CVCB3.SA+AHEB3.SA+AHEB5.SA+AHEB6.SA+SHOW3.SA+BMKS3.SA+UCAS3.SA+WHRL3.SA+WHRL4.SA+BMTO3.SA+BMTO4.SA+MGLU3.SA+VVAR11.SA+VVAR3.SA+VVAR4.SA+IGBR3.SA+HGTX3.SA+CEDO3.SA+CEDO4.SA+TOYB3.SA+TOYB4.SA+ESTR3.SA+ESTR4.SA+NAFG3.SA+NAFG4.SA+HETA3.SA+HETA4.SA+CTNM3.SA+CTNM4.SA+CTSA3.SA+CTSA4.SA+CTSA8.SA+DOHL3.SA+DOHL4.SA+ECPR3.SA+ECPR4.SA+CTKA3.SA+CTKA4.SA+PTNT3.SA+PTNT4.SA+WMBY3.SA+SGPS3.SA+TENE3.SA+TENE5.SA+TENE6.SA+TENE7.SA+ALPA3.SA+ALPA4.SA+CAMB3.SA+CAMB4.SA+MNDL3.SA+TECN3.SA+NETC3.SA+NETC4.SA+ABRE3.SA+ABRE4.SA+ABRE11.SA+SLED3.SA+SLED4.SA&amp;f=nol1hgd1" htmlFormat="all"/>
  </connection>
  <connection id="821" name="Connection104" type="4" refreshedVersion="4" background="1" saveData="1">
    <webPr xl2000="1" url="http://download.finance.yahoo.com/d/quotes.csv?s=IGUA3.SA+IGUA5.SA+IGUA6.SA+JOPA3.SA+JOPA4.SA+SMTO3.SA+BSEV3.SA+VAGR3.SA+RNAR3.SA+SLCE3.SA+CVCB3.SA+AHEB3.SA+AHEB5.SA+AHEB6.SA+SHOW3.SA+BMKS3.SA+UCAS3.SA+WHRL3.SA+WHRL4.SA+BMTO3.SA+BMTO4.SA+MGLU3.SA+VVAR11.SA+VVAR3.SA+VVAR4.SA+IGBR3.SA+HGTX3.SA+CEDO3.SA+CEDO4.SA+TOYB3.SA+TOYB4.SA+ESTR3.SA+ESTR4.SA+NAFG3.SA+NAFG4.SA+HETA3.SA+HETA4.SA+CTNM3.SA+CTNM4.SA+CTSA3.SA+CTSA4.SA+CTSA8.SA+DOHL3.SA+DOHL4.SA+ECPR3.SA+ECPR4.SA+CTKA3.SA+CTKA4.SA+PTNT3.SA+PTNT4.SA+WMBY3.SA+SGPS3.SA+TENE3.SA+TENE5.SA+TENE6.SA+TENE7.SA+ALPA3.SA+ALPA4.SA+CAMB3.SA+CAMB4.SA+MNDL3.SA+TECN3.SA+NETC3.SA+NETC4.SA+ABRE3.SA+ABRE4.SA+ABRE11.SA+SLED3.SA+SLED4.SA+MMAQ3.SA+MMAQ4.SA&amp;f=nol1hgd1" htmlFormat="all"/>
  </connection>
  <connection id="822" name="Connection1041" type="4" refreshedVersion="4" background="1" saveData="1">
    <webPr xl2000="1" url="http://download.finance.yahoo.com/d/quotes.csv?s=IGUA3.SA+IGUA5.SA+IGUA6.SA+JOPA3.SA+JOPA4.SA+SMTO3.SA+BSEV3.SA+VAGR3.SA+RNAR3.SA+SLCE3.SA+CVCB3.SA+AHEB3.SA+AHEB5.SA+AHEB6.SA+SHOW3.SA+BMKS3.SA+UCAS3.SA+WHRL3.SA+WHRL4.SA+BMTO3.SA+BMTO4.SA+MGLU3.SA+VVAR11.SA+VVAR3.SA+VVAR4.SA+IGBR3.SA+HGTX3.SA+CEDO3.SA+CEDO4.SA+TOYB3.SA+TOYB4.SA+ESTR3.SA+ESTR4.SA+NAFG3.SA+NAFG4.SA+HETA3.SA+HETA4.SA+CTNM3.SA+CTNM4.SA+CTSA3.SA+CTSA4.SA+CTSA8.SA+DOHL3.SA+DOHL4.SA+ECPR3.SA+ECPR4.SA+CTKA3.SA+CTKA4.SA+PTNT3.SA+PTNT4.SA+WMBY3.SA+SGPS3.SA+TENE3.SA+TENE5.SA+TENE6.SA+TENE7.SA+ALPA3.SA+ALPA4.SA+CAMB3.SA+CAMB4.SA+MNDL3.SA+TECN3.SA+NETC3.SA+NETC4.SA+ABRE3.SA+ABRE4.SA+ABRE11.SA+SLED3.SA+SLED4.SA+MMAQ3.SA+MMAQ4.SA&amp;f=nol1hgd1" htmlFormat="all"/>
  </connection>
  <connection id="823" name="Connection105" type="4" refreshedVersion="4" background="1" saveData="1">
    <webPr xl2000="1" url="http://download.finance.yahoo.com/d/quotes.csv?s=ABCB4.SA+AELP3.SA+BAZA3.SA+BBAS3.SA+BBDC3.SA+BBDC4.SA+BEES3.SA+BEES4.SA+BGIP3.SA+BGIP4.SA+BICB3.SA+BICB4.SA+BMIN3.SA+BMIN4.SA+BNBR3.SA+BNBR4.SA+BRGE11.SA+BRGE12.SA+BRGE3.SA+BRGE5.SA+BRGE6.SA+BRGE7.SA+BRGE8.SA+BRIV3.SA+BRIV4.SA+BRSR3.SA+BRSR5.SA+BRSR6.SA+BSLI3.SA+BSLI4.SA+CASN3.SA+CEBR3.SA+CEBR5.SA+CEBR6.SA+CEEB3.SA+CEEB5.SA+CEPE5.SA+CEPE6.SA+CESP3.SA+CESP5.SA+CESP6.SA+CLSC4.SA+CMIG3.SA+CMIG4.SA+COCE3.SA+COCE5.SA+CPFE3.SA+CPLE3.SA+CPLE5.SA+CPLE6.SA+CSMG3.SA+CSRN3.SA+CSRN5.SA+CSRN6.SA+DAYC4.SA+EEEL3.SA+EEEL4.SA+ELET3.SA+ELET6.SA+ELPL3.SA+ELPL4.SA+EMAE4.SA+ENBR3.SA+ENGI11.SA+ENGI3.SA+ENGI4.SA+ENMA3B.SA+EQTL3.SA+FESA3.SA+FESA4.SA+GEPA3.SA+GEPA4.SA+GETI3.SA+GETI4.SA+GTDP3B.SA+GTDP4B.SA+ITSA3.SA+ITSA4.SA+ITUB3.SA+ITUB4.SA+KLBN3.SA+KLBN4.SA+LIGT3.SA+LIPR3.SA+PINE4.SA+PRBC4.SA+PSSA3.SA+RANI3.SA+RANI4.SA+RDTR3.SA+RPAD3.SA+RPAD5.SA+RPAD6.SA+SAPR3.SA+SAPR4.SA+SBSP3.SA+SFSA4.SA+SUZB5.SA+SUZB6.SA+TAEE11.SA+TBLE3.SA+TRPL3.SA+TRPL4.SA+UNIP5.SA+UNIP6.SA+PATI3.SA&amp;f=nol1hgd1" htmlFormat="all"/>
  </connection>
  <connection id="824" name="Connection106" type="4" refreshedVersion="4" background="1" saveData="1">
    <webPr xl2000="1" url="http://download.finance.yahoo.com/d/quotes.csv?s=ABCB3.SA+AFLT3.SA+AFLU3.SA+AFLU5.SA+AFLU6.SA+ALSC3.SA+ALUP11.SA+ALUP3.SA+ALUP4.SA+BAHI3.SA+BBSE3.SA+BRAP3.SA+BRAP4.SA+BRFS3.SA+BRIN3.SA+BRKM3.SA+BRKM5.SA+BRKM6.SA+BRML3.SA+BRPR3.SA+BVMF3.SA+CBEE3.SA+CCPR3.SA+CEEB6.SA+CELP3.SA+CELP5.SA+CELP6.SA+CELP7.SA+CIEL3.SA+CIQU3.SA+CIQU4.SA+clsc3.SA+CRIV3.SA+CRIV4.SA+CSAB3.SA+CSAB4.SA+CSAN3.SA+CTIP3.SA+DTEX3.SA+EBTP4.SA+ELEK3.SA+ELEK4.SA+elet5.SA+ETER3.SA+EUCA4.SA+GPAR3.SA+HBTS5.SA+IGTA3.SA+JBSS3.SA+JOPA3.SA+JOPA4.SA+LCAM3.SA+MAGG3.SA+MERC3.SA+MERC4.SA+MOAR3.SA+MULT3.SA+NUTR3M.SA+OIBR3.SA+OIBR4.SA+PATI4.SA+PETR3.SA+PETR4.SA+PRVI3.SA+PTPA4.SA+QGEP3.SA+SCAR3.SA+SMTO3.SA+SSBR3.SA+SULA11.SA+TERI3.SA+TIMP3.SA+TKNO4.SA+TRPN3.SA+UGPA3.SA+UNIP3.SA+VALE5.SA+VIGR3.SA+VIVT3.SA+VIVT4.SA+CEPE3.SA+COCE6.SA+ENMA5B.SA+ENMA6B.SA+CEED3.SA+CEED4.SA+EKTR3.SA+EKTR4.SA+ENEV3.SA+REDE3.SA+REDE4.SA+RNEW11.SA+RNEW3.SA+RNEW4.SA+TAEE3.SA+TAEE4.SA+CSAN4.SA+CGAS3.SA+CGAS5.SA+CEGR3.SA+INET3.SA+EBTP3.SA+MLFT3.SA+MLFT4.SA+LFFE3.SA+LFFE4.SA&amp;f=nol1hgd1" htmlFormat="all"/>
  </connection>
  <connection id="825" name="Connection107" type="4" refreshedVersion="4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CAFE4.SA+PEAB3.SA+PEAB4.SA+SULA3.SA+SULA4.SA+BTTL3.SA+BTTL4.SA+HBTS3.SA+HBTS6.SA+DOCA3.SA+DOCA4.SA+JBDU3.SA+JBDU4.SA+AGRO3.SA+CORR3.SA+CORR4.SA+GSHP3.SA+MULT4.SA+TEMP3.SA+DASA3.SA+FLRY3.SA+ODPV3.SA+QUAL3.SA+BIOM3M.SA+CREM3.SA+NATU3.SA+BOBR3.SA+BOBR4.SA+CRUZ3.SA+LAME3.SA+LAME4.SA+BTOW3.SA+HYPE3.SA+RADL3.SA+BPHA3.SA+PNVL3.SA+PNVL4.SA+PFRM3.SA+PCAR3.SA+PCAR4.SA+ABEV3.SA+VIGR3.SA+CLAN3.SA+CLAN4.SA+MNPR3.SA+BAUH3.SA+BAUH4.SA+BEEF3.SA+MRFG3.SA+CAFE3.SA&amp;f=nol1hgd1" htmlFormat="all"/>
  </connection>
  <connection id="826" name="Connection108" type="4" refreshedVersion="4" background="1" saveData="1">
    <webPr xl2000="1" url="http://download.finance.yahoo.com/d/quotes.csv?s=IGUA3.SA+IGUA5.SA+IGUA6.SA+JOPA3.SA+JOPA4.SA+SMTO3.SA+BSEV3.SA+VAGR3.SA+RNAR3.SA+SLCE3.SA+CVCB3.SA+AHEB3.SA+AHEB5.SA+AHEB6.SA+SHOW3.SA+BMKS3.SA+UCAS3.SA+WHRL3.SA+WHRL4.SA+BMTO3.SA+BMTO4.SA+MGLU3.SA+VVAR11.SA+VVAR3.SA+VVAR4.SA+IGBR3.SA+HGTX3.SA+CEDO3.SA+CEDO4.SA+TOYB3.SA+TOYB4.SA+ESTR3.SA+ESTR4.SA+NAFG3.SA+NAFG4.SA+HETA3.SA+HETA4.SA+CTNM3.SA+CTNM4.SA+CTSA3.SA+CTSA4.SA+CTSA8.SA+DOHL3.SA+DOHL4.SA+ECPR3.SA+ECPR4.SA+CTKA3.SA+CTKA4.SA+PTNT3.SA+PTNT4.SA+WMBY3.SA+SGPS3.SA+TENE3.SA+TENE5.SA+TENE6.SA+TENE7.SA+ALPA3.SA+ALPA4.SA+CAMB3.SA+CAMB4.SA+MNDL3.SA+TECN3.SA+NETC3.SA+NETC4.SA+ABRE3.SA+ABRE4.SA+ABRE11.SA+SLED3.SA+SLED4.SA+MMAQ3.SA+MMAQ4.SA&amp;f=nol1hgd1" htmlFormat="all"/>
  </connection>
  <connection id="827" name="Connection1081" type="4" refreshedVersion="4" background="1" saveData="1">
    <webPr xl2000="1" url="http://download.finance.yahoo.com/d/quotes.csv?s=IGUA3.SA+IGUA5.SA+IGUA6.SA+JOPA3.SA+JOPA4.SA+SMTO3.SA+BSEV3.SA+VAGR3.SA+RNAR3.SA+SLCE3.SA+CVCB3.SA+AHEB3.SA+AHEB5.SA+AHEB6.SA+SHOW3.SA+BMKS3.SA+UCAS3.SA+WHRL3.SA+WHRL4.SA+BMTO3.SA+BMTO4.SA+MGLU3.SA+VVAR11.SA+VVAR3.SA+VVAR4.SA+IGBR3.SA+HGTX3.SA+CEDO3.SA+CEDO4.SA+TOYB3.SA+TOYB4.SA+ESTR3.SA+ESTR4.SA+NAFG3.SA+NAFG4.SA+HETA3.SA+HETA4.SA+CTNM3.SA+CTNM4.SA+CTSA3.SA+CTSA4.SA+CTSA8.SA+DOHL3.SA+DOHL4.SA+ECPR3.SA+ECPR4.SA+CTKA3.SA+CTKA4.SA+PTNT3.SA+PTNT4.SA+WMBY3.SA+SGPS3.SA+TENE3.SA+TENE5.SA+TENE6.SA+TENE7.SA+ALPA3.SA+ALPA4.SA+CAMB3.SA+CAMB4.SA+MNDL3.SA+TECN3.SA+NETC3.SA+NETC4.SA+ABRE3.SA+ABRE4.SA+ABRE11.SA+SLED3.SA+SLED4.SA+MMAQ3.SA+MMAQ4.SA&amp;f=nol1hgd1" htmlFormat="all"/>
  </connection>
  <connection id="828" name="Connection109" type="4" refreshedVersion="4" background="1" saveData="1">
    <webPr xl2000="1" url="http://download.finance.yahoo.com/d/quotes.csv?s=IGUA3.SA+IGUA5.SA+IGUA6.SA+JOPA3.SA+JOPA4.SA+SMTO3.SA+BSEV3.SA+VAGR3.SA+RNAR3.SA+SLCE3.SA+CVCB3.SA+AHEB3.SA+AHEB5.SA+AHEB6.SA+SHOW3.SA+BMKS3.SA+UCAS3.SA+WHRL3.SA+WHRL4.SA+BMTO3.SA+BMTO4.SA+MGLU3.SA+VVAR11.SA+VVAR3.SA+VVAR4.SA+IGBR3.SA+HGTX3.SA+CEDO3.SA+CEDO4.SA+TOYB3.SA+TOYB4.SA+ESTR3.SA+ESTR4.SA+NAFG3.SA+NAFG4.SA+HETA3.SA+HETA4.SA+CTNM3.SA+CTNM4.SA+CTSA3.SA+CTSA4.SA+CTSA8.SA+DOHL3.SA+DOHL4.SA+ECPR3.SA+ECPR4.SA+CTKA3.SA+CTKA4.SA+PTNT3.SA+PTNT4.SA+WMBY3.SA+SGPS3.SA+TENE3.SA+TENE5.SA+TENE6.SA+TENE7.SA+ALPA3.SA+ALPA4.SA+CAMB3.SA+CAMB4.SA+MNDL3.SA+TECN3.SA+NETC3.SA+NETC4.SA+ABRE3.SA+ABRE4.SA+ABRE11.SA+SLED3.SA+SLED4.SA+MMAQ3.SA+MMAQ4.SA+RENT3.SA&amp;f=nol1hgd1" htmlFormat="all"/>
  </connection>
  <connection id="829" name="Connection1091" type="4" refreshedVersion="4" background="1" saveData="1">
    <webPr xl2000="1" url="http://download.finance.yahoo.com/d/quotes.csv?s=IGUA3.SA+IGUA5.SA+IGUA6.SA+JOPA3.SA+JOPA4.SA+SMTO3.SA+BSEV3.SA+VAGR3.SA+RNAR3.SA+SLCE3.SA+CVCB3.SA+AHEB3.SA+AHEB5.SA+AHEB6.SA+SHOW3.SA+BMKS3.SA+UCAS3.SA+WHRL3.SA+WHRL4.SA+BMTO3.SA+BMTO4.SA+MGLU3.SA+VVAR11.SA+VVAR3.SA+VVAR4.SA+IGBR3.SA+HGTX3.SA+CEDO3.SA+CEDO4.SA+TOYB3.SA+TOYB4.SA+ESTR3.SA+ESTR4.SA+NAFG3.SA+NAFG4.SA+HETA3.SA+HETA4.SA+CTNM3.SA+CTNM4.SA+CTSA3.SA+CTSA4.SA+CTSA8.SA+DOHL3.SA+DOHL4.SA+ECPR3.SA+ECPR4.SA+CTKA3.SA+CTKA4.SA+PTNT3.SA+PTNT4.SA+WMBY3.SA+SGPS3.SA+TENE3.SA+TENE5.SA+TENE6.SA+TENE7.SA+ALPA3.SA+ALPA4.SA+CAMB3.SA+CAMB4.SA+MNDL3.SA+TECN3.SA+NETC3.SA+NETC4.SA+ABRE3.SA+ABRE4.SA+ABRE11.SA+SLED3.SA+SLED4.SA+MMAQ3.SA+MMAQ4.SA+RENT3.SA&amp;f=nol1hgd1" htmlFormat="all"/>
  </connection>
  <connection id="830" name="Connection11" type="4" refreshedVersion="4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+GSHP3.SA+MULT4.SA+TEMP3.SA+DASA3.SA+FLRY3.SA+ODPV3.SA+QUAL3.SA+BIOM3M.SA+CREM3.SA+NATU3.SA+BOBR3.SA+BOBR4.SA+CRUZ3.SA+LAME3.SA+LAME4.SA+BTOW3.SA+HYPE3.SA&amp;f=nol1hgd1" htmlFormat="all"/>
  </connection>
  <connection id="831" name="Connection110" type="4" refreshedVersion="4" background="1" saveData="1">
    <webPr xl2000="1" url="http://download.finance.yahoo.com/d/quotes.csv?s=IGUA3.SA+IGUA5.SA+IGUA6.SA+JOPA3.SA+JOPA4.SA+SMTO3.SA+BSEV3.SA+VAGR3.SA+RNAR3.SA+SLCE3.SA+CVCB3.SA+AHEB3.SA+AHEB5.SA+AHEB6.SA+SHOW3.SA+BMKS3.SA+UCAS3.SA+WHRL3.SA+WHRL4.SA+BMTO3.SA+BMTO4.SA+MGLU3.SA+VVAR11.SA+VVAR3.SA+VVAR4.SA+IGBR3.SA+HGTX3.SA+CEDO3.SA+CEDO4.SA+TOYB3.SA+TOYB4.SA+ESTR3.SA+ESTR4.SA+NAFG3.SA+NAFG4.SA+HETA3.SA+HETA4.SA+CTNM3.SA+CTNM4.SA+CTSA3.SA+CTSA4.SA+CTSA8.SA+DOHL3.SA+DOHL4.SA+ECPR3.SA+ECPR4.SA+CTKA3.SA+CTKA4.SA+PTNT3.SA+PTNT4.SA+WMBY3.SA+SGPS3.SA+TENE3.SA+TENE5.SA+TENE6.SA+TENE7.SA+ALPA3.SA+ALPA4.SA+CAMB3.SA+CAMB4.SA+MNDL3.SA+TECN3.SA+NETC3.SA+NETC4.SA+ABRE3.SA+ABRE4.SA+ABRE11.SA+SLED3.SA+SLED4.SA+IMCH3.SA&amp;f=nol1hgd1" htmlFormat="all"/>
  </connection>
  <connection id="832" name="Connection1101" type="4" refreshedVersion="4" background="1" saveData="1">
    <webPr xl2000="1" url="http://download.finance.yahoo.com/d/quotes.csv?s=IGUA3.SA+IGUA5.SA+IGUA6.SA+JOPA3.SA+JOPA4.SA+SMTO3.SA+BSEV3.SA+VAGR3.SA+RNAR3.SA+SLCE3.SA+CVCB3.SA+AHEB3.SA+AHEB5.SA+AHEB6.SA+SHOW3.SA+BMKS3.SA+UCAS3.SA+WHRL3.SA+WHRL4.SA+BMTO3.SA+BMTO4.SA+MGLU3.SA+VVAR11.SA+VVAR3.SA+VVAR4.SA+IGBR3.SA+HGTX3.SA+CEDO3.SA+CEDO4.SA+TOYB3.SA+TOYB4.SA+ESTR3.SA+ESTR4.SA+NAFG3.SA+NAFG4.SA+HETA3.SA+HETA4.SA+CTNM3.SA+CTNM4.SA+CTSA3.SA+CTSA4.SA+CTSA8.SA+DOHL3.SA+DOHL4.SA+ECPR3.SA+ECPR4.SA+CTKA3.SA+CTKA4.SA+PTNT3.SA+PTNT4.SA+WMBY3.SA+SGPS3.SA+TENE3.SA+TENE5.SA+TENE6.SA+TENE7.SA+ALPA3.SA+ALPA4.SA+CAMB3.SA+CAMB4.SA+MNDL3.SA+TECN3.SA+NETC3.SA+NETC4.SA+ABRE3.SA+ABRE4.SA+ABRE11.SA+SLED3.SA+SLED4.SA+IMCH3.SA&amp;f=nol1hgd1" htmlFormat="all"/>
  </connection>
  <connection id="833" name="Connection111" type="4" refreshedVersion="4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+GSHP3.SA+MULT4.SA+TEMP3.SA+DASA3.SA+FLRY3.SA+ODPV3.SA+QUAL3.SA+BIOM3M.SA+CREM3.SA+NATU3.SA+BOBR3.SA+BOBR4.SA+CRUZ3.SA+LAME3.SA+LAME4.SA+BTOW3.SA+HYPE3.SA&amp;f=nol1hgd1" htmlFormat="all"/>
  </connection>
  <connection id="834" name="Connection1111" type="4" refreshedVersion="4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+GSHP3.SA+MULT4.SA+TEMP3.SA+DASA3.SA+FLRY3.SA+ODPV3.SA+QUAL3.SA+BIOM3M.SA+CREM3.SA+NATU3.SA+BOBR3.SA+BOBR4.SA+CRUZ3.SA+LAME3.SA+LAME4.SA+BTOW3.SA+HYPE3.SA&amp;f=nol1hgd1" htmlFormat="all"/>
  </connection>
  <connection id="835" name="Connection11111" type="4" refreshedVersion="4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+GSHP3.SA+MULT4.SA+TEMP3.SA+DASA3.SA+FLRY3.SA+ODPV3.SA+QUAL3.SA+BIOM3M.SA+CREM3.SA+NATU3.SA+BOBR3.SA+BOBR4.SA+CRUZ3.SA+LAME3.SA+LAME4.SA+BTOW3.SA+HYPE3.SA&amp;f=nol1hgd1" htmlFormat="all"/>
  </connection>
  <connection id="836" name="Connection112" type="4" refreshedVersion="0" background="1" saveData="1">
    <webPr url="http://download.finance.yahoo.com/d/quotes.csv?s=IGUA3.SA+IGUA5.SA+IGUA6.SA+JOPA3.SA+JOPA4.SA+SMTO3.SA+BSEV3.SA+VAGR3.SA+RNAR3.SA+SLCE3.SA+CVCB3.SA+AHEB3.SA+AHEB5.SA+AHEB6.SA+SHOW3.SA+BMKS3.SA+UCAS3.SA+WHRL3.SA+WHRL4.SA+BMTO3.SA+BMTO4.SA+MGLU3.SA+VVAR11.SA+VVAR3.SA+VVAR4.SA+IGBR3.SA+HGTX3.SA+CEDO3.SA+CEDO4.SA+TOYB3.SA+TOYB4.SA+ESTR3.SA+ESTR4.SA+NAFG3.SA+NAFG4.SA+HETA3.SA+HETA4.SA+CTNM3.SA+CTNM4.SA+CTSA3.SA+CTSA4.SA+CTSA8.SA+DOHL3.SA+DOHL4.SA+ECPR3.SA+ECPR4.SA+CTKA3.SA+CTKA4.SA+PTNT3.SA+PTNT4.SA+WMBY3.SA+SGPS3.SA+TENE3.SA+TENE5.SA+TENE6.SA+TENE7.SA+ALPA3.SA+ALPA4.SA+CAMB3.SA+CAMB4.SA+MNDL3.SA+TECN3.SA+NETC3.SA+NETC4.SA+ABRE3.SA+ABRE4.SA+ABRE11.SA+SLED3.SA+SLED4.SA+IMCH3.SA&amp;f=nol1hgd1" htmlTables="1" htmlFormat="all"/>
  </connection>
  <connection id="837" name="Connection1121" type="4" refreshedVersion="4" background="1" saveData="1">
    <webPr xl2000="1" url="http://download.finance.yahoo.com/d/quotes.csv?s=IGUA3.SA+IGUA5.SA+IGUA6.SA+JOPA3.SA+JOPA4.SA+SMTO3.SA+BSEV3.SA+VAGR3.SA+RNAR3.SA+SLCE3.SA+CVCB3.SA+AHEB3.SA+AHEB5.SA+AHEB6.SA+SHOW3.SA+BMKS3.SA+UCAS3.SA+WHRL3.SA+WHRL4.SA+BMTO3.SA+BMTO4.SA+MGLU3.SA+VVAR11.SA+VVAR3.SA+VVAR4.SA+IGBR3.SA+HGTX3.SA+CEDO3.SA+CEDO4.SA+TOYB3.SA+TOYB4.SA+ESTR3.SA+ESTR4.SA+NAFG3.SA+NAFG4.SA+HETA3.SA+HETA4.SA+CTNM3.SA+CTNM4.SA+CTSA3.SA+CTSA4.SA+CTSA8.SA+DOHL3.SA+DOHL4.SA+ECPR3.SA+ECPR4.SA+CTKA3.SA+CTKA4.SA+PTNT3.SA+PTNT4.SA+WMBY3.SA+SGPS3.SA+TENE3.SA+TENE5.SA+TENE6.SA+TENE7.SA+ALPA3.SA+ALPA4.SA+CAMB3.SA+CAMB4.SA+MNDL3.SA+TECN3.SA+NETC3.SA+NETC4.SA+ABRE3.SA+ABRE4.SA+ABRE11.SA+SLED3.SA+SLED4.SA+IMCH3.SA&amp;f=nol1hgd1" htmlFormat="all"/>
  </connection>
  <connection id="838" name="Connection1122" type="4" refreshedVersion="0" background="1" saveData="1">
    <webPr url="http://download.finance.yahoo.com/d/quotes.csv?s=IGUA3.SA+IGUA5.SA+IGUA6.SA+JOPA3.SA+JOPA4.SA+SMTO3.SA+BSEV3.SA+VAGR3.SA+RNAR3.SA+SLCE3.SA+CVCB3.SA+AHEB3.SA+AHEB5.SA+AHEB6.SA+SHOW3.SA+BMKS3.SA+UCAS3.SA+WHRL3.SA+WHRL4.SA+BMTO3.SA+BMTO4.SA+MGLU3.SA+VVAR11.SA+VVAR3.SA+VVAR4.SA+IGBR3.SA+HGTX3.SA+CEDO3.SA+CEDO4.SA+TOYB3.SA+TOYB4.SA+ESTR3.SA+ESTR4.SA+NAFG3.SA+NAFG4.SA+HETA3.SA+HETA4.SA+CTNM3.SA+CTNM4.SA+CTSA3.SA+CTSA4.SA+CTSA8.SA+DOHL3.SA+DOHL4.SA+ECPR3.SA+ECPR4.SA+CTKA3.SA+CTKA4.SA+PTNT3.SA+PTNT4.SA+WMBY3.SA+SGPS3.SA+TENE3.SA+TENE5.SA+TENE6.SA+TENE7.SA+ALPA3.SA+ALPA4.SA+CAMB3.SA+CAMB4.SA+MNDL3.SA+TECN3.SA+NETC3.SA+NETC4.SA+ABRE3.SA+ABRE4.SA+ABRE11.SA+SLED3.SA+SLED4.SA+IMCH3.SA&amp;f=nol1hgd1" htmlTables="1" htmlFormat="all"/>
  </connection>
  <connection id="839" name="Connection113" type="4" refreshedVersion="4" background="1" saveData="1">
    <webPr xl2000="1" url="http://download.finance.yahoo.com/d/quotes.csv?s=IGUA3.SA+IGUA5.SA+IGUA6.SA+JOPA3.SA+JOPA4.SA+SMTO3.SA+BSEV3.SA+VAGR3.SA+RNAR3.SA+SLCE3.SA+CVCB3.SA+AHEB3.SA+AHEB5.SA+AHEB6.SA+SHOW3.SA+BMKS3.SA+UCAS3.SA+WHRL3.SA+WHRL4.SA+BMTO3.SA+BMTO4.SA+MGLU3.SA+VVAR11.SA+VVAR3.SA+VVAR4.SA+IGBR3.SA+HGTX3.SA+CEDO3.SA+CEDO4.SA+TOYB3.SA+TOYB4.SA+ESTR3.SA+ESTR4.SA+NAFG3.SA+NAFG4.SA+HETA3.SA+HETA4.SA+CTNM3.SA+CTNM4.SA+CTSA3.SA+CTSA4.SA+CTSA8.SA+DOHL3.SA+DOHL4.SA+ECPR3.SA+ECPR4.SA+CTKA3.SA+CTKA4.SA+PTNT3.SA+PTNT4.SA+WMBY3.SA+SGPS3.SA+TENE3.SA+TENE5.SA+TENE6.SA+TENE7.SA+ALPA3.SA+ALPA4.SA+CAMB3.SA+CAMB4.SA+MNDL3.SA+TECN3.SA+NETC3.SA+NETC4.SA+ABRE3.SA+ABRE4.SA+ABRE11.SA+SLED3.SA+SLED4.SA+IMCH3.SA+RENT3.SA&amp;f=nol1hgd1" htmlFormat="all"/>
  </connection>
  <connection id="840" name="Connection1131" type="4" refreshedVersion="4" background="1" saveData="1">
    <webPr xl2000="1" url="http://download.finance.yahoo.com/d/quotes.csv?s=IGUA3.SA+IGUA5.SA+IGUA6.SA+JOPA3.SA+JOPA4.SA+SMTO3.SA+BSEV3.SA+VAGR3.SA+RNAR3.SA+SLCE3.SA+CVCB3.SA+AHEB3.SA+AHEB5.SA+AHEB6.SA+SHOW3.SA+BMKS3.SA+UCAS3.SA+WHRL3.SA+WHRL4.SA+BMTO3.SA+BMTO4.SA+MGLU3.SA+VVAR11.SA+VVAR3.SA+VVAR4.SA+IGBR3.SA+HGTX3.SA+CEDO3.SA+CEDO4.SA+TOYB3.SA+TOYB4.SA+ESTR3.SA+ESTR4.SA+NAFG3.SA+NAFG4.SA+HETA3.SA+HETA4.SA+CTNM3.SA+CTNM4.SA+CTSA3.SA+CTSA4.SA+CTSA8.SA+DOHL3.SA+DOHL4.SA+ECPR3.SA+ECPR4.SA+CTKA3.SA+CTKA4.SA+PTNT3.SA+PTNT4.SA+WMBY3.SA+SGPS3.SA+TENE3.SA+TENE5.SA+TENE6.SA+TENE7.SA+ALPA3.SA+ALPA4.SA+CAMB3.SA+CAMB4.SA+MNDL3.SA+TECN3.SA+NETC3.SA+NETC4.SA+ABRE3.SA+ABRE4.SA+ABRE11.SA+SLED3.SA+SLED4.SA+IMCH3.SA+RENT3.SA&amp;f=nol1hgd1" htmlFormat="all"/>
  </connection>
  <connection id="841" name="Connection114" type="4" refreshedVersion="4" background="1" saveData="1">
    <webPr xl2000="1" url="http://download.finance.yahoo.com/d/quotes.csv?s=IGUA3.SA+IGUA5.SA+IGUA6.SA+JOPA3.SA+JOPA4.SA+SMTO3.SA+BSEV3.SA+VAGR3.SA+RNAR3.SA+SLCE3.SA+CVCB3.SA+AHEB3.SA+AHEB5.SA+AHEB6.SA+SHOW3.SA+BMKS3.SA+UCAS3.SA+WHRL3.SA+WHRL4.SA+BMTO3.SA+BMTO4.SA+MGLU3.SA+VVAR11.SA+VVAR3.SA+VVAR4.SA+IGBR3.SA+HGTX3.SA+CEDO3.SA+CEDO4.SA+TOYB3.SA+TOYB4.SA+ESTR3.SA+ESTR4.SA+NAFG3.SA+NAFG4.SA+HETA3.SA+HETA4.SA+CTNM3.SA+CTNM4.SA+CTSA3.SA+CTSA4.SA+CTSA8.SA+DOHL3.SA+DOHL4.SA+ECPR3.SA+ECPR4.SA+CTKA3.SA+CTKA4.SA+PTNT3.SA+PTNT4.SA+WMBY3.SA+SGPS3.SA+TENE3.SA+TENE5.SA+TENE6.SA+TENE7.SA+ALPA3.SA+ALPA4.SA+CAMB3.SA+CAMB4.SA+MNDL3.SA+TECN3.SA+NETC3.SA+NETC4.SA+ABRE3.SA+ABRE4.SA+ABRE11.SA+SLED3.SA+SLED4.SA+IMCH3.SA+RENT3.SA+LLIS3.SA&amp;f=nol1hgd1" htmlFormat="all"/>
  </connection>
  <connection id="842" name="Connection1141" type="4" refreshedVersion="4" background="1" saveData="1">
    <webPr xl2000="1" url="http://download.finance.yahoo.com/d/quotes.csv?s=IGUA3.SA+IGUA5.SA+IGUA6.SA+JOPA3.SA+JOPA4.SA+SMTO3.SA+BSEV3.SA+VAGR3.SA+RNAR3.SA+SLCE3.SA+CVCB3.SA+AHEB3.SA+AHEB5.SA+AHEB6.SA+SHOW3.SA+BMKS3.SA+UCAS3.SA+WHRL3.SA+WHRL4.SA+BMTO3.SA+BMTO4.SA+MGLU3.SA+VVAR11.SA+VVAR3.SA+VVAR4.SA+IGBR3.SA+HGTX3.SA+CEDO3.SA+CEDO4.SA+TOYB3.SA+TOYB4.SA+ESTR3.SA+ESTR4.SA+NAFG3.SA+NAFG4.SA+HETA3.SA+HETA4.SA+CTNM3.SA+CTNM4.SA+CTSA3.SA+CTSA4.SA+CTSA8.SA+DOHL3.SA+DOHL4.SA+ECPR3.SA+ECPR4.SA+CTKA3.SA+CTKA4.SA+PTNT3.SA+PTNT4.SA+WMBY3.SA+SGPS3.SA+TENE3.SA+TENE5.SA+TENE6.SA+TENE7.SA+ALPA3.SA+ALPA4.SA+CAMB3.SA+CAMB4.SA+MNDL3.SA+TECN3.SA+NETC3.SA+NETC4.SA+ABRE3.SA+ABRE4.SA+ABRE11.SA+SLED3.SA+SLED4.SA+IMCH3.SA+RENT3.SA+LLIS3.SA&amp;f=nol1hgd1" htmlFormat="all"/>
  </connection>
  <connection id="843" name="Connection115" type="4" refreshedVersion="4" background="1" saveData="1">
    <webPr xl2000="1" url="http://download.finance.yahoo.com/d/quotes.csv?s=IGUA3.SA+IGUA5.SA+IGUA6.SA+JOPA3.SA+JOPA4.SA+SMTO3.SA+BSEV3.SA+VAGR3.SA+RNAR3.SA+SLCE3.SA+CVCB3.SA+AHEB3.SA+AHEB5.SA+AHEB6.SA+SHOW3.SA+BMKS3.SA+UCAS3.SA+WHRL3.SA+WHRL4.SA+BMTO3.SA+BMTO4.SA+MGLU3.SA+VVAR11.SA+VVAR3.SA+VVAR4.SA+IGBR3.SA+HGTX3.SA+CEDO3.SA+CEDO4.SA+TOYB3.SA+TOYB4.SA+ESTR3.SA+ESTR4.SA+NAFG3.SA+NAFG4.SA+HETA3.SA+HETA4.SA+CTNM3.SA+CTNM4.SA+CTSA3.SA+CTSA4.SA+CTSA8.SA+DOHL3.SA+DOHL4.SA+ECPR3.SA+ECPR4.SA+CTKA3.SA+CTKA4.SA+PTNT3.SA+PTNT4.SA+WMBY3.SA+SGPS3.SA+TENE3.SA+TENE5.SA+TENE6.SA+TENE7.SA+ALPA3.SA+ALPA4.SA+CAMB3.SA+CAMB4.SA+MNDL3.SA+TECN3.SA+NETC3.SA+NETC4.SA+ABRE3.SA+ABRE4.SA+ABRE11.SA+SLED3.SA+SLED4.SA+IMCH3.SA+RENT3.SA+LLIS3.SA+ARZZ3.SA&amp;f=nol1hgd1" htmlFormat="all"/>
  </connection>
  <connection id="844" name="Connection1151" type="4" refreshedVersion="4" background="1" saveData="1">
    <webPr xl2000="1" url="http://download.finance.yahoo.com/d/quotes.csv?s=IGUA3.SA+IGUA5.SA+IGUA6.SA+JOPA3.SA+JOPA4.SA+SMTO3.SA+BSEV3.SA+VAGR3.SA+RNAR3.SA+SLCE3.SA+CVCB3.SA+AHEB3.SA+AHEB5.SA+AHEB6.SA+SHOW3.SA+BMKS3.SA+UCAS3.SA+WHRL3.SA+WHRL4.SA+BMTO3.SA+BMTO4.SA+MGLU3.SA+VVAR11.SA+VVAR3.SA+VVAR4.SA+IGBR3.SA+HGTX3.SA+CEDO3.SA+CEDO4.SA+TOYB3.SA+TOYB4.SA+ESTR3.SA+ESTR4.SA+NAFG3.SA+NAFG4.SA+HETA3.SA+HETA4.SA+CTNM3.SA+CTNM4.SA+CTSA3.SA+CTSA4.SA+CTSA8.SA+DOHL3.SA+DOHL4.SA+ECPR3.SA+ECPR4.SA+CTKA3.SA+CTKA4.SA+PTNT3.SA+PTNT4.SA+WMBY3.SA+SGPS3.SA+TENE3.SA+TENE5.SA+TENE6.SA+TENE7.SA+ALPA3.SA+ALPA4.SA+CAMB3.SA+CAMB4.SA+MNDL3.SA+TECN3.SA+NETC3.SA+NETC4.SA+ABRE3.SA+ABRE4.SA+ABRE11.SA+SLED3.SA+SLED4.SA+IMCH3.SA+RENT3.SA+LLIS3.SA+ARZZ3.SA&amp;f=nol1hgd1" htmlFormat="all"/>
  </connection>
  <connection id="845" name="Connection116" type="4" refreshedVersion="4" background="1" saveData="1">
    <webPr xl2000="1" url="http://download.finance.yahoo.com/d/quotes.csv?s=IGUA3.SA+IGUA5.SA+IGUA6.SA+JOPA3.SA+JOPA4.SA+SMTO3.SA+BSEV3.SA+VAGR3.SA+RNAR3.SA+SLCE3.SA+CVCB3.SA+AHEB3.SA+AHEB5.SA+AHEB6.SA+SHOW3.SA+BMKS3.SA+UCAS3.SA+WHRL3.SA+WHRL4.SA+BMTO3.SA+BMTO4.SA+MGLU3.SA+VVAR11.SA+VVAR3.SA+VVAR4.SA+IGBR3.SA+HGTX3.SA+CEDO3.SA+CEDO4.SA+TOYB3.SA+TOYB4.SA+ESTR3.SA+ESTR4.SA+NAFG3.SA+NAFG4.SA+HETA3.SA+HETA4.SA+CTNM3.SA+CTNM4.SA+CTSA3.SA+CTSA4.SA+CTSA8.SA+DOHL3.SA+DOHL4.SA+ECPR3.SA+ECPR4.SA+CTKA3.SA+CTKA4.SA+PTNT3.SA+PTNT4.SA+WMBY3.SA+SGPS3.SA+TENE3.SA+TENE5.SA+TENE6.SA+TENE7.SA+ALPA3.SA+ALPA4.SA+CAMB3.SA+CAMB4.SA+MNDL3.SA+TECN3.SA+NETC3.SA+NETC4.SA+ABRE3.SA+ABRE4.SA+ABRE11.SA+SLED3.SA+SLED4.SA+IMCH3.SA+RENT3.SA+LLIS3.SA+ARZZ3.SA+CGRA3.SA+CGRA4.SA&amp;f=nol1hgd1" htmlFormat="all"/>
  </connection>
  <connection id="846" name="Connection1161" type="4" refreshedVersion="4" background="1" saveData="1">
    <webPr xl2000="1" url="http://download.finance.yahoo.com/d/quotes.csv?s=IGUA3.SA+IGUA5.SA+IGUA6.SA+JOPA3.SA+JOPA4.SA+SMTO3.SA+BSEV3.SA+VAGR3.SA+RNAR3.SA+SLCE3.SA+CVCB3.SA+AHEB3.SA+AHEB5.SA+AHEB6.SA+SHOW3.SA+BMKS3.SA+UCAS3.SA+WHRL3.SA+WHRL4.SA+BMTO3.SA+BMTO4.SA+MGLU3.SA+VVAR11.SA+VVAR3.SA+VVAR4.SA+IGBR3.SA+HGTX3.SA+CEDO3.SA+CEDO4.SA+TOYB3.SA+TOYB4.SA+ESTR3.SA+ESTR4.SA+NAFG3.SA+NAFG4.SA+HETA3.SA+HETA4.SA+CTNM3.SA+CTNM4.SA+CTSA3.SA+CTSA4.SA+CTSA8.SA+DOHL3.SA+DOHL4.SA+ECPR3.SA+ECPR4.SA+CTKA3.SA+CTKA4.SA+PTNT3.SA+PTNT4.SA+WMBY3.SA+SGPS3.SA+TENE3.SA+TENE5.SA+TENE6.SA+TENE7.SA+ALPA3.SA+ALPA4.SA+CAMB3.SA+CAMB4.SA+MNDL3.SA+TECN3.SA+NETC3.SA+NETC4.SA+ABRE3.SA+ABRE4.SA+ABRE11.SA+SLED3.SA+SLED4.SA+IMCH3.SA+RENT3.SA+LLIS3.SA+ARZZ3.SA+CGRA3.SA+CGRA4.SA&amp;f=nol1hgd1" htmlFormat="all"/>
  </connection>
  <connection id="847" name="Connection117" type="4" refreshedVersion="4" background="1" saveData="1">
    <webPr xl2000="1" url="http://download.finance.yahoo.com/d/quotes.csv?s=IGUA3.SA+IGUA5.SA+IGUA6.SA+JOPA3.SA+JOPA4.SA+SMTO3.SA+BSEV3.SA+VAGR3.SA+RNAR3.SA+SLCE3.SA+CVCB3.SA+AHEB3.SA+AHEB5.SA+AHEB6.SA+SHOW3.SA+BMKS3.SA+UCAS3.SA+WHRL3.SA+WHRL4.SA+BMTO3.SA+BMTO4.SA+MGLU3.SA+VVAR11.SA+VVAR3.SA+VVAR4.SA+IGBR3.SA+HGTX3.SA+CEDO3.SA+CEDO4.SA+TOYB3.SA+TOYB4.SA+ESTR3.SA+ESTR4.SA+NAFG3.SA+NAFG4.SA+HETA3.SA+HETA4.SA+CTNM3.SA+CTNM4.SA+CTSA3.SA+CTSA4.SA+CTSA8.SA+DOHL3.SA+DOHL4.SA+ECPR3.SA+ECPR4.SA+CTKA3.SA+CTKA4.SA+PTNT3.SA+PTNT4.SA+WMBY3.SA+SGPS3.SA+TENE3.SA+TENE5.SA+TENE6.SA+TENE7.SA+ALPA3.SA+ALPA4.SA+CAMB3.SA+CAMB4.SA+MNDL3.SA+TECN3.SA+NETC3.SA+NETC4.SA+ABRE3.SA+ABRE4.SA+ABRE11.SA+SLED3.SA+SLED4.SA+IMCH3.SA+RENT3.SA+LLIS3.SA+ARZZ3.SA+CGRA3.SA+CGRA4.SA+GUAR3.SA+GUAR4.SA&amp;f=nol1hgd1" htmlFormat="all"/>
  </connection>
  <connection id="848" name="Connection1171" type="4" refreshedVersion="4" background="1" saveData="1">
    <webPr xl2000="1" url="http://download.finance.yahoo.com/d/quotes.csv?s=IGUA3.SA+IGUA5.SA+IGUA6.SA+JOPA3.SA+JOPA4.SA+SMTO3.SA+BSEV3.SA+VAGR3.SA+RNAR3.SA+SLCE3.SA+CVCB3.SA+AHEB3.SA+AHEB5.SA+AHEB6.SA+SHOW3.SA+BMKS3.SA+UCAS3.SA+WHRL3.SA+WHRL4.SA+BMTO3.SA+BMTO4.SA+MGLU3.SA+VVAR11.SA+VVAR3.SA+VVAR4.SA+IGBR3.SA+HGTX3.SA+CEDO3.SA+CEDO4.SA+TOYB3.SA+TOYB4.SA+ESTR3.SA+ESTR4.SA+NAFG3.SA+NAFG4.SA+HETA3.SA+HETA4.SA+CTNM3.SA+CTNM4.SA+CTSA3.SA+CTSA4.SA+CTSA8.SA+DOHL3.SA+DOHL4.SA+ECPR3.SA+ECPR4.SA+CTKA3.SA+CTKA4.SA+PTNT3.SA+PTNT4.SA+WMBY3.SA+SGPS3.SA+TENE3.SA+TENE5.SA+TENE6.SA+TENE7.SA+ALPA3.SA+ALPA4.SA+CAMB3.SA+CAMB4.SA+MNDL3.SA+TECN3.SA+NETC3.SA+NETC4.SA+ABRE3.SA+ABRE4.SA+ABRE11.SA+SLED3.SA+SLED4.SA+IMCH3.SA+RENT3.SA+LLIS3.SA+ARZZ3.SA+CGRA3.SA+CGRA4.SA+GUAR3.SA+GUAR4.SA&amp;f=nol1hgd1" htmlFormat="all"/>
  </connection>
  <connection id="849" name="Connection118" type="4" refreshedVersion="4" background="1" saveData="1">
    <webPr xl2000="1" url="http://download.finance.yahoo.com/d/quotes.csv?s=IGUA3.SA+IGUA5.SA+IGUA6.SA+JOPA3.SA+JOPA4.SA+SMTO3.SA+BSEV3.SA+VAGR3.SA+RNAR3.SA+SLCE3.SA+CVCB3.SA+AHEB3.SA+AHEB5.SA+AHEB6.SA+SHOW3.SA+BMKS3.SA+UCAS3.SA+WHRL3.SA+WHRL4.SA+BMTO3.SA+BMTO4.SA+MGLU3.SA+VVAR11.SA+VVAR3.SA+VVAR4.SA+IGBR3.SA+HGTX3.SA+CEDO3.SA+CEDO4.SA+TOYB3.SA+TOYB4.SA+ESTR3.SA+ESTR4.SA+NAFG3.SA+NAFG4.SA+HETA3.SA+HETA4.SA+CTNM3.SA+CTNM4.SA+CTSA3.SA+CTSA4.SA+CTSA8.SA+DOHL3.SA+DOHL4.SA+ECPR3.SA+ECPR4.SA+CTKA3.SA+CTKA4.SA+PTNT3.SA+PTNT4.SA+WMBY3.SA+SGPS3.SA+TENE3.SA+TENE5.SA+TENE6.SA+TENE7.SA+ALPA3.SA+ALPA4.SA+CAMB3.SA+CAMB4.SA+MNDL3.SA+TECN3.SA+NETC3.SA+NETC4.SA+ABRE3.SA+ABRE4.SA+ABRE11.SA+SLED3.SA+SLED4.SA+IMCH3.SA+RENT3.SA+LLIS3.SA+ARZZ3.SA+CGRA3.SA+CGRA4.SA+GUAR3.SA+GUAR4.SA+LHER3.SA+LHER4.SA&amp;f=nol1hgd1" htmlFormat="all"/>
  </connection>
  <connection id="850" name="Connection1181" type="4" refreshedVersion="4" background="1" saveData="1">
    <webPr xl2000="1" url="http://download.finance.yahoo.com/d/quotes.csv?s=IGUA3.SA+IGUA5.SA+IGUA6.SA+JOPA3.SA+JOPA4.SA+SMTO3.SA+BSEV3.SA+VAGR3.SA+RNAR3.SA+SLCE3.SA+CVCB3.SA+AHEB3.SA+AHEB5.SA+AHEB6.SA+SHOW3.SA+BMKS3.SA+UCAS3.SA+WHRL3.SA+WHRL4.SA+BMTO3.SA+BMTO4.SA+MGLU3.SA+VVAR11.SA+VVAR3.SA+VVAR4.SA+IGBR3.SA+HGTX3.SA+CEDO3.SA+CEDO4.SA+TOYB3.SA+TOYB4.SA+ESTR3.SA+ESTR4.SA+NAFG3.SA+NAFG4.SA+HETA3.SA+HETA4.SA+CTNM3.SA+CTNM4.SA+CTSA3.SA+CTSA4.SA+CTSA8.SA+DOHL3.SA+DOHL4.SA+ECPR3.SA+ECPR4.SA+CTKA3.SA+CTKA4.SA+PTNT3.SA+PTNT4.SA+WMBY3.SA+SGPS3.SA+TENE3.SA+TENE5.SA+TENE6.SA+TENE7.SA+ALPA3.SA+ALPA4.SA+CAMB3.SA+CAMB4.SA+MNDL3.SA+TECN3.SA+NETC3.SA+NETC4.SA+ABRE3.SA+ABRE4.SA+ABRE11.SA+SLED3.SA+SLED4.SA+IMCH3.SA+RENT3.SA+LLIS3.SA+ARZZ3.SA+CGRA3.SA+CGRA4.SA+GUAR3.SA+GUAR4.SA+LHER3.SA+LHER4.SA&amp;f=nol1hgd1" htmlFormat="all"/>
  </connection>
  <connection id="851" name="Connection119" type="4" refreshedVersion="4" background="1" saveData="1">
    <webPr xl2000="1" url="http://download.finance.yahoo.com/d/quotes.csv?s=IGUA3.SA+IGUA5.SA+IGUA6.SA+JOPA3.SA+JOPA4.SA+SMTO3.SA+BSEV3.SA+VAGR3.SA+RNAR3.SA+SLCE3.SA+CVCB3.SA+AHEB3.SA+AHEB5.SA+AHEB6.SA+SHOW3.SA+BMKS3.SA+UCAS3.SA+WHRL3.SA+WHRL4.SA+BMTO3.SA+BMTO4.SA+MGLU3.SA+VVAR11.SA+VVAR3.SA+VVAR4.SA+IGBR3.SA+HGTX3.SA+CEDO3.SA+CEDO4.SA+TOYB3.SA+TOYB4.SA+ESTR3.SA+ESTR4.SA+NAFG3.SA+NAFG4.SA+HETA3.SA+HETA4.SA+CTNM3.SA+CTNM4.SA+CTSA3.SA+CTSA4.SA+CTSA8.SA+DOHL3.SA+DOHL4.SA+ECPR3.SA+ECPR4.SA+CTKA3.SA+CTKA4.SA+PTNT3.SA+PTNT4.SA+WMBY3.SA+SGPS3.SA+TENE3.SA+TENE5.SA+TENE6.SA+TENE7.SA+ALPA3.SA+ALPA4.SA+CAMB3.SA+CAMB4.SA+MNDL3.SA+TECN3.SA+NETC3.SA+NETC4.SA+ABRE3.SA+ABRE4.SA+ABRE11.SA+SLED3.SA+SLED4.SA+IMCH3.SA+RENT3.SA+LLIS3.SA+ARZZ3.SA+CGRA3.SA+CGRA4.SA+GUAR3.SA+GUAR4.SA+LHER3.SA+LHER4.SA+LREN3.SA&amp;f=nol1hgd1" htmlFormat="all"/>
  </connection>
  <connection id="852" name="Connection1191" type="4" refreshedVersion="4" background="1" saveData="1">
    <webPr xl2000="1" url="http://download.finance.yahoo.com/d/quotes.csv?s=IGUA3.SA+IGUA5.SA+IGUA6.SA+JOPA3.SA+JOPA4.SA+SMTO3.SA+BSEV3.SA+VAGR3.SA+RNAR3.SA+SLCE3.SA+CVCB3.SA+AHEB3.SA+AHEB5.SA+AHEB6.SA+SHOW3.SA+BMKS3.SA+UCAS3.SA+WHRL3.SA+WHRL4.SA+BMTO3.SA+BMTO4.SA+MGLU3.SA+VVAR11.SA+VVAR3.SA+VVAR4.SA+IGBR3.SA+HGTX3.SA+CEDO3.SA+CEDO4.SA+TOYB3.SA+TOYB4.SA+ESTR3.SA+ESTR4.SA+NAFG3.SA+NAFG4.SA+HETA3.SA+HETA4.SA+CTNM3.SA+CTNM4.SA+CTSA3.SA+CTSA4.SA+CTSA8.SA+DOHL3.SA+DOHL4.SA+ECPR3.SA+ECPR4.SA+CTKA3.SA+CTKA4.SA+PTNT3.SA+PTNT4.SA+WMBY3.SA+SGPS3.SA+TENE3.SA+TENE5.SA+TENE6.SA+TENE7.SA+ALPA3.SA+ALPA4.SA+CAMB3.SA+CAMB4.SA+MNDL3.SA+TECN3.SA+NETC3.SA+NETC4.SA+ABRE3.SA+ABRE4.SA+ABRE11.SA+SLED3.SA+SLED4.SA+IMCH3.SA+RENT3.SA+LLIS3.SA+ARZZ3.SA+CGRA3.SA+CGRA4.SA+GUAR3.SA+GUAR4.SA+LHER3.SA+LHER4.SA+LREN3.SA&amp;f=nol1hgd1" htmlFormat="all"/>
  </connection>
  <connection id="853" name="Connection12" type="4" refreshedVersion="0" background="1" saveData="1">
    <webPr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+GSHP3.SA+MULT4.SA+TEMP3.SA+DASA3.SA+FLRY3.SA+ODPV3.SA+QUAL3.SA+BIOM3M.SA+CREM3.SA+NATU3.SA+BOBR3.SA+BOBR4.SA+CRUZ3.SA+LAME3.SA+LAME4.SA+BTOW3.SA+HYPE3.SA+RADL3.SA&amp;f=nol1hgd1" htmlTables="1" htmlFormat="all"/>
  </connection>
  <connection id="854" name="Connection120" type="4" refreshedVersion="4" background="1" saveData="1">
    <webPr xl2000="1" url="http://download.finance.yahoo.com/d/quotes.csv?s=IGUA3.SA+IGUA5.SA+IGUA6.SA+JOPA3.SA+JOPA4.SA+SMTO3.SA+BSEV3.SA+VAGR3.SA+RNAR3.SA+SLCE3.SA+CVCB3.SA+AHEB3.SA+AHEB5.SA+AHEB6.SA+SHOW3.SA+BMKS3.SA+UCAS3.SA+WHRL3.SA+WHRL4.SA+BMTO3.SA+BMTO4.SA+MGLU3.SA+VVAR11.SA+VVAR3.SA+VVAR4.SA+IGBR3.SA+HGTX3.SA+CEDO3.SA+CEDO4.SA+TOYB3.SA+TOYB4.SA+ESTR3.SA+ESTR4.SA+NAFG3.SA+NAFG4.SA+HETA3.SA+HETA4.SA+CTNM3.SA+CTNM4.SA+CTSA3.SA+CTSA4.SA+CTSA8.SA+DOHL3.SA+DOHL4.SA+ECPR3.SA+ECPR4.SA+CTKA3.SA+CTKA4.SA+PTNT3.SA+PTNT4.SA+WMBY3.SA+SGPS3.SA+TENE3.SA+TENE5.SA+TENE6.SA+TENE7.SA+ALPA3.SA+ALPA4.SA+CAMB3.SA+CAMB4.SA+MNDL3.SA+TECN3.SA+NETC3.SA+NETC4.SA+ABRE3.SA+ABRE4.SA+ABRE11.SA+SLED3.SA+SLED4.SA+IMCH3.SA+RENT3.SA+LLIS3.SA+ARZZ3.SA+CGRA3.SA+CGRA4.SA+GUAR3.SA+GUAR4.SA+LHER3.SA+LHER4.SA+LREN3.SA+AMAR3.SA&amp;f=nol1hgd1" htmlFormat="all"/>
  </connection>
  <connection id="855" name="Connection1201" type="4" refreshedVersion="4" background="1" saveData="1">
    <webPr xl2000="1" url="http://download.finance.yahoo.com/d/quotes.csv?s=IGUA3.SA+IGUA5.SA+IGUA6.SA+JOPA3.SA+JOPA4.SA+SMTO3.SA+BSEV3.SA+VAGR3.SA+RNAR3.SA+SLCE3.SA+CVCB3.SA+AHEB3.SA+AHEB5.SA+AHEB6.SA+SHOW3.SA+BMKS3.SA+UCAS3.SA+WHRL3.SA+WHRL4.SA+BMTO3.SA+BMTO4.SA+MGLU3.SA+VVAR11.SA+VVAR3.SA+VVAR4.SA+IGBR3.SA+HGTX3.SA+CEDO3.SA+CEDO4.SA+TOYB3.SA+TOYB4.SA+ESTR3.SA+ESTR4.SA+NAFG3.SA+NAFG4.SA+HETA3.SA+HETA4.SA+CTNM3.SA+CTNM4.SA+CTSA3.SA+CTSA4.SA+CTSA8.SA+DOHL3.SA+DOHL4.SA+ECPR3.SA+ECPR4.SA+CTKA3.SA+CTKA4.SA+PTNT3.SA+PTNT4.SA+WMBY3.SA+SGPS3.SA+TENE3.SA+TENE5.SA+TENE6.SA+TENE7.SA+ALPA3.SA+ALPA4.SA+CAMB3.SA+CAMB4.SA+MNDL3.SA+TECN3.SA+NETC3.SA+NETC4.SA+ABRE3.SA+ABRE4.SA+ABRE11.SA+SLED3.SA+SLED4.SA+IMCH3.SA+RENT3.SA+LLIS3.SA+ARZZ3.SA+CGRA3.SA+CGRA4.SA+GUAR3.SA+GUAR4.SA+LHER3.SA+LHER4.SA+LREN3.SA+AMAR3.SA&amp;f=nol1hgd1" htmlFormat="all"/>
  </connection>
  <connection id="856" name="Connection121" type="4" refreshedVersion="4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+GSHP3.SA+MULT4.SA+TEMP3.SA+DASA3.SA+FLRY3.SA+ODPV3.SA+QUAL3.SA+BIOM3M.SA+CREM3.SA+NATU3.SA+BOBR3.SA+BOBR4.SA+CRUZ3.SA+LAME3.SA+LAME4.SA+BTOW3.SA+HYPE3.SA+RADL3.SA&amp;f=nol1hgd1" htmlFormat="all"/>
  </connection>
  <connection id="857" name="Connection1211" type="4" refreshedVersion="4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+GSHP3.SA+MULT4.SA+TEMP3.SA+DASA3.SA+FLRY3.SA+ODPV3.SA+QUAL3.SA+BIOM3M.SA+CREM3.SA+NATU3.SA+BOBR3.SA+BOBR4.SA+CRUZ3.SA+LAME3.SA+LAME4.SA+BTOW3.SA+HYPE3.SA+RADL3.SA&amp;f=nol1hgd1" htmlFormat="all"/>
  </connection>
  <connection id="858" name="Connection12111" type="4" refreshedVersion="4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+GSHP3.SA+MULT4.SA+TEMP3.SA+DASA3.SA+FLRY3.SA+ODPV3.SA+QUAL3.SA+BIOM3M.SA+CREM3.SA+NATU3.SA+BOBR3.SA+BOBR4.SA+CRUZ3.SA+LAME3.SA+LAME4.SA+BTOW3.SA+HYPE3.SA+RADL3.SA&amp;f=nol1hgd1" htmlFormat="all"/>
  </connection>
  <connection id="859" name="Connection1212" type="4" refreshedVersion="4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+GSHP3.SA+MULT4.SA+TEMP3.SA+DASA3.SA+FLRY3.SA+ODPV3.SA+QUAL3.SA+BIOM3M.SA+CREM3.SA+NATU3.SA+BOBR3.SA+BOBR4.SA+CRUZ3.SA+LAME3.SA+LAME4.SA+BTOW3.SA+HYPE3.SA+RADL3.SA&amp;f=nol1hgd1" htmlFormat="all"/>
  </connection>
  <connection id="860" name="Connection122" type="4" refreshedVersion="4" background="1" saveData="1">
    <webPr xl2000="1" url="http://download.finance.yahoo.com/d/quotes.csv?s=IGUA3.SA+IGUA5.SA+IGUA6.SA+JOPA3.SA+JOPA4.SA+SMTO3.SA+BSEV3.SA+VAGR3.SA+RNAR3.SA+SLCE3.SA+CVCB3.SA+AHEB3.SA+AHEB5.SA+AHEB6.SA+SHOW3.SA+BMKS3.SA+UCAS3.SA+WHRL3.SA+WHRL4.SA+BMTO3.SA+BMTO4.SA+MGLU3.SA+VVAR11.SA+VVAR3.SA+VVAR4.SA+IGBR3.SA+HGTX3.SA+CEDO3.SA+CEDO4.SA+TOYB3.SA+TOYB4.SA+ESTR3.SA+ESTR4.SA+NAFG3.SA+NAFG4.SA+HETA3.SA+HETA4.SA+CTNM3.SA+CTNM4.SA+CTSA3.SA+CTSA4.SA+CTSA8.SA+DOHL3.SA+DOHL4.SA+ECPR3.SA+ECPR4.SA+CTKA3.SA+CTKA4.SA+PTNT3.SA+PTNT4.SA+WMBY3.SA+SGPS3.SA+TENE3.SA+TENE5.SA+TENE6.SA+TENE7.SA+ALPA3.SA+ALPA4.SA+CAMB3.SA+CAMB4.SA+MNDL3.SA+TECN3.SA+NETC3.SA+NETC4.SA+ABRE3.SA+ABRE4.SA+ABRE11.SA+SLED3.SA+SLED4.SA+IMCH3.SA+RENT3.SA+LLIS3.SA+ARZZ3.SA+CGRA3.SA+CGRA4.SA+GUAR3.SA+GUAR4.SA+LHER3.SA+LHER4.SA+LREN3.SA+AMAR3.SA+SPRI3.SA+SPRI5.SA+SPRI6.SA&amp;f=nol1hgd1" htmlFormat="all"/>
  </connection>
  <connection id="861" name="Connection1221" type="4" refreshedVersion="4" background="1" saveData="1">
    <webPr xl2000="1" url="http://download.finance.yahoo.com/d/quotes.csv?s=IGUA3.SA+IGUA5.SA+IGUA6.SA+JOPA3.SA+JOPA4.SA+SMTO3.SA+BSEV3.SA+VAGR3.SA+RNAR3.SA+SLCE3.SA+CVCB3.SA+AHEB3.SA+AHEB5.SA+AHEB6.SA+SHOW3.SA+BMKS3.SA+UCAS3.SA+WHRL3.SA+WHRL4.SA+BMTO3.SA+BMTO4.SA+MGLU3.SA+VVAR11.SA+VVAR3.SA+VVAR4.SA+IGBR3.SA+HGTX3.SA+CEDO3.SA+CEDO4.SA+TOYB3.SA+TOYB4.SA+ESTR3.SA+ESTR4.SA+NAFG3.SA+NAFG4.SA+HETA3.SA+HETA4.SA+CTNM3.SA+CTNM4.SA+CTSA3.SA+CTSA4.SA+CTSA8.SA+DOHL3.SA+DOHL4.SA+ECPR3.SA+ECPR4.SA+CTKA3.SA+CTKA4.SA+PTNT3.SA+PTNT4.SA+WMBY3.SA+SGPS3.SA+TENE3.SA+TENE5.SA+TENE6.SA+TENE7.SA+ALPA3.SA+ALPA4.SA+CAMB3.SA+CAMB4.SA+MNDL3.SA+TECN3.SA+NETC3.SA+NETC4.SA+ABRE3.SA+ABRE4.SA+ABRE11.SA+SLED3.SA+SLED4.SA+IMCH3.SA+RENT3.SA+LLIS3.SA+ARZZ3.SA+CGRA3.SA+CGRA4.SA+GUAR3.SA+GUAR4.SA+LHER3.SA+LHER4.SA+LREN3.SA+AMAR3.SA+SPRI3.SA+SPRI5.SA+SPRI6.SA&amp;f=nol1hgd1" htmlFormat="all"/>
  </connection>
  <connection id="862" name="Connection1222" type="4" refreshedVersion="0" background="1" saveData="1">
    <webPr url="http://download.finance.yahoo.com/d/quotes.csv?s=IGUA3.SA+IGUA5.SA+IGUA6.SA+JOPA3.SA+JOPA4.SA+SMTO3.SA+BSEV3.SA+VAGR3.SA+RNAR3.SA+SLCE3.SA+CVCB3.SA+AHEB3.SA+AHEB5.SA+AHEB6.SA+SHOW3.SA+BMKS3.SA+UCAS3.SA+WHRL3.SA+WHRL4.SA+BMTO3.SA+BMTO4.SA+MGLU3.SA+VVAR11.SA+VVAR3.SA+VVAR4.SA+IGBR3.SA+HGTX3.SA+CEDO3.SA+CEDO4.SA+TOYB3.SA+TOYB4.SA+ESTR3.SA+ESTR4.SA+NAFG3.SA+NAFG4.SA+HETA3.SA+HETA4.SA+CTNM3.SA+CTNM4.SA+CTSA3.SA+CTSA4.SA+CTSA8.SA+DOHL3.SA+DOHL4.SA+ECPR3.SA+ECPR4.SA+CTKA3.SA+CTKA4.SA+PTNT3.SA+PTNT4.SA+WMBY3.SA+SGPS3.SA+TENE3.SA+TENE5.SA+TENE6.SA+TENE7.SA+ALPA3.SA+ALPA4.SA+CAMB3.SA+CAMB4.SA+MNDL3.SA+TECN3.SA+NETC3.SA+NETC4.SA+ABRE3.SA+ABRE4.SA+ABRE11.SA+SLED3.SA+SLED4.SA+IMCH3.SA+RENT3.SA+LLIS3.SA+ARZZ3.SA+CGRA3.SA+CGRA4.SA+GUAR3.SA+GUAR4.SA+LHER3.SA+LHER4.SA+LREN3.SA+AMAR3.SA+SPRI3.SA+SPRI5.SA+SPRI6.SA&amp;f=nol1hgd1" htmlTables="1" htmlFormat="all"/>
  </connection>
  <connection id="863" name="Connection123" type="4" refreshedVersion="4" background="1" saveData="1">
    <webPr xl2000="1" url="http://download.finance.yahoo.com/d/quotes.csv?s=IGUA3.SA+IGUA5.SA+IGUA6.SA+JOPA3.SA+JOPA4.SA+SMTO3.SA+BSEV3.SA+VAGR3.SA+RNAR3.SA+SLCE3.SA+CVCB3.SA+AHEB3.SA+AHEB5.SA+AHEB6.SA+SHOW3.SA+BMKS3.SA+UCAS3.SA+WHRL3.SA+WHRL4.SA+BMTO3.SA+BMTO4.SA+MGLU3.SA+VVAR11.SA+VVAR3.SA+VVAR4.SA+IGBR3.SA+HGTX3.SA+CEDO3.SA+CEDO4.SA+TOYB3.SA+TOYB4.SA+ESTR3.SA+ESTR4.SA+NAFG3.SA+NAFG4.SA+HETA3.SA+HETA4.SA+CTNM3.SA+CTNM4.SA+CTSA3.SA+CTSA4.SA+CTSA8.SA+DOHL3.SA+DOHL4.SA+ECPR3.SA+ECPR4.SA+CTKA3.SA+CTKA4.SA+PTNT3.SA+PTNT4.SA+WMBY3.SA+SGPS3.SA+TENE3.SA+TENE5.SA+TENE6.SA+TENE7.SA+ALPA3.SA+ALPA4.SA+CAMB3.SA+CAMB4.SA+MNDL3.SA+TECN3.SA+NETC3.SA+NETC4.SA+ABRE3.SA+ABRE4.SA+ABRE11.SA+SLED3.SA+SLED4.SA+IMCH3.SA+RENT3.SA+LLIS3.SA+ARZZ3.SA+CGRA3.SA+CGRA4.SA+GUAR3.SA+GUAR4.SA+LHER3.SA+LHER4.SA+LREN3.SA+AMAR3.SA+SPRI3.SA+SPRI5.SA+SPRI6.SA+BISA3.SA&amp;f=nol1hgd1" htmlFormat="all"/>
  </connection>
  <connection id="864" name="Connection1231" type="4" refreshedVersion="4" background="1" saveData="1">
    <webPr xl2000="1" url="http://download.finance.yahoo.com/d/quotes.csv?s=IGUA3.SA+IGUA5.SA+IGUA6.SA+JOPA3.SA+JOPA4.SA+SMTO3.SA+BSEV3.SA+VAGR3.SA+RNAR3.SA+SLCE3.SA+CVCB3.SA+AHEB3.SA+AHEB5.SA+AHEB6.SA+SHOW3.SA+BMKS3.SA+UCAS3.SA+WHRL3.SA+WHRL4.SA+BMTO3.SA+BMTO4.SA+MGLU3.SA+VVAR11.SA+VVAR3.SA+VVAR4.SA+IGBR3.SA+HGTX3.SA+CEDO3.SA+CEDO4.SA+TOYB3.SA+TOYB4.SA+ESTR3.SA+ESTR4.SA+NAFG3.SA+NAFG4.SA+HETA3.SA+HETA4.SA+CTNM3.SA+CTNM4.SA+CTSA3.SA+CTSA4.SA+CTSA8.SA+DOHL3.SA+DOHL4.SA+ECPR3.SA+ECPR4.SA+CTKA3.SA+CTKA4.SA+PTNT3.SA+PTNT4.SA+WMBY3.SA+SGPS3.SA+TENE3.SA+TENE5.SA+TENE6.SA+TENE7.SA+ALPA3.SA+ALPA4.SA+CAMB3.SA+CAMB4.SA+MNDL3.SA+TECN3.SA+NETC3.SA+NETC4.SA+ABRE3.SA+ABRE4.SA+ABRE11.SA+SLED3.SA+SLED4.SA+IMCH3.SA+RENT3.SA+LLIS3.SA+ARZZ3.SA+CGRA3.SA+CGRA4.SA+GUAR3.SA+GUAR4.SA+LHER3.SA+LHER4.SA+LREN3.SA+AMAR3.SA+SPRI3.SA+SPRI5.SA+SPRI6.SA+BISA3.SA&amp;f=nol1hgd1" htmlFormat="all"/>
  </connection>
  <connection id="865" name="Connection124" type="4" refreshedVersion="4" background="1" saveData="1">
    <webPr xl2000="1" url="http://download.finance.yahoo.com/d/quotes.csv?s=IGUA3.SA+IGUA5.SA+IGUA6.SA+JOPA3.SA+JOPA4.SA+SMTO3.SA+BSEV3.SA+VAGR3.SA+RNAR3.SA+SLCE3.SA+CVCB3.SA+AHEB3.SA+AHEB5.SA+AHEB6.SA+SHOW3.SA+BMKS3.SA+UCAS3.SA+WHRL3.SA+WHRL4.SA+BMTO3.SA+BMTO4.SA+MGLU3.SA+VVAR11.SA+VVAR3.SA+VVAR4.SA+IGBR3.SA+HGTX3.SA+CEDO3.SA+CEDO4.SA+TOYB3.SA+TOYB4.SA+ESTR3.SA+ESTR4.SA+NAFG3.SA+NAFG4.SA+HETA3.SA+HETA4.SA+CTNM3.SA+CTNM4.SA+CTSA3.SA+CTSA4.SA+CTSA8.SA+DOHL3.SA+DOHL4.SA+ECPR3.SA+ECPR4.SA+CTKA3.SA+CTKA4.SA+PTNT3.SA+PTNT4.SA+WMBY3.SA+SGPS3.SA+TENE3.SA+TENE5.SA+TENE6.SA+TENE7.SA+ALPA3.SA+ALPA4.SA+CAMB3.SA+CAMB4.SA+MNDL3.SA+TECN3.SA+NETC3.SA+NETC4.SA+ABRE3.SA+ABRE4.SA+ABRE11.SA+SLED3.SA+SLED4.SA+IMCH3.SA+RENT3.SA+LLIS3.SA+ARZZ3.SA+CGRA3.SA+CGRA4.SA+GUAR3.SA+GUAR4.SA+LHER3.SA+LHER4.SA+LREN3.SA+AMAR3.SA+SPRI3.SA+SPRI5.SA+SPRI6.SA+BISA3.SA+CALI3.SA+CALI4.SA&amp;f=nol1hgd1" htmlFormat="all"/>
  </connection>
  <connection id="866" name="Connection1241" type="4" refreshedVersion="4" background="1" saveData="1">
    <webPr xl2000="1" url="http://download.finance.yahoo.com/d/quotes.csv?s=IGUA3.SA+IGUA5.SA+IGUA6.SA+JOPA3.SA+JOPA4.SA+SMTO3.SA+BSEV3.SA+VAGR3.SA+RNAR3.SA+SLCE3.SA+CVCB3.SA+AHEB3.SA+AHEB5.SA+AHEB6.SA+SHOW3.SA+BMKS3.SA+UCAS3.SA+WHRL3.SA+WHRL4.SA+BMTO3.SA+BMTO4.SA+MGLU3.SA+VVAR11.SA+VVAR3.SA+VVAR4.SA+IGBR3.SA+HGTX3.SA+CEDO3.SA+CEDO4.SA+TOYB3.SA+TOYB4.SA+ESTR3.SA+ESTR4.SA+NAFG3.SA+NAFG4.SA+HETA3.SA+HETA4.SA+CTNM3.SA+CTNM4.SA+CTSA3.SA+CTSA4.SA+CTSA8.SA+DOHL3.SA+DOHL4.SA+ECPR3.SA+ECPR4.SA+CTKA3.SA+CTKA4.SA+PTNT3.SA+PTNT4.SA+WMBY3.SA+SGPS3.SA+TENE3.SA+TENE5.SA+TENE6.SA+TENE7.SA+ALPA3.SA+ALPA4.SA+CAMB3.SA+CAMB4.SA+MNDL3.SA+TECN3.SA+NETC3.SA+NETC4.SA+ABRE3.SA+ABRE4.SA+ABRE11.SA+SLED3.SA+SLED4.SA+IMCH3.SA+RENT3.SA+LLIS3.SA+ARZZ3.SA+CGRA3.SA+CGRA4.SA+GUAR3.SA+GUAR4.SA+LHER3.SA+LHER4.SA+LREN3.SA+AMAR3.SA+SPRI3.SA+SPRI5.SA+SPRI6.SA+BISA3.SA+CALI3.SA+CALI4.SA&amp;f=nol1hgd1" htmlFormat="all"/>
  </connection>
  <connection id="867" name="Connection125" type="4" refreshedVersion="4" background="1" saveData="1">
    <webPr xl2000="1" url="http://download.finance.yahoo.com/d/quotes.csv?s=IGUA3.SA+IGUA5.SA+IGUA6.SA+JOPA3.SA+JOPA4.SA+SMTO3.SA+BSEV3.SA+VAGR3.SA+RNAR3.SA+SLCE3.SA+CVCB3.SA+AHEB3.SA+AHEB5.SA+AHEB6.SA+SHOW3.SA+BMKS3.SA+UCAS3.SA+WHRL3.SA+WHRL4.SA+BMTO3.SA+BMTO4.SA+MGLU3.SA+VVAR11.SA+VVAR3.SA+VVAR4.SA+IGBR3.SA+HGTX3.SA+CEDO3.SA+CEDO4.SA+TOYB3.SA+TOYB4.SA+ESTR3.SA+ESTR4.SA+NAFG3.SA+NAFG4.SA+HETA3.SA+HETA4.SA+CTNM3.SA+CTNM4.SA+CTSA3.SA+CTSA4.SA+CTSA8.SA+DOHL3.SA+DOHL4.SA+ECPR3.SA+ECPR4.SA+CTKA3.SA+CTKA4.SA+PTNT3.SA+PTNT4.SA+WMBY3.SA+SGPS3.SA+TENE3.SA+TENE5.SA+TENE6.SA+TENE7.SA+ALPA3.SA+ALPA4.SA+CAMB3.SA+CAMB4.SA+MNDL3.SA+TECN3.SA+NETC3.SA+NETC4.SA+ABRE3.SA+ABRE4.SA+ABRE11.SA+SLED3.SA+SLED4.SA+IMCH3.SA+RENT3.SA+LLIS3.SA+ARZZ3.SA+CGRA3.SA+CGRA4.SA+GUAR3.SA+GUAR4.SA+LHER3.SA+LHER4.SA+LREN3.SA+AMAR3.SA+SPRI3.SA+SPRI5.SA+SPRI6.SA+BISA3.SA+CALI3.SA+CALI4.SA+CRDE3.SA+CYRE3.SA+DIRR3.SA+EVEN3.SA+EZTC3.SA+GFSA3.SA+HBOR3.SA+JHSF3.SA&amp;f=nol1hgd1" htmlFormat="all"/>
  </connection>
  <connection id="868" name="Connection1251" type="4" refreshedVersion="4" background="1" saveData="1">
    <webPr xl2000="1" url="http://download.finance.yahoo.com/d/quotes.csv?s=IGUA3.SA+IGUA5.SA+IGUA6.SA+JOPA3.SA+JOPA4.SA+SMTO3.SA+BSEV3.SA+VAGR3.SA+RNAR3.SA+SLCE3.SA+CVCB3.SA+AHEB3.SA+AHEB5.SA+AHEB6.SA+SHOW3.SA+BMKS3.SA+UCAS3.SA+WHRL3.SA+WHRL4.SA+BMTO3.SA+BMTO4.SA+MGLU3.SA+VVAR11.SA+VVAR3.SA+VVAR4.SA+IGBR3.SA+HGTX3.SA+CEDO3.SA+CEDO4.SA+TOYB3.SA+TOYB4.SA+ESTR3.SA+ESTR4.SA+NAFG3.SA+NAFG4.SA+HETA3.SA+HETA4.SA+CTNM3.SA+CTNM4.SA+CTSA3.SA+CTSA4.SA+CTSA8.SA+DOHL3.SA+DOHL4.SA+ECPR3.SA+ECPR4.SA+CTKA3.SA+CTKA4.SA+PTNT3.SA+PTNT4.SA+WMBY3.SA+SGPS3.SA+TENE3.SA+TENE5.SA+TENE6.SA+TENE7.SA+ALPA3.SA+ALPA4.SA+CAMB3.SA+CAMB4.SA+MNDL3.SA+TECN3.SA+NETC3.SA+NETC4.SA+ABRE3.SA+ABRE4.SA+ABRE11.SA+SLED3.SA+SLED4.SA+IMCH3.SA+RENT3.SA+LLIS3.SA+ARZZ3.SA+CGRA3.SA+CGRA4.SA+GUAR3.SA+GUAR4.SA+LHER3.SA+LHER4.SA+LREN3.SA+AMAR3.SA+SPRI3.SA+SPRI5.SA+SPRI6.SA+BISA3.SA+CALI3.SA+CALI4.SA+CRDE3.SA+CYRE3.SA+DIRR3.SA+EVEN3.SA+EZTC3.SA+GFSA3.SA+HBOR3.SA+JHSF3.SA&amp;f=nol1hgd1" htmlFormat="all"/>
  </connection>
  <connection id="869" name="Connection126" type="4" refreshedVersion="4" background="1" saveData="1">
    <webPr xl2000="1" url="http://download.finance.yahoo.com/d/quotes.csv?s=IGUA3.SA+IGUA5.SA+IGUA6.SA+JOPA3.SA+JOPA4.SA+SMTO3.SA+BSEV3.SA+VAGR3.SA+RNAR3.SA+SLCE3.SA+CVCB3.SA+AHEB3.SA+AHEB5.SA+AHEB6.SA+SHOW3.SA+BMKS3.SA+UCAS3.SA+WHRL3.SA+WHRL4.SA+BMTO3.SA+BMTO4.SA+MGLU3.SA+VVAR11.SA+VVAR3.SA+VVAR4.SA+IGBR3.SA+HGTX3.SA+CEDO3.SA+CEDO4.SA+TOYB3.SA+TOYB4.SA+ESTR3.SA+ESTR4.SA+NAFG3.SA+NAFG4.SA+HETA3.SA+HETA4.SA+CTNM3.SA+CTNM4.SA+CTSA3.SA+CTSA4.SA+CTSA8.SA+DOHL3.SA+DOHL4.SA+ECPR3.SA+ECPR4.SA+CTKA3.SA+CTKA4.SA+PTNT3.SA+PTNT4.SA+WMBY3.SA+SGPS3.SA+TENE3.SA+TENE5.SA+TENE6.SA+TENE7.SA+ALPA3.SA+ALPA4.SA+CAMB3.SA+CAMB4.SA+MNDL3.SA+TECN3.SA+NETC3.SA+NETC4.SA+ABRE3.SA+ABRE4.SA+ABRE11.SA+SLED3.SA+SLED4.SA+IMCH3.SA+RENT3.SA+LLIS3.SA+ARZZ3.SA+CGRA3.SA+CGRA4.SA+GUAR3.SA+GUAR4.SA+LHER3.SA+LHER4.SA+LREN3.SA+AMAR3.SA+SPRI3.SA+SPRI5.SA+SPRI6.SA+BISA3.SA+CALI3.SA+CALI4.SA+CRDE3.SA+CYRE3.SA+DIRR3.SA+EVEN3.SA+EZTC3.SA+GFSA3.SA+HBOR3.SA+JHSF3.SA+JFEN3.SA+MRVE3.SA+PDGR3.SA+RDNI3.SA+RSID3.SA+SGEN3.SA+SGEN4.SA+TCSA3.SA+TRIS3.SA+VIVR3.SA&amp;f=nol1hgd1" htmlFormat="all"/>
  </connection>
  <connection id="870" name="Connection1261" type="4" refreshedVersion="4" background="1" saveData="1">
    <webPr xl2000="1" url="http://download.finance.yahoo.com/d/quotes.csv?s=IGUA3.SA+IGUA5.SA+IGUA6.SA+JOPA3.SA+JOPA4.SA+SMTO3.SA+BSEV3.SA+VAGR3.SA+RNAR3.SA+SLCE3.SA+CVCB3.SA+AHEB3.SA+AHEB5.SA+AHEB6.SA+SHOW3.SA+BMKS3.SA+UCAS3.SA+WHRL3.SA+WHRL4.SA+BMTO3.SA+BMTO4.SA+MGLU3.SA+VVAR11.SA+VVAR3.SA+VVAR4.SA+IGBR3.SA+HGTX3.SA+CEDO3.SA+CEDO4.SA+TOYB3.SA+TOYB4.SA+ESTR3.SA+ESTR4.SA+NAFG3.SA+NAFG4.SA+HETA3.SA+HETA4.SA+CTNM3.SA+CTNM4.SA+CTSA3.SA+CTSA4.SA+CTSA8.SA+DOHL3.SA+DOHL4.SA+ECPR3.SA+ECPR4.SA+CTKA3.SA+CTKA4.SA+PTNT3.SA+PTNT4.SA+WMBY3.SA+SGPS3.SA+TENE3.SA+TENE5.SA+TENE6.SA+TENE7.SA+ALPA3.SA+ALPA4.SA+CAMB3.SA+CAMB4.SA+MNDL3.SA+TECN3.SA+NETC3.SA+NETC4.SA+ABRE3.SA+ABRE4.SA+ABRE11.SA+SLED3.SA+SLED4.SA+IMCH3.SA+RENT3.SA+LLIS3.SA+ARZZ3.SA+CGRA3.SA+CGRA4.SA+GUAR3.SA+GUAR4.SA+LHER3.SA+LHER4.SA+LREN3.SA+AMAR3.SA+SPRI3.SA+SPRI5.SA+SPRI6.SA+BISA3.SA+CALI3.SA+CALI4.SA+CRDE3.SA+CYRE3.SA+DIRR3.SA+EVEN3.SA+EZTC3.SA+GFSA3.SA+HBOR3.SA+JHSF3.SA+JFEN3.SA+MRVE3.SA+PDGR3.SA+RDNI3.SA+RSID3.SA+SGEN3.SA+SGEN4.SA+TCSA3.SA+TRIS3.SA+VIVR3.SA&amp;f=nol1hgd1" htmlFormat="all"/>
  </connection>
  <connection id="871" name="Connection127" type="4" refreshedVersion="4" background="1" saveData="1">
    <webPr xl2000="1" url="http://download.finance.yahoo.com/d/quotes.csv?s=IGUA3.SA+IGUA5.SA+IGUA6.SA+JOPA3.SA+JOPA4.SA+SMTO3.SA+BSEV3.SA+VAGR3.SA+RNAR3.SA+SLCE3.SA+CVCB3.SA+AHEB3.SA+AHEB5.SA+AHEB6.SA+SHOW3.SA+BMKS3.SA+UCAS3.SA+WHRL3.SA+WHRL4.SA+BMTO3.SA+BMTO4.SA+MGLU3.SA+VVAR11.SA+VVAR3.SA+VVAR4.SA+IGBR3.SA+HGTX3.SA+CEDO3.SA+CEDO4.SA+TOYB3.SA+TOYB4.SA+ESTR3.SA+ESTR4.SA+NAFG3.SA+NAFG4.SA+HETA3.SA+HETA4.SA+CTNM3.SA+CTNM4.SA+CTSA3.SA+CTSA4.SA+CTSA8.SA+DOHL3.SA+DOHL4.SA+ECPR3.SA+ECPR4.SA+CTKA3.SA+CTKA4.SA+PTNT3.SA+PTNT4.SA+WMBY3.SA+SGPS3.SA+TENE3.SA+TENE5.SA+TENE6.SA+TENE7.SA+ALPA3.SA+ALPA4.SA+CAMB3.SA+CAMB4.SA+MNDL3.SA+TECN3.SA+NETC3.SA+NETC4.SA+ABRE3.SA+ABRE4.SA+ABRE11.SA+SLED3.SA+SLED4.SA+IMCH3.SA+RENT3.SA+LLIS3.SA+ARZZ3.SA+CGRA3.SA+CGRA4.SA+GUAR3.SA+GUAR4.SA+LHER3.SA+LHER4.SA+LREN3.SA+AMAR3.SA+SPRI3.SA+SPRI5.SA+SPRI6.SA+BISA3.SA+CALI3.SA+CALI4.SA+CRDE3.SA+CYRE3.SA+DIRR3.SA+EVEN3.SA+EZTC3.SA+GFSA3.SA+HBOR3.SA+JHSF3.SA+JFEN3.SA+MRVE3.SA+PDGR3.SA+RDNI3.SA+RSID3.SA+SGEN3.SA+SGEN4.SA+TCSA3.SA+TRIS3.SA+VIVR3.SA&amp;f=nol1hgd1" htmlFormat="all"/>
  </connection>
  <connection id="872" name="Connection128" type="4" refreshedVersion="4" background="1" saveData="1">
    <webPr xl2000="1" url="http://download.finance.yahoo.com/d/quotes.csv?s=AZEV3.SA+AZEV4.SA+COBE3B.SA+COBE5B.SA+COBE6B.SA+LIXC3.SA+LIXC4.SA+SULT3.SA+SULT4.SA+MEND3.SA+MEND5.SA+MEND6.SA&amp;f=nol1hgd1" htmlFormat="all"/>
  </connection>
  <connection id="873" name="Connection129" type="4" refreshedVersion="4" background="1" saveData="1">
    <webPr xl2000="1" url="http://download.finance.yahoo.com/d/quotes.csv?s=AZEV3.SA+AZEV4.SA+MEND3.SA+MEND5.SA+MEND6.SA+LIXC3.SA+LIXC4.SA+SULT3.SA+SULT4.SA&amp;f=nol1hgd1" htmlFormat="all"/>
  </connection>
  <connection id="874" name="Connection13" type="4" refreshedVersion="0" background="1" saveData="1">
    <webPr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+GSHP3.SA+MULT4.SA+TEMP3.SA+DASA3.SA+FLRY3.SA+ODPV3.SA+QUAL3.SA+BIOM3M.SA+CREM3.SA+NATU3.SA+BOBR3.SA+BOBR4.SA+CRUZ3.SA+LAME3.SA+LAME4.SA+BTOW3.SA+HYPE3.SA+RADL3.SA+BPHA3.SA&amp;f=nol1hgd1" htmlTables="1" htmlFormat="all"/>
  </connection>
  <connection id="875" name="Connection130" type="4" refreshedVersion="4" background="1" saveData="1">
    <webPr xl2000="1" url="http://download.finance.yahoo.com/d/quotes.csv?s=AZEV3.SA+AZEV4.SA+LIXC3.SA+LIXC4.SA+MEND3.SA+MEND5.SA+MEND6.SA+SULT3.SA+SULT4.SA&amp;f=nol1hgd1" htmlFormat="all"/>
  </connection>
  <connection id="876" name="Connection131" type="4" refreshedVersion="4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+GSHP3.SA+MULT4.SA+TEMP3.SA+DASA3.SA+FLRY3.SA+ODPV3.SA+QUAL3.SA+BIOM3M.SA+CREM3.SA+NATU3.SA+BOBR3.SA+BOBR4.SA+CRUZ3.SA+LAME3.SA+LAME4.SA+BTOW3.SA+HYPE3.SA+RADL3.SA+BPHA3.SA&amp;f=nol1hgd1" htmlFormat="all"/>
  </connection>
  <connection id="877" name="Connection1311" type="4" refreshedVersion="4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+GSHP3.SA+MULT4.SA+TEMP3.SA+DASA3.SA+FLRY3.SA+ODPV3.SA+QUAL3.SA+BIOM3M.SA+CREM3.SA+NATU3.SA+BOBR3.SA+BOBR4.SA+CRUZ3.SA+LAME3.SA+LAME4.SA+BTOW3.SA+HYPE3.SA+RADL3.SA+BPHA3.SA&amp;f=nol1hgd1" htmlFormat="all"/>
  </connection>
  <connection id="878" name="Connection13111" type="4" refreshedVersion="4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+GSHP3.SA+MULT4.SA+TEMP3.SA+DASA3.SA+FLRY3.SA+ODPV3.SA+QUAL3.SA+BIOM3M.SA+CREM3.SA+NATU3.SA+BOBR3.SA+BOBR4.SA+CRUZ3.SA+LAME3.SA+LAME4.SA+BTOW3.SA+HYPE3.SA+RADL3.SA+BPHA3.SA&amp;f=nol1hgd1" htmlFormat="all"/>
  </connection>
  <connection id="879" name="Connection1312" type="4" refreshedVersion="4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+GSHP3.SA+MULT4.SA+TEMP3.SA+DASA3.SA+FLRY3.SA+ODPV3.SA+QUAL3.SA+BIOM3M.SA+CREM3.SA+NATU3.SA+BOBR3.SA+BOBR4.SA+CRUZ3.SA+LAME3.SA+LAME4.SA+BTOW3.SA+HYPE3.SA+RADL3.SA+BPHA3.SA&amp;f=nol1hgd1" htmlFormat="all"/>
  </connection>
  <connection id="880" name="Connection132" type="4" refreshedVersion="0" background="1" saveData="1">
    <webPr url="http://download.finance.yahoo.com/d/quotes.csv?s=AZEV3.SA+AZEV4.SA+LIXC3.SA+LIXC4.SA+MEND3.SA+MEND5.SA+MEND6.SA+SULT3.SA+SULT4.SA+SOND3.SA+SOND5.SA+SOND6.SA+TCNO3.SA+TCNO4.SA&amp;f=nol1hgd1" htmlTables="1" htmlFormat="all"/>
  </connection>
  <connection id="881" name="Connection133" type="4" refreshedVersion="4" background="1" saveData="1">
    <webPr xl2000="1" url="http://download.finance.yahoo.com/d/quotes.csv?s=AZEV3.SA+AZEV4.SA+LIXC3.SA+LIXC4.SA+MEND3.SA+MEND5.SA+MEND6.SA+SULT3.SA+SULT4.SA+SOND3.SA+SOND5.SA+SOND6.SA+TCNO3.SA+TCNO4.SA+BBRK3.SA+LPSB3.SA&amp;f=nol1hgd1" htmlFormat="all"/>
  </connection>
  <connection id="882" name="Connection134" type="4" refreshedVersion="4" background="1" saveData="1">
    <webPr xl2000="1" url="http://download.finance.yahoo.com/d/quotes.csv?s=AZEV3.SA+AZEV4.SA+LIXC3.SA+LIXC4.SA+MEND3.SA+MEND5.SA+MEND6.SA+SULT3.SA+SULT4.SA+SOND3.SA+SOND5.SA+SOND6.SA+TCNO3.SA+TCNO4.SA+BBRK3.SA+LPSB3.SA+CCHI3.SA+CCHI4.SA+HAGA3.SA+HAGA4.SA+PTBL3.SA&amp;f=nol1hgd1" htmlFormat="all"/>
  </connection>
  <connection id="883" name="Connection135" type="4" refreshedVersion="4" background="1" saveData="1">
    <webPr xl2000="1" url="http://download.finance.yahoo.com/d/quotes.csv?s=AZEV3.SA+AZEV4.SA+LIXC3.SA+LIXC4.SA+MEND3.SA+MEND5.SA+MEND6.SA+SULT3.SA+SULT4.SA+SOND3.SA+SOND5.SA+SOND6.SA+TCNO3.SA+TCNO4.SA+BBRK3.SA+LPSB3.SA+CCHI3.SA+CCHI4.SA+HAGA3.SA+HAGA4.SA+PTBL3.SA+ALTS3.SA+CTAX11.SA+CTAX3.SA+CTAX4.SA+CARD3.SA+DTCY3.SA+DTCY4.SA+MILS3.SA+VLID3.SA&amp;f=nol1hgd1" htmlFormat="all"/>
  </connection>
  <connection id="884" name="Connection136" type="4" refreshedVersion="4" background="1" saveData="1">
    <webPr xl2000="1" url="http://download.finance.yahoo.com/d/quotes.csv?s=AZEV3.SA+AZEV4.SA+LIXC3.SA+LIXC4.SA+MEND3.SA+MEND5.SA+MEND6.SA+SULT3.SA+SULT4.SA+SOND3.SA+SOND5.SA+SOND6.SA+TCNO3.SA+TCNO4.SA+BBRK3.SA+LPSB3.SA+CCHI3.SA+CCHI4.SA+HAGA3.SA+HAGA4.SA+PTBL3.SA+ALTS3.SA+CTAX11.SA+CTAX3.SA+CTAX4.SA+CARD3.SA+DTCY3.SA+DTCY4.SA+MILS3.SA+VLID3.SA&amp;f=nol1hgd1" htmlFormat="all"/>
  </connection>
  <connection id="885" name="Connection137" type="4" refreshedVersion="4" background="1" saveData="1">
    <webPr xl2000="1" url="http://download.finance.yahoo.com/d/quotes.csv?s=AZEV3.SA+AZEV4.SA+LIXC3.SA+LIXC4.SA+MEND3.SA+MEND5.SA+MEND6.SA+SULT3.SA+SULT4.SA+SOND3.SA+SOND5.SA+SOND6.SA+TCNO3.SA+TCNO4.SA+BBRK3.SA+LPSB3.SA+CCHI3.SA+CCHI4.SA+HAGA3.SA+HAGA4.SA+PTBL3.SA+CTAX11.SA+CTAX3.SA+CTAX4.SA+CARD3.SA+DTCY3.SA+DTCY4.SA+MILS3.SA+VLID3.SA&amp;f=nol1hgd1" htmlFormat="all"/>
  </connection>
  <connection id="886" name="Connection138" type="4" refreshedVersion="4" background="1" saveData="1">
    <webPr xl2000="1" url="http://download.finance.yahoo.com/d/quotes.csv?s=AZEV3.SA+AZEV4.SA+LIXC3.SA+LIXC4.SA+MEND3.SA+MEND5.SA+MEND6.SA+SULT3.SA+SULT4.SA+SOND3.SA+SOND5.SA+SOND6.SA+TCNO3.SA+TCNO4.SA+BBRK3.SA+LPSB3.SA+CCHI3.SA+CCHI4.SA+HAGA3.SA+HAGA4.SA+PTBL3.SA+CTAX11.SA+CTAX3.SA+CTAX4.SA+CARD3.SA+DTCY3.SA+DTCY4.SA+MILS3.SA+VLID3.SA+ARTR3.SA+CCRO3.SA+ECOR3.SA+TPIS3.SA&amp;f=nol1hgd1" htmlFormat="all"/>
  </connection>
  <connection id="887" name="Connection139" type="4" refreshedVersion="4" background="1" saveData="1">
    <webPr xl2000="1" url="http://download.finance.yahoo.com/d/quotes.csv?s=AZEV3.SA+AZEV4.SA+LIXC3.SA+LIXC4.SA+MEND3.SA+MEND5.SA+MEND6.SA+SULT3.SA+SULT4.SA+SOND3.SA+SOND5.SA+SOND6.SA+TCNO3.SA+TCNO4.SA+BBRK3.SA+LPSB3.SA+CCHI3.SA+CCHI4.SA+HAGA3.SA+HAGA4.SA+PTBL3.SA+CTAX11.SA+CTAX3.SA+CTAX4.SA+CARD3.SA+DTCY3.SA+DTCY4.SA+MILS3.SA+VLID3.SA+ARTR3.SA+CCRO3.SA+ECOR3.SA+TPIS3.SA+IMBI3.SA+IMBI4.SA+LLXL3.SA+STBP11.SA+STBP3.SA+STBP4.SA&amp;f=nol1hgd1" htmlFormat="all"/>
  </connection>
  <connection id="888" name="Connection14" type="4" refreshedVersion="4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+GSHP3.SA+MULT4.SA+TEMP3.SA+DASA3.SA+FLRY3.SA+ODPV3.SA+QUAL3.SA+BIOM3M.SA+CREM3.SA+NATU3.SA+BOBR3.SA+BOBR4.SA+CRUZ3.SA+LAME3.SA+LAME4.SA+BTOW3.SA+HYPE3.SA+RADL3.SA+BPHA3.SA+PNVL3.SA+PNVL4.SA&amp;f=nol1hgd1" htmlFormat="all"/>
  </connection>
  <connection id="889" name="Connection140" type="4" refreshedVersion="4" background="1" saveData="1">
    <webPr xl2000="1" url="http://download.finance.yahoo.com/d/quotes.csv?s=AZEV3.SA+AZEV4.SA+LIXC3.SA+LIXC4.SA+MEND3.SA+MEND5.SA+MEND6.SA+SULT3.SA+SULT4.SA+SOND3.SA+SOND5.SA+SOND6.SA+TCNO3.SA+TCNO4.SA+BBRK3.SA+LPSB3.SA+CCHI3.SA+CCHI4.SA+HAGA3.SA+HAGA4.SA+PTBL3.SA+CTAX11.SA+CTAX3.SA+CTAX4.SA+CARD3.SA+DTCY3.SA+DTCY4.SA+MILS3.SA+VLID3.SA+ARTR3.SA+CCRO3.SA+ECOR3.SA+TPIS3.SA+IMBI3.SA+IMBI4.SA+LLXL3.SA+STBP11.SA+STBP3.SA+STBP4.SA+GOLL3.SA+GOLL4.SA&amp;f=nol1hgd1" htmlFormat="all"/>
  </connection>
  <connection id="890" name="Connection141" type="4" refreshedVersion="4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+GSHP3.SA+MULT4.SA+TEMP3.SA+DASA3.SA+FLRY3.SA+ODPV3.SA+QUAL3.SA+BIOM3M.SA+CREM3.SA+NATU3.SA+BOBR3.SA+BOBR4.SA+CRUZ3.SA+LAME3.SA+LAME4.SA+BTOW3.SA+HYPE3.SA+RADL3.SA+BPHA3.SA+PNVL3.SA+PNVL4.SA&amp;f=nol1hgd1" htmlFormat="all"/>
  </connection>
  <connection id="891" name="Connection1411" type="4" refreshedVersion="4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+GSHP3.SA+MULT4.SA+TEMP3.SA+DASA3.SA+FLRY3.SA+ODPV3.SA+QUAL3.SA+BIOM3M.SA+CREM3.SA+NATU3.SA+BOBR3.SA+BOBR4.SA+CRUZ3.SA+LAME3.SA+LAME4.SA+BTOW3.SA+HYPE3.SA+RADL3.SA+BPHA3.SA+PNVL3.SA+PNVL4.SA&amp;f=nol1hgd1" htmlFormat="all"/>
  </connection>
  <connection id="892" name="Connection14111" type="4" refreshedVersion="4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+GSHP3.SA+MULT4.SA+TEMP3.SA+DASA3.SA+FLRY3.SA+ODPV3.SA+QUAL3.SA+BIOM3M.SA+CREM3.SA+NATU3.SA+BOBR3.SA+BOBR4.SA+CRUZ3.SA+LAME3.SA+LAME4.SA+BTOW3.SA+HYPE3.SA+RADL3.SA+BPHA3.SA+PNVL3.SA+PNVL4.SA&amp;f=nol1hgd1" htmlFormat="all"/>
  </connection>
  <connection id="893" name="Connection1412" type="4" refreshedVersion="4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+GSHP3.SA+MULT4.SA+TEMP3.SA+DASA3.SA+FLRY3.SA+ODPV3.SA+QUAL3.SA+BIOM3M.SA+CREM3.SA+NATU3.SA+BOBR3.SA+BOBR4.SA+CRUZ3.SA+LAME3.SA+LAME4.SA+BTOW3.SA+HYPE3.SA+RADL3.SA+BPHA3.SA+PNVL3.SA+PNVL4.SA&amp;f=nol1hgd1" htmlFormat="all"/>
  </connection>
  <connection id="894" name="Connection142" type="4" refreshedVersion="0" background="1" saveData="1">
    <webPr url="http://download.finance.yahoo.com/d/quotes.csv?s=AZEV3.SA+AZEV4.SA+LIXC3.SA+LIXC4.SA+MEND3.SA+MEND5.SA+MEND6.SA+SULT3.SA+SULT4.SA+SOND3.SA+SOND5.SA+SOND6.SA+TCNO3.SA+TCNO4.SA+BBRK3.SA+LPSB3.SA+CCHI3.SA+CCHI4.SA+HAGA3.SA+HAGA4.SA+PTBL3.SA+CTAX11.SA+CTAX3.SA+CTAX4.SA+CARD3.SA+DTCY3.SA+DTCY4.SA+MILS3.SA+VLID3.SA+ARTR3.SA+CCRO3.SA+ECOR3.SA+TPIS3.SA+IMBI3.SA+IMBI4.SA+LLXL3.SA+STBP11.SA+STBP3.SA+STBP4.SA+GOLL3.SA+GOLL4.SA+ALLL3.SA+VSPT3.SA+VSPT4.SA&amp;f=nol1hgd1" htmlTables="1" htmlFormat="all"/>
  </connection>
  <connection id="895" name="Connection143" type="4" refreshedVersion="4" background="1" saveData="1">
    <webPr xl2000="1" url="http://download.finance.yahoo.com/d/quotes.csv?s=AZEV3.SA+AZEV4.SA+LIXC3.SA+LIXC4.SA+MEND3.SA+MEND5.SA+MEND6.SA+SULT3.SA+SULT4.SA+SOND3.SA+SOND5.SA+SOND6.SA+TCNO3.SA+TCNO4.SA+BBRK3.SA+LPSB3.SA+CCHI3.SA+CCHI4.SA+HAGA3.SA+HAGA4.SA+PTBL3.SA+CTAX11.SA+CTAX3.SA+CTAX4.SA+CARD3.SA+DTCY3.SA+DTCY4.SA+MILS3.SA+VLID3.SA+ARTR3.SA+CCRO3.SA+ECOR3.SA+TPIS3.SA+IMBI3.SA+IMBI4.SA+LLXL3.SA+STBP11.SA+STBP3.SA+STBP4.SA+GOLL3.SA+GOLL4.SA+ALLL3.SA+VSPT3.SA+VSPT4.SA+LOGN3.SA+LUXM3.SA+LUXM4.SA&amp;f=nol1hgd1" htmlFormat="all"/>
  </connection>
  <connection id="896" name="Connection144" type="4" refreshedVersion="4" background="1" saveData="1">
    <webPr xl2000="1" url="http://download.finance.yahoo.com/d/quotes.csv?s=AZEV3.SA+AZEV4.SA+LIXC3.SA+LIXC4.SA+MEND3.SA+MEND5.SA+MEND6.SA+SULT3.SA+SULT4.SA+SOND3.SA+SOND5.SA+SOND6.SA+TCNO3.SA+TCNO4.SA+BBRK3.SA+LPSB3.SA+CCHI3.SA+CCHI4.SA+HAGA3.SA+HAGA4.SA+PTBL3.SA+CTAX11.SA+CTAX3.SA+CTAX4.SA+CARD3.SA+DTCY3.SA+DTCY4.SA+MILS3.SA+VLID3.SA+ARTR3.SA+CCRO3.SA+ECOR3.SA+TPIS3.SA+IMBI3.SA+IMBI4.SA+LLXL3.SA+STBP11.SA+STBP3.SA+STBP4.SA+GOLL3.SA+GOLL4.SA+ALLL3.SA+VSPT3.SA+VSPT4.SA+LOGN3.SA+LUXM3.SA+LUXM4.SA+JSLG3.SA+TGMA3.SA&amp;f=nol1hgd1" htmlFormat="all"/>
  </connection>
  <connection id="897" name="Connection145" type="4" refreshedVersion="4" background="1" saveData="1">
    <webPr xl2000="1" url="http://download.finance.yahoo.com/d/quotes.csv?s=AZEV3.SA+AZEV4.SA+LIXC3.SA+LIXC4.SA+MEND3.SA+MEND5.SA+MEND6.SA+SULT3.SA+SULT4.SA+SOND3.SA+SOND5.SA+SOND6.SA+TCNO3.SA+TCNO4.SA+BBRK3.SA+LPSB3.SA+CCHI3.SA+CCHI4.SA+HAGA3.SA+HAGA4.SA+PTBL3.SA+CTAX11.SA+CTAX3.SA+CTAX4.SA+CARD3.SA+DTCY3.SA+DTCY4.SA+MILS3.SA+VLID3.SA+ARTR3.SA+CCRO3.SA+ECOR3.SA+TPIS3.SA+IMBI3.SA+IMBI4.SA+LLXL3.SA+STBP11.SA+STBP3.SA+STBP4.SA+GOLL3.SA+GOLL4.SA+ALLL3.SA+VSPT3.SA+VSPT4.SA+LOGN3.SA+LUXM3.SA+LUXM4.SA+JSLG3.SA+TGMA3.SA+MMAQ3.SA+MMAQ4.SA+SGAS3.SA+SGAS4.SA&amp;f=nol1hgd1" htmlFormat="all"/>
  </connection>
  <connection id="898" name="Connection146" type="4" refreshedVersion="4" background="1" saveData="1">
    <webPr xl2000="1" url="http://download.finance.yahoo.com/d/quotes.csv?s=AZEV3.SA+AZEV4.SA+LIXC3.SA+LIXC4.SA+MEND3.SA+MEND5.SA+MEND6.SA+SULT3.SA+SULT4.SA+SOND3.SA+SOND5.SA+SOND6.SA+TCNO3.SA+TCNO4.SA+BBRK3.SA+LPSB3.SA+CCHI3.SA+CCHI4.SA+HAGA3.SA+HAGA4.SA+PTBL3.SA+CTAX11.SA+CTAX3.SA+CTAX4.SA+CARD3.SA+DTCY3.SA+DTCY4.SA+MILS3.SA+VLID3.SA+ARTR3.SA+CCRO3.SA+ECOR3.SA+TPIS3.SA+IMBI3.SA+IMBI4.SA+LLXL3.SA+STBP11.SA+STBP3.SA+STBP4.SA+GOLL3.SA+GOLL4.SA+ALLL3.SA+VSPT3.SA+VSPT4.SA+LOGN3.SA+LUXM3.SA+LUXM4.SA+JSLG3.SA+TGMA3.SA+SGAS3.SA+SGAS4.SA&amp;f=nol1hgd1" htmlFormat="all"/>
  </connection>
  <connection id="899" name="Connection147" type="4" refreshedVersion="4" background="1" saveData="1">
    <webPr xl2000="1" url="http://download.finance.yahoo.com/d/quotes.csv?s=ABRE11.SA+ABRE3.SA+ABRE4.SA+AHEB3.SA+AHEB5.SA+AHEB6.SA+ALPA3.SA+ALPA4.SA+AMAR3.SA+ARZZ3.SA+BISA3.SA+BMKS3.SA+BMTO3.SA+BMTO4.SA+BSEV3.SA+CALI3.SA+CALI4.SA+CAMB3.SA+CAMB4.SA+CEDO3.SA+CEDO4.SA+CGRA3.SA+CGRA4.SA+CRDE3.SA+CTKA3.SA+CTKA4.SA+CTNM3.SA+CTNM4.SA+CTSA3.SA+CTSA4.SA+CTSA8.SA+CVCB3.SA+CYRE3.SA+DIRR3.SA+DOHL3.SA+DOHL4.SA+ECPR3.SA+ECPR4.SA+ESTR3.SA+ESTR4.SA+EVEN3.SA+EZTC3.SA+GFSA3.SA+GUAR3.SA+GUAR4.SA+HBOR3.SA+HETA3.SA+HETA4.SA+HGTX3.SA+IGBR3.SA+IGUA3.SA+IGUA5.SA+IGUA6.SA+IMCH3.SA+JFEN3.SA+JHSF3.SA+JOPA3.SA+JOPA4.SA+LHER3.SA+LHER4.SA+LLIS3.SA+LREN3.SA+MGLU3.SA+MNDL3.SA+MRVE3.SA+NAFG3.SA+NAFG4.SA+NETC3.SA+NETC4.SA+PDGR3.SA+PTNT3.SA+PTNT4.SA+RDNI3.SA+RENT3.SA+RNAR3.SA+RSID3.SA+SGEN3.SA+SGEN4.SA+SGPS3.SA+SHOW3.SA+SLCE3.SA+SLED3.SA+SLED4.SA+SMTO3.SA+SPRI3.SA+SPRI5.SA+SPRI6.SA+TCSA3.SA+TECN3.SA+TENE3.SA+TENE5.SA+TENE6.SA+TENE7.SA+TOYB3.SA+TOYB4.SA+TRIS3.SA+UCAS3.SA+VAGR3.SA+VIVR3.SA+VVAR11.SA+VVAR3.SA+VVAR4.SA+WHRL3.SA+WHRL4.SA+WMBY3.SA&amp;f=nol1hgd1" htmlFormat="all"/>
  </connection>
  <connection id="900" name="Connection148" type="4" refreshedVersion="4" background="1" saveData="1">
    <webPr xl2000="1" url="http://download.finance.yahoo.com/d/quotes.csv?s=AZEV3.SA+AZEV4.SA+LIXC3.SA+LIXC4.SA+MEND3.SA+MEND5.SA+MEND6.SA+SULT3.SA+SULT4.SA+SOND3.SA+SOND5.SA+SOND6.SA+TCNO3.SA+TCNO4.SA+BBRK3.SA+LPSB3.SA+CCHI3.SA+CCHI4.SA+HAGA3.SA+HAGA4.SA+PTBL3.SA+CTAX11.SA+CTAX3.SA+CTAX4.SA+CARD3.SA+DTCY3.SA+DTCY4.SA+MILS3.SA+VLID3.SA+ARTR3.SA+CCRO3.SA+ECOR3.SA+TPIS3.SA+IMBI3.SA+IMBI4.SA+LLXL3.SA+STBP11.SA+STBP3.SA+STBP4.SA+GOLL3.SA+GOLL4.SA+ALLL3.SA+VSPT3.SA+VSPT4.SA+LOGN3.SA+LUXM3.SA+LUXM4.SA+JSLG3.SA+TGMA3.SA+SGAS3.SA+SGAS4.SA+FRIO3.SA&amp;f=nol1hgd1" htmlFormat="all"/>
  </connection>
  <connection id="901" name="Connection149" type="4" refreshedVersion="4" background="1" saveData="1">
    <webPr xl2000="1" url="http://download.finance.yahoo.com/d/quotes.csv?s=AZEV3.SA+AZEV4.SA+LIXC3.SA+LIXC4.SA+MEND3.SA+MEND5.SA+MEND6.SA+SULT3.SA+SULT4.SA+SOND3.SA+SOND5.SA+SOND6.SA+TCNO3.SA+TCNO4.SA+BBRK3.SA+LPSB3.SA+CCHI3.SA+CCHI4.SA+HAGA3.SA+HAGA4.SA+PTBL3.SA+CTAX11.SA+CTAX3.SA+CTAX4.SA+CARD3.SA+DTCY3.SA+DTCY4.SA+MILS3.SA+VLID3.SA+ARTR3.SA+CCRO3.SA+ECOR3.SA+TPIS3.SA+IMBI3.SA+IMBI4.SA+LLXL3.SA+STBP11.SA+STBP3.SA+STBP4.SA+GOLL3.SA+GOLL4.SA+ALLL3.SA+VSPT3.SA+VSPT4.SA+LOGN3.SA+LUXM3.SA+LUXM4.SA+JSLG3.SA+TGMA3.SA+SGAS3.SA+SGAS4.SA+FRIO3.SA+FJTA3.SA+FJTA4.SA&amp;f=nol1hgd1" htmlFormat="all"/>
  </connection>
  <connection id="902" name="Connection15" type="4" refreshedVersion="4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+GSHP3.SA+MULT4.SA+TEMP3.SA+DASA3.SA+FLRY3.SA+ODPV3.SA+QUAL3.SA+BIOM3M.SA+CREM3.SA+NATU3.SA+BOBR3.SA+BOBR4.SA+CRUZ3.SA+LAME3.SA+LAME4.SA+BTOW3.SA+HYPE3.SA+RADL3.SA+BPHA3.SA+PNVL3.SA+PNVL4.SA+PFMR3.SA&amp;f=nol1hgd1" htmlFormat="all"/>
  </connection>
  <connection id="903" name="Connection150" type="4" refreshedVersion="4" background="1" saveData="1">
    <webPr xl2000="1" url="http://download.finance.yahoo.com/d/quotes.csv?s=AZEV3.SA+AZEV4.SA+LIXC3.SA+LIXC4.SA+MEND3.SA+MEND5.SA+MEND6.SA+SULT3.SA+SULT4.SA+SOND3.SA+SOND5.SA+SOND6.SA+TCNO3.SA+TCNO4.SA+BBRK3.SA+LPSB3.SA+CCHI3.SA+CCHI4.SA+HAGA3.SA+HAGA4.SA+PTBL3.SA+CTAX11.SA+CTAX3.SA+CTAX4.SA+CARD3.SA+DTCY3.SA+DTCY4.SA+MILS3.SA+VLID3.SA+ARTR3.SA+CCRO3.SA+ECOR3.SA+TPIS3.SA+IMBI3.SA+IMBI4.SA+LLXL3.SA+STBP11.SA+STBP3.SA+STBP4.SA+GOLL3.SA+GOLL4.SA+ALLL3.SA+VSPT3.SA+VSPT4.SA+LOGN3.SA+LUXM3.SA+LUXM4.SA+JSLG3.SA+TGMA3.SA+SGAS3.SA+SGAS4.SA+FRIO3.SA+FJTA3.SA+FJTA4.SA+EALT3.SA+EALT4.SA+MTSA3.SA+MTSA4.SA&amp;f=nol1hgd1" htmlFormat="all"/>
  </connection>
  <connection id="904" name="Connection151" type="4" refreshedVersion="4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+GSHP3.SA+MULT4.SA+TEMP3.SA+DASA3.SA+FLRY3.SA+ODPV3.SA+QUAL3.SA+BIOM3M.SA+CREM3.SA+NATU3.SA+BOBR3.SA+BOBR4.SA+CRUZ3.SA+LAME3.SA+LAME4.SA+BTOW3.SA+HYPE3.SA+RADL3.SA+BPHA3.SA+PNVL3.SA+PNVL4.SA+PFMR3.SA&amp;f=nol1hgd1" htmlFormat="all"/>
  </connection>
  <connection id="905" name="Connection1511" type="4" refreshedVersion="4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+GSHP3.SA+MULT4.SA+TEMP3.SA+DASA3.SA+FLRY3.SA+ODPV3.SA+QUAL3.SA+BIOM3M.SA+CREM3.SA+NATU3.SA+BOBR3.SA+BOBR4.SA+CRUZ3.SA+LAME3.SA+LAME4.SA+BTOW3.SA+HYPE3.SA+RADL3.SA+BPHA3.SA+PNVL3.SA+PNVL4.SA+PFMR3.SA&amp;f=nol1hgd1" htmlFormat="all"/>
  </connection>
  <connection id="906" name="Connection15111" type="4" refreshedVersion="4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+GSHP3.SA+MULT4.SA+TEMP3.SA+DASA3.SA+FLRY3.SA+ODPV3.SA+QUAL3.SA+BIOM3M.SA+CREM3.SA+NATU3.SA+BOBR3.SA+BOBR4.SA+CRUZ3.SA+LAME3.SA+LAME4.SA+BTOW3.SA+HYPE3.SA+RADL3.SA+BPHA3.SA+PNVL3.SA+PNVL4.SA+PFMR3.SA&amp;f=nol1hgd1" htmlFormat="all"/>
  </connection>
  <connection id="907" name="Connection1512" type="4" refreshedVersion="4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+GSHP3.SA+MULT4.SA+TEMP3.SA+DASA3.SA+FLRY3.SA+ODPV3.SA+QUAL3.SA+BIOM3M.SA+CREM3.SA+NATU3.SA+BOBR3.SA+BOBR4.SA+CRUZ3.SA+LAME3.SA+LAME4.SA+BTOW3.SA+HYPE3.SA+RADL3.SA+BPHA3.SA+PNVL3.SA+PNVL4.SA+PFMR3.SA&amp;f=nol1hgd1" htmlFormat="all"/>
  </connection>
  <connection id="908" name="Connection152" type="4" refreshedVersion="4" background="1" saveData="1">
    <webPr xl2000="1" url="http://download.finance.yahoo.com/d/quotes.csv?s=AZEV3.SA+AZEV4.SA+LIXC3.SA+LIXC4.SA+MEND3.SA+MEND5.SA+MEND6.SA+SULT3.SA+SULT4.SA+SOND3.SA+SOND5.SA+SOND6.SA+TCNO3.SA+TCNO4.SA+BBRK3.SA+LPSB3.SA+CCHI3.SA+CCHI4.SA+HAGA3.SA+HAGA4.SA+PTBL3.SA+CTAX11.SA+CTAX3.SA+CTAX4.SA+CARD3.SA+DTCY3.SA+DTCY4.SA+MILS3.SA+VLID3.SA+ARTR3.SA+CCRO3.SA+ECOR3.SA+TPIS3.SA+IMBI3.SA+IMBI4.SA+LLXL3.SA+STBP11.SA+STBP3.SA+STBP4.SA+GOLL3.SA+GOLL4.SA+ALLL3.SA+VSPT3.SA+VSPT4.SA+LOGN3.SA+LUXM3.SA+LUXM4.SA+JSLG3.SA+TGMA3.SA+SGAS3.SA+SGAS4.SA+FRIO3.SA+FJTA3.SA+FJTA4.SA+EALT3.SA+EALT4.SA+MTSA3.SA+MTSA4.SA+BALM3.SA+BALM4.SA&amp;f=nol1hgd1" htmlFormat="all"/>
  </connection>
  <connection id="909" name="Connection153" type="4" refreshedVersion="4" background="1" saveData="1">
    <webPr xl2000="1" url="http://download.finance.yahoo.com/d/quotes.csv?s=ABCB4.SA+AELP3.SA+BAZA3.SA+BBAS3.SA+BBDC3.SA+BBDC4.SA+BEES3.SA+BEES4.SA+BGIP3.SA+BGIP4.SA+BICB3.SA+BICB4.SA+BMIN3.SA+BMIN4.SA+BNBR3.SA+BNBR4.SA+BRGE11.SA+BRGE12.SA+BRGE3.SA+BRGE5.SA+BRGE6.SA+BRGE7.SA+BRGE8.SA+BRIV3.SA+BRIV4.SA+BRSR3.SA+BRSR5.SA+BRSR6.SA+BSLI3.SA+BSLI4.SA+CASN3.SA+CEBR3.SA+CEBR5.SA+CEBR6.SA+CEEB3.SA+CEEB5.SA+CEPE5.SA+CEPE6.SA+CESP3.SA+CESP5.SA+CESP6.SA+CLSC4.SA+CMIG3.SA+CMIG4.SA+COCE3.SA+COCE5.SA+CPFE3.SA+CPLE3.SA+CPLE5.SA+CPLE6.SA+CSMG3.SA+CSRN3.SA+CSRN5.SA+CSRN6.SA+DAYC4.SA+EEEL3.SA+EEEL4.SA+ELET3.SA+ELET6.SA+ELPL3.SA+ELPL4.SA+EMAE4.SA+ENBR3.SA+ENGI11.SA+ENGI3.SA+ENGI4.SA+ENMA3B.SA+EQTL3.SA+FESA3.SA+FESA4.SA+GEPA3.SA+GEPA4.SA+GETI3.SA+GETI4.SA+GTDP3B.SA+GTDP4B.SA+ITSA3.SA+ITSA4.SA+ITUB3.SA+ITUB4.SA+KLBN3.SA+KLBN4.SA+LIGT3.SA+LIPR3.SA+PINE4.SA+PRBC4.SA+PSSA3.SA+RANI3.SA+RANI4.SA+RDTR3.SA+RPAD3.SA+RPAD5.SA+RPAD6.SA+SAPR3.SA+SAPR4.SA+SBSP3.SA+SFSA4.SA+SUZB5.SA+SUZB6.SA+TAEE11.SA+TBLE3.SA+TRPL3.SA+TRPL4.SA+UNIP5.SA+UNIP6.SA+PATI3.SA&amp;f=nol1hgd1" htmlFormat="all"/>
  </connection>
  <connection id="910" name="Connection154" type="4" refreshedVersion="4" background="1" saveData="1">
    <webPr xl2000="1" url="http://download.finance.yahoo.com/d/quotes.csv?s=ABCB3.SA+AFLT3.SA+AFLU3.SA+AFLU5.SA+AFLU6.SA+ALSC3.SA+ALUP11.SA+ALUP3.SA+ALUP4.SA+BAHI3.SA+BBSE3.SA+BRAP3.SA+BRAP4.SA+BRFS3.SA+BRIN3.SA+BRKM3.SA+BRKM5.SA+BRKM6.SA+BRML3.SA+BRPR3.SA+BVMF3.SA+CBEE3.SA+CCPR3.SA+CEEB6.SA+CELP3.SA+CELP5.SA+CELP6.SA+CELP7.SA+CIEL3.SA+CIQU3.SA+CIQU4.SA+clsc3.SA+CRIV3.SA+CRIV4.SA+CSAB3.SA+CSAB4.SA+CSAN3.SA+CTIP3.SA+DTEX3.SA+EBTP4.SA+ELEK3.SA+ELEK4.SA+elet5.SA+ETER3.SA+EUCA4.SA+GPAR3.SA+HBTS5.SA+IGTA3.SA+JBSS3.SA+JOPA3.SA+JOPA4.SA+LCAM3.SA+MAGG3.SA+MERC3.SA+MERC4.SA+MOAR3.SA+MULT3.SA+NUTR3M.SA+OIBR3.SA+OIBR4.SA+PATI4.SA+PETR3.SA+PETR4.SA+PRVI3.SA+PTPA4.SA+QGEP3.SA+SCAR3.SA+SMTO3.SA+SSBR3.SA+SULA11.SA+TERI3.SA+TIMP3.SA+TKNO4.SA+TRPN3.SA+UGPA3.SA+UNIP3.SA+VALE5.SA+VIGR3.SA+VIVT3.SA+VIVT4.SA+CEPE3.SA+COCE6.SA+ENMA5B.SA+ENMA6B.SA+CEED3.SA+CEED4.SA+EKTR3.SA+EKTR4.SA+ENEV3.SA+REDE3.SA+REDE4.SA+RNEW11.SA+RNEW3.SA+RNEW4.SA+TAEE3.SA+TAEE4.SA+CSAN4.SA+CGAS3.SA+CGAS5.SA+CEGR3.SA+INET3.SA+EBTP3.SA+MLFT3.SA+MLFT4.SA+LFFE3.SA+LFFE4.SA&amp;f=nol1hgd1" htmlFormat="all"/>
  </connection>
  <connection id="911" name="Connection155" type="4" refreshedVersion="4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CAFE4.SA+PEAB3.SA+PEAB4.SA+SULA3.SA+SULA4.SA+BTTL3.SA+BTTL4.SA+HBTS3.SA+HBTS6.SA+DOCA3.SA+DOCA4.SA+JBDU3.SA+JBDU4.SA+AGRO3.SA+CORR3.SA+CORR4.SA+GSHP3.SA+MULT4.SA+TEMP3.SA+DASA3.SA+FLRY3.SA+ODPV3.SA+QUAL3.SA+BIOM3M.SA+CREM3.SA+NATU3.SA+BOBR3.SA+BOBR4.SA+CRUZ3.SA+LAME3.SA+LAME4.SA+BTOW3.SA+HYPE3.SA+RADL3.SA+BPHA3.SA+PNVL3.SA+PNVL4.SA+PFRM3.SA+PCAR3.SA+PCAR4.SA+ABEV3.SA+VIGR3.SA+CLAN3.SA+CLAN4.SA+MNPR3.SA+BAUH3.SA+BAUH4.SA+BEEF3.SA+MRFG3.SA+CAFE3.SA&amp;f=nol1hgd1" htmlFormat="all"/>
  </connection>
  <connection id="912" name="Connection156" type="4" refreshedVersion="4" background="1" saveData="1">
    <webPr xl2000="1" url="http://download.finance.yahoo.com/d/quotes.csv?s=ABRE11.SA+ABRE3.SA+ABRE4.SA+AHEB3.SA+AHEB5.SA+AHEB6.SA+ALPA3.SA+ALPA4.SA+AMAR3.SA+ARZZ3.SA+BISA3.SA+BMKS3.SA+BMTO3.SA+BMTO4.SA+BSEV3.SA+CALI3.SA+CALI4.SA+CAMB3.SA+CAMB4.SA+CEDO3.SA+CEDO4.SA+CGRA3.SA+CGRA4.SA+CRDE3.SA+CTKA3.SA+CTKA4.SA+CTNM3.SA+CTNM4.SA+CTSA3.SA+CTSA4.SA+CTSA8.SA+CVCB3.SA+CYRE3.SA+DIRR3.SA+DOHL3.SA+DOHL4.SA+ECPR3.SA+ECPR4.SA+ESTR3.SA+ESTR4.SA+EVEN3.SA+EZTC3.SA+GFSA3.SA+GUAR3.SA+GUAR4.SA+HBOR3.SA+HETA3.SA+HETA4.SA+HGTX3.SA+IGBR3.SA+IGUA3.SA+IGUA5.SA+IGUA6.SA+IMCH3.SA+JFEN3.SA+JHSF3.SA+JOPA3.SA+JOPA4.SA+LHER3.SA+LHER4.SA+LLIS3.SA+LREN3.SA+MGLU3.SA+MNDL3.SA+MRVE3.SA+NAFG3.SA+NAFG4.SA+NETC3.SA+NETC4.SA+PDGR3.SA+PTNT3.SA+PTNT4.SA+RDNI3.SA+RENT3.SA+RNAR3.SA+RSID3.SA+SGEN3.SA+SGEN4.SA+SGPS3.SA+SHOW3.SA+SLCE3.SA+SLED3.SA+SLED4.SA+SMTO3.SA+SPRI3.SA+SPRI5.SA+SPRI6.SA+TCSA3.SA+TECN3.SA+TENE3.SA+TENE5.SA+TENE6.SA+TENE7.SA+TOYB3.SA+TOYB4.SA+TRIS3.SA+UCAS3.SA+VAGR3.SA+VIVR3.SA+VVAR11.SA+VVAR3.SA+VVAR4.SA+WHRL3.SA+WHRL4.SA+WMBY3.SA&amp;f=nol1hgd1" htmlFormat="all"/>
  </connection>
  <connection id="913" name="Connection157" type="4" refreshedVersion="4" background="1" saveData="1">
    <webPr xl2000="1" url="http://download.finance.yahoo.com/d/quotes.csv?s=AZEV3.SA+AZEV4.SA+LIXC3.SA+LIXC4.SA+MEND3.SA+MEND5.SA+MEND6.SA+SULT3.SA+SULT4.SA+SOND3.SA+SOND5.SA+SOND6.SA+TCNO3.SA+TCNO4.SA+BBRK3.SA+LPSB3.SA+CCHI3.SA+CCHI4.SA+HAGA3.SA+HAGA4.SA+PTBL3.SA+CTAX11.SA+CTAX3.SA+CTAX4.SA+CARD3.SA+DTCY3.SA+DTCY4.SA+MILS3.SA+VLID3.SA+ARTR3.SA+CCRO3.SA+ECOR3.SA+TPIS3.SA+IMBI3.SA+IMBI4.SA+LLXL3.SA+STBP11.SA+STBP3.SA+STBP4.SA+GOLL3.SA+GOLL4.SA+ALLL3.SA+VSPT3.SA+VSPT4.SA+LOGN3.SA+LUXM3.SA+LUXM4.SA+JSLG3.SA+TGMA3.SA+SGAS3.SA+SGAS4.SA+FRIO3.SA+FJTA3.SA+FJTA4.SA+EALT3.SA+EALT4.SA+MTSA3.SA+MTSA4.SA+BALM3.SA+BALM4.SA&amp;f=nol1hgd1" htmlFormat="all"/>
  </connection>
  <connection id="914" name="Connection158" type="4" refreshedVersion="4" background="1" saveData="1">
    <webPr xl2000="1" url="http://download.finance.yahoo.com/d/quotes.csv?s=AZEV3.SA+AZEV4.SA+LIXC3.SA+LIXC4.SA+MEND3.SA+MEND5.SA+MEND6.SA+SULT3.SA+SULT4.SA+SOND3.SA+SOND5.SA+SOND6.SA+TCNO3.SA+TCNO4.SA+BBRK3.SA+LPSB3.SA+CCHI3.SA+CCHI4.SA+HAGA3.SA+HAGA4.SA+PTBL3.SA+CTAX11.SA+CTAX3.SA+CTAX4.SA+CARD3.SA+DTCY3.SA+DTCY4.SA+MILS3.SA+VLID3.SA+ARTR3.SA+CCRO3.SA+ECOR3.SA+TPIS3.SA+IMBI3.SA+IMBI4.SA+LLXL3.SA+STBP11.SA+STBP3.SA+STBP4.SA+GOLL3.SA+GOLL4.SA+ALLL3.SA+VSPT3.SA+VSPT4.SA+LOGN3.SA+LUXM3.SA+LUXM4.SA+JSLG3.SA+TGMA3.SA+SGAS3.SA+SGAS4.SA+FRIO3.SA+FJTA3.SA+FJTA4.SA+EALT3.SA+EALT4.SA+MTSA3.SA+MTSA4.SA+BALM3.SA+BALM4.SA+BDLL3.SA+BDLL4.SA+ROMI3.SA+INEP3.SA+INEP4.SA+KEPL3.SA+NORD3.SA&amp;f=nol1hgd1" htmlFormat="all"/>
  </connection>
  <connection id="915" name="Connection159" type="4" refreshedVersion="4" background="1" saveData="1">
    <webPr xl2000="1" url="http://download.finance.yahoo.com/d/quotes.csv?s=AZEV3.SA+AZEV4.SA+LIXC3.SA+LIXC4.SA+MEND3.SA+MEND5.SA+MEND6.SA+SULT3.SA+SULT4.SA+SOND3.SA+SOND5.SA+SOND6.SA+TCNO3.SA+TCNO4.SA+BBRK3.SA+LPSB3.SA+CCHI3.SA+CCHI4.SA+HAGA3.SA+HAGA4.SA+PTBL3.SA+CTAX11.SA+CTAX3.SA+CTAX4.SA+CARD3.SA+DTCY3.SA+DTCY4.SA+MILS3.SA+VLID3.SA+ARTR3.SA+CCRO3.SA+ECOR3.SA+TPIS3.SA+IMBI3.SA+IMBI4.SA+LLXL3.SA+STBP11.SA+STBP3.SA+STBP4.SA+GOLL3.SA+GOLL4.SA+ALLL3.SA+VSPT3.SA+VSPT4.SA+LOGN3.SA+LUXM3.SA+LUXM4.SA+JSLG3.SA+TGMA3.SA+SGAS3.SA+SGAS4.SA+FRIO3.SA+FJTA3.SA+FJTA4.SA+EALT3.SA+EALT4.SA+MTSA3.SA+MTSA4.SA+BALM3.SA+BALM4.SA+BDLL3.SA+BDLL4.SA+ROMI3.SA+INEP3.SA+INEP4.SA+KEPL3.SA+NORD3.SA+SHUL3.SA+SHUL4.SA+WEGE3.SA&amp;f=nol1hgd1" htmlFormat="all"/>
  </connection>
  <connection id="916" name="Connection16" type="4" refreshedVersion="4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+GSHP3.SA+MULT4.SA+TEMP3.SA+DASA3.SA+FLRY3.SA+ODPV3.SA+QUAL3.SA+BIOM3M.SA+CREM3.SA+NATU3.SA+BOBR3.SA+BOBR4.SA+CRUZ3.SA+LAME3.SA+LAME4.SA+BTOW3.SA+HYPE3.SA+RADL3.SA+BPHA3.SA+PNVL3.SA+PNVL4.SA+PFRM3.SA&amp;f=nol1hgd1" htmlFormat="all"/>
  </connection>
  <connection id="917" name="Connection160" type="4" refreshedVersion="4" background="1" saveData="1">
    <webPr xl2000="1" url="http://download.finance.yahoo.com/d/quotes.csv?s=AZEV3.SA+AZEV4.SA+LIXC3.SA+LIXC4.SA+MEND3.SA+MEND5.SA+MEND6.SA+SULT3.SA+SULT4.SA+SOND3.SA+SOND5.SA+SOND6.SA+TCNO3.SA+TCNO4.SA+BBRK3.SA+LPSB3.SA+CCHI3.SA+CCHI4.SA+HAGA3.SA+HAGA4.SA+PTBL3.SA+CTAX11.SA+CTAX3.SA+CTAX4.SA+CARD3.SA+DTCY3.SA+DTCY4.SA+MILS3.SA+VLID3.SA+ARTR3.SA+CCRO3.SA+ECOR3.SA+TPIS3.SA+IMBI3.SA+IMBI4.SA+LLXL3.SA+STBP11.SA+STBP3.SA+STBP4.SA+GOLL3.SA+GOLL4.SA+ALLL3.SA+VSPT3.SA+VSPT4.SA+LOGN3.SA+LUXM3.SA+LUXM4.SA+JSLG3.SA+TGMA3.SA+SGAS3.SA+SGAS4.SA+FRIO3.SA+FJTA3.SA+FJTA4.SA+EALT3.SA+EALT4.SA+MTSA3.SA+MTSA4.SA+BALM3.SA+BALM4.SA+BDLL3.SA+BDLL4.SA+ROMI3.SA+INEP3.SA+INEP4.SA+KEPL3.SA+NORD3.SA+SHUL3.SA+SHUL4.SA+WEGE3.SA+EMBR3.SA&amp;f=nol1hgd1" htmlFormat="all"/>
  </connection>
  <connection id="918" name="Connection161" type="4" refreshedVersion="4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+GSHP3.SA+MULT4.SA+TEMP3.SA+DASA3.SA+FLRY3.SA+ODPV3.SA+QUAL3.SA+BIOM3M.SA+CREM3.SA+NATU3.SA+BOBR3.SA+BOBR4.SA+CRUZ3.SA+LAME3.SA+LAME4.SA+BTOW3.SA+HYPE3.SA+RADL3.SA+BPHA3.SA+PNVL3.SA+PNVL4.SA+PFRM3.SA&amp;f=nol1hgd1" htmlFormat="all"/>
  </connection>
  <connection id="919" name="Connection1611" type="4" refreshedVersion="4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+GSHP3.SA+MULT4.SA+TEMP3.SA+DASA3.SA+FLRY3.SA+ODPV3.SA+QUAL3.SA+BIOM3M.SA+CREM3.SA+NATU3.SA+BOBR3.SA+BOBR4.SA+CRUZ3.SA+LAME3.SA+LAME4.SA+BTOW3.SA+HYPE3.SA+RADL3.SA+BPHA3.SA+PNVL3.SA+PNVL4.SA+PFRM3.SA&amp;f=nol1hgd1" htmlFormat="all"/>
  </connection>
  <connection id="920" name="Connection16111" type="4" refreshedVersion="4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+GSHP3.SA+MULT4.SA+TEMP3.SA+DASA3.SA+FLRY3.SA+ODPV3.SA+QUAL3.SA+BIOM3M.SA+CREM3.SA+NATU3.SA+BOBR3.SA+BOBR4.SA+CRUZ3.SA+LAME3.SA+LAME4.SA+BTOW3.SA+HYPE3.SA+RADL3.SA+BPHA3.SA+PNVL3.SA+PNVL4.SA+PFRM3.SA&amp;f=nol1hgd1" htmlFormat="all"/>
  </connection>
  <connection id="921" name="Connection1612" type="4" refreshedVersion="4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+GSHP3.SA+MULT4.SA+TEMP3.SA+DASA3.SA+FLRY3.SA+ODPV3.SA+QUAL3.SA+BIOM3M.SA+CREM3.SA+NATU3.SA+BOBR3.SA+BOBR4.SA+CRUZ3.SA+LAME3.SA+LAME4.SA+BTOW3.SA+HYPE3.SA+RADL3.SA+BPHA3.SA+PNVL3.SA+PNVL4.SA+PFRM3.SA&amp;f=nol1hgd1" htmlFormat="all"/>
  </connection>
  <connection id="922" name="Connection162" type="4" refreshedVersion="4" background="1" saveData="1">
    <webPr xl2000="1" url="http://download.finance.yahoo.com/d/quotes.csv?s=AZEV3.SA+AZEV4.SA+LIXC3.SA+LIXC4.SA+MEND3.SA+MEND5.SA+MEND6.SA+SULT3.SA+SULT4.SA+SOND3.SA+SOND5.SA+SOND6.SA+TCNO3.SA+TCNO4.SA+BBRK3.SA+LPSB3.SA+CCHI3.SA+CCHI4.SA+HAGA3.SA+HAGA4.SA+PTBL3.SA+CTAX11.SA+CTAX3.SA+CTAX4.SA+CARD3.SA+DTCY3.SA+DTCY4.SA+MILS3.SA+VLID3.SA+ARTR3.SA+CCRO3.SA+ECOR3.SA+TPIS3.SA+IMBI3.SA+IMBI4.SA+LLXL3.SA+STBP11.SA+STBP3.SA+STBP4.SA+GOLL3.SA+GOLL4.SA+ALLL3.SA+VSPT3.SA+VSPT4.SA+LOGN3.SA+LUXM3.SA+LUXM4.SA+JSLG3.SA+TGMA3.SA+SGAS3.SA+SGAS4.SA+FRIO3.SA+FJTA3.SA+FJTA4.SA+EALT3.SA+EALT4.SA+MTSA3.SA+MTSA4.SA+BALM3.SA+BALM4.SA+BDLL3.SA+BDLL4.SA+ROMI3.SA+INEP3.SA+INEP4.SA+KEPL3.SA+NORD3.SA+SHUL3.SA+SHUL4.SA+WEGE3.SA+EMBR3.SA+CBMA3.SA+CBMA4.SA&amp;f=nol1hgd1" htmlFormat="all"/>
  </connection>
  <connection id="923" name="Connection163" type="4" refreshedVersion="4" background="1" saveData="1">
    <webPr xl2000="1" url="http://download.finance.yahoo.com/d/quotes.csv?s=AZEV3.SA+AZEV4.SA+LIXC3.SA+LIXC4.SA+MEND3.SA+MEND5.SA+MEND6.SA+SULT3.SA+SULT4.SA+SOND3.SA+SOND5.SA+SOND6.SA+TCNO3.SA+TCNO4.SA+BBRK3.SA+LPSB3.SA+CCHI3.SA+CCHI4.SA+HAGA3.SA+HAGA4.SA+PTBL3.SA+CTAX11.SA+CTAX3.SA+CTAX4.SA+CARD3.SA+DTCY3.SA+DTCY4.SA+MILS3.SA+VLID3.SA+ARTR3.SA+CCRO3.SA+ECOR3.SA+TPIS3.SA+IMBI3.SA+IMBI4.SA+LLXL3.SA+STBP11.SA+STBP3.SA+STBP4.SA+GOLL3.SA+GOLL4.SA+ALLL3.SA+VSPT3.SA+VSPT4.SA+LOGN3.SA+LUXM3.SA+LUXM4.SA+JSLG3.SA+TGMA3.SA+SGAS3.SA+SGAS4.SA+FRIO3.SA+FJTA3.SA+FJTA4.SA+EALT3.SA+EALT4.SA+MTSA3.SA+MTSA4.SA+BALM3.SA+BALM4.SA+BDLL3.SA+BDLL4.SA+ROMI3.SA+INEP3.SA+INEP4.SA+KEPL3.SA+NORD3.SA+SHUL3.SA+SHUL4.SA+WEGE3.SA+EMBR3.SA+CBMA3.SA+CBMA4.SA+AUTM3.SA+DHBI3.SA+DHBI4.SA+MYKP3.SA+LEVE3.SA+POMO3.SA+RSUL3.SA+RSUL4.SA+PLAS3.SA+RAPT3.SA+RAPT4.SA+RCSL3.SA+TUPY3.SA+MWET3.SA+MWET4.SA&amp;f=nol1hgd1" htmlFormat="all"/>
  </connection>
  <connection id="924" name="Connection164" type="4" refreshedVersion="4" background="1" saveData="1">
    <webPr xl2000="1" url="http://download.finance.yahoo.com/d/quotes.csv?s=AZEV3.SA+AZEV4.SA+LIXC3.SA+LIXC4.SA+MEND3.SA+MEND5.SA+MEND6.SA+SULT3.SA+SULT4.SA+SOND3.SA+SOND5.SA+SOND6.SA+TCNO3.SA+TCNO4.SA+BBRK3.SA+LPSB3.SA+CCHI3.SA+CCHI4.SA+HAGA3.SA+HAGA4.SA+PTBL3.SA+CTAX11.SA+CTAX3.SA+CTAX4.SA+CARD3.SA+DTCY3.SA+DTCY4.SA+MILS3.SA+VLID3.SA+ARTR3.SA+CCRO3.SA+ECOR3.SA+TPIS3.SA+IMBI3.SA+IMBI4.SA+LLXL3.SA+STBP11.SA+STBP3.SA+STBP4.SA+GOLL3.SA+GOLL4.SA+ALLL3.SA+VSPT3.SA+VSPT4.SA+LOGN3.SA+LUXM3.SA+LUXM4.SA+JSLG3.SA+TGMA3.SA+SGAS3.SA+SGAS4.SA+FRIO3.SA+FJTA3.SA+FJTA4.SA+EALT3.SA+EALT4.SA+MTSA3.SA+MTSA4.SA+BALM3.SA+BALM4.SA+BDLL3.SA+BDLL4.SA+ROMI3.SA+INEP3.SA+INEP4.SA+KEPL3.SA+NORD3.SA+SHUL3.SA+SHUL4.SA+WEGE3.SA+EMBR3.SA+CBMA3.SA+CBMA4.SA+AUTM3.SA+DHBI3.SA+DHBI4.SA+MYPK3.SA+LEVE3.SA+POMO3.SA+RSUL3.SA+RSUL4.SA+PLAS3.SA+RAPT3.SA+RAPT4.SA+RCSL3.SA+TUPY3.SA+MWET3.SA+MWET4.SA&amp;f=nol1hgd1" htmlFormat="all"/>
  </connection>
  <connection id="925" name="Connection165" type="4" refreshedVersion="4" background="1" saveData="1">
    <webPr xl2000="1" url="http://download.finance.yahoo.com/d/quotes.csv?s=AZEV3.SA+AZEV4.SA+LIXC3.SA+LIXC4.SA+MEND3.SA+MEND5.SA+MEND6.SA+SULT3.SA+SULT4.SA+SOND3.SA+SOND5.SA+SOND6.SA+TCNO3.SA+TCNO4.SA+BBRK3.SA+LPSB3.SA+CCHI3.SA+CCHI4.SA+HAGA3.SA+HAGA4.SA+PTBL3.SA+CTAX11.SA+CTAX3.SA+CTAX4.SA+CARD3.SA+DTCY3.SA+DTCY4.SA+MILS3.SA+VLID3.SA+ARTR3.SA+CCRO3.SA+ECOR3.SA+TPIS3.SA+IMBI3.SA+IMBI4.SA+LLXL3.SA+STBP11.SA+STBP3.SA+STBP4.SA+GOLL3.SA+GOLL4.SA+ALLL3.SA+VSPT3.SA+VSPT4.SA+LOGN3.SA+LUXM3.SA+LUXM4.SA+JSLG3.SA+TGMA3.SA+SGAS3.SA+SGAS4.SA+FRIO3.SA+FJTA3.SA+FJTA4.SA+EALT3.SA+EALT4.SA+MTSA3.SA+MTSA4.SA+BALM3.SA+BALM4.SA+BDLL3.SA+BDLL4.SA+ROMI3.SA+INEP3.SA+INEP4.SA+KEPL3.SA+NORD3.SA+SHUL3.SA+SHUL4.SA+WEGE3.SA+EMBR3.SA+CBMA3.SA+CBMA4.SA+AUTM3.SA+DHBI3.SA+DHBI4.SA+MYPK3.SA+LEVE3.SA+POMO3.SA+RSUL3.SA+RSUL4.SA+PLAS3.SA+RAPT3.SA+RAPT4.SA+RCSL3.SA+TUPY3.SA+MWET3.SA+MWET4.SA+FRAS3.SA&amp;f=nol1hgd1" htmlFormat="all"/>
  </connection>
  <connection id="926" name="Connection166" type="4" refreshedVersion="4" background="1" saveData="1">
    <webPr xl2000="1" url="http://download.finance.yahoo.com/d/quotes.csv?s=AZEV3.SA+AZEV4.SA+LIXC3.SA+LIXC4.SA+MEND3.SA+MEND5.SA+MEND6.SA+SULT3.SA+SULT4.SA+SOND3.SA+SOND5.SA+SOND6.SA+TCNO3.SA+TCNO4.SA+BBRK3.SA+LPSB3.SA+CCHI3.SA+CCHI4.SA+HAGA3.SA+HAGA4.SA+PTBL3.SA+CTAX11.SA+CTAX3.SA+CTAX4.SA+CARD3.SA+DTCY3.SA+DTCY4.SA+MILS3.SA+VLID3.SA+ARTR3.SA+CCRO3.SA+ECOR3.SA+TPIS3.SA+IMBI3.SA+IMBI4.SA+LLXL3.SA+STBP11.SA+STBP3.SA+STBP4.SA+GOLL3.SA+GOLL4.SA+ALLL3.SA+VSPT3.SA+VSPT4.SA+LOGN3.SA+LUXM3.SA+LUXM4.SA+JSLG3.SA+TGMA3.SA+SGAS3.SA+SGAS4.SA+FRIO3.SA+FJTA3.SA+FJTA4.SA+EALT3.SA+EALT4.SA+MTSA3.SA+MTSA4.SA+BALM3.SA+BALM4.SA+BDLL3.SA+BDLL4.SA+ROMI3.SA+INEP3.SA+INEP4.SA+KEPL3.SA+NORD3.SA+SHUL3.SA+SHUL4.SA+WEGE3.SA+EMBR3.SA+CBMA3.SA+CBMA4.SA+AUTM3.SA+DHBI3.SA+DHBI4.SA+MYPK3.SA+LEVE3.SA+POMO3.SA+RSUL3.SA+RSUL4.SA+PLAS3.SA+RAPT3.SA+RAPT4.SA+RCSL3.SA+TUPY3.SA+MWET3.SA+MWET4.SA+FRAS3.SA+POMO4.SA&amp;f=nol1hgd1" htmlFormat="all"/>
  </connection>
  <connection id="927" name="Connection167" type="4" refreshedVersion="4" background="1" saveData="1">
    <webPr xl2000="1" url="http://download.finance.yahoo.com/d/quotes.csv?s=AZEV3.SA+AZEV4.SA+LIXC3.SA+LIXC4.SA+MEND3.SA+MEND5.SA+MEND6.SA+SULT3.SA+SULT4.SA+SOND3.SA+SOND5.SA+SOND6.SA+TCNO3.SA+TCNO4.SA+BBRK3.SA+LPSB3.SA+CCHI3.SA+CCHI4.SA+HAGA3.SA+HAGA4.SA+PTBL3.SA+CTAX11.SA+CTAX3.SA+CTAX4.SA+CARD3.SA+DTCY3.SA+DTCY4.SA+MILS3.SA+VLID3.SA+ARTR3.SA+CCRO3.SA+ECOR3.SA+TPIS3.SA+IMBI3.SA+IMBI4.SA+LLXL3.SA+STBP11.SA+STBP3.SA+STBP4.SA+GOLL3.SA+GOLL4.SA+ALLL3.SA+VSPT3.SA+VSPT4.SA+LOGN3.SA+LUXM3.SA+LUXM4.SA+JSLG3.SA+TGMA3.SA+SGAS3.SA+SGAS4.SA+FRIO3.SA+FJTA3.SA+FJTA4.SA+EALT3.SA+EALT4.SA+MTSA3.SA+MTSA4.SA+BALM3.SA+BALM4.SA+BDLL3.SA+BDLL4.SA+ROMI3.SA+INEP3.SA+INEP4.SA+KEPL3.SA+NORD3.SA+SHUL3.SA+SHUL4.SA+WEGE3.SA+EMBR3.SA+CBMA3.SA+CBMA4.SA+AUTM3.SA+DHBI3.SA+DHBI4.SA+MYPK3.SA+LEVE3.SA+POMO3.SA+RSUL3.SA+RSUL4.SA+PLAS3.SA+RAPT3.SA+RAPT4.SA+RCSL3.SA+TUPY3.SA+MWET3.SA+MWET4.SA+FRAS3.SA+POMO4.SA+RCSL4.SA&amp;f=nol1hgd1" htmlFormat="all"/>
  </connection>
  <connection id="928" name="Connection168" type="4" refreshedVersion="4" background="1" saveData="1">
    <webPr xl2000="1" url="http://download.finance.yahoo.com/d/quotes.csv?s=ABCB4.SA+AELP3.SA+BAZA3.SA+BBAS3.SA+BBDC3.SA+BBDC4.SA+BEES3.SA+BEES4.SA+BGIP3.SA+BGIP4.SA+BICB3.SA+BICB4.SA+BMIN3.SA+BMIN4.SA+BNBR3.SA+BNBR4.SA+BRGE11.SA+BRGE12.SA+BRGE3.SA+BRGE5.SA+BRGE6.SA+BRGE7.SA+BRGE8.SA+BRIV3.SA+BRIV4.SA+BRSR3.SA+BRSR5.SA+BRSR6.SA+BSLI3.SA+BSLI4.SA+CASN3.SA+CEBR3.SA+CEBR5.SA+CEBR6.SA+CEEB3.SA+CEEB5.SA+CEPE5.SA+CEPE6.SA+CESP3.SA+CESP5.SA+CESP6.SA+CLSC4.SA+CMIG3.SA+CMIG4.SA+COCE3.SA+COCE5.SA+CPFE3.SA+CPLE3.SA+CPLE5.SA+CPLE6.SA+CSMG3.SA+CSRN3.SA+CSRN5.SA+CSRN6.SA+DAYC4.SA+EEEL3.SA+EEEL4.SA+ELET3.SA+ELET6.SA+ELPL3.SA+ELPL4.SA+EMAE4.SA+ENBR3.SA+ENGI11.SA+ENGI3.SA+ENGI4.SA+ENMA3B.SA+EQTL3.SA+FESA3.SA+FESA4.SA+GEPA3.SA+GEPA4.SA+GETI3.SA+GETI4.SA+GTDP3B.SA+GTDP4B.SA+ITSA3.SA+ITSA4.SA+ITUB3.SA+ITUB4.SA+KLBN3.SA+KLBN4.SA+LIGT3.SA+LIPR3.SA+PINE4.SA+PRBC4.SA+PSSA3.SA+RANI3.SA+RANI4.SA+RDTR3.SA+RPAD3.SA+RPAD5.SA+RPAD6.SA+SAPR3.SA+SAPR4.SA+SBSP3.SA+SFSA4.SA+SUZB5.SA+SUZB6.SA+TAEE11.SA+TBLE3.SA+TRPL3.SA+TRPL4.SA+UNIP5.SA+UNIP6.SA+PATI3.SA&amp;f=nol1hgd1" htmlFormat="all"/>
  </connection>
  <connection id="929" name="Connection169" type="4" refreshedVersion="4" background="1" saveData="1">
    <webPr xl2000="1" url="http://download.finance.yahoo.com/d/quotes.csv?s=ABCB3.SA+AFLT3.SA+AFLU3.SA+AFLU5.SA+AFLU6.SA+ALSC3.SA+ALUP11.SA+ALUP3.SA+ALUP4.SA+BAHI3.SA+BBSE3.SA+BRAP3.SA+BRAP4.SA+BRFS3.SA+BRIN3.SA+BRKM3.SA+BRKM5.SA+BRKM6.SA+BRML3.SA+BRPR3.SA+BVMF3.SA+CBEE3.SA+CCPR3.SA+CEEB6.SA+CELP3.SA+CELP5.SA+CELP6.SA+CELP7.SA+CIEL3.SA+CIQU3.SA+CIQU4.SA+clsc3.SA+CRIV3.SA+CRIV4.SA+CSAB3.SA+CSAB4.SA+CSAN3.SA+CTIP3.SA+DTEX3.SA+EBTP4.SA+ELEK3.SA+ELEK4.SA+elet5.SA+ETER3.SA+EUCA4.SA+GPAR3.SA+HBTS5.SA+IGTA3.SA+JBSS3.SA+JOPA3.SA+JOPA4.SA+LCAM3.SA+MAGG3.SA+MERC3.SA+MERC4.SA+MOAR3.SA+MULT3.SA+NUTR3M.SA+OIBR3.SA+OIBR4.SA+PATI4.SA+PETR3.SA+PETR4.SA+PRVI3.SA+PTPA4.SA+QGEP3.SA+SCAR3.SA+SMTO3.SA+SSBR3.SA+SULA11.SA+TERI3.SA+TIMP3.SA+TKNO4.SA+TRPN3.SA+UGPA3.SA+UNIP3.SA+VALE5.SA+VIGR3.SA+VIVT3.SA+VIVT4.SA+CEPE3.SA+COCE6.SA+ENMA5B.SA+ENMA6B.SA+CEED3.SA+CEED4.SA+EKTR3.SA+EKTR4.SA+ENEV3.SA+REDE3.SA+REDE4.SA+RNEW11.SA+RNEW3.SA+RNEW4.SA+TAEE3.SA+TAEE4.SA+CSAN4.SA+CGAS3.SA+CGAS5.SA+CEGR3.SA+INET3.SA+EBTP3.SA+MLFT3.SA+MLFT4.SA+LFFE3.SA+LFFE4.SA&amp;f=nol1hgd1" htmlFormat="all"/>
  </connection>
  <connection id="930" name="Connection17" type="4" refreshedVersion="4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+GSHP3.SA+MULT4.SA+TEMP3.SA+DASA3.SA+FLRY3.SA+ODPV3.SA+QUAL3.SA+BIOM3M.SA+CREM3.SA+NATU3.SA+BOBR3.SA+BOBR4.SA+CRUZ3.SA+LAME3.SA+LAME4.SA+BTOW3.SA+HYPE3.SA+RADL3.SA+BPHA3.SA+PNVL3.SA+PNVL4.SA+PFRM3.SA+PCAR3.SA+PCAR4.SA&amp;f=nol1hgd1" htmlFormat="all"/>
  </connection>
  <connection id="931" name="Connection170" type="4" refreshedVersion="4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CAFE4.SA+PEAB3.SA+PEAB4.SA+SULA3.SA+SULA4.SA+BTTL3.SA+BTTL4.SA+HBTS3.SA+HBTS6.SA+DOCA3.SA+DOCA4.SA+JBDU3.SA+JBDU4.SA+AGRO3.SA+CORR3.SA+CORR4.SA+GSHP3.SA+MULT4.SA+TEMP3.SA+DASA3.SA+FLRY3.SA+ODPV3.SA+QUAL3.SA+BIOM3M.SA+CREM3.SA+NATU3.SA+BOBR3.SA+BOBR4.SA+CRUZ3.SA+LAME3.SA+LAME4.SA+BTOW3.SA+HYPE3.SA+RADL3.SA+BPHA3.SA+PNVL3.SA+PNVL4.SA+PFRM3.SA+PCAR3.SA+PCAR4.SA+ABEV3.SA+VIGR3.SA+CLAN3.SA+CLAN4.SA+MNPR3.SA+BAUH3.SA+BAUH4.SA+BEEF3.SA+MRFG3.SA+CAFE3.SA&amp;f=nol1hgd1" htmlFormat="all"/>
  </connection>
  <connection id="932" name="Connection171" type="4" refreshedVersion="4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+GSHP3.SA+MULT4.SA+TEMP3.SA+DASA3.SA+FLRY3.SA+ODPV3.SA+QUAL3.SA+BIOM3M.SA+CREM3.SA+NATU3.SA+BOBR3.SA+BOBR4.SA+CRUZ3.SA+LAME3.SA+LAME4.SA+BTOW3.SA+HYPE3.SA+RADL3.SA+BPHA3.SA+PNVL3.SA+PNVL4.SA+PFRM3.SA+PCAR3.SA+PCAR4.SA&amp;f=nol1hgd1" htmlFormat="all"/>
  </connection>
  <connection id="933" name="Connection1711" type="4" refreshedVersion="4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+GSHP3.SA+MULT4.SA+TEMP3.SA+DASA3.SA+FLRY3.SA+ODPV3.SA+QUAL3.SA+BIOM3M.SA+CREM3.SA+NATU3.SA+BOBR3.SA+BOBR4.SA+CRUZ3.SA+LAME3.SA+LAME4.SA+BTOW3.SA+HYPE3.SA+RADL3.SA+BPHA3.SA+PNVL3.SA+PNVL4.SA+PFRM3.SA+PCAR3.SA+PCAR4.SA&amp;f=nol1hgd1" htmlFormat="all"/>
  </connection>
  <connection id="934" name="Connection17111" type="4" refreshedVersion="4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+GSHP3.SA+MULT4.SA+TEMP3.SA+DASA3.SA+FLRY3.SA+ODPV3.SA+QUAL3.SA+BIOM3M.SA+CREM3.SA+NATU3.SA+BOBR3.SA+BOBR4.SA+CRUZ3.SA+LAME3.SA+LAME4.SA+BTOW3.SA+HYPE3.SA+RADL3.SA+BPHA3.SA+PNVL3.SA+PNVL4.SA+PFRM3.SA+PCAR3.SA+PCAR4.SA&amp;f=nol1hgd1" htmlFormat="all"/>
  </connection>
  <connection id="935" name="Connection1712" type="4" refreshedVersion="4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+GSHP3.SA+MULT4.SA+TEMP3.SA+DASA3.SA+FLRY3.SA+ODPV3.SA+QUAL3.SA+BIOM3M.SA+CREM3.SA+NATU3.SA+BOBR3.SA+BOBR4.SA+CRUZ3.SA+LAME3.SA+LAME4.SA+BTOW3.SA+HYPE3.SA+RADL3.SA+BPHA3.SA+PNVL3.SA+PNVL4.SA+PFRM3.SA+PCAR3.SA+PCAR4.SA&amp;f=nol1hgd1" htmlFormat="all"/>
  </connection>
  <connection id="936" name="Connection172" type="4" refreshedVersion="4" background="1" saveData="1">
    <webPr xl2000="1" url="http://download.finance.yahoo.com/d/quotes.csv?s=ABRE11.SA+ABRE3.SA+ABRE4.SA+AHEB3.SA+AHEB5.SA+AHEB6.SA+ALPA3.SA+ALPA4.SA+AMAR3.SA+ARZZ3.SA+BISA3.SA+BMKS3.SA+BMTO3.SA+BMTO4.SA+BSEV3.SA+CALI3.SA+CALI4.SA+CAMB3.SA+CAMB4.SA+CEDO3.SA+CEDO4.SA+CGRA3.SA+CGRA4.SA+CRDE3.SA+CTKA3.SA+CTKA4.SA+CTNM3.SA+CTNM4.SA+CTSA3.SA+CTSA4.SA+CTSA8.SA+CVCB3.SA+CYRE3.SA+DIRR3.SA+DOHL3.SA+DOHL4.SA+ECPR3.SA+ECPR4.SA+ESTR3.SA+ESTR4.SA+EVEN3.SA+EZTC3.SA+GFSA3.SA+GUAR3.SA+GUAR4.SA+HBOR3.SA+HETA3.SA+HETA4.SA+HGTX3.SA+IGBR3.SA+IGUA3.SA+IGUA5.SA+IGUA6.SA+IMCH3.SA+JFEN3.SA+JHSF3.SA+JOPA3.SA+JOPA4.SA+LHER3.SA+LHER4.SA+LLIS3.SA+LREN3.SA+MGLU3.SA+MNDL3.SA+MRVE3.SA+NAFG3.SA+NAFG4.SA+NETC3.SA+NETC4.SA+PDGR3.SA+PTNT3.SA+PTNT4.SA+RDNI3.SA+RENT3.SA+RNAR3.SA+RSID3.SA+SGEN3.SA+SGEN4.SA+SGPS3.SA+SHOW3.SA+SLCE3.SA+SLED3.SA+SLED4.SA+SMTO3.SA+SPRI3.SA+SPRI5.SA+SPRI6.SA+TCSA3.SA+TECN3.SA+TENE3.SA+TENE5.SA+TENE6.SA+TENE7.SA+TOYB3.SA+TOYB4.SA+TRIS3.SA+UCAS3.SA+VAGR3.SA+VIVR3.SA+VVAR11.SA+VVAR3.SA+VVAR4.SA+WHRL3.SA+WHRL4.SA+WMBY3.SA&amp;f=nol1hgd1" htmlFormat="all"/>
  </connection>
  <connection id="937" name="Connection173" type="4" refreshedVersion="4" background="1" saveData="1">
    <webPr xl2000="1" url="http://download.finance.yahoo.com/d/quotes.csv?s=AZEV3.SA+AZEV4.SA+LIXC3.SA+LIXC4.SA+MEND3.SA+MEND5.SA+MEND6.SA+SULT3.SA+SULT4.SA+SOND3.SA+SOND5.SA+SOND6.SA+TCNO3.SA+TCNO4.SA+BBRK3.SA+LPSB3.SA+CCHI3.SA+CCHI4.SA+HAGA3.SA+HAGA4.SA+PTBL3.SA+CTAX11.SA+CTAX3.SA+CTAX4.SA+CARD3.SA+DTCY3.SA+DTCY4.SA+MILS3.SA+VLID3.SA+ARTR3.SA+CCRO3.SA+ECOR3.SA+TPIS3.SA+IMBI3.SA+IMBI4.SA+LLXL3.SA+STBP11.SA+STBP3.SA+STBP4.SA+GOLL3.SA+GOLL4.SA+ALLL3.SA+VSPT3.SA+VSPT4.SA+LOGN3.SA+LUXM3.SA+LUXM4.SA+JSLG3.SA+TGMA3.SA+SGAS3.SA+SGAS4.SA+FRIO3.SA+FJTA3.SA+FJTA4.SA+EALT3.SA+EALT4.SA+MTSA3.SA+MTSA4.SA+BALM3.SA+BALM4.SA+BDLL3.SA+BDLL4.SA+ROMI3.SA+INEP3.SA+INEP4.SA+KEPL3.SA+NORD3.SA+SHUL3.SA+SHUL4.SA+WEGE3.SA+EMBR3.SA+CBMA3.SA+CBMA4.SA+AUTM3.SA+DHBI3.SA+DHBI4.SA+MYPK3.SA+LEVE3.SA+POMO3.SA+RSUL3.SA+RSUL4.SA+PLAS3.SA+RAPT3.SA+RAPT4.SA+RCSL3.SA+TUPY3.SA+MWET3.SA+MWET4.SA+FRAS3.SA+POMO4.SA+RCSL4.SA&amp;f=nol1hgd1" htmlFormat="all"/>
  </connection>
  <connection id="938" name="Connection174" type="4" refreshedVersion="4" background="1" saveData="1">
    <webPr xl2000="1" url="http://download.finance.yahoo.com/d/quotes.csv?s=ABCB4.SA+AELP3.SA+BAZA3.SA+BBAS3.SA+BBDC3.SA+BBDC4.SA+BEES3.SA+BEES4.SA+BGIP3.SA+BGIP4.SA+BICB3.SA+BICB4.SA+BMIN3.SA+BMIN4.SA+BNBR3.SA+BNBR4.SA+BRGE11.SA+BRGE12.SA+BRGE3.SA+BRGE5.SA+BRGE6.SA+BRGE7.SA+BRGE8.SA+BRIV3.SA+BRIV4.SA+BRSR3.SA+BRSR5.SA+BRSR6.SA+BSLI3.SA+BSLI4.SA+CASN3.SA+CEBR3.SA+CEBR5.SA+CEBR6.SA+CEEB3.SA+CEEB5.SA+CEPE5.SA+CEPE6.SA+CESP3.SA+CESP5.SA+CESP6.SA+CLSC4.SA+CMIG3.SA+CMIG4.SA+COCE3.SA+COCE5.SA+CPFE3.SA+CPLE3.SA+CPLE5.SA+CPLE6.SA+CSMG3.SA+CSRN3.SA+CSRN5.SA+CSRN6.SA+DAYC4.SA+EEEL3.SA+EEEL4.SA+ELET3.SA+ELET6.SA+ELPL3.SA+ELPL4.SA+EMAE4.SA+ENBR3.SA+ENGI11.SA+ENGI3.SA+ENGI4.SA+ENMA3B.SA+EQTL3.SA+FESA3.SA+FESA4.SA+GEPA3.SA+GEPA4.SA+GETI3.SA+GETI4.SA+GTDP3B.SA+GTDP4B.SA+ITSA3.SA+ITSA4.SA+ITUB3.SA+ITUB4.SA+KLBN3.SA+KLBN4.SA+LIGT3.SA+LIPR3.SA+PINE4.SA+PRBC4.SA+PSSA3.SA+RANI3.SA+RANI4.SA+RDTR3.SA+RPAD3.SA+RPAD5.SA+RPAD6.SA+SAPR3.SA+SAPR4.SA+SBSP3.SA+SFSA4.SA+SUZB5.SA+SUZB6.SA+TAEE11.SA+TBLE3.SA+TRPL3.SA+TRPL4.SA+UNIP5.SA+UNIP6.SA+PATI3.SA&amp;f=nol1hgd1" htmlFormat="all"/>
  </connection>
  <connection id="939" name="Connection175" type="4" refreshedVersion="4" background="1" saveData="1">
    <webPr xl2000="1" url="http://download.finance.yahoo.com/d/quotes.csv?s=ABCB3.SA+AFLT3.SA+AFLU3.SA+AFLU5.SA+AFLU6.SA+ALSC3.SA+ALUP11.SA+ALUP3.SA+ALUP4.SA+BAHI3.SA+BBSE3.SA+BRAP3.SA+BRAP4.SA+BRFS3.SA+BRIN3.SA+BRKM3.SA+BRKM5.SA+BRKM6.SA+BRML3.SA+BRPR3.SA+BVMF3.SA+CBEE3.SA+CCPR3.SA+CEEB6.SA+CELP3.SA+CELP5.SA+CELP6.SA+CELP7.SA+CIEL3.SA+CIQU3.SA+CIQU4.SA+clsc3.SA+CRIV3.SA+CRIV4.SA+CSAB3.SA+CSAB4.SA+CSAN3.SA+CTIP3.SA+DTEX3.SA+EBTP4.SA+ELEK3.SA+ELEK4.SA+elet5.SA+ETER3.SA+EUCA4.SA+GPAR3.SA+HBTS5.SA+IGTA3.SA+JBSS3.SA+JOPA3.SA+JOPA4.SA+LCAM3.SA+MAGG3.SA+MERC3.SA+MERC4.SA+MOAR3.SA+MULT3.SA+NUTR3M.SA+OIBR3.SA+OIBR4.SA+PATI4.SA+PETR3.SA+PETR4.SA+PRVI3.SA+PTPA4.SA+QGEP3.SA+SCAR3.SA+SMTO3.SA+SSBR3.SA+SULA11.SA+TERI3.SA+TIMP3.SA+TKNO4.SA+TRPN3.SA+UGPA3.SA+UNIP3.SA+VALE5.SA+VIGR3.SA+VIVT3.SA+VIVT4.SA+CEPE3.SA+COCE6.SA+ENMA5B.SA+ENMA6B.SA+CEED3.SA+CEED4.SA+EKTR3.SA+EKTR4.SA+ENEV3.SA+REDE3.SA+REDE4.SA+RNEW11.SA+RNEW3.SA+RNEW4.SA+TAEE3.SA+TAEE4.SA+CSAN4.SA+CGAS3.SA+CGAS5.SA+CEGR3.SA+INET3.SA+EBTP3.SA+MLFT3.SA+MLFT4.SA+LFFE3.SA+LFFE4.SA&amp;f=nol1hgd1" htmlFormat="all"/>
  </connection>
  <connection id="940" name="Connection176" type="4" refreshedVersion="4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CAFE4.SA+PEAB3.SA+PEAB4.SA+SULA3.SA+SULA4.SA+BTTL3.SA+BTTL4.SA+HBTS3.SA+HBTS6.SA+DOCA3.SA+DOCA4.SA+JBDU3.SA+JBDU4.SA+AGRO3.SA+CORR3.SA+CORR4.SA+GSHP3.SA+MULT4.SA+TEMP3.SA+DASA3.SA+FLRY3.SA+ODPV3.SA+QUAL3.SA+BIOM3M.SA+CREM3.SA+NATU3.SA+BOBR3.SA+BOBR4.SA+CRUZ3.SA+LAME3.SA+LAME4.SA+BTOW3.SA+HYPE3.SA+RADL3.SA+BPHA3.SA+PNVL3.SA+PNVL4.SA+PFRM3.SA+PCAR3.SA+PCAR4.SA+ABEV3.SA+VIGR3.SA+CLAN3.SA+CLAN4.SA+MNPR3.SA+BAUH3.SA+BAUH4.SA+BEEF3.SA+MRFG3.SA+CAFE3.SA&amp;f=nol1hgd1" htmlFormat="all"/>
  </connection>
  <connection id="941" name="Connection177" type="4" refreshedVersion="4" background="1" saveData="1">
    <webPr xl2000="1" url="http://download.finance.yahoo.com/d/quotes.csv?s=ABRE11.SA+ABRE3.SA+ABRE4.SA+AHEB3.SA+AHEB5.SA+AHEB6.SA+ALPA3.SA+ALPA4.SA+AMAR3.SA+ARZZ3.SA+BISA3.SA+BMKS3.SA+BMTO3.SA+BMTO4.SA+BSEV3.SA+CALI3.SA+CALI4.SA+CAMB3.SA+CAMB4.SA+CEDO3.SA+CEDO4.SA+CGRA3.SA+CGRA4.SA+CRDE3.SA+CTKA3.SA+CTKA4.SA+CTNM3.SA+CTNM4.SA+CTSA3.SA+CTSA4.SA+CTSA8.SA+CVCB3.SA+CYRE3.SA+DIRR3.SA+DOHL3.SA+DOHL4.SA+ECPR3.SA+ECPR4.SA+ESTR3.SA+ESTR4.SA+EVEN3.SA+EZTC3.SA+GFSA3.SA+GUAR3.SA+GUAR4.SA+HBOR3.SA+HETA3.SA+HETA4.SA+HGTX3.SA+IGBR3.SA+IGUA3.SA+IGUA5.SA+IGUA6.SA+IMCH3.SA+JFEN3.SA+JHSF3.SA+JOPA3.SA+JOPA4.SA+LHER3.SA+LHER4.SA+LLIS3.SA+LREN3.SA+MGLU3.SA+MNDL3.SA+MRVE3.SA+NAFG3.SA+NAFG4.SA+NETC3.SA+NETC4.SA+PDGR3.SA+PTNT3.SA+PTNT4.SA+RDNI3.SA+RENT3.SA+RNAR3.SA+RSID3.SA+SGEN3.SA+SGEN4.SA+SGPS3.SA+SHOW3.SA+SLCE3.SA+SLED3.SA+SLED4.SA+SMTO3.SA+SPRI3.SA+SPRI5.SA+SPRI6.SA+TCSA3.SA+TECN3.SA+TENE3.SA+TENE5.SA+TENE6.SA+TENE7.SA+TOYB3.SA+TOYB4.SA+TRIS3.SA+UCAS3.SA+VAGR3.SA+VIVR3.SA+VVAR11.SA+VVAR3.SA+VVAR4.SA+WHRL3.SA+WHRL4.SA+WMBY3.SA&amp;f=nol1hgd1" htmlFormat="all"/>
  </connection>
  <connection id="942" name="Connection178" type="4" refreshedVersion="4" background="1" saveData="1">
    <webPr xl2000="1" url="http://download.finance.yahoo.com/d/quotes.csv?s=AZEV3.SA+AZEV4.SA+LIXC3.SA+LIXC4.SA+MEND3.SA+MEND5.SA+MEND6.SA+SULT3.SA+SULT4.SA+SOND3.SA+SOND5.SA+SOND6.SA+TCNO3.SA+TCNO4.SA+BBRK3.SA+LPSB3.SA+CCHI3.SA+CCHI4.SA+HAGA3.SA+HAGA4.SA+PTBL3.SA+CTAX11.SA+CTAX3.SA+CTAX4.SA+CARD3.SA+DTCY3.SA+DTCY4.SA+MILS3.SA+VLID3.SA+ARTR3.SA+CCRO3.SA+ECOR3.SA+TPIS3.SA+IMBI3.SA+IMBI4.SA+LLXL3.SA+STBP11.SA+STBP3.SA+STBP4.SA+GOLL3.SA+GOLL4.SA+ALLL3.SA+VSPT3.SA+VSPT4.SA+LOGN3.SA+LUXM3.SA+LUXM4.SA+JSLG3.SA+TGMA3.SA+SGAS3.SA+SGAS4.SA+FRIO3.SA+FJTA3.SA+FJTA4.SA+EALT3.SA+EALT4.SA+MTSA3.SA+MTSA4.SA+BALM3.SA+BALM4.SA+BDLL3.SA+BDLL4.SA+ROMI3.SA+INEP3.SA+INEP4.SA+KEPL3.SA+NORD3.SA+SHUL3.SA+SHUL4.SA+WEGE3.SA+EMBR3.SA+CBMA3.SA+CBMA4.SA+AUTM3.SA+DHBI3.SA+DHBI4.SA+MYPK3.SA+LEVE3.SA+POMO3.SA+RSUL3.SA+RSUL4.SA+PLAS3.SA+RAPT3.SA+RAPT4.SA+RCSL3.SA+TUPY3.SA+MWET3.SA+MWET4.SA+FRAS3.SA+POMO4.SA+RCSL4.SA&amp;f=nol1hgd1" htmlFormat="all"/>
  </connection>
  <connection id="943" name="Connection18" type="4" refreshedVersion="4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+GSHP3.SA+MULT4.SA+TEMP3.SA+DASA3.SA+FLRY3.SA+ODPV3.SA+QUAL3.SA+BIOM3M.SA+CREM3.SA+NATU3.SA+BOBR3.SA+BOBR4.SA+CRUZ3.SA+LAME3.SA+LAME4.SA+BTOW3.SA+HYPE3.SA+RADL3.SA+BPHA3.SA+PNVL3.SA+PNVL4.SA+PFRM3.SA+PCAR3.SA+PCAR4.SA+ABEV3.SA&amp;f=nol1hgd1" htmlFormat="all"/>
  </connection>
  <connection id="944" name="Connection181" type="4" refreshedVersion="4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+GSHP3.SA+MULT4.SA+TEMP3.SA+DASA3.SA+FLRY3.SA+ODPV3.SA+QUAL3.SA+BIOM3M.SA+CREM3.SA+NATU3.SA+BOBR3.SA+BOBR4.SA+CRUZ3.SA+LAME3.SA+LAME4.SA+BTOW3.SA+HYPE3.SA+RADL3.SA+BPHA3.SA+PNVL3.SA+PNVL4.SA+PFRM3.SA+PCAR3.SA+PCAR4.SA+ABEV3.SA&amp;f=nol1hgd1" htmlFormat="all"/>
  </connection>
  <connection id="945" name="Connection1811" type="4" refreshedVersion="4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+GSHP3.SA+MULT4.SA+TEMP3.SA+DASA3.SA+FLRY3.SA+ODPV3.SA+QUAL3.SA+BIOM3M.SA+CREM3.SA+NATU3.SA+BOBR3.SA+BOBR4.SA+CRUZ3.SA+LAME3.SA+LAME4.SA+BTOW3.SA+HYPE3.SA+RADL3.SA+BPHA3.SA+PNVL3.SA+PNVL4.SA+PFRM3.SA+PCAR3.SA+PCAR4.SA+ABEV3.SA&amp;f=nol1hgd1" htmlFormat="all"/>
  </connection>
  <connection id="946" name="Connection18111" type="4" refreshedVersion="4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+GSHP3.SA+MULT4.SA+TEMP3.SA+DASA3.SA+FLRY3.SA+ODPV3.SA+QUAL3.SA+BIOM3M.SA+CREM3.SA+NATU3.SA+BOBR3.SA+BOBR4.SA+CRUZ3.SA+LAME3.SA+LAME4.SA+BTOW3.SA+HYPE3.SA+RADL3.SA+BPHA3.SA+PNVL3.SA+PNVL4.SA+PFRM3.SA+PCAR3.SA+PCAR4.SA+ABEV3.SA&amp;f=nol1hgd1" htmlFormat="all"/>
  </connection>
  <connection id="947" name="Connection1812" type="4" refreshedVersion="4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+GSHP3.SA+MULT4.SA+TEMP3.SA+DASA3.SA+FLRY3.SA+ODPV3.SA+QUAL3.SA+BIOM3M.SA+CREM3.SA+NATU3.SA+BOBR3.SA+BOBR4.SA+CRUZ3.SA+LAME3.SA+LAME4.SA+BTOW3.SA+HYPE3.SA+RADL3.SA+BPHA3.SA+PNVL3.SA+PNVL4.SA+PFRM3.SA+PCAR3.SA+PCAR4.SA+ABEV3.SA&amp;f=nol1hgd1" htmlFormat="all"/>
  </connection>
  <connection id="948" name="Connection19" type="4" refreshedVersion="4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+GSHP3.SA+MULT4.SA+TEMP3.SA+DASA3.SA+FLRY3.SA+ODPV3.SA+QUAL3.SA+BIOM3M.SA+CREM3.SA+NATU3.SA+BOBR3.SA+BOBR4.SA+CRUZ3.SA+LAME3.SA+LAME4.SA+BTOW3.SA+HYPE3.SA+RADL3.SA+BPHA3.SA+PNVL3.SA+PNVL4.SA+PFRM3.SA+PCAR3.SA+PCAR4.SA+ABEV3.SA+MONP3B.SA&amp;f=nol1hgd1" htmlFormat="all"/>
  </connection>
  <connection id="949" name="Connection191" type="4" refreshedVersion="4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+GSHP3.SA+MULT4.SA+TEMP3.SA+DASA3.SA+FLRY3.SA+ODPV3.SA+QUAL3.SA+BIOM3M.SA+CREM3.SA+NATU3.SA+BOBR3.SA+BOBR4.SA+CRUZ3.SA+LAME3.SA+LAME4.SA+BTOW3.SA+HYPE3.SA+RADL3.SA+BPHA3.SA+PNVL3.SA+PNVL4.SA+PFRM3.SA+PCAR3.SA+PCAR4.SA+ABEV3.SA+MONP3B.SA&amp;f=nol1hgd1" htmlFormat="all"/>
  </connection>
  <connection id="950" name="Connection1911" type="4" refreshedVersion="4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+GSHP3.SA+MULT4.SA+TEMP3.SA+DASA3.SA+FLRY3.SA+ODPV3.SA+QUAL3.SA+BIOM3M.SA+CREM3.SA+NATU3.SA+BOBR3.SA+BOBR4.SA+CRUZ3.SA+LAME3.SA+LAME4.SA+BTOW3.SA+HYPE3.SA+RADL3.SA+BPHA3.SA+PNVL3.SA+PNVL4.SA+PFRM3.SA+PCAR3.SA+PCAR4.SA+ABEV3.SA+MONP3B.SA&amp;f=nol1hgd1" htmlFormat="all"/>
  </connection>
  <connection id="951" name="Connection19111" type="4" refreshedVersion="4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+GSHP3.SA+MULT4.SA+TEMP3.SA+DASA3.SA+FLRY3.SA+ODPV3.SA+QUAL3.SA+BIOM3M.SA+CREM3.SA+NATU3.SA+BOBR3.SA+BOBR4.SA+CRUZ3.SA+LAME3.SA+LAME4.SA+BTOW3.SA+HYPE3.SA+RADL3.SA+BPHA3.SA+PNVL3.SA+PNVL4.SA+PFRM3.SA+PCAR3.SA+PCAR4.SA+ABEV3.SA+MONP3B.SA&amp;f=nol1hgd1" htmlFormat="all"/>
  </connection>
  <connection id="952" name="Connection1912" type="4" refreshedVersion="4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+GSHP3.SA+MULT4.SA+TEMP3.SA+DASA3.SA+FLRY3.SA+ODPV3.SA+QUAL3.SA+BIOM3M.SA+CREM3.SA+NATU3.SA+BOBR3.SA+BOBR4.SA+CRUZ3.SA+LAME3.SA+LAME4.SA+BTOW3.SA+HYPE3.SA+RADL3.SA+BPHA3.SA+PNVL3.SA+PNVL4.SA+PFRM3.SA+PCAR3.SA+PCAR4.SA+ABEV3.SA+MONP3B.SA&amp;f=nol1hgd1" htmlFormat="all"/>
  </connection>
  <connection id="953" name="Connection2" type="4" refreshedVersion="0" background="1" saveData="1">
    <webPr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+GSHP3.SA+MULT4.SA+TEMP3.SA+DASA3.SA+FLRY3.SA+ODPV3.SA+QUAL3.SA+BIOM3M.SA+CREM3.SA&amp;f=nol1hgd1" htmlTables="1" htmlFormat="all"/>
  </connection>
  <connection id="954" name="Connection20" type="4" refreshedVersion="4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+GSHP3.SA+MULT4.SA+TEMP3.SA+DASA3.SA+FLRY3.SA+ODPV3.SA+QUAL3.SA+BIOM3M.SA+CREM3.SA+NATU3.SA+BOBR3.SA+BOBR4.SA+CRUZ3.SA+LAME3.SA+LAME4.SA+BTOW3.SA+HYPE3.SA+RADL3.SA+BPHA3.SA+PNVL3.SA+PNVL4.SA+PFRM3.SA+PCAR3.SA+PCAR4.SA+ABEV3.SA+VIGR3.SA&amp;f=nol1hgd1" htmlFormat="all"/>
  </connection>
  <connection id="955" name="Connection201" type="4" refreshedVersion="4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+GSHP3.SA+MULT4.SA+TEMP3.SA+DASA3.SA+FLRY3.SA+ODPV3.SA+QUAL3.SA+BIOM3M.SA+CREM3.SA+NATU3.SA+BOBR3.SA+BOBR4.SA+CRUZ3.SA+LAME3.SA+LAME4.SA+BTOW3.SA+HYPE3.SA+RADL3.SA+BPHA3.SA+PNVL3.SA+PNVL4.SA+PFRM3.SA+PCAR3.SA+PCAR4.SA+ABEV3.SA+VIGR3.SA&amp;f=nol1hgd1" htmlFormat="all"/>
  </connection>
  <connection id="956" name="Connection2011" type="4" refreshedVersion="4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+GSHP3.SA+MULT4.SA+TEMP3.SA+DASA3.SA+FLRY3.SA+ODPV3.SA+QUAL3.SA+BIOM3M.SA+CREM3.SA+NATU3.SA+BOBR3.SA+BOBR4.SA+CRUZ3.SA+LAME3.SA+LAME4.SA+BTOW3.SA+HYPE3.SA+RADL3.SA+BPHA3.SA+PNVL3.SA+PNVL4.SA+PFRM3.SA+PCAR3.SA+PCAR4.SA+ABEV3.SA+VIGR3.SA&amp;f=nol1hgd1" htmlFormat="all"/>
  </connection>
  <connection id="957" name="Connection20111" type="4" refreshedVersion="4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+GSHP3.SA+MULT4.SA+TEMP3.SA+DASA3.SA+FLRY3.SA+ODPV3.SA+QUAL3.SA+BIOM3M.SA+CREM3.SA+NATU3.SA+BOBR3.SA+BOBR4.SA+CRUZ3.SA+LAME3.SA+LAME4.SA+BTOW3.SA+HYPE3.SA+RADL3.SA+BPHA3.SA+PNVL3.SA+PNVL4.SA+PFRM3.SA+PCAR3.SA+PCAR4.SA+ABEV3.SA+VIGR3.SA&amp;f=nol1hgd1" htmlFormat="all"/>
  </connection>
  <connection id="958" name="Connection2012" type="4" refreshedVersion="4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+GSHP3.SA+MULT4.SA+TEMP3.SA+DASA3.SA+FLRY3.SA+ODPV3.SA+QUAL3.SA+BIOM3M.SA+CREM3.SA+NATU3.SA+BOBR3.SA+BOBR4.SA+CRUZ3.SA+LAME3.SA+LAME4.SA+BTOW3.SA+HYPE3.SA+RADL3.SA+BPHA3.SA+PNVL3.SA+PNVL4.SA+PFRM3.SA+PCAR3.SA+PCAR4.SA+ABEV3.SA+VIGR3.SA&amp;f=nol1hgd1" htmlFormat="all"/>
  </connection>
  <connection id="959" name="Connection21" type="4" refreshedVersion="4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+GSHP3.SA+MULT4.SA+TEMP3.SA+DASA3.SA+FLRY3.SA+ODPV3.SA+QUAL3.SA+BIOM3M.SA+CREM3.SA+NATU3.SA+BOBR3.SA+BOBR4.SA+CRUZ3.SA+LAME3.SA+LAME4.SA+BTOW3.SA+HYPE3.SA+RADL3.SA+BPHA3.SA+PNVL3.SA+PNVL4.SA+PFRM3.SA+PCAR3.SA+PCAR4.SA+ABEV3.SA+VIGR3.SA+CLAN3.SA+CLAN4.SA&amp;f=nol1hgd1" htmlFormat="all"/>
  </connection>
  <connection id="960" name="Connection211" type="4" refreshedVersion="4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+GSHP3.SA+MULT4.SA+TEMP3.SA+DASA3.SA+FLRY3.SA+ODPV3.SA+QUAL3.SA+BIOM3M.SA+CREM3.SA+NATU3.SA+BOBR3.SA+BOBR4.SA+CRUZ3.SA+LAME3.SA+LAME4.SA+BTOW3.SA+HYPE3.SA+RADL3.SA+BPHA3.SA+PNVL3.SA+PNVL4.SA+PFRM3.SA+PCAR3.SA+PCAR4.SA+ABEV3.SA+VIGR3.SA+CLAN3.SA+CLAN4.SA&amp;f=nol1hgd1" htmlFormat="all"/>
  </connection>
  <connection id="961" name="Connection2111" type="4" refreshedVersion="4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+GSHP3.SA+MULT4.SA+TEMP3.SA+DASA3.SA+FLRY3.SA+ODPV3.SA+QUAL3.SA+BIOM3M.SA+CREM3.SA+NATU3.SA+BOBR3.SA+BOBR4.SA+CRUZ3.SA+LAME3.SA+LAME4.SA+BTOW3.SA+HYPE3.SA+RADL3.SA+BPHA3.SA+PNVL3.SA+PNVL4.SA+PFRM3.SA+PCAR3.SA+PCAR4.SA+ABEV3.SA+VIGR3.SA+CLAN3.SA+CLAN4.SA&amp;f=nol1hgd1" htmlFormat="all"/>
  </connection>
  <connection id="962" name="Connection21111" type="4" refreshedVersion="4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+GSHP3.SA+MULT4.SA+TEMP3.SA+DASA3.SA+FLRY3.SA+ODPV3.SA+QUAL3.SA+BIOM3M.SA+CREM3.SA+NATU3.SA+BOBR3.SA+BOBR4.SA+CRUZ3.SA+LAME3.SA+LAME4.SA+BTOW3.SA+HYPE3.SA+RADL3.SA+BPHA3.SA+PNVL3.SA+PNVL4.SA+PFRM3.SA+PCAR3.SA+PCAR4.SA+ABEV3.SA+VIGR3.SA+CLAN3.SA+CLAN4.SA&amp;f=nol1hgd1" htmlFormat="all"/>
  </connection>
  <connection id="963" name="Connection2112" type="4" refreshedVersion="4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+GSHP3.SA+MULT4.SA+TEMP3.SA+DASA3.SA+FLRY3.SA+ODPV3.SA+QUAL3.SA+BIOM3M.SA+CREM3.SA+NATU3.SA+BOBR3.SA+BOBR4.SA+CRUZ3.SA+LAME3.SA+LAME4.SA+BTOW3.SA+HYPE3.SA+RADL3.SA+BPHA3.SA+PNVL3.SA+PNVL4.SA+PFRM3.SA+PCAR3.SA+PCAR4.SA+ABEV3.SA+VIGR3.SA+CLAN3.SA+CLAN4.SA&amp;f=nol1hgd1" htmlFormat="all"/>
  </connection>
  <connection id="964" name="Connection22" type="4" refreshedVersion="4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+GSHP3.SA+MULT4.SA+TEMP3.SA+DASA3.SA+FLRY3.SA+ODPV3.SA+QUAL3.SA+BIOM3M.SA+CREM3.SA+NATU3.SA+BOBR3.SA+BOBR4.SA+CRUZ3.SA+LAME3.SA+LAME4.SA+BTOW3.SA+HYPE3.SA+RADL3.SA+BPHA3.SA+PNVL3.SA+PNVL4.SA+PFRM3.SA+PCAR3.SA+PCAR4.SA+ABEV3.SA+VIGR3.SA+CLAN3.SA+CLAN4.SA+MNPR3.SA&amp;f=nol1hgd1" htmlFormat="all"/>
  </connection>
  <connection id="965" name="Connection221" type="4" refreshedVersion="4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+GSHP3.SA+MULT4.SA+TEMP3.SA+DASA3.SA+FLRY3.SA+ODPV3.SA+QUAL3.SA+BIOM3M.SA+CREM3.SA+NATU3.SA+BOBR3.SA+BOBR4.SA+CRUZ3.SA+LAME3.SA+LAME4.SA+BTOW3.SA+HYPE3.SA+RADL3.SA+BPHA3.SA+PNVL3.SA+PNVL4.SA+PFRM3.SA+PCAR3.SA+PCAR4.SA+ABEV3.SA+VIGR3.SA+CLAN3.SA+CLAN4.SA+MNPR3.SA&amp;f=nol1hgd1" htmlFormat="all"/>
  </connection>
  <connection id="966" name="Connection2211" type="4" refreshedVersion="4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+GSHP3.SA+MULT4.SA+TEMP3.SA+DASA3.SA+FLRY3.SA+ODPV3.SA+QUAL3.SA+BIOM3M.SA+CREM3.SA+NATU3.SA+BOBR3.SA+BOBR4.SA+CRUZ3.SA+LAME3.SA+LAME4.SA+BTOW3.SA+HYPE3.SA+RADL3.SA+BPHA3.SA+PNVL3.SA+PNVL4.SA+PFRM3.SA+PCAR3.SA+PCAR4.SA+ABEV3.SA+VIGR3.SA+CLAN3.SA+CLAN4.SA+MNPR3.SA&amp;f=nol1hgd1" htmlFormat="all"/>
  </connection>
  <connection id="967" name="Connection22111" type="4" refreshedVersion="4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+GSHP3.SA+MULT4.SA+TEMP3.SA+DASA3.SA+FLRY3.SA+ODPV3.SA+QUAL3.SA+BIOM3M.SA+CREM3.SA+NATU3.SA+BOBR3.SA+BOBR4.SA+CRUZ3.SA+LAME3.SA+LAME4.SA+BTOW3.SA+HYPE3.SA+RADL3.SA+BPHA3.SA+PNVL3.SA+PNVL4.SA+PFRM3.SA+PCAR3.SA+PCAR4.SA+ABEV3.SA+VIGR3.SA+CLAN3.SA+CLAN4.SA+MNPR3.SA&amp;f=nol1hgd1" htmlFormat="all"/>
  </connection>
  <connection id="968" name="Connection2212" type="4" refreshedVersion="4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+GSHP3.SA+MULT4.SA+TEMP3.SA+DASA3.SA+FLRY3.SA+ODPV3.SA+QUAL3.SA+BIOM3M.SA+CREM3.SA+NATU3.SA+BOBR3.SA+BOBR4.SA+CRUZ3.SA+LAME3.SA+LAME4.SA+BTOW3.SA+HYPE3.SA+RADL3.SA+BPHA3.SA+PNVL3.SA+PNVL4.SA+PFRM3.SA+PCAR3.SA+PCAR4.SA+ABEV3.SA+VIGR3.SA+CLAN3.SA+CLAN4.SA+MNPR3.SA&amp;f=nol1hgd1" htmlFormat="all"/>
  </connection>
  <connection id="969" name="Connection23" type="4" refreshedVersion="4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+GSHP3.SA+MULT4.SA+TEMP3.SA+DASA3.SA+FLRY3.SA+ODPV3.SA+QUAL3.SA+BIOM3M.SA+CREM3.SA+NATU3.SA+BOBR3.SA+BOBR4.SA+CRUZ3.SA+LAME3.SA+LAME4.SA+BTOW3.SA+HYPE3.SA+RADL3.SA+BPHA3.SA+PNVL3.SA+PNVL4.SA+PFRM3.SA+PCAR3.SA+PCAR4.SA+ABEV3.SA+VIGR3.SA+CLAN3.SA+CLAN4.SA+MNPR3.SA+BAUH3.SA+BAUH4.SA&amp;f=nol1hgd1" htmlFormat="all"/>
  </connection>
  <connection id="970" name="Connection231" type="4" refreshedVersion="4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+GSHP3.SA+MULT4.SA+TEMP3.SA+DASA3.SA+FLRY3.SA+ODPV3.SA+QUAL3.SA+BIOM3M.SA+CREM3.SA+NATU3.SA+BOBR3.SA+BOBR4.SA+CRUZ3.SA+LAME3.SA+LAME4.SA+BTOW3.SA+HYPE3.SA+RADL3.SA+BPHA3.SA+PNVL3.SA+PNVL4.SA+PFRM3.SA+PCAR3.SA+PCAR4.SA+ABEV3.SA+VIGR3.SA+CLAN3.SA+CLAN4.SA+MNPR3.SA+BAUH3.SA+BAUH4.SA&amp;f=nol1hgd1" htmlFormat="all"/>
  </connection>
  <connection id="971" name="Connection2311" type="4" refreshedVersion="4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+GSHP3.SA+MULT4.SA+TEMP3.SA+DASA3.SA+FLRY3.SA+ODPV3.SA+QUAL3.SA+BIOM3M.SA+CREM3.SA+NATU3.SA+BOBR3.SA+BOBR4.SA+CRUZ3.SA+LAME3.SA+LAME4.SA+BTOW3.SA+HYPE3.SA+RADL3.SA+BPHA3.SA+PNVL3.SA+PNVL4.SA+PFRM3.SA+PCAR3.SA+PCAR4.SA+ABEV3.SA+VIGR3.SA+CLAN3.SA+CLAN4.SA+MNPR3.SA+BAUH3.SA+BAUH4.SA&amp;f=nol1hgd1" htmlFormat="all"/>
  </connection>
  <connection id="972" name="Connection23111" type="4" refreshedVersion="4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+GSHP3.SA+MULT4.SA+TEMP3.SA+DASA3.SA+FLRY3.SA+ODPV3.SA+QUAL3.SA+BIOM3M.SA+CREM3.SA+NATU3.SA+BOBR3.SA+BOBR4.SA+CRUZ3.SA+LAME3.SA+LAME4.SA+BTOW3.SA+HYPE3.SA+RADL3.SA+BPHA3.SA+PNVL3.SA+PNVL4.SA+PFRM3.SA+PCAR3.SA+PCAR4.SA+ABEV3.SA+VIGR3.SA+CLAN3.SA+CLAN4.SA+MNPR3.SA+BAUH3.SA+BAUH4.SA&amp;f=nol1hgd1" htmlFormat="all"/>
  </connection>
  <connection id="973" name="Connection2312" type="4" refreshedVersion="4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+GSHP3.SA+MULT4.SA+TEMP3.SA+DASA3.SA+FLRY3.SA+ODPV3.SA+QUAL3.SA+BIOM3M.SA+CREM3.SA+NATU3.SA+BOBR3.SA+BOBR4.SA+CRUZ3.SA+LAME3.SA+LAME4.SA+BTOW3.SA+HYPE3.SA+RADL3.SA+BPHA3.SA+PNVL3.SA+PNVL4.SA+PFRM3.SA+PCAR3.SA+PCAR4.SA+ABEV3.SA+VIGR3.SA+CLAN3.SA+CLAN4.SA+MNPR3.SA+BAUH3.SA+BAUH4.SA&amp;f=nol1hgd1" htmlFormat="all"/>
  </connection>
  <connection id="974" name="Connection24" type="4" refreshedVersion="4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+GSHP3.SA+MULT4.SA+TEMP3.SA+DASA3.SA+FLRY3.SA+ODPV3.SA+QUAL3.SA+BIOM3M.SA+CREM3.SA+NATU3.SA+BOBR3.SA+BOBR4.SA+CRUZ3.SA+LAME3.SA+LAME4.SA+BTOW3.SA+HYPE3.SA+RADL3.SA+BPHA3.SA+PNVL3.SA+PNVL4.SA+PFRM3.SA+PCAR3.SA+PCAR4.SA+ABEV3.SA+VIGR3.SA+CLAN3.SA+CLAN4.SA+MNPR3.SA+BAUH3.SA+BAUH4.SA+BEEF3.SA+MRFG3.SA&amp;f=nol1hgd1" htmlFormat="all"/>
  </connection>
  <connection id="975" name="Connection241" type="4" refreshedVersion="4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+GSHP3.SA+MULT4.SA+TEMP3.SA+DASA3.SA+FLRY3.SA+ODPV3.SA+QUAL3.SA+BIOM3M.SA+CREM3.SA+NATU3.SA+BOBR3.SA+BOBR4.SA+CRUZ3.SA+LAME3.SA+LAME4.SA+BTOW3.SA+HYPE3.SA+RADL3.SA+BPHA3.SA+PNVL3.SA+PNVL4.SA+PFRM3.SA+PCAR3.SA+PCAR4.SA+ABEV3.SA+VIGR3.SA+CLAN3.SA+CLAN4.SA+MNPR3.SA+BAUH3.SA+BAUH4.SA+BEEF3.SA+MRFG3.SA&amp;f=nol1hgd1" htmlFormat="all"/>
  </connection>
  <connection id="976" name="Connection2411" type="4" refreshedVersion="4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+GSHP3.SA+MULT4.SA+TEMP3.SA+DASA3.SA+FLRY3.SA+ODPV3.SA+QUAL3.SA+BIOM3M.SA+CREM3.SA+NATU3.SA+BOBR3.SA+BOBR4.SA+CRUZ3.SA+LAME3.SA+LAME4.SA+BTOW3.SA+HYPE3.SA+RADL3.SA+BPHA3.SA+PNVL3.SA+PNVL4.SA+PFRM3.SA+PCAR3.SA+PCAR4.SA+ABEV3.SA+VIGR3.SA+CLAN3.SA+CLAN4.SA+MNPR3.SA+BAUH3.SA+BAUH4.SA+BEEF3.SA+MRFG3.SA&amp;f=nol1hgd1" htmlFormat="all"/>
  </connection>
  <connection id="977" name="Connection24111" type="4" refreshedVersion="4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+GSHP3.SA+MULT4.SA+TEMP3.SA+DASA3.SA+FLRY3.SA+ODPV3.SA+QUAL3.SA+BIOM3M.SA+CREM3.SA+NATU3.SA+BOBR3.SA+BOBR4.SA+CRUZ3.SA+LAME3.SA+LAME4.SA+BTOW3.SA+HYPE3.SA+RADL3.SA+BPHA3.SA+PNVL3.SA+PNVL4.SA+PFRM3.SA+PCAR3.SA+PCAR4.SA+ABEV3.SA+VIGR3.SA+CLAN3.SA+CLAN4.SA+MNPR3.SA+BAUH3.SA+BAUH4.SA+BEEF3.SA+MRFG3.SA&amp;f=nol1hgd1" htmlFormat="all"/>
  </connection>
  <connection id="978" name="Connection2412" type="4" refreshedVersion="4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+GSHP3.SA+MULT4.SA+TEMP3.SA+DASA3.SA+FLRY3.SA+ODPV3.SA+QUAL3.SA+BIOM3M.SA+CREM3.SA+NATU3.SA+BOBR3.SA+BOBR4.SA+CRUZ3.SA+LAME3.SA+LAME4.SA+BTOW3.SA+HYPE3.SA+RADL3.SA+BPHA3.SA+PNVL3.SA+PNVL4.SA+PFRM3.SA+PCAR3.SA+PCAR4.SA+ABEV3.SA+VIGR3.SA+CLAN3.SA+CLAN4.SA+MNPR3.SA+BAUH3.SA+BAUH4.SA+BEEF3.SA+MRFG3.SA&amp;f=nol1hgd1" htmlFormat="all"/>
  </connection>
  <connection id="979" name="Connection25" type="4" refreshedVersion="4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+GSHP3.SA+MULT4.SA+TEMP3.SA+DASA3.SA+FLRY3.SA+ODPV3.SA+QUAL3.SA+BIOM3M.SA+CREM3.SA+NATU3.SA+BOBR3.SA+BOBR4.SA+CRUZ3.SA+LAME3.SA+LAME4.SA+BTOW3.SA+HYPE3.SA+RADL3.SA+BPHA3.SA+PNVL3.SA+PNVL4.SA+PFRM3.SA+PCAR3.SA+PCAR4.SA+ABEV3.SA+VIGR3.SA+CLAN3.SA+CLAN4.SA+MNPR3.SA+BAUH3.SA+BAUH4.SA+BEEF3.SA+MRFG3.SA+CAFE3.SA&amp;f=nol1hgd1" htmlFormat="all"/>
  </connection>
  <connection id="980" name="Connection251" type="4" refreshedVersion="4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+GSHP3.SA+MULT4.SA+TEMP3.SA+DASA3.SA+FLRY3.SA+ODPV3.SA+QUAL3.SA+BIOM3M.SA+CREM3.SA+NATU3.SA+BOBR3.SA+BOBR4.SA+CRUZ3.SA+LAME3.SA+LAME4.SA+BTOW3.SA+HYPE3.SA+RADL3.SA+BPHA3.SA+PNVL3.SA+PNVL4.SA+PFRM3.SA+PCAR3.SA+PCAR4.SA+ABEV3.SA+VIGR3.SA+CLAN3.SA+CLAN4.SA+MNPR3.SA+BAUH3.SA+BAUH4.SA+BEEF3.SA+MRFG3.SA+CAFE3.SA&amp;f=nol1hgd1" htmlFormat="all"/>
  </connection>
  <connection id="981" name="Connection2511" type="4" refreshedVersion="4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+GSHP3.SA+MULT4.SA+TEMP3.SA+DASA3.SA+FLRY3.SA+ODPV3.SA+QUAL3.SA+BIOM3M.SA+CREM3.SA+NATU3.SA+BOBR3.SA+BOBR4.SA+CRUZ3.SA+LAME3.SA+LAME4.SA+BTOW3.SA+HYPE3.SA+RADL3.SA+BPHA3.SA+PNVL3.SA+PNVL4.SA+PFRM3.SA+PCAR3.SA+PCAR4.SA+ABEV3.SA+VIGR3.SA+CLAN3.SA+CLAN4.SA+MNPR3.SA+BAUH3.SA+BAUH4.SA+BEEF3.SA+MRFG3.SA+CAFE3.SA&amp;f=nol1hgd1" htmlFormat="all"/>
  </connection>
  <connection id="982" name="Connection25111" type="4" refreshedVersion="4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+GSHP3.SA+MULT4.SA+TEMP3.SA+DASA3.SA+FLRY3.SA+ODPV3.SA+QUAL3.SA+BIOM3M.SA+CREM3.SA+NATU3.SA+BOBR3.SA+BOBR4.SA+CRUZ3.SA+LAME3.SA+LAME4.SA+BTOW3.SA+HYPE3.SA+RADL3.SA+BPHA3.SA+PNVL3.SA+PNVL4.SA+PFRM3.SA+PCAR3.SA+PCAR4.SA+ABEV3.SA+VIGR3.SA+CLAN3.SA+CLAN4.SA+MNPR3.SA+BAUH3.SA+BAUH4.SA+BEEF3.SA+MRFG3.SA+CAFE3.SA&amp;f=nol1hgd1" htmlFormat="all"/>
  </connection>
  <connection id="983" name="Connection2512" type="4" refreshedVersion="4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+GSHP3.SA+MULT4.SA+TEMP3.SA+DASA3.SA+FLRY3.SA+ODPV3.SA+QUAL3.SA+BIOM3M.SA+CREM3.SA+NATU3.SA+BOBR3.SA+BOBR4.SA+CRUZ3.SA+LAME3.SA+LAME4.SA+BTOW3.SA+HYPE3.SA+RADL3.SA+BPHA3.SA+PNVL3.SA+PNVL4.SA+PFRM3.SA+PCAR3.SA+PCAR4.SA+ABEV3.SA+VIGR3.SA+CLAN3.SA+CLAN4.SA+MNPR3.SA+BAUH3.SA+BAUH4.SA+BEEF3.SA+MRFG3.SA+CAFE3.SA&amp;f=nol1hgd1" htmlFormat="all"/>
  </connection>
  <connection id="984" name="Connection26" type="4" refreshedVersion="4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CAFE4.SA+PEAB3.SA+PEAB4.SA+SULA3.SA+SULA4.SA+BTTL3.SA+BTTL4.SA+HBTS3.SA+HBTS6.SA+DOCA3.SA+DOCA4.SA+JBDU3.SA+JBDU4.SA+AGRO3.SA+CORR3.SA+CORR4.SA+GSHP3.SA+MULT4.SA+TEMP3.SA+DASA3.SA+FLRY3.SA+ODPV3.SA+QUAL3.SA+BIOM3M.SA+CREM3.SA+NATU3.SA+BOBR3.SA+BOBR4.SA+CRUZ3.SA+LAME3.SA+LAME4.SA+BTOW3.SA+HYPE3.SA+RADL3.SA+BPHA3.SA+PNVL3.SA+PNVL4.SA+PFRM3.SA+PCAR3.SA+PCAR4.SA+ABEV3.SA+VIGR3.SA+CLAN3.SA+CLAN4.SA+MNPR3.SA+BAUH3.SA+BAUH4.SA+BEEF3.SA+MRFG3.SA+CAFE3.SA&amp;f=nol1hgd1" htmlFormat="all"/>
  </connection>
  <connection id="985" name="Connection261" type="4" refreshedVersion="4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CAFE4.SA+PEAB3.SA+PEAB4.SA+SULA3.SA+SULA4.SA+BTTL3.SA+BTTL4.SA+HBTS3.SA+HBTS6.SA+DOCA3.SA+DOCA4.SA+JBDU3.SA+JBDU4.SA+AGRO3.SA+CORR3.SA+CORR4.SA+GSHP3.SA+MULT4.SA+TEMP3.SA+DASA3.SA+FLRY3.SA+ODPV3.SA+QUAL3.SA+BIOM3M.SA+CREM3.SA+NATU3.SA+BOBR3.SA+BOBR4.SA+CRUZ3.SA+LAME3.SA+LAME4.SA+BTOW3.SA+HYPE3.SA+RADL3.SA+BPHA3.SA+PNVL3.SA+PNVL4.SA+PFRM3.SA+PCAR3.SA+PCAR4.SA+ABEV3.SA+VIGR3.SA+CLAN3.SA+CLAN4.SA+MNPR3.SA+BAUH3.SA+BAUH4.SA+BEEF3.SA+MRFG3.SA+CAFE3.SA&amp;f=nol1hgd1" htmlFormat="all"/>
  </connection>
  <connection id="986" name="Connection2611" type="4" refreshedVersion="4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CAFE4.SA+PEAB3.SA+PEAB4.SA+SULA3.SA+SULA4.SA+BTTL3.SA+BTTL4.SA+HBTS3.SA+HBTS6.SA+DOCA3.SA+DOCA4.SA+JBDU3.SA+JBDU4.SA+AGRO3.SA+CORR3.SA+CORR4.SA+GSHP3.SA+MULT4.SA+TEMP3.SA+DASA3.SA+FLRY3.SA+ODPV3.SA+QUAL3.SA+BIOM3M.SA+CREM3.SA+NATU3.SA+BOBR3.SA+BOBR4.SA+CRUZ3.SA+LAME3.SA+LAME4.SA+BTOW3.SA+HYPE3.SA+RADL3.SA+BPHA3.SA+PNVL3.SA+PNVL4.SA+PFRM3.SA+PCAR3.SA+PCAR4.SA+ABEV3.SA+VIGR3.SA+CLAN3.SA+CLAN4.SA+MNPR3.SA+BAUH3.SA+BAUH4.SA+BEEF3.SA+MRFG3.SA+CAFE3.SA&amp;f=nol1hgd1" htmlFormat="all"/>
  </connection>
  <connection id="987" name="Connection26111" type="4" refreshedVersion="4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CAFE4.SA+PEAB3.SA+PEAB4.SA+SULA3.SA+SULA4.SA+BTTL3.SA+BTTL4.SA+HBTS3.SA+HBTS6.SA+DOCA3.SA+DOCA4.SA+JBDU3.SA+JBDU4.SA+AGRO3.SA+CORR3.SA+CORR4.SA+GSHP3.SA+MULT4.SA+TEMP3.SA+DASA3.SA+FLRY3.SA+ODPV3.SA+QUAL3.SA+BIOM3M.SA+CREM3.SA+NATU3.SA+BOBR3.SA+BOBR4.SA+CRUZ3.SA+LAME3.SA+LAME4.SA+BTOW3.SA+HYPE3.SA+RADL3.SA+BPHA3.SA+PNVL3.SA+PNVL4.SA+PFRM3.SA+PCAR3.SA+PCAR4.SA+ABEV3.SA+VIGR3.SA+CLAN3.SA+CLAN4.SA+MNPR3.SA+BAUH3.SA+BAUH4.SA+BEEF3.SA+MRFG3.SA+CAFE3.SA&amp;f=nol1hgd1" htmlFormat="all"/>
  </connection>
  <connection id="988" name="Connection2612" type="4" refreshedVersion="4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CAFE4.SA+PEAB3.SA+PEAB4.SA+SULA3.SA+SULA4.SA+BTTL3.SA+BTTL4.SA+HBTS3.SA+HBTS6.SA+DOCA3.SA+DOCA4.SA+JBDU3.SA+JBDU4.SA+AGRO3.SA+CORR3.SA+CORR4.SA+GSHP3.SA+MULT4.SA+TEMP3.SA+DASA3.SA+FLRY3.SA+ODPV3.SA+QUAL3.SA+BIOM3M.SA+CREM3.SA+NATU3.SA+BOBR3.SA+BOBR4.SA+CRUZ3.SA+LAME3.SA+LAME4.SA+BTOW3.SA+HYPE3.SA+RADL3.SA+BPHA3.SA+PNVL3.SA+PNVL4.SA+PFRM3.SA+PCAR3.SA+PCAR4.SA+ABEV3.SA+VIGR3.SA+CLAN3.SA+CLAN4.SA+MNPR3.SA+BAUH3.SA+BAUH4.SA+BEEF3.SA+MRFG3.SA+CAFE3.SA&amp;f=nol1hgd1" htmlFormat="all"/>
  </connection>
  <connection id="989" name="Connection27" type="4" refreshedVersion="0" background="1" saveData="1">
    <webPr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+GSHP3.SA+MULT4.SA+TEMP3.SA+DASA3.SA+FLRY3.SA+ODPV3.SA+QUAL3.SA+BIOM3M.SA+CREM3.SA&amp;f=nol1hgd1" htmlTables="1" htmlFormat="all"/>
  </connection>
  <connection id="990" name="Connection271" type="4" refreshedVersion="0" background="1" saveData="1">
    <webPr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+GSHP3.SA+MULT4.SA+TEMP3.SA+DASA3.SA+FLRY3.SA+ODPV3.SA+QUAL3.SA+BIOM3M.SA+CREM3.SA&amp;f=nol1hgd1" htmlTables="1" htmlFormat="all"/>
  </connection>
  <connection id="991" name="Connection2711" type="4" refreshedVersion="0" background="1" saveData="1">
    <webPr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+GSHP3.SA+MULT4.SA+TEMP3.SA+DASA3.SA+FLRY3.SA+ODPV3.SA+QUAL3.SA+BIOM3M.SA+CREM3.SA&amp;f=nol1hgd1" htmlTables="1" htmlFormat="all"/>
  </connection>
  <connection id="992" name="Connection28" type="4" refreshedVersion="4" background="1" saveData="1">
    <webPr xl2000="1" url="http://download.finance.yahoo.com/d/quotes.csv?s=IGUA3.SA+IGUA5.SA+IGUA6.SA&amp;f=nol1hgd1" htmlFormat="all"/>
  </connection>
  <connection id="993" name="Connection281" type="4" refreshedVersion="4" background="1" saveData="1">
    <webPr xl2000="1" url="http://download.finance.yahoo.com/d/quotes.csv?s=IGUA3.SA+IGUA5.SA+IGUA6.SA&amp;f=nol1hgd1" htmlFormat="all"/>
  </connection>
  <connection id="994" name="Connection29" type="4" refreshedVersion="4" background="1" saveData="1">
    <webPr xl2000="1" url="http://download.finance.yahoo.com/d/quotes.csv?s=IGUA3.SA+IGUA5.SA+IGUA6.SA+ODER3.SA+ODER4.SA&amp;f=nol1hgd1" htmlFormat="all"/>
  </connection>
  <connection id="995" name="Connection291" type="4" refreshedVersion="4" background="1" saveData="1">
    <webPr xl2000="1" url="http://download.finance.yahoo.com/d/quotes.csv?s=IGUA3.SA+IGUA5.SA+IGUA6.SA+ODER3.SA+ODER4.SA&amp;f=nol1hgd1" htmlFormat="all"/>
  </connection>
  <connection id="996" name="Connection2911" type="4" refreshedVersion="4" background="1" saveData="1">
    <webPr xl2000="1" url="http://download.finance.yahoo.com/d/quotes.csv?s=IGUA3.SA+IGUA5.SA+IGUA6.SA+ODER3.SA+ODER4.SA&amp;f=nol1hgd1" htmlFormat="all"/>
  </connection>
  <connection id="997" name="Connection3" type="4" refreshedVersion="0" background="1" saveData="1">
    <webPr url="http://download.finance.yahoo.com/d/quotes.csv?s=ABCB4.SA+AELP3.SA+BAZA3.SA+BBAS3.SA+BBDC3.SA+BBDC4.SA+BEES3.SA+BEES4.SA+BGIP3.SA+BGIP4.SA+BICB3.SA+BICB4.SA+BMIN3.SA+BMIN4.SA+BNBR3.SA+BNBR4.SA+BRGE11.SA+BRGE12.SA+BRGE3.SA+BRGE5.SA+BRGE6.SA+BRGE7.SA+BRGE8.SA+BRIV3.SA+BRIV4.SA+BRSR3.SA+BRSR5.SA+BRSR6.SA+BSLI3.SA+BSLI4.SA+CASN3.SA+CEBR3.SA+CEBR5.SA+CEBR6.SA+CEEB3.SA+CEEB5.SA+CEPE5.SA+CEPE6.SA+CESP3.SA+CESP5.SA+CESP6.SA+CLSC4.SA+CMIG3.SA+CMIG4.SA+COCE3.SA+COCE5.SA+CPFE3.SA+CPLE3.SA+CPLE5.SA+CPLE6.SA+CSMG3.SA+CSRN3.SA+CSRN5.SA+CSRN6.SA+DAYC4.SA+EEEL3.SA+EEEL4.SA+ELET3.SA+ELET6.SA+ELPL3.SA+ELPL4.SA+EMAE4.SA+ENBR3.SA+ENGI11.SA+ENGI3.SA+ENGI4.SA+ENMA3B.SA+EQTL3.SA+FESA3.SA+FESA4.SA+GEPA3.SA+GEPA4.SA+GETI3.SA+GETI4.SA+GTDP3B.SA+GTDP4B.SA+ITSA3.SA+ITSA4.SA+ITUB3.SA+ITUB4.SA+KLBN3.SA+KLBN4.SA+LIGT3.SA+LIPR3.SA+PINE4.SA+PRBC4.SA+PSSA3.SA+RANI3.SA+RANI4.SA+RDTR3.SA+RPAD3.SA+RPAD5.SA+RPAD6.SA+SAPR3.SA+SAPR4.SA+SBSP3.SA+SFSA4.SA+SUZB5.SA+SUZB6.SA+TAEE11.SA+TBLE3.SA+TRPL3.SA+TRPL4.SA+UNIP5.SA+UNIP6.SA+PATI3.SA&amp;f=nol1hgd1" htmlTables="1" htmlFormat="all"/>
  </connection>
  <connection id="998" name="Connection30" type="4" refreshedVersion="4" background="1" saveData="1">
    <webPr xl2000="1" url="http://download.finance.yahoo.com/d/quotes.csv?s=IGUA3.SA+IGUA5.SA+IGUA6.SA+JOPA3.SA+JOPA4.SA&amp;f=nol1hgd1" htmlFormat="all"/>
  </connection>
  <connection id="999" name="Connection301" type="4" refreshedVersion="4" background="1" saveData="1">
    <webPr xl2000="1" url="http://download.finance.yahoo.com/d/quotes.csv?s=IGUA3.SA+IGUA5.SA+IGUA6.SA+JOPA3.SA+JOPA4.SA&amp;f=nol1hgd1" htmlFormat="all"/>
  </connection>
  <connection id="1000" name="Connection31" type="4" refreshedVersion="4" background="1" saveData="1">
    <webPr xl2000="1" url="http://download.finance.yahoo.com/d/quotes.csv?s=IGUA3.SA+IGUA5.SA+IGUA6.SA+JOPA3.SA+JOPA4.SA+SMTO3.SA&amp;f=nol1hgd1" htmlFormat="all"/>
  </connection>
  <connection id="1001" name="Connection311" type="4" refreshedVersion="4" background="1" saveData="1">
    <webPr xl2000="1" url="http://download.finance.yahoo.com/d/quotes.csv?s=IGUA3.SA+IGUA5.SA+IGUA6.SA+JOPA3.SA+JOPA4.SA+SMTO3.SA&amp;f=nol1hgd1" htmlFormat="all"/>
  </connection>
  <connection id="1002" name="Connection3111" type="4" refreshedVersion="4" background="1" saveData="1">
    <webPr xl2000="1" url="http://download.finance.yahoo.com/d/quotes.csv?s=IGUA3.SA+IGUA5.SA+IGUA6.SA+JOPA3.SA+JOPA4.SA+SMTO3.SA&amp;f=nol1hgd1" htmlFormat="all"/>
  </connection>
  <connection id="1003" name="Connection32" type="4" refreshedVersion="4" background="1" saveData="1">
    <webPr xl2000="1" url="http://download.finance.yahoo.com/d/quotes.csv?s=IGUA3.SA+IGUA5.SA+IGUA6.SA+JOPA3.SA+JOPA4.SA+SMTO3.SA+BSEV3.SA&amp;f=nol1hgd1" htmlFormat="all"/>
  </connection>
  <connection id="1004" name="Connection321" type="4" refreshedVersion="4" background="1" saveData="1">
    <webPr xl2000="1" url="http://download.finance.yahoo.com/d/quotes.csv?s=IGUA3.SA+IGUA5.SA+IGUA6.SA+JOPA3.SA+JOPA4.SA+SMTO3.SA+BSEV3.SA&amp;f=nol1hgd1" htmlFormat="all"/>
  </connection>
  <connection id="1005" name="Connection33" type="4" refreshedVersion="4" background="1" saveData="1">
    <webPr xl2000="1" url="http://download.finance.yahoo.com/d/quotes.csv?s=IGUA3.SA+IGUA5.SA+IGUA6.SA+JOPA3.SA+JOPA4.SA+SMTO3.SA+BSEV3.SA+VAGR3.SA&amp;f=nol1hgd1" htmlFormat="all"/>
  </connection>
  <connection id="1006" name="Connection331" type="4" refreshedVersion="4" background="1" saveData="1">
    <webPr xl2000="1" url="http://download.finance.yahoo.com/d/quotes.csv?s=IGUA3.SA+IGUA5.SA+IGUA6.SA+JOPA3.SA+JOPA4.SA+SMTO3.SA+BSEV3.SA+VAGR3.SA&amp;f=nol1hgd1" htmlFormat="all"/>
  </connection>
  <connection id="1007" name="Connection34" type="4" refreshedVersion="4" background="1" saveData="1">
    <webPr xl2000="1" url="http://download.finance.yahoo.com/d/quotes.csv?s=IGUA3.SA+IGUA5.SA+IGUA6.SA+JOPA3.SA+JOPA4.SA+SMTO3.SA+BSEV3.SA+VAGR3.SA+RNAR3.SA&amp;f=nol1hgd1" htmlFormat="all"/>
  </connection>
  <connection id="1008" name="Connection341" type="4" refreshedVersion="4" background="1" saveData="1">
    <webPr xl2000="1" url="http://download.finance.yahoo.com/d/quotes.csv?s=IGUA3.SA+IGUA5.SA+IGUA6.SA+JOPA3.SA+JOPA4.SA+SMTO3.SA+BSEV3.SA+VAGR3.SA+RNAR3.SA&amp;f=nol1hgd1" htmlFormat="all"/>
  </connection>
  <connection id="1009" name="Connection35" type="4" refreshedVersion="4" background="1" saveData="1">
    <webPr xl2000="1" url="http://download.finance.yahoo.com/d/quotes.csv?s=IGUA3.SA+IGUA5.SA+IGUA6.SA+JOPA3.SA+JOPA4.SA+SMTO3.SA+BSEV3.SA+VAGR3.SA+RNAR3.SA+SLCE3.SA&amp;f=nol1hgd1" htmlFormat="all"/>
  </connection>
  <connection id="1010" name="Connection351" type="4" refreshedVersion="4" background="1" saveData="1">
    <webPr xl2000="1" url="http://download.finance.yahoo.com/d/quotes.csv?s=IGUA3.SA+IGUA5.SA+IGUA6.SA+JOPA3.SA+JOPA4.SA+SMTO3.SA+BSEV3.SA+VAGR3.SA+RNAR3.SA+SLCE3.SA&amp;f=nol1hgd1" htmlFormat="all"/>
  </connection>
  <connection id="1011" name="Connection36" type="4" refreshedVersion="4" background="1" saveData="1">
    <webPr xl2000="1" url="http://download.finance.yahoo.com/d/quotes.csv?s=IGUA3.SA+IGUA5.SA+IGUA6.SA+JOPA3.SA+JOPA4.SA+SMTO3.SA+BSEV3.SA+VAGR3.SA+RNAR3.SA+SLCE3.SA+CVCB3.SA&amp;f=nol1hgd1" htmlFormat="all"/>
  </connection>
  <connection id="1012" name="Connection361" type="4" refreshedVersion="4" background="1" saveData="1">
    <webPr xl2000="1" url="http://download.finance.yahoo.com/d/quotes.csv?s=IGUA3.SA+IGUA5.SA+IGUA6.SA+JOPA3.SA+JOPA4.SA+SMTO3.SA+BSEV3.SA+VAGR3.SA+RNAR3.SA+SLCE3.SA+CVCB3.SA&amp;f=nol1hgd1" htmlFormat="all"/>
  </connection>
  <connection id="1013" name="Connection37" type="4" refreshedVersion="4" background="1" saveData="1">
    <webPr xl2000="1" url="http://download.finance.yahoo.com/d/quotes.csv?s=IGUA3.SA+IGUA5.SA+IGUA6.SA+JOPA3.SA+JOPA4.SA+SMTO3.SA+BSEV3.SA+VAGR3.SA+RNAR3.SA+SLCE3.SA+CVCB3.SA+MAOR3B.SA+MAOR4B.SA&amp;f=nol1hgd1" htmlFormat="all"/>
  </connection>
  <connection id="1014" name="Connection371" type="4" refreshedVersion="4" background="1" saveData="1">
    <webPr xl2000="1" url="http://download.finance.yahoo.com/d/quotes.csv?s=IGUA3.SA+IGUA5.SA+IGUA6.SA+JOPA3.SA+JOPA4.SA+SMTO3.SA+BSEV3.SA+VAGR3.SA+RNAR3.SA+SLCE3.SA+CVCB3.SA+MAOR3B.SA+MAOR4B.SA&amp;f=nol1hgd1" htmlFormat="all"/>
  </connection>
  <connection id="1015" name="Connection38" type="4" refreshedVersion="4" background="1" saveData="1">
    <webPr xl2000="1" url="http://download.finance.yahoo.com/d/quotes.csv?s=IGUA3.SA+IGUA5.SA+IGUA6.SA+JOPA3.SA+JOPA4.SA+SMTO3.SA+BSEV3.SA+VAGR3.SA+RNAR3.SA+SLCE3.SA+CVCB3.SA+MAOR3B.SA+MAOR4B.SA&amp;f=nol1hgd1" htmlFormat="all"/>
  </connection>
  <connection id="1016" name="Connection381" type="4" refreshedVersion="4" background="1" saveData="1">
    <webPr xl2000="1" url="http://download.finance.yahoo.com/d/quotes.csv?s=IGUA3.SA+IGUA5.SA+IGUA6.SA+JOPA3.SA+JOPA4.SA+SMTO3.SA+BSEV3.SA+VAGR3.SA+RNAR3.SA+SLCE3.SA+CVCB3.SA+MAOR3B.SA+MAOR4B.SA&amp;f=nol1hgd1" htmlFormat="all"/>
  </connection>
  <connection id="1017" name="Connection39" type="4" refreshedVersion="4" background="1" saveData="1">
    <webPr xl2000="1" url="http://download.finance.yahoo.com/d/quotes.csv?s=IGUA3.SA+IGUA5.SA+IGUA6.SA+JOPA3.SA+JOPA4.SA+SMTO3.SA+BSEV3.SA+VAGR3.SA+RNAR3.SA+SLCE3.SA+CVCB3.SA+AHEB3.SA+AHEB5.SA+AHEB6.SA&amp;f=nol1hgd1" htmlFormat="all"/>
  </connection>
  <connection id="1018" name="Connection391" type="4" refreshedVersion="4" background="1" saveData="1">
    <webPr xl2000="1" url="http://download.finance.yahoo.com/d/quotes.csv?s=IGUA3.SA+IGUA5.SA+IGUA6.SA+JOPA3.SA+JOPA4.SA+SMTO3.SA+BSEV3.SA+VAGR3.SA+RNAR3.SA+SLCE3.SA+CVCB3.SA+AHEB3.SA+AHEB5.SA+AHEB6.SA&amp;f=nol1hgd1" htmlFormat="all"/>
  </connection>
  <connection id="1019" name="Connection4" type="4" refreshedVersion="4" background="1" saveData="1">
    <webPr xl2000="1" url="http://download.finance.yahoo.com/d/quotes.csv?s=ABCB3.SA+AFLT3.SA+AFLU3.SA+AFLU5.SA+AFLU6.SA+ALSC3.SA+ALUP11.SA+ALUP3.SA+ALUP4.SA+BAHI3.SA+BBSE3.SA+BRAP3.SA+BRAP4.SA+BRFS3.SA+BRIN3.SA+BRKM3.SA+BRKM5.SA+BRKM6.SA+BRML3.SA+BRPR3.SA+BVMF3.SA+CBEE3.SA+CCPR3.SA+CEEB6.SA+CELP3.SA+CELP5.SA+CELP6.SA+CELP7.SA+CIEL3.SA+CIQU3.SA+CIQU4.SA+clsc3.SA+CRIV3.SA+CRIV4.SA+CSAB3.SA+CSAB4.SA+CSAN3.SA+CTIP3.SA+DTEX3.SA+EBTP4.SA+ELEK3.SA+ELEK4.SA+elet5.SA+ETER3.SA+EUCA4.SA+GPAR3.SA+HBTS5.SA+IGTA3.SA+JBSS3.SA+JOPA3.SA+JOPA4.SA+LCAM3.SA+MAGG3.SA+MERC3.SA+MERC4.SA+MOAR3.SA+MULT3.SA+NUTR3M.SA+OIBR3.SA+OIBR4.SA+PATI4.SA+PETR3.SA+PETR4.SA+PRVI3.SA+PTPA4.SA+QGEP3.SA+SCAR3.SA+SMTO3.SA+SSBR3.SA+SULA11.SA+TERI3.SA+TIMP3.SA+TKNO4.SA+TRPN3.SA+UGPA3.SA+UNIP3.SA+VALE5.SA+VIGR3.SA+VIVT3.SA+VIVT4.SA+CEPE3.SA+COCE6.SA+ENMA5B.SA+ENMA6B.SA+CEED3.SA+CEED4.SA+EKTR3.SA+EKTR4.SA+ENEV3.SA+REDE3.SA+REDE4.SA+RNEW11.SA+RNEW3.SA+RNEW4.SA+TAEE3.SA+TAEE4.SA+CSAN4.SA+CGAS3.SA+CGAS5.SA+CEGR3.SA+INET3.SA+EBTP3.SA+MLFT3.SA+MLFT4.SA+LFFE3.SA+LFFE4.SA&amp;f=nol1hgd1" htmlFormat="all"/>
  </connection>
  <connection id="1020" name="Connection40" type="4" refreshedVersion="4" background="1" saveData="1">
    <webPr xl2000="1" url="http://download.finance.yahoo.com/d/quotes.csv?s=IGUA3.SA+IGUA5.SA+IGUA6.SA+JOPA3.SA+JOPA4.SA+SMTO3.SA+BSEV3.SA+VAGR3.SA+RNAR3.SA+SLCE3.SA+CVCB3.SA+AHEB3.SA+AHEB5.SA+AHEB6.SA+SHOW3.SA&amp;f=nol1hgd1" htmlFormat="all"/>
  </connection>
  <connection id="1021" name="Connection401" type="4" refreshedVersion="4" background="1" saveData="1">
    <webPr xl2000="1" url="http://download.finance.yahoo.com/d/quotes.csv?s=IGUA3.SA+IGUA5.SA+IGUA6.SA+JOPA3.SA+JOPA4.SA+SMTO3.SA+BSEV3.SA+VAGR3.SA+RNAR3.SA+SLCE3.SA+CVCB3.SA+AHEB3.SA+AHEB5.SA+AHEB6.SA+SHOW3.SA&amp;f=nol1hgd1" htmlFormat="all"/>
  </connection>
  <connection id="1022" name="Connection41" type="4" refreshedVersion="4" background="1" saveData="1">
    <webPr xl2000="1" url="http://download.finance.yahoo.com/d/quotes.csv?s=IGUA3.SA+IGUA5.SA+IGUA6.SA+JOPA3.SA+JOPA4.SA+SMTO3.SA+BSEV3.SA+VAGR3.SA+RNAR3.SA+SLCE3.SA+CVCB3.SA+AHEB3.SA+AHEB5.SA+AHEB6.SA+SHOW3.SA+PQTM3.SA+PQTM4.SA&amp;f=nol1hgd1" htmlFormat="all"/>
  </connection>
  <connection id="1023" name="Connection411" type="4" refreshedVersion="4" background="1" saveData="1">
    <webPr xl2000="1" url="http://download.finance.yahoo.com/d/quotes.csv?s=IGUA3.SA+IGUA5.SA+IGUA6.SA+JOPA3.SA+JOPA4.SA+SMTO3.SA+BSEV3.SA+VAGR3.SA+RNAR3.SA+SLCE3.SA+CVCB3.SA+AHEB3.SA+AHEB5.SA+AHEB6.SA+SHOW3.SA+PQTM3.SA+PQTM4.SA&amp;f=nol1hgd1" htmlFormat="all"/>
  </connection>
  <connection id="1024" name="Connection42" type="4" refreshedVersion="4" background="1" saveData="1">
    <webPr xl2000="1" url="http://download.finance.yahoo.com/d/quotes.csv?s=IGUA3.SA+IGUA5.SA+IGUA6.SA+JOPA3.SA+JOPA4.SA+SMTO3.SA+BSEV3.SA+VAGR3.SA+RNAR3.SA+SLCE3.SA+CVCB3.SA+AHEB3.SA+AHEB5.SA+AHEB6.SA+SHOW3.SA+BMKS3.SA&amp;f=nol1hgd1" htmlFormat="all"/>
  </connection>
  <connection id="1025" name="Connection421" type="4" refreshedVersion="4" background="1" saveData="1">
    <webPr xl2000="1" url="http://download.finance.yahoo.com/d/quotes.csv?s=IGUA3.SA+IGUA5.SA+IGUA6.SA+JOPA3.SA+JOPA4.SA+SMTO3.SA+BSEV3.SA+VAGR3.SA+RNAR3.SA+SLCE3.SA+CVCB3.SA+AHEB3.SA+AHEB5.SA+AHEB6.SA+SHOW3.SA+BMKS3.SA&amp;f=nol1hgd1" htmlFormat="all"/>
  </connection>
  <connection id="1026" name="Connection4211" type="4" refreshedVersion="4" background="1" saveData="1">
    <webPr xl2000="1" url="http://download.finance.yahoo.com/d/quotes.csv?s=IGUA3.SA+IGUA5.SA+IGUA6.SA+JOPA3.SA+JOPA4.SA+SMTO3.SA+BSEV3.SA+VAGR3.SA+RNAR3.SA+SLCE3.SA+CVCB3.SA+AHEB3.SA+AHEB5.SA+AHEB6.SA+SHOW3.SA+BMKS3.SA&amp;f=nol1hgd1" htmlFormat="all"/>
  </connection>
  <connection id="1027" name="Connection43" type="4" refreshedVersion="4" background="1" saveData="1">
    <webPr xl2000="1" url="http://download.finance.yahoo.com/d/quotes.csv?s=IGUA3.SA+IGUA5.SA+IGUA6.SA+JOPA3.SA+JOPA4.SA+SMTO3.SA+BSEV3.SA+VAGR3.SA+RNAR3.SA+SLCE3.SA+CVCB3.SA+AHEB3.SA+AHEB5.SA+AHEB6.SA+SHOW3.SA+BMKS3.SA+UCAS3.SA&amp;f=nol1hgd1" htmlFormat="all"/>
  </connection>
  <connection id="1028" name="Connection431" type="4" refreshedVersion="4" background="1" saveData="1">
    <webPr xl2000="1" url="http://download.finance.yahoo.com/d/quotes.csv?s=IGUA3.SA+IGUA5.SA+IGUA6.SA+JOPA3.SA+JOPA4.SA+SMTO3.SA+BSEV3.SA+VAGR3.SA+RNAR3.SA+SLCE3.SA+CVCB3.SA+AHEB3.SA+AHEB5.SA+AHEB6.SA+SHOW3.SA+BMKS3.SA+UCAS3.SA&amp;f=nol1hgd1" htmlFormat="all"/>
  </connection>
  <connection id="1029" name="Connection44" type="4" refreshedVersion="4" background="1" saveData="1">
    <webPr xl2000="1" url="http://download.finance.yahoo.com/d/quotes.csv?s=IGUA3.SA+IGUA5.SA+IGUA6.SA+JOPA3.SA+JOPA4.SA+SMTO3.SA+BSEV3.SA+VAGR3.SA+RNAR3.SA+SLCE3.SA+CVCB3.SA+AHEB3.SA+AHEB5.SA+AHEB6.SA+SHOW3.SA+BMKS3.SA+UCAS3.SA+WHRL3.SA+WHRL4.SA&amp;f=nol1hgd1" htmlFormat="all"/>
  </connection>
  <connection id="1030" name="Connection441" type="4" refreshedVersion="4" background="1" saveData="1">
    <webPr xl2000="1" url="http://download.finance.yahoo.com/d/quotes.csv?s=IGUA3.SA+IGUA5.SA+IGUA6.SA+JOPA3.SA+JOPA4.SA+SMTO3.SA+BSEV3.SA+VAGR3.SA+RNAR3.SA+SLCE3.SA+CVCB3.SA+AHEB3.SA+AHEB5.SA+AHEB6.SA+SHOW3.SA+BMKS3.SA+UCAS3.SA+WHRL3.SA+WHRL4.SA&amp;f=nol1hgd1" htmlFormat="all"/>
  </connection>
  <connection id="1031" name="Connection45" type="4" refreshedVersion="4" background="1" saveData="1">
    <webPr xl2000="1" url="http://download.finance.yahoo.com/d/quotes.csv?s=IGUA3.SA+IGUA5.SA+IGUA6.SA+JOPA3.SA+JOPA4.SA+SMTO3.SA+BSEV3.SA+VAGR3.SA+RNAR3.SA+SLCE3.SA+CVCB3.SA+AHEB3.SA+AHEB5.SA+AHEB6.SA+SHOW3.SA+BMKS3.SA+UCAS3.SA+WHRL3.SA+WHRL4.SA+BMTO3.SA+BMTO4.SA&amp;f=nol1hgd1" htmlFormat="all"/>
  </connection>
  <connection id="1032" name="Connection451" type="4" refreshedVersion="4" background="1" saveData="1">
    <webPr xl2000="1" url="http://download.finance.yahoo.com/d/quotes.csv?s=IGUA3.SA+IGUA5.SA+IGUA6.SA+JOPA3.SA+JOPA4.SA+SMTO3.SA+BSEV3.SA+VAGR3.SA+RNAR3.SA+SLCE3.SA+CVCB3.SA+AHEB3.SA+AHEB5.SA+AHEB6.SA+SHOW3.SA+BMKS3.SA+UCAS3.SA+WHRL3.SA+WHRL4.SA+BMTO3.SA+BMTO4.SA&amp;f=nol1hgd1" htmlFormat="all"/>
  </connection>
  <connection id="1033" name="Connection46" type="4" refreshedVersion="4" background="1" saveData="1">
    <webPr xl2000="1" url="http://download.finance.yahoo.com/d/quotes.csv?s=IGUA3.SA+IGUA5.SA+IGUA6.SA+JOPA3.SA+JOPA4.SA+SMTO3.SA+BSEV3.SA+VAGR3.SA+RNAR3.SA+SLCE3.SA+CVCB3.SA+AHEB3.SA+AHEB5.SA+AHEB6.SA+SHOW3.SA+BMKS3.SA+UCAS3.SA+WHRL3.SA+WHRL4.SA+BMTO3.SA+BMTO4.SA+MGLU3.SA&amp;f=nol1hgd1" htmlFormat="all"/>
  </connection>
  <connection id="1034" name="Connection461" type="4" refreshedVersion="4" background="1" saveData="1">
    <webPr xl2000="1" url="http://download.finance.yahoo.com/d/quotes.csv?s=IGUA3.SA+IGUA5.SA+IGUA6.SA+JOPA3.SA+JOPA4.SA+SMTO3.SA+BSEV3.SA+VAGR3.SA+RNAR3.SA+SLCE3.SA+CVCB3.SA+AHEB3.SA+AHEB5.SA+AHEB6.SA+SHOW3.SA+BMKS3.SA+UCAS3.SA+WHRL3.SA+WHRL4.SA+BMTO3.SA+BMTO4.SA+MGLU3.SA&amp;f=nol1hgd1" htmlFormat="all"/>
  </connection>
  <connection id="1035" name="Connection47" type="4" refreshedVersion="4" background="1" saveData="1">
    <webPr xl2000="1" url="http://download.finance.yahoo.com/d/quotes.csv?s=IGUA3.SA+IGUA5.SA+IGUA6.SA+JOPA3.SA+JOPA4.SA+SMTO3.SA+BSEV3.SA+VAGR3.SA+RNAR3.SA+SLCE3.SA+CVCB3.SA+AHEB3.SA+AHEB5.SA+AHEB6.SA+SHOW3.SA+BMKS3.SA+UCAS3.SA+WHRL3.SA+WHRL4.SA+BMTO3.SA+BMTO4.SA+MGLU3.SA+VVAR11.SA+VVAR3.SA+VVAR4.SA&amp;f=nol1hgd1" htmlFormat="all"/>
  </connection>
  <connection id="1036" name="Connection471" type="4" refreshedVersion="4" background="1" saveData="1">
    <webPr xl2000="1" url="http://download.finance.yahoo.com/d/quotes.csv?s=IGUA3.SA+IGUA5.SA+IGUA6.SA+JOPA3.SA+JOPA4.SA+SMTO3.SA+BSEV3.SA+VAGR3.SA+RNAR3.SA+SLCE3.SA+CVCB3.SA+AHEB3.SA+AHEB5.SA+AHEB6.SA+SHOW3.SA+BMKS3.SA+UCAS3.SA+WHRL3.SA+WHRL4.SA+BMTO3.SA+BMTO4.SA+MGLU3.SA+VVAR11.SA+VVAR3.SA+VVAR4.SA&amp;f=nol1hgd1" htmlFormat="all"/>
  </connection>
  <connection id="1037" name="Connection48" type="4" refreshedVersion="4" background="1" saveData="1">
    <webPr xl2000="1" url="http://download.finance.yahoo.com/d/quotes.csv?s=IGUA3.SA+IGUA5.SA+IGUA6.SA+JOPA3.SA+JOPA4.SA+SMTO3.SA+BSEV3.SA+VAGR3.SA+RNAR3.SA+SLCE3.SA+CVCB3.SA+AHEB3.SA+AHEB5.SA+AHEB6.SA+SHOW3.SA+BMKS3.SA+UCAS3.SA+WHRL3.SA+WHRL4.SA+BMTO3.SA+BMTO4.SA+MGLU3.SA+VVAR11.SA+VVAR3.SA+VVAR4.SA+IGBR3.SA&amp;f=nol1hgd1" htmlFormat="all"/>
  </connection>
  <connection id="1038" name="Connection481" type="4" refreshedVersion="4" background="1" saveData="1">
    <webPr xl2000="1" url="http://download.finance.yahoo.com/d/quotes.csv?s=IGUA3.SA+IGUA5.SA+IGUA6.SA+JOPA3.SA+JOPA4.SA+SMTO3.SA+BSEV3.SA+VAGR3.SA+RNAR3.SA+SLCE3.SA+CVCB3.SA+AHEB3.SA+AHEB5.SA+AHEB6.SA+SHOW3.SA+BMKS3.SA+UCAS3.SA+WHRL3.SA+WHRL4.SA+BMTO3.SA+BMTO4.SA+MGLU3.SA+VVAR11.SA+VVAR3.SA+VVAR4.SA+IGBR3.SA&amp;f=nol1hgd1" htmlFormat="all"/>
  </connection>
  <connection id="1039" name="Connection49" type="4" refreshedVersion="4" background="1" saveData="1">
    <webPr xl2000="1" url="http://download.finance.yahoo.com/d/quotes.csv?s=IGUA3.SA+IGUA5.SA+IGUA6.SA+JOPA3.SA+JOPA4.SA+SMTO3.SA+BSEV3.SA+VAGR3.SA+RNAR3.SA+SLCE3.SA+CVCB3.SA+AHEB3.SA+AHEB5.SA+AHEB6.SA+SHOW3.SA+BMKS3.SA+UCAS3.SA+WHRL3.SA+WHRL4.SA+BMTO3.SA+BMTO4.SA+MGLU3.SA+VVAR11.SA+VVAR3.SA+VVAR4.SA+IGBR3.SA+SPRI3.SA+SPRI5.SA+SPRI6.SA&amp;f=nol1hgd1" htmlFormat="all"/>
  </connection>
  <connection id="1040" name="Connection491" type="4" refreshedVersion="4" background="1" saveData="1">
    <webPr xl2000="1" url="http://download.finance.yahoo.com/d/quotes.csv?s=IGUA3.SA+IGUA5.SA+IGUA6.SA+JOPA3.SA+JOPA4.SA+SMTO3.SA+BSEV3.SA+VAGR3.SA+RNAR3.SA+SLCE3.SA+CVCB3.SA+AHEB3.SA+AHEB5.SA+AHEB6.SA+SHOW3.SA+BMKS3.SA+UCAS3.SA+WHRL3.SA+WHRL4.SA+BMTO3.SA+BMTO4.SA+MGLU3.SA+VVAR11.SA+VVAR3.SA+VVAR4.SA+IGBR3.SA+SPRI3.SA+SPRI5.SA+SPRI6.SA&amp;f=nol1hgd1" htmlFormat="all"/>
  </connection>
  <connection id="1041" name="Connection5" type="4" refreshedVersion="0" background="1" saveData="1">
    <webPr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+GSHP3.SA+MULT4.SA+TEMP3.SA+DASA3.SA+FLRY3.SA+ODPV3.SA+QUAL3.SA+BIOM3M.SA+CREM3.SA&amp;f=nol1hgd1" htmlTables="1" htmlFormat="all"/>
  </connection>
  <connection id="1042" name="Connection50" type="4" refreshedVersion="4" background="1" saveData="1">
    <webPr xl2000="1" url="http://download.finance.yahoo.com/d/quotes.csv?s=IGUA3.SA+IGUA5.SA+IGUA6.SA+JOPA3.SA+JOPA4.SA+SMTO3.SA+BSEV3.SA+VAGR3.SA+RNAR3.SA+SLCE3.SA+CVCB3.SA+AHEB3.SA+AHEB5.SA+AHEB6.SA+SHOW3.SA+BMKS3.SA+UCAS3.SA+WHRL3.SA+WHRL4.SA+BMTO3.SA+BMTO4.SA+MGLU3.SA+VVAR11.SA+VVAR3.SA+VVAR4.SA+IGBR3.SA+HGTX3.SA&amp;f=nol1hgd1" htmlFormat="all"/>
  </connection>
  <connection id="1043" name="Connection501" type="4" refreshedVersion="4" background="1" saveData="1">
    <webPr xl2000="1" url="http://download.finance.yahoo.com/d/quotes.csv?s=IGUA3.SA+IGUA5.SA+IGUA6.SA+JOPA3.SA+JOPA4.SA+SMTO3.SA+BSEV3.SA+VAGR3.SA+RNAR3.SA+SLCE3.SA+CVCB3.SA+AHEB3.SA+AHEB5.SA+AHEB6.SA+SHOW3.SA+BMKS3.SA+UCAS3.SA+WHRL3.SA+WHRL4.SA+BMTO3.SA+BMTO4.SA+MGLU3.SA+VVAR11.SA+VVAR3.SA+VVAR4.SA+IGBR3.SA+HGTX3.SA&amp;f=nol1hgd1" htmlFormat="all"/>
  </connection>
  <connection id="1044" name="Connection51" type="4" refreshedVersion="4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+GSHP3.SA+MULT4.SA+TEMP3.SA+DASA3.SA+FLRY3.SA+ODPV3.SA+QUAL3.SA+BIOM3M.SA+CREM3.SA&amp;f=nol1hgd1" htmlFormat="all"/>
  </connection>
  <connection id="1045" name="Connection511" type="4" refreshedVersion="4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+GSHP3.SA+MULT4.SA+TEMP3.SA+DASA3.SA+FLRY3.SA+ODPV3.SA+QUAL3.SA+BIOM3M.SA+CREM3.SA&amp;f=nol1hgd1" htmlFormat="all"/>
  </connection>
  <connection id="1046" name="Connection5111" type="4" refreshedVersion="4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+GSHP3.SA+MULT4.SA+TEMP3.SA+DASA3.SA+FLRY3.SA+ODPV3.SA+QUAL3.SA+BIOM3M.SA+CREM3.SA&amp;f=nol1hgd1" htmlFormat="all"/>
  </connection>
  <connection id="1047" name="Connection52" type="4" refreshedVersion="0" background="1" saveData="1">
    <webPr url="http://download.finance.yahoo.com/d/quotes.csv?s=IGUA3.SA+IGUA5.SA+IGUA6.SA+JOPA3.SA+JOPA4.SA+SMTO3.SA+BSEV3.SA+VAGR3.SA+RNAR3.SA+SLCE3.SA+CVCB3.SA+AHEB3.SA+AHEB5.SA+AHEB6.SA+SHOW3.SA+BMKS3.SA+UCAS3.SA+WHRL3.SA+WHRL4.SA+BMTO3.SA+BMTO4.SA+MGLU3.SA+VVAR11.SA+VVAR3.SA+VVAR4.SA+IGBR3.SA+HGTX3.SA+CEDO3.SA+CEDO4.SA&amp;f=nol1hgd1" htmlTables="1" htmlFormat="all"/>
  </connection>
  <connection id="1048" name="Connection521" type="4" refreshedVersion="0" background="1" saveData="1">
    <webPr url="http://download.finance.yahoo.com/d/quotes.csv?s=IGUA3.SA+IGUA5.SA+IGUA6.SA+JOPA3.SA+JOPA4.SA+SMTO3.SA+BSEV3.SA+VAGR3.SA+RNAR3.SA+SLCE3.SA+CVCB3.SA+AHEB3.SA+AHEB5.SA+AHEB6.SA+SHOW3.SA+BMKS3.SA+UCAS3.SA+WHRL3.SA+WHRL4.SA+BMTO3.SA+BMTO4.SA+MGLU3.SA+VVAR11.SA+VVAR3.SA+VVAR4.SA+IGBR3.SA+HGTX3.SA+CEDO3.SA+CEDO4.SA&amp;f=nol1hgd1" htmlTables="1" htmlFormat="all"/>
  </connection>
  <connection id="1049" name="Connection522" type="4" refreshedVersion="0" background="1" saveData="1">
    <webPr url="http://download.finance.yahoo.com/d/quotes.csv?s=IGUA3.SA+IGUA5.SA+IGUA6.SA+JOPA3.SA+JOPA4.SA+SMTO3.SA+BSEV3.SA+VAGR3.SA+RNAR3.SA+SLCE3.SA+CVCB3.SA+AHEB3.SA+AHEB5.SA+AHEB6.SA+SHOW3.SA+BMKS3.SA+UCAS3.SA+WHRL3.SA+WHRL4.SA+BMTO3.SA+BMTO4.SA+MGLU3.SA+VVAR11.SA+VVAR3.SA+VVAR4.SA+IGBR3.SA+HGTX3.SA+CEDO3.SA+CEDO4.SA&amp;f=nol1hgd1" htmlTables="1" htmlFormat="all"/>
  </connection>
  <connection id="1050" name="Connection53" type="4" refreshedVersion="4" background="1" saveData="1">
    <webPr xl2000="1" url="http://download.finance.yahoo.com/d/quotes.csv?s=ABCB4.SA+AELP3.SA+BAZA3.SA+BBAS3.SA+BBDC3.SA+BBDC4.SA+BEES3.SA+BEES4.SA+BGIP3.SA+BGIP4.SA+BICB3.SA+BICB4.SA+BMIN3.SA+BMIN4.SA+BNBR3.SA+BNBR4.SA+BRGE11.SA+BRGE12.SA+BRGE3.SA+BRGE5.SA+BRGE6.SA+BRGE7.SA+BRGE8.SA+BRIV3.SA+BRIV4.SA+BRSR3.SA+BRSR5.SA+BRSR6.SA+BSLI3.SA+BSLI4.SA+CASN3.SA+CEBR3.SA+CEBR5.SA+CEBR6.SA+CEEB3.SA+CEEB5.SA+CEPE5.SA+CEPE6.SA+CESP3.SA+CESP5.SA+CESP6.SA+CLSC4.SA+CMIG3.SA+CMIG4.SA+COCE3.SA+COCE5.SA+CPFE3.SA+CPLE3.SA+CPLE5.SA+CPLE6.SA+CSMG3.SA+CSRN3.SA+CSRN5.SA+CSRN6.SA+DAYC4.SA+EEEL3.SA+EEEL4.SA+ELET3.SA+ELET6.SA+ELPL3.SA+ELPL4.SA+EMAE4.SA+ENBR3.SA+ENGI11.SA+ENGI3.SA+ENGI4.SA+ENMA3B.SA+EQTL3.SA+FESA3.SA+FESA4.SA+GEPA3.SA+GEPA4.SA+GETI3.SA+GETI4.SA+GTDP3B.SA+GTDP4B.SA+ITSA3.SA+ITSA4.SA+ITUB3.SA+ITUB4.SA+KLBN3.SA+KLBN4.SA+LIGT3.SA+LIPR3.SA+PINE4.SA+PRBC4.SA+PSSA3.SA+RANI3.SA+RANI4.SA+RDTR3.SA+RPAD3.SA+RPAD5.SA+RPAD6.SA+SAPR3.SA+SAPR4.SA+SBSP3.SA+SFSA4.SA+SUZB5.SA+SUZB6.SA+TAEE11.SA+TBLE3.SA+TRPL3.SA+TRPL4.SA+UNIP5.SA+UNIP6.SA+PATI3.SA&amp;f=nol1hgd1" htmlFormat="all"/>
  </connection>
  <connection id="1051" name="Connection54" type="4" refreshedVersion="4" background="1" saveData="1">
    <webPr xl2000="1" url="http://download.finance.yahoo.com/d/quotes.csv?s=ABCB3.SA+AFLT3.SA+AFLU3.SA+AFLU5.SA+AFLU6.SA+ALSC3.SA+ALUP11.SA+ALUP3.SA+ALUP4.SA+BAHI3.SA+BBSE3.SA+BRAP3.SA+BRAP4.SA+BRFS3.SA+BRIN3.SA+BRKM3.SA+BRKM5.SA+BRKM6.SA+BRML3.SA+BRPR3.SA+BVMF3.SA+CBEE3.SA+CCPR3.SA+CEEB6.SA+CELP3.SA+CELP5.SA+CELP6.SA+CELP7.SA+CIEL3.SA+CIQU3.SA+CIQU4.SA+clsc3.SA+CRIV3.SA+CRIV4.SA+CSAB3.SA+CSAB4.SA+CSAN3.SA+CTIP3.SA+DTEX3.SA+EBTP4.SA+ELEK3.SA+ELEK4.SA+elet5.SA+ETER3.SA+EUCA4.SA+GPAR3.SA+HBTS5.SA+IGTA3.SA+JBSS3.SA+JOPA3.SA+JOPA4.SA+LCAM3.SA+MAGG3.SA+MERC3.SA+MERC4.SA+MOAR3.SA+MULT3.SA+NUTR3M.SA+OIBR3.SA+OIBR4.SA+PATI4.SA+PETR3.SA+PETR4.SA+PRVI3.SA+PTPA4.SA+QGEP3.SA+SCAR3.SA+SMTO3.SA+SSBR3.SA+SULA11.SA+TERI3.SA+TIMP3.SA+TKNO4.SA+TRPN3.SA+UGPA3.SA+UNIP3.SA+VALE5.SA+VIGR3.SA+VIVT3.SA+VIVT4.SA+CEPE3.SA+COCE6.SA+ENMA5B.SA+ENMA6B.SA+CEED3.SA+CEED4.SA+EKTR3.SA+EKTR4.SA+ENEV3.SA+REDE3.SA+REDE4.SA+RNEW11.SA+RNEW3.SA+RNEW4.SA+TAEE3.SA+TAEE4.SA+CSAN4.SA+CGAS3.SA+CGAS5.SA+CEGR3.SA+INET3.SA+EBTP3.SA+MLFT3.SA+MLFT4.SA+LFFE3.SA+LFFE4.SA&amp;f=nol1hgd1" htmlFormat="all"/>
  </connection>
  <connection id="1052" name="Connection55" type="4" refreshedVersion="4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CAFE4.SA+PEAB3.SA+PEAB4.SA+SULA3.SA+SULA4.SA+BTTL3.SA+BTTL4.SA+HBTS3.SA+HBTS6.SA+DOCA3.SA+DOCA4.SA+JBDU3.SA+JBDU4.SA+AGRO3.SA+CORR3.SA+CORR4.SA+GSHP3.SA+MULT4.SA+TEMP3.SA+DASA3.SA+FLRY3.SA+ODPV3.SA+QUAL3.SA+BIOM3M.SA+CREM3.SA+NATU3.SA+BOBR3.SA+BOBR4.SA+CRUZ3.SA+LAME3.SA+LAME4.SA+BTOW3.SA+HYPE3.SA+RADL3.SA+BPHA3.SA+PNVL3.SA+PNVL4.SA+PFRM3.SA+PCAR3.SA+PCAR4.SA+ABEV3.SA+VIGR3.SA+CLAN3.SA+CLAN4.SA+MNPR3.SA+BAUH3.SA+BAUH4.SA+BEEF3.SA+MRFG3.SA+CAFE3.SA&amp;f=nol1hgd1" htmlFormat="all"/>
  </connection>
  <connection id="1053" name="Connection56" type="4" refreshedVersion="0" background="1">
    <webPr url="http://download.finance.yahoo.com/d/quotes.csv?s=ABCB4.SA+AELP3.SA+BAZA3.SA+BBAS3.SA+BBDC3.SA+BBDC4.SA+BEES3.SA+BEES4.SA+BGIP3.SA+BGIP4.SA+BICB3.SA+BICB4.SA+BMIN3.SA+BMIN4.SA+BNBR3.SA+BNBR4.SA+BRGE11.SA+BRGE12.SA+BRGE3.SA+BRGE5.SA+BRGE6.SA+BRGE7.SA+BRGE8.SA+BRIV3.SA+BRIV4.SA+BRSR3.SA+BRSR5.SA+BRSR6.SA+BSLI3.SA+BSLI4.SA+CASN3.SA+CEBR3.SA+CEBR5.SA+CEBR6.SA+CEEB3.SA+CEEB5.SA+CEPE5.SA+CEPE6.SA+CESP3.SA+CESP5.SA+CESP6.SA+CLSC4.SA+CMIG3.SA+CMIG4.SA+COCE3.SA+COCE5.SA+CPFE3.SA+CPLE3.SA+CPLE5.SA+CPLE6.SA+CSMG3.SA+CSRN3.SA+CSRN5.SA+CSRN6.SA+DAYC4.SA+EEEL3.SA+EEEL4.SA+ELET3.SA+ELET6.SA+ELPL3.SA+ELPL4.SA+EMAE4.SA+ENBR3.SA+ENGI11.SA+ENGI3.SA+ENGI4.SA+ENMA3B.SA+EQTL3.SA+FESA3.SA+FESA4.SA+GEPA3.SA+GEPA4.SA+GETI3.SA+GETI4.SA+GTDP3B.SA+GTDP4B.SA+ITSA3.SA+ITSA4.SA+ITUB3.SA+ITUB4.SA+KLBN3.SA+KLBN4.SA+LIGT3.SA+LIPR3.SA+PINE4.SA+PRBC4.SA+PSSA3.SA+RANI3.SA+RANI4.SA+RDTR3.SA+RPAD3.SA+RPAD5.SA+RPAD6.SA+SAPR3.SA+SAPR4.SA+SBSP3.SA+SFSA4.SA+SUZB5.SA+SUZB6.SA+TAEE11.SA+TBLE3.SA+TRPL3.SA+TRPL4.SA+UNIP5.SA+UNIP6.SA+PATI3.SA&amp;f=nol1hgd1" htmlTables="1" htmlFormat="all"/>
  </connection>
  <connection id="1054" name="Connection57" type="4" refreshedVersion="4" background="1" saveData="1">
    <webPr xl2000="1" url="http://download.finance.yahoo.com/d/quotes.csv?s=ABCB4.SA+AELP3.SA+BAZA3.SA+BBAS3.SA+BBDC3.SA+BBDC4.SA+BEES3.SA+BEES4.SA+BGIP3.SA+BGIP4.SA+BICB3.SA+BICB4.SA+BMIN3.SA+BMIN4.SA+BNBR3.SA+BNBR4.SA+BRGE11.SA+BRGE12.SA+BRGE3.SA+BRGE5.SA+BRGE6.SA+BRGE7.SA+BRGE8.SA+BRIV3.SA+BRIV4.SA+BRSR3.SA+BRSR5.SA+BRSR6.SA+BSLI3.SA+BSLI4.SA+CASN3.SA+CEBR3.SA+CEBR5.SA+CEBR6.SA+CEEB3.SA+CEEB5.SA+CEPE5.SA+CEPE6.SA+CESP3.SA+CESP5.SA+CESP6.SA+CLSC4.SA+CMIG3.SA+CMIG4.SA+COCE3.SA+COCE5.SA+CPFE3.SA+CPLE3.SA+CPLE5.SA+CPLE6.SA+CSMG3.SA+CSRN3.SA+CSRN5.SA+CSRN6.SA+DAYC4.SA+EEEL3.SA+EEEL4.SA+ELET3.SA+ELET6.SA+ELPL3.SA+ELPL4.SA+EMAE4.SA+ENBR3.SA+ENGI11.SA+ENGI3.SA+ENGI4.SA+ENMA3B.SA+EQTL3.SA+FESA3.SA+FESA4.SA+GEPA3.SA+GEPA4.SA+GETI3.SA+GETI4.SA+GTDP3B.SA+GTDP4B.SA+ITSA3.SA+ITSA4.SA+ITUB3.SA+ITUB4.SA+KLBN3.SA+KLBN4.SA+LIGT3.SA+LIPR3.SA+PINE4.SA+PRBC4.SA+PSSA3.SA+RANI3.SA+RANI4.SA+RDTR3.SA+RPAD3.SA+RPAD5.SA+RPAD6.SA+SAPR3.SA+SAPR4.SA+SBSP3.SA+SFSA4.SA+SUZB5.SA+SUZB6.SA+TAEE11.SA+TBLE3.SA+TRPL3.SA+TRPL4.SA+UNIP5.SA+UNIP6.SA+PATI3.SA&amp;f=nol1hgd1" htmlFormat="all"/>
  </connection>
  <connection id="1055" name="Connection58" type="4" refreshedVersion="4" background="1" saveData="1">
    <webPr xl2000="1" url="http://download.finance.yahoo.com/d/quotes.csv?s=ABCB3.SA+AFLT3.SA+AFLU3.SA+AFLU5.SA+AFLU6.SA+ALSC3.SA+ALUP11.SA+ALUP3.SA+ALUP4.SA+BAHI3.SA+BBSE3.SA+BRAP3.SA+BRAP4.SA+BRFS3.SA+BRIN3.SA+BRKM3.SA+BRKM5.SA+BRKM6.SA+BRML3.SA+BRPR3.SA+BVMF3.SA+CBEE3.SA+CCPR3.SA+CEEB6.SA+CELP3.SA+CELP5.SA+CELP6.SA+CELP7.SA+CIEL3.SA+CIQU3.SA+CIQU4.SA+clsc3.SA+CRIV3.SA+CRIV4.SA+CSAB3.SA+CSAB4.SA+CSAN3.SA+CTIP3.SA+DTEX3.SA+EBTP4.SA+ELEK3.SA+ELEK4.SA+elet5.SA+ETER3.SA+EUCA4.SA+GPAR3.SA+HBTS5.SA+IGTA3.SA+JBSS3.SA+JOPA3.SA+JOPA4.SA+LCAM3.SA+MAGG3.SA+MERC3.SA+MERC4.SA+MOAR3.SA+MULT3.SA+NUTR3M.SA+OIBR3.SA+OIBR4.SA+PATI4.SA+PETR3.SA+PETR4.SA+PRVI3.SA+PTPA4.SA+QGEP3.SA+SCAR3.SA+SMTO3.SA+SSBR3.SA+SULA11.SA+TERI3.SA+TIMP3.SA+TKNO4.SA+TRPN3.SA+UGPA3.SA+UNIP3.SA+VALE5.SA+VIGR3.SA+VIVT3.SA+VIVT4.SA+CEPE3.SA+COCE6.SA+ENMA5B.SA+ENMA6B.SA+CEED3.SA+CEED4.SA+EKTR3.SA+EKTR4.SA+ENEV3.SA+REDE3.SA+REDE4.SA+RNEW11.SA+RNEW3.SA+RNEW4.SA+TAEE3.SA+TAEE4.SA+CSAN4.SA+CGAS3.SA+CGAS5.SA+CEGR3.SA+INET3.SA+EBTP3.SA+MLFT3.SA+MLFT4.SA+LFFE3.SA+LFFE4.SA&amp;f=nol1hgd1" htmlFormat="all"/>
  </connection>
  <connection id="1056" name="Connection59" type="4" refreshedVersion="4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CAFE4.SA+PEAB3.SA+PEAB4.SA+SULA3.SA+SULA4.SA+BTTL3.SA+BTTL4.SA+HBTS3.SA+HBTS6.SA+DOCA3.SA+DOCA4.SA+JBDU3.SA+JBDU4.SA+AGRO3.SA+CORR3.SA+CORR4.SA+GSHP3.SA+MULT4.SA+TEMP3.SA+DASA3.SA+FLRY3.SA+ODPV3.SA+QUAL3.SA+BIOM3M.SA+CREM3.SA+NATU3.SA+BOBR3.SA+BOBR4.SA+CRUZ3.SA+LAME3.SA+LAME4.SA+BTOW3.SA+HYPE3.SA+RADL3.SA+BPHA3.SA+PNVL3.SA+PNVL4.SA+PFRM3.SA+PCAR3.SA+PCAR4.SA+ABEV3.SA+VIGR3.SA+CLAN3.SA+CLAN4.SA+MNPR3.SA+BAUH3.SA+BAUH4.SA+BEEF3.SA+MRFG3.SA+CAFE3.SA&amp;f=nol1hgd1" htmlFormat="all"/>
  </connection>
  <connection id="1057" name="Connection6" type="4" refreshedVersion="0" background="1" saveData="1">
    <webPr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+GSHP3.SA+MULT4.SA+TEMP3.SA+DASA3.SA+FLRY3.SA+ODPV3.SA+QUAL3.SA+BIOM3M.SA+CREM3.SA+NATU3.SA&amp;f=nol1hgd1" htmlTables="1" htmlFormat="all"/>
  </connection>
  <connection id="1058" name="Connection60" type="4" refreshedVersion="4" background="1" saveData="1">
    <webPr xl2000="1" url="http://download.finance.yahoo.com/d/quotes.csv?s=IGUA3.SA+IGUA5.SA+IGUA6.SA+JOPA3.SA+JOPA4.SA+SMTO3.SA+BSEV3.SA+VAGR3.SA+RNAR3.SA+SLCE3.SA+CVCB3.SA+AHEB3.SA+AHEB5.SA+AHEB6.SA+SHOW3.SA+BMKS3.SA+UCAS3.SA+WHRL3.SA+WHRL4.SA+BMTO3.SA+BMTO4.SA+MGLU3.SA+VVAR11.SA+VVAR3.SA+VVAR4.SA+IGBR3.SA+HGTX3.SA+CEDO3.SA+CEDO4.SA&amp;f=nol1hgd1" htmlFormat="all"/>
  </connection>
  <connection id="1059" name="Connection601" type="4" refreshedVersion="4" background="1" saveData="1">
    <webPr xl2000="1" url="http://download.finance.yahoo.com/d/quotes.csv?s=IGUA3.SA+IGUA5.SA+IGUA6.SA+JOPA3.SA+JOPA4.SA+SMTO3.SA+BSEV3.SA+VAGR3.SA+RNAR3.SA+SLCE3.SA+CVCB3.SA+AHEB3.SA+AHEB5.SA+AHEB6.SA+SHOW3.SA+BMKS3.SA+UCAS3.SA+WHRL3.SA+WHRL4.SA+BMTO3.SA+BMTO4.SA+MGLU3.SA+VVAR11.SA+VVAR3.SA+VVAR4.SA+IGBR3.SA+HGTX3.SA+CEDO3.SA+CEDO4.SA&amp;f=nol1hgd1" htmlFormat="all"/>
  </connection>
  <connection id="1060" name="Connection61" type="4" refreshedVersion="4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+GSHP3.SA+MULT4.SA+TEMP3.SA+DASA3.SA+FLRY3.SA+ODPV3.SA+QUAL3.SA+BIOM3M.SA+CREM3.SA+NATU3.SA&amp;f=nol1hgd1" htmlFormat="all"/>
  </connection>
  <connection id="1061" name="Connection611" type="4" refreshedVersion="4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+GSHP3.SA+MULT4.SA+TEMP3.SA+DASA3.SA+FLRY3.SA+ODPV3.SA+QUAL3.SA+BIOM3M.SA+CREM3.SA+NATU3.SA&amp;f=nol1hgd1" htmlFormat="all"/>
  </connection>
  <connection id="1062" name="Connection6111" type="4" refreshedVersion="4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+GSHP3.SA+MULT4.SA+TEMP3.SA+DASA3.SA+FLRY3.SA+ODPV3.SA+QUAL3.SA+BIOM3M.SA+CREM3.SA+NATU3.SA&amp;f=nol1hgd1" htmlFormat="all"/>
  </connection>
  <connection id="1063" name="Connection612" type="4" refreshedVersion="4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+GSHP3.SA+MULT4.SA+TEMP3.SA+DASA3.SA+FLRY3.SA+ODPV3.SA+QUAL3.SA+BIOM3M.SA+CREM3.SA+NATU3.SA&amp;f=nol1hgd1" htmlFormat="all"/>
  </connection>
  <connection id="1064" name="Connection62" type="4" refreshedVersion="0" background="1" saveData="1">
    <webPr url="http://download.finance.yahoo.com/d/quotes.csv?s=ABCB4.SA+AELP3.SA+BAZA3.SA+BBAS3.SA+BBDC3.SA+BBDC4.SA+BEES3.SA+BEES4.SA+BGIP3.SA+BGIP4.SA+BICB3.SA+BICB4.SA+BMIN3.SA+BMIN4.SA+BNBR3.SA+BNBR4.SA+BRGE11.SA+BRGE12.SA+BRGE3.SA+BRGE5.SA+BRGE6.SA+BRGE7.SA+BRGE8.SA+BRIV3.SA+BRIV4.SA+BRSR3.SA+BRSR5.SA+BRSR6.SA+BSLI3.SA+BSLI4.SA+CASN3.SA+CEBR3.SA+CEBR5.SA+CEBR6.SA+CEEB3.SA+CEEB5.SA+CEPE5.SA+CEPE6.SA+CESP3.SA+CESP5.SA+CESP6.SA+CLSC4.SA+CMIG3.SA+CMIG4.SA+COCE3.SA+COCE5.SA+CPFE3.SA+CPLE3.SA+CPLE5.SA+CPLE6.SA+CSMG3.SA+CSRN3.SA+CSRN5.SA+CSRN6.SA+DAYC4.SA+EEEL3.SA+EEEL4.SA+ELET3.SA+ELET6.SA+ELPL3.SA+ELPL4.SA+EMAE4.SA+ENBR3.SA+ENGI11.SA+ENGI3.SA+ENGI4.SA+ENMA3B.SA+EQTL3.SA+FESA3.SA+FESA4.SA+GEPA3.SA+GEPA4.SA+GETI3.SA+GETI4.SA+GTDP3B.SA+GTDP4B.SA+ITSA3.SA+ITSA4.SA+ITUB3.SA+ITUB4.SA+KLBN3.SA+KLBN4.SA+LIGT3.SA+LIPR3.SA+PINE4.SA+PRBC4.SA+PSSA3.SA+RANI3.SA+RANI4.SA+RDTR3.SA+RPAD3.SA+RPAD5.SA+RPAD6.SA+SAPR3.SA+SAPR4.SA+SBSP3.SA+SFSA4.SA+SUZB5.SA+SUZB6.SA+TAEE11.SA+TBLE3.SA+TRPL3.SA+TRPL4.SA+UNIP5.SA+UNIP6.SA+PATI3.SA&amp;f=nol1hgd1" htmlTables="1" htmlFormat="all"/>
  </connection>
  <connection id="1065" name="Connection621" type="4" refreshedVersion="0" background="1" saveData="1">
    <webPr url="http://download.finance.yahoo.com/d/quotes.csv?s=ABCB4.SA+AELP3.SA+BAZA3.SA+BBAS3.SA+BBDC3.SA+BBDC4.SA+BEES3.SA+BEES4.SA+BGIP3.SA+BGIP4.SA+BICB3.SA+BICB4.SA+BMIN3.SA+BMIN4.SA+BNBR3.SA+BNBR4.SA+BRGE11.SA+BRGE12.SA+BRGE3.SA+BRGE5.SA+BRGE6.SA+BRGE7.SA+BRGE8.SA+BRIV3.SA+BRIV4.SA+BRSR3.SA+BRSR5.SA+BRSR6.SA+BSLI3.SA+BSLI4.SA+CASN3.SA+CEBR3.SA+CEBR5.SA+CEBR6.SA+CEEB3.SA+CEEB5.SA+CEPE5.SA+CEPE6.SA+CESP3.SA+CESP5.SA+CESP6.SA+CLSC4.SA+CMIG3.SA+CMIG4.SA+COCE3.SA+COCE5.SA+CPFE3.SA+CPLE3.SA+CPLE5.SA+CPLE6.SA+CSMG3.SA+CSRN3.SA+CSRN5.SA+CSRN6.SA+DAYC4.SA+EEEL3.SA+EEEL4.SA+ELET3.SA+ELET6.SA+ELPL3.SA+ELPL4.SA+EMAE4.SA+ENBR3.SA+ENGI11.SA+ENGI3.SA+ENGI4.SA+ENMA3B.SA+EQTL3.SA+FESA3.SA+FESA4.SA+GEPA3.SA+GEPA4.SA+GETI3.SA+GETI4.SA+GTDP3B.SA+GTDP4B.SA+ITSA3.SA+ITSA4.SA+ITUB3.SA+ITUB4.SA+KLBN3.SA+KLBN4.SA+LIGT3.SA+LIPR3.SA+PINE4.SA+PRBC4.SA+PSSA3.SA+RANI3.SA+RANI4.SA+RDTR3.SA+RPAD3.SA+RPAD5.SA+RPAD6.SA+SAPR3.SA+SAPR4.SA+SBSP3.SA+SFSA4.SA+SUZB5.SA+SUZB6.SA+TAEE11.SA+TBLE3.SA+TRPL3.SA+TRPL4.SA+UNIP5.SA+UNIP6.SA+PATI3.SA&amp;f=nol1hgd1" htmlTables="1" htmlFormat="all"/>
  </connection>
  <connection id="1066" name="Connection63" type="4" refreshedVersion="4" background="1" saveData="1">
    <webPr xl2000="1" url="http://download.finance.yahoo.com/d/quotes.csv?s=ABCB3.SA+AFLT3.SA+AFLU3.SA+AFLU5.SA+AFLU6.SA+ALSC3.SA+ALUP11.SA+ALUP3.SA+ALUP4.SA+BAHI3.SA+BBSE3.SA+BRAP3.SA+BRAP4.SA+BRFS3.SA+BRIN3.SA+BRKM3.SA+BRKM5.SA+BRKM6.SA+BRML3.SA+BRPR3.SA+BVMF3.SA+CBEE3.SA+CCPR3.SA+CEEB6.SA+CELP3.SA+CELP5.SA+CELP6.SA+CELP7.SA+CIEL3.SA+CIQU3.SA+CIQU4.SA+clsc3.SA+CRIV3.SA+CRIV4.SA+CSAB3.SA+CSAB4.SA+CSAN3.SA+CTIP3.SA+DTEX3.SA+EBTP4.SA+ELEK3.SA+ELEK4.SA+elet5.SA+ETER3.SA+EUCA4.SA+GPAR3.SA+HBTS5.SA+IGTA3.SA+JBSS3.SA+JOPA3.SA+JOPA4.SA+LCAM3.SA+MAGG3.SA+MERC3.SA+MERC4.SA+MOAR3.SA+MULT3.SA+NUTR3M.SA+OIBR3.SA+OIBR4.SA+PATI4.SA+PETR3.SA+PETR4.SA+PRVI3.SA+PTPA4.SA+QGEP3.SA+SCAR3.SA+SMTO3.SA+SSBR3.SA+SULA11.SA+TERI3.SA+TIMP3.SA+TKNO4.SA+TRPN3.SA+UGPA3.SA+UNIP3.SA+VALE5.SA+VIGR3.SA+VIVT3.SA+VIVT4.SA+CEPE3.SA+COCE6.SA+ENMA5B.SA+ENMA6B.SA+CEED3.SA+CEED4.SA+EKTR3.SA+EKTR4.SA+ENEV3.SA+REDE3.SA+REDE4.SA+RNEW11.SA+RNEW3.SA+RNEW4.SA+TAEE3.SA+TAEE4.SA+CSAN4.SA+CGAS3.SA+CGAS5.SA+CEGR3.SA+INET3.SA+EBTP3.SA+MLFT3.SA+MLFT4.SA+LFFE3.SA+LFFE4.SA&amp;f=nol1hgd1" htmlFormat="all"/>
  </connection>
  <connection id="1067" name="Connection64" type="4" refreshedVersion="4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CAFE4.SA+PEAB3.SA+PEAB4.SA+SULA3.SA+SULA4.SA+BTTL3.SA+BTTL4.SA+HBTS3.SA+HBTS6.SA+DOCA3.SA+DOCA4.SA+JBDU3.SA+JBDU4.SA+AGRO3.SA+CORR3.SA+CORR4.SA+GSHP3.SA+MULT4.SA+TEMP3.SA+DASA3.SA+FLRY3.SA+ODPV3.SA+QUAL3.SA+BIOM3M.SA+CREM3.SA+NATU3.SA+BOBR3.SA+BOBR4.SA+CRUZ3.SA+LAME3.SA+LAME4.SA+BTOW3.SA+HYPE3.SA+RADL3.SA+BPHA3.SA+PNVL3.SA+PNVL4.SA+PFRM3.SA+PCAR3.SA+PCAR4.SA+ABEV3.SA+VIGR3.SA+CLAN3.SA+CLAN4.SA+MNPR3.SA+BAUH3.SA+BAUH4.SA+BEEF3.SA+MRFG3.SA+CAFE3.SA&amp;f=nol1hgd1" htmlFormat="all"/>
  </connection>
  <connection id="1068" name="Connection65" type="4" refreshedVersion="4" background="1" saveData="1">
    <webPr xl2000="1" url="http://download.finance.yahoo.com/d/quotes.csv?s=IGUA3.SA+IGUA5.SA+IGUA6.SA+JOPA3.SA+JOPA4.SA+SMTO3.SA+BSEV3.SA+VAGR3.SA+RNAR3.SA+SLCE3.SA+CVCB3.SA+AHEB3.SA+AHEB5.SA+AHEB6.SA+SHOW3.SA+BMKS3.SA+UCAS3.SA+WHRL3.SA+WHRL4.SA+BMTO3.SA+BMTO4.SA+MGLU3.SA+VVAR11.SA+VVAR3.SA+VVAR4.SA+IGBR3.SA+HGTX3.SA+CEDO3.SA+CEDO4.SA&amp;f=nol1hgd1" htmlFormat="all"/>
  </connection>
  <connection id="1069" name="Connection651" type="4" refreshedVersion="4" background="1" saveData="1">
    <webPr xl2000="1" url="http://download.finance.yahoo.com/d/quotes.csv?s=IGUA3.SA+IGUA5.SA+IGUA6.SA+JOPA3.SA+JOPA4.SA+SMTO3.SA+BSEV3.SA+VAGR3.SA+RNAR3.SA+SLCE3.SA+CVCB3.SA+AHEB3.SA+AHEB5.SA+AHEB6.SA+SHOW3.SA+BMKS3.SA+UCAS3.SA+WHRL3.SA+WHRL4.SA+BMTO3.SA+BMTO4.SA+MGLU3.SA+VVAR11.SA+VVAR3.SA+VVAR4.SA+IGBR3.SA+HGTX3.SA+CEDO3.SA+CEDO4.SA&amp;f=nol1hgd1" htmlFormat="all"/>
  </connection>
  <connection id="1070" name="Connection66" type="4" refreshedVersion="4" background="1" saveData="1">
    <webPr xl2000="1" url="http://download.finance.yahoo.com/d/quotes.csv?s=ABCB4.SA+AELP3.SA+BAZA3.SA+BBAS3.SA+BBDC3.SA+BBDC4.SA+BEES3.SA+BEES4.SA+BGIP3.SA+BGIP4.SA+BICB3.SA+BICB4.SA+BMIN3.SA+BMIN4.SA+BNBR3.SA+BNBR4.SA+BRGE11.SA+BRGE12.SA+BRGE3.SA+BRGE5.SA+BRGE6.SA+BRGE7.SA+BRGE8.SA+BRIV3.SA+BRIV4.SA+BRSR3.SA+BRSR5.SA+BRSR6.SA+BSLI3.SA+BSLI4.SA+CASN3.SA+CEBR3.SA+CEBR5.SA+CEBR6.SA+CEEB3.SA+CEEB5.SA+CEPE5.SA+CEPE6.SA+CESP3.SA+CESP5.SA+CESP6.SA+CLSC4.SA+CMIG3.SA+CMIG4.SA+COCE3.SA+COCE5.SA+CPFE3.SA+CPLE3.SA+CPLE5.SA+CPLE6.SA+CSMG3.SA+CSRN3.SA+CSRN5.SA+CSRN6.SA+DAYC4.SA+EEEL3.SA+EEEL4.SA+ELET3.SA+ELET6.SA+ELPL3.SA+ELPL4.SA+EMAE4.SA+ENBR3.SA+ENGI11.SA+ENGI3.SA+ENGI4.SA+ENMA3B.SA+EQTL3.SA+FESA3.SA+FESA4.SA+GEPA3.SA+GEPA4.SA+GETI3.SA+GETI4.SA+GTDP3B.SA+GTDP4B.SA+ITSA3.SA+ITSA4.SA+ITUB3.SA+ITUB4.SA+KLBN3.SA+KLBN4.SA+LIGT3.SA+LIPR3.SA+PINE4.SA+PRBC4.SA+PSSA3.SA+RANI3.SA+RANI4.SA+RDTR3.SA+RPAD3.SA+RPAD5.SA+RPAD6.SA+SAPR3.SA+SAPR4.SA+SBSP3.SA+SFSA4.SA+SUZB5.SA+SUZB6.SA+TAEE11.SA+TBLE3.SA+TRPL3.SA+TRPL4.SA+UNIP5.SA+UNIP6.SA+PATI3.SA&amp;f=nol1hgd1" htmlFormat="all"/>
  </connection>
  <connection id="1071" name="Connection67" type="4" refreshedVersion="4" background="1" saveData="1">
    <webPr xl2000="1" url="http://download.finance.yahoo.com/d/quotes.csv?s=ABCB3.SA+AFLT3.SA+AFLU3.SA+AFLU5.SA+AFLU6.SA+ALSC3.SA+ALUP11.SA+ALUP3.SA+ALUP4.SA+BAHI3.SA+BBSE3.SA+BRAP3.SA+BRAP4.SA+BRFS3.SA+BRIN3.SA+BRKM3.SA+BRKM5.SA+BRKM6.SA+BRML3.SA+BRPR3.SA+BVMF3.SA+CBEE3.SA+CCPR3.SA+CEEB6.SA+CELP3.SA+CELP5.SA+CELP6.SA+CELP7.SA+CIEL3.SA+CIQU3.SA+CIQU4.SA+clsc3.SA+CRIV3.SA+CRIV4.SA+CSAB3.SA+CSAB4.SA+CSAN3.SA+CTIP3.SA+DTEX3.SA+EBTP4.SA+ELEK3.SA+ELEK4.SA+elet5.SA+ETER3.SA+EUCA4.SA+GPAR3.SA+HBTS5.SA+IGTA3.SA+JBSS3.SA+JOPA3.SA+JOPA4.SA+LCAM3.SA+MAGG3.SA+MERC3.SA+MERC4.SA+MOAR3.SA+MULT3.SA+NUTR3M.SA+OIBR3.SA+OIBR4.SA+PATI4.SA+PETR3.SA+PETR4.SA+PRVI3.SA+PTPA4.SA+QGEP3.SA+SCAR3.SA+SMTO3.SA+SSBR3.SA+SULA11.SA+TERI3.SA+TIMP3.SA+TKNO4.SA+TRPN3.SA+UGPA3.SA+UNIP3.SA+VALE5.SA+VIGR3.SA+VIVT3.SA+VIVT4.SA+CEPE3.SA+COCE6.SA+ENMA5B.SA+ENMA6B.SA+CEED3.SA+CEED4.SA+EKTR3.SA+EKTR4.SA+ENEV3.SA+REDE3.SA+REDE4.SA+RNEW11.SA+RNEW3.SA+RNEW4.SA+TAEE3.SA+TAEE4.SA+CSAN4.SA+CGAS3.SA+CGAS5.SA+CEGR3.SA+INET3.SA+EBTP3.SA+MLFT3.SA+MLFT4.SA+LFFE3.SA+LFFE4.SA&amp;f=nol1hgd1" htmlFormat="all"/>
  </connection>
  <connection id="1072" name="Connection68" type="4" refreshedVersion="4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CAFE4.SA+PEAB3.SA+PEAB4.SA+SULA3.SA+SULA4.SA+BTTL3.SA+BTTL4.SA+HBTS3.SA+HBTS6.SA+DOCA3.SA+DOCA4.SA+JBDU3.SA+JBDU4.SA+AGRO3.SA+CORR3.SA+CORR4.SA+GSHP3.SA+MULT4.SA+TEMP3.SA+DASA3.SA+FLRY3.SA+ODPV3.SA+QUAL3.SA+BIOM3M.SA+CREM3.SA+NATU3.SA+BOBR3.SA+BOBR4.SA+CRUZ3.SA+LAME3.SA+LAME4.SA+BTOW3.SA+HYPE3.SA+RADL3.SA+BPHA3.SA+PNVL3.SA+PNVL4.SA+PFRM3.SA+PCAR3.SA+PCAR4.SA+ABEV3.SA+VIGR3.SA+CLAN3.SA+CLAN4.SA+MNPR3.SA+BAUH3.SA+BAUH4.SA+BEEF3.SA+MRFG3.SA+CAFE3.SA&amp;f=nol1hgd1" htmlFormat="all"/>
  </connection>
  <connection id="1073" name="Connection69" type="4" refreshedVersion="4" background="1" saveData="1">
    <webPr xl2000="1" url="http://download.finance.yahoo.com/d/quotes.csv?s=IGUA3.SA+IGUA5.SA+IGUA6.SA+JOPA3.SA+JOPA4.SA+SMTO3.SA+BSEV3.SA+VAGR3.SA+RNAR3.SA+SLCE3.SA+CVCB3.SA+AHEB3.SA+AHEB5.SA+AHEB6.SA+SHOW3.SA+BMKS3.SA+UCAS3.SA+WHRL3.SA+WHRL4.SA+BMTO3.SA+BMTO4.SA+MGLU3.SA+VVAR11.SA+VVAR3.SA+VVAR4.SA+IGBR3.SA+HGTX3.SA+CEDO3.SA+CEDO4.SA&amp;f=nol1hgd1" htmlFormat="all"/>
  </connection>
  <connection id="1074" name="Connection691" type="4" refreshedVersion="4" background="1" saveData="1">
    <webPr xl2000="1" url="http://download.finance.yahoo.com/d/quotes.csv?s=IGUA3.SA+IGUA5.SA+IGUA6.SA+JOPA3.SA+JOPA4.SA+SMTO3.SA+BSEV3.SA+VAGR3.SA+RNAR3.SA+SLCE3.SA+CVCB3.SA+AHEB3.SA+AHEB5.SA+AHEB6.SA+SHOW3.SA+BMKS3.SA+UCAS3.SA+WHRL3.SA+WHRL4.SA+BMTO3.SA+BMTO4.SA+MGLU3.SA+VVAR11.SA+VVAR3.SA+VVAR4.SA+IGBR3.SA+HGTX3.SA+CEDO3.SA+CEDO4.SA&amp;f=nol1hgd1" htmlFormat="all"/>
  </connection>
  <connection id="1075" name="Connection7" type="4" refreshedVersion="0" background="1" saveData="1">
    <webPr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+GSHP3.SA+MULT4.SA+TEMP3.SA+DASA3.SA+FLRY3.SA+ODPV3.SA+QUAL3.SA+BIOM3M.SA+CREM3.SA+NATU3.SA+BOBR3.SA+BOBR4.SA&amp;f=nol1hgd1" htmlTables="1" htmlFormat="all"/>
  </connection>
  <connection id="1076" name="Connection70" type="4" refreshedVersion="4" background="1" saveData="1">
    <webPr xl2000="1" url="http://download.finance.yahoo.com/d/quotes.csv?s=ABCB4.SA+AELP3.SA+BAZA3.SA+BBAS3.SA+BBDC3.SA+BBDC4.SA+BEES3.SA+BEES4.SA+BGIP3.SA+BGIP4.SA+BICB3.SA+BICB4.SA+BMIN3.SA+BMIN4.SA+BNBR3.SA+BNBR4.SA+BRGE11.SA+BRGE12.SA+BRGE3.SA+BRGE5.SA+BRGE6.SA+BRGE7.SA+BRGE8.SA+BRIV3.SA+BRIV4.SA+BRSR3.SA+BRSR5.SA+BRSR6.SA+BSLI3.SA+BSLI4.SA+CASN3.SA+CEBR3.SA+CEBR5.SA+CEBR6.SA+CEEB3.SA+CEEB5.SA+CEPE5.SA+CEPE6.SA+CESP3.SA+CESP5.SA+CESP6.SA+CLSC4.SA+CMIG3.SA+CMIG4.SA+COCE3.SA+COCE5.SA+CPFE3.SA+CPLE3.SA+CPLE5.SA+CPLE6.SA+CSMG3.SA+CSRN3.SA+CSRN5.SA+CSRN6.SA+DAYC4.SA+EEEL3.SA+EEEL4.SA+ELET3.SA+ELET6.SA+ELPL3.SA+ELPL4.SA+EMAE4.SA+ENBR3.SA+ENGI11.SA+ENGI3.SA+ENGI4.SA+ENMA3B.SA+EQTL3.SA+FESA3.SA+FESA4.SA+GEPA3.SA+GEPA4.SA+GETI3.SA+GETI4.SA+GTDP3B.SA+GTDP4B.SA+ITSA3.SA+ITSA4.SA+ITUB3.SA+ITUB4.SA+KLBN3.SA+KLBN4.SA+LIGT3.SA+LIPR3.SA+PINE4.SA+PRBC4.SA+PSSA3.SA+RANI3.SA+RANI4.SA+RDTR3.SA+RPAD3.SA+RPAD5.SA+RPAD6.SA+SAPR3.SA+SAPR4.SA+SBSP3.SA+SFSA4.SA+SUZB5.SA+SUZB6.SA+TAEE11.SA+TBLE3.SA+TRPL3.SA+TRPL4.SA+UNIP5.SA+UNIP6.SA+PATI3.SA&amp;f=nol1hgd1" htmlFormat="all"/>
  </connection>
  <connection id="1077" name="Connection71" type="4" refreshedVersion="4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+GSHP3.SA+MULT4.SA+TEMP3.SA+DASA3.SA+FLRY3.SA+ODPV3.SA+QUAL3.SA+BIOM3M.SA+CREM3.SA+NATU3.SA+BOBR3.SA+BOBR4.SA&amp;f=nol1hgd1" htmlFormat="all"/>
  </connection>
  <connection id="1078" name="Connection711" type="4" refreshedVersion="4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+GSHP3.SA+MULT4.SA+TEMP3.SA+DASA3.SA+FLRY3.SA+ODPV3.SA+QUAL3.SA+BIOM3M.SA+CREM3.SA+NATU3.SA+BOBR3.SA+BOBR4.SA&amp;f=nol1hgd1" htmlFormat="all"/>
  </connection>
  <connection id="1079" name="Connection7111" type="4" refreshedVersion="4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+GSHP3.SA+MULT4.SA+TEMP3.SA+DASA3.SA+FLRY3.SA+ODPV3.SA+QUAL3.SA+BIOM3M.SA+CREM3.SA+NATU3.SA+BOBR3.SA+BOBR4.SA&amp;f=nol1hgd1" htmlFormat="all"/>
  </connection>
  <connection id="1080" name="Connection712" type="4" refreshedVersion="4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+GSHP3.SA+MULT4.SA+TEMP3.SA+DASA3.SA+FLRY3.SA+ODPV3.SA+QUAL3.SA+BIOM3M.SA+CREM3.SA+NATU3.SA+BOBR3.SA+BOBR4.SA&amp;f=nol1hgd1" htmlFormat="all"/>
  </connection>
  <connection id="1081" name="Connection72" type="4" refreshedVersion="0" background="1" saveData="1">
    <webPr url="http://download.finance.yahoo.com/d/quotes.csv?s=ABCB3.SA+AFLT3.SA+AFLU3.SA+AFLU5.SA+AFLU6.SA+ALSC3.SA+ALUP11.SA+ALUP3.SA+ALUP4.SA+BAHI3.SA+BBSE3.SA+BRAP3.SA+BRAP4.SA+BRFS3.SA+BRIN3.SA+BRKM3.SA+BRKM5.SA+BRKM6.SA+BRML3.SA+BRPR3.SA+BVMF3.SA+CBEE3.SA+CCPR3.SA+CEEB6.SA+CELP3.SA+CELP5.SA+CELP6.SA+CELP7.SA+CIEL3.SA+CIQU3.SA+CIQU4.SA+clsc3.SA+CRIV3.SA+CRIV4.SA+CSAB3.SA+CSAB4.SA+CSAN3.SA+CTIP3.SA+DTEX3.SA+EBTP4.SA+ELEK3.SA+ELEK4.SA+elet5.SA+ETER3.SA+EUCA4.SA+GPAR3.SA+HBTS5.SA+IGTA3.SA+JBSS3.SA+JOPA3.SA+JOPA4.SA+LCAM3.SA+MAGG3.SA+MERC3.SA+MERC4.SA+MOAR3.SA+MULT3.SA+NUTR3M.SA+OIBR3.SA+OIBR4.SA+PATI4.SA+PETR3.SA+PETR4.SA+PRVI3.SA+PTPA4.SA+QGEP3.SA+SCAR3.SA+SMTO3.SA+SSBR3.SA+SULA11.SA+TERI3.SA+TIMP3.SA+TKNO4.SA+TRPN3.SA+UGPA3.SA+UNIP3.SA+VALE5.SA+VIGR3.SA+VIVT3.SA+VIVT4.SA+CEPE3.SA+COCE6.SA+ENMA5B.SA+ENMA6B.SA+CEED3.SA+CEED4.SA+EKTR3.SA+EKTR4.SA+ENEV3.SA+REDE3.SA+REDE4.SA+RNEW11.SA+RNEW3.SA+RNEW4.SA+TAEE3.SA+TAEE4.SA+CSAN4.SA+CGAS3.SA+CGAS5.SA+CEGR3.SA+INET3.SA+EBTP3.SA+MLFT3.SA+MLFT4.SA+LFFE3.SA+LFFE4.SA&amp;f=nol1hgd1" htmlTables="1" htmlFormat="all"/>
  </connection>
  <connection id="1082" name="Connection721" type="4" refreshedVersion="0" background="1" saveData="1">
    <webPr url="http://download.finance.yahoo.com/d/quotes.csv?s=ABCB3.SA+AFLT3.SA+AFLU3.SA+AFLU5.SA+AFLU6.SA+ALSC3.SA+ALUP11.SA+ALUP3.SA+ALUP4.SA+BAHI3.SA+BBSE3.SA+BRAP3.SA+BRAP4.SA+BRFS3.SA+BRIN3.SA+BRKM3.SA+BRKM5.SA+BRKM6.SA+BRML3.SA+BRPR3.SA+BVMF3.SA+CBEE3.SA+CCPR3.SA+CEEB6.SA+CELP3.SA+CELP5.SA+CELP6.SA+CELP7.SA+CIEL3.SA+CIQU3.SA+CIQU4.SA+clsc3.SA+CRIV3.SA+CRIV4.SA+CSAB3.SA+CSAB4.SA+CSAN3.SA+CTIP3.SA+DTEX3.SA+EBTP4.SA+ELEK3.SA+ELEK4.SA+elet5.SA+ETER3.SA+EUCA4.SA+GPAR3.SA+HBTS5.SA+IGTA3.SA+JBSS3.SA+JOPA3.SA+JOPA4.SA+LCAM3.SA+MAGG3.SA+MERC3.SA+MERC4.SA+MOAR3.SA+MULT3.SA+NUTR3M.SA+OIBR3.SA+OIBR4.SA+PATI4.SA+PETR3.SA+PETR4.SA+PRVI3.SA+PTPA4.SA+QGEP3.SA+SCAR3.SA+SMTO3.SA+SSBR3.SA+SULA11.SA+TERI3.SA+TIMP3.SA+TKNO4.SA+TRPN3.SA+UGPA3.SA+UNIP3.SA+VALE5.SA+VIGR3.SA+VIVT3.SA+VIVT4.SA+CEPE3.SA+COCE6.SA+ENMA5B.SA+ENMA6B.SA+CEED3.SA+CEED4.SA+EKTR3.SA+EKTR4.SA+ENEV3.SA+REDE3.SA+REDE4.SA+RNEW11.SA+RNEW3.SA+RNEW4.SA+TAEE3.SA+TAEE4.SA+CSAN4.SA+CGAS3.SA+CGAS5.SA+CEGR3.SA+INET3.SA+EBTP3.SA+MLFT3.SA+MLFT4.SA+LFFE3.SA+LFFE4.SA&amp;f=nol1hgd1" htmlTables="1" htmlFormat="all"/>
  </connection>
  <connection id="1083" name="Connection73" type="4" refreshedVersion="4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CAFE4.SA+PEAB3.SA+PEAB4.SA+SULA3.SA+SULA4.SA+BTTL3.SA+BTTL4.SA+HBTS3.SA+HBTS6.SA+DOCA3.SA+DOCA4.SA+JBDU3.SA+JBDU4.SA+AGRO3.SA+CORR3.SA+CORR4.SA+GSHP3.SA+MULT4.SA+TEMP3.SA+DASA3.SA+FLRY3.SA+ODPV3.SA+QUAL3.SA+BIOM3M.SA+CREM3.SA+NATU3.SA+BOBR3.SA+BOBR4.SA+CRUZ3.SA+LAME3.SA+LAME4.SA+BTOW3.SA+HYPE3.SA+RADL3.SA+BPHA3.SA+PNVL3.SA+PNVL4.SA+PFRM3.SA+PCAR3.SA+PCAR4.SA+ABEV3.SA+VIGR3.SA+CLAN3.SA+CLAN4.SA+MNPR3.SA+BAUH3.SA+BAUH4.SA+BEEF3.SA+MRFG3.SA+CAFE3.SA&amp;f=nol1hgd1" htmlFormat="all"/>
  </connection>
  <connection id="1084" name="Connection74" type="4" refreshedVersion="4" background="1" saveData="1">
    <webPr xl2000="1" url="http://download.finance.yahoo.com/d/quotes.csv?s=IGUA3.SA+IGUA5.SA+IGUA6.SA+JOPA3.SA+JOPA4.SA+SMTO3.SA+BSEV3.SA+VAGR3.SA+RNAR3.SA+SLCE3.SA+CVCB3.SA+AHEB3.SA+AHEB5.SA+AHEB6.SA+SHOW3.SA+BMKS3.SA+UCAS3.SA+WHRL3.SA+WHRL4.SA+BMTO3.SA+BMTO4.SA+MGLU3.SA+VVAR11.SA+VVAR3.SA+VVAR4.SA+IGBR3.SA+HGTX3.SA+CEDO3.SA+CEDO4.SA&amp;f=nol1hgd1" htmlFormat="all"/>
  </connection>
  <connection id="1085" name="Connection741" type="4" refreshedVersion="4" background="1" saveData="1">
    <webPr xl2000="1" url="http://download.finance.yahoo.com/d/quotes.csv?s=IGUA3.SA+IGUA5.SA+IGUA6.SA+JOPA3.SA+JOPA4.SA+SMTO3.SA+BSEV3.SA+VAGR3.SA+RNAR3.SA+SLCE3.SA+CVCB3.SA+AHEB3.SA+AHEB5.SA+AHEB6.SA+SHOW3.SA+BMKS3.SA+UCAS3.SA+WHRL3.SA+WHRL4.SA+BMTO3.SA+BMTO4.SA+MGLU3.SA+VVAR11.SA+VVAR3.SA+VVAR4.SA+IGBR3.SA+HGTX3.SA+CEDO3.SA+CEDO4.SA&amp;f=nol1hgd1" htmlFormat="all"/>
  </connection>
  <connection id="1086" name="Connection75" type="4" refreshedVersion="4" background="1" saveData="1">
    <webPr xl2000="1" url="http://download.finance.yahoo.com/d/quotes.csv?s=IGUA3.SA+IGUA5.SA+IGUA6.SA+JOPA3.SA+JOPA4.SA+SMTO3.SA+BSEV3.SA+VAGR3.SA+RNAR3.SA+SLCE3.SA+CVCB3.SA+AHEB3.SA+AHEB5.SA+AHEB6.SA+SHOW3.SA+BMKS3.SA+UCAS3.SA+WHRL3.SA+WHRL4.SA+BMTO3.SA+BMTO4.SA+MGLU3.SA+VVAR11.SA+VVAR3.SA+VVAR4.SA+IGBR3.SA+HGTX3.SA+CEDO3.SA+CEDO4.SA+TOYB3.SA+TOYB4.SA&amp;f=nol1hgd1" htmlFormat="all"/>
  </connection>
  <connection id="1087" name="Connection751" type="4" refreshedVersion="4" background="1" saveData="1">
    <webPr xl2000="1" url="http://download.finance.yahoo.com/d/quotes.csv?s=IGUA3.SA+IGUA5.SA+IGUA6.SA+JOPA3.SA+JOPA4.SA+SMTO3.SA+BSEV3.SA+VAGR3.SA+RNAR3.SA+SLCE3.SA+CVCB3.SA+AHEB3.SA+AHEB5.SA+AHEB6.SA+SHOW3.SA+BMKS3.SA+UCAS3.SA+WHRL3.SA+WHRL4.SA+BMTO3.SA+BMTO4.SA+MGLU3.SA+VVAR11.SA+VVAR3.SA+VVAR4.SA+IGBR3.SA+HGTX3.SA+CEDO3.SA+CEDO4.SA+TOYB3.SA+TOYB4.SA&amp;f=nol1hgd1" htmlFormat="all"/>
  </connection>
  <connection id="1088" name="Connection76" type="4" refreshedVersion="4" background="1" saveData="1">
    <webPr xl2000="1" url="http://download.finance.yahoo.com/d/quotes.csv?s=IGUA3.SA+IGUA5.SA+IGUA6.SA+JOPA3.SA+JOPA4.SA+SMTO3.SA+BSEV3.SA+VAGR3.SA+RNAR3.SA+SLCE3.SA+CVCB3.SA+AHEB3.SA+AHEB5.SA+AHEB6.SA+SHOW3.SA+BMKS3.SA+UCAS3.SA+WHRL3.SA+WHRL4.SA+BMTO3.SA+BMTO4.SA+MGLU3.SA+VVAR11.SA+VVAR3.SA+VVAR4.SA+IGBR3.SA+HGTX3.SA+CEDO3.SA+CEDO4.SA+TOYB3.SA+TOYB4.SA+ESTR3.SA+ESTR4.SA&amp;f=nol1hgd1" htmlFormat="all"/>
  </connection>
  <connection id="1089" name="Connection761" type="4" refreshedVersion="4" background="1" saveData="1">
    <webPr xl2000="1" url="http://download.finance.yahoo.com/d/quotes.csv?s=IGUA3.SA+IGUA5.SA+IGUA6.SA+JOPA3.SA+JOPA4.SA+SMTO3.SA+BSEV3.SA+VAGR3.SA+RNAR3.SA+SLCE3.SA+CVCB3.SA+AHEB3.SA+AHEB5.SA+AHEB6.SA+SHOW3.SA+BMKS3.SA+UCAS3.SA+WHRL3.SA+WHRL4.SA+BMTO3.SA+BMTO4.SA+MGLU3.SA+VVAR11.SA+VVAR3.SA+VVAR4.SA+IGBR3.SA+HGTX3.SA+CEDO3.SA+CEDO4.SA+TOYB3.SA+TOYB4.SA+ESTR3.SA+ESTR4.SA&amp;f=nol1hgd1" htmlFormat="all"/>
  </connection>
  <connection id="1090" name="Connection77" type="4" refreshedVersion="4" background="1" saveData="1">
    <webPr xl2000="1" url="http://download.finance.yahoo.com/d/quotes.csv?s=IGUA3.SA+IGUA5.SA+IGUA6.SA+JOPA3.SA+JOPA4.SA+SMTO3.SA+BSEV3.SA+VAGR3.SA+RNAR3.SA+SLCE3.SA+CVCB3.SA+AHEB3.SA+AHEB5.SA+AHEB6.SA+SHOW3.SA+BMKS3.SA+UCAS3.SA+WHRL3.SA+WHRL4.SA+BMTO3.SA+BMTO4.SA+MGLU3.SA+VVAR11.SA+VVAR3.SA+VVAR4.SA+IGBR3.SA+HGTX3.SA+CEDO3.SA+CEDO4.SA+TOYB3.SA+TOYB4.SA+ESTR3.SA+ESTR4.SA+NAFG3.SA+NAFG4.SA&amp;f=nol1hgd1" htmlFormat="all"/>
  </connection>
  <connection id="1091" name="Connection771" type="4" refreshedVersion="4" background="1" saveData="1">
    <webPr xl2000="1" url="http://download.finance.yahoo.com/d/quotes.csv?s=IGUA3.SA+IGUA5.SA+IGUA6.SA+JOPA3.SA+JOPA4.SA+SMTO3.SA+BSEV3.SA+VAGR3.SA+RNAR3.SA+SLCE3.SA+CVCB3.SA+AHEB3.SA+AHEB5.SA+AHEB6.SA+SHOW3.SA+BMKS3.SA+UCAS3.SA+WHRL3.SA+WHRL4.SA+BMTO3.SA+BMTO4.SA+MGLU3.SA+VVAR11.SA+VVAR3.SA+VVAR4.SA+IGBR3.SA+HGTX3.SA+CEDO3.SA+CEDO4.SA+TOYB3.SA+TOYB4.SA+ESTR3.SA+ESTR4.SA+NAFG3.SA+NAFG4.SA&amp;f=nol1hgd1" htmlFormat="all"/>
  </connection>
  <connection id="1092" name="Connection78" type="4" refreshedVersion="4" background="1" saveData="1">
    <webPr xl2000="1" url="http://download.finance.yahoo.com/d/quotes.csv?s=IGUA3.SA+IGUA5.SA+IGUA6.SA+JOPA3.SA+JOPA4.SA+SMTO3.SA+BSEV3.SA+VAGR3.SA+RNAR3.SA+SLCE3.SA+CVCB3.SA+AHEB3.SA+AHEB5.SA+AHEB6.SA+SHOW3.SA+BMKS3.SA+UCAS3.SA+WHRL3.SA+WHRL4.SA+BMTO3.SA+BMTO4.SA+MGLU3.SA+VVAR11.SA+VVAR3.SA+VVAR4.SA+IGBR3.SA+HGTX3.SA+CEDO3.SA+CEDO4.SA+TOYB3.SA+TOYB4.SA+ESTR3.SA+ESTR4.SA+NAFG3.SA+NAFG4.SA+HETA3.SA+HETA4.SA&amp;f=nol1hgd1" htmlFormat="all"/>
  </connection>
  <connection id="1093" name="Connection781" type="4" refreshedVersion="4" background="1" saveData="1">
    <webPr xl2000="1" url="http://download.finance.yahoo.com/d/quotes.csv?s=IGUA3.SA+IGUA5.SA+IGUA6.SA+JOPA3.SA+JOPA4.SA+SMTO3.SA+BSEV3.SA+VAGR3.SA+RNAR3.SA+SLCE3.SA+CVCB3.SA+AHEB3.SA+AHEB5.SA+AHEB6.SA+SHOW3.SA+BMKS3.SA+UCAS3.SA+WHRL3.SA+WHRL4.SA+BMTO3.SA+BMTO4.SA+MGLU3.SA+VVAR11.SA+VVAR3.SA+VVAR4.SA+IGBR3.SA+HGTX3.SA+CEDO3.SA+CEDO4.SA+TOYB3.SA+TOYB4.SA+ESTR3.SA+ESTR4.SA+NAFG3.SA+NAFG4.SA+HETA3.SA+HETA4.SA&amp;f=nol1hgd1" htmlFormat="all"/>
  </connection>
  <connection id="1094" name="Connection79" type="4" refreshedVersion="4" background="1" saveData="1">
    <webPr xl2000="1" url="http://download.finance.yahoo.com/d/quotes.csv?s=IGUA3.SA+IGUA5.SA+IGUA6.SA+JOPA3.SA+JOPA4.SA+SMTO3.SA+BSEV3.SA+VAGR3.SA+RNAR3.SA+SLCE3.SA+CVCB3.SA+AHEB3.SA+AHEB5.SA+AHEB6.SA+SHOW3.SA+BMKS3.SA+UCAS3.SA+WHRL3.SA+WHRL4.SA+BMTO3.SA+BMTO4.SA+MGLU3.SA+VVAR11.SA+VVAR3.SA+VVAR4.SA+IGBR3.SA+HGTX3.SA+CEDO3.SA+CEDO4.SA+TOYB3.SA+TOYB4.SA+ESTR3.SA+ESTR4.SA+NAFG3.SA+NAFG4.SA+HETA3.SA+HETA4.SA+BUET3.SA+BUET4.SA&amp;f=nol1hgd1" htmlFormat="all"/>
  </connection>
  <connection id="1095" name="Connection791" type="4" refreshedVersion="4" background="1" saveData="1">
    <webPr xl2000="1" url="http://download.finance.yahoo.com/d/quotes.csv?s=IGUA3.SA+IGUA5.SA+IGUA6.SA+JOPA3.SA+JOPA4.SA+SMTO3.SA+BSEV3.SA+VAGR3.SA+RNAR3.SA+SLCE3.SA+CVCB3.SA+AHEB3.SA+AHEB5.SA+AHEB6.SA+SHOW3.SA+BMKS3.SA+UCAS3.SA+WHRL3.SA+WHRL4.SA+BMTO3.SA+BMTO4.SA+MGLU3.SA+VVAR11.SA+VVAR3.SA+VVAR4.SA+IGBR3.SA+HGTX3.SA+CEDO3.SA+CEDO4.SA+TOYB3.SA+TOYB4.SA+ESTR3.SA+ESTR4.SA+NAFG3.SA+NAFG4.SA+HETA3.SA+HETA4.SA+BUET3.SA+BUET4.SA&amp;f=nol1hgd1" htmlFormat="all"/>
  </connection>
  <connection id="1096" name="Connection8" type="4" refreshedVersion="0" background="1" saveData="1">
    <webPr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+GSHP3.SA+MULT4.SA+TEMP3.SA+DASA3.SA+FLRY3.SA+ODPV3.SA+QUAL3.SA+BIOM3M.SA+CREM3.SA+NATU3.SA+BOBR3.SA+BOBR4.SA+CRUZ3.SA&amp;f=nol1hgd1" htmlTables="1" htmlFormat="all"/>
  </connection>
  <connection id="1097" name="Connection80" type="4" refreshedVersion="4" background="1" saveData="1">
    <webPr xl2000="1" url="http://download.finance.yahoo.com/d/quotes.csv?s=IGUA3.SA+IGUA5.SA+IGUA6.SA+JOPA3.SA+JOPA4.SA+SMTO3.SA+BSEV3.SA+VAGR3.SA+RNAR3.SA+SLCE3.SA+CVCB3.SA+AHEB3.SA+AHEB5.SA+AHEB6.SA+SHOW3.SA+BMKS3.SA+UCAS3.SA+WHRL3.SA+WHRL4.SA+BMTO3.SA+BMTO4.SA+MGLU3.SA+VVAR11.SA+VVAR3.SA+VVAR4.SA+IGBR3.SA+HGTX3.SA+CEDO3.SA+CEDO4.SA+TOYB3.SA+TOYB4.SA+ESTR3.SA+ESTR4.SA+NAFG3.SA+NAFG4.SA+HETA3.SA+HETA4.SA+BUET3.SA+BUET4.SA+CEDO3.SA+CEDO4.SA&amp;f=nol1hgd1" htmlFormat="all"/>
  </connection>
  <connection id="1098" name="Connection801" type="4" refreshedVersion="4" background="1" saveData="1">
    <webPr xl2000="1" url="http://download.finance.yahoo.com/d/quotes.csv?s=IGUA3.SA+IGUA5.SA+IGUA6.SA+JOPA3.SA+JOPA4.SA+SMTO3.SA+BSEV3.SA+VAGR3.SA+RNAR3.SA+SLCE3.SA+CVCB3.SA+AHEB3.SA+AHEB5.SA+AHEB6.SA+SHOW3.SA+BMKS3.SA+UCAS3.SA+WHRL3.SA+WHRL4.SA+BMTO3.SA+BMTO4.SA+MGLU3.SA+VVAR11.SA+VVAR3.SA+VVAR4.SA+IGBR3.SA+HGTX3.SA+CEDO3.SA+CEDO4.SA+TOYB3.SA+TOYB4.SA+ESTR3.SA+ESTR4.SA+NAFG3.SA+NAFG4.SA+HETA3.SA+HETA4.SA+BUET3.SA+BUET4.SA+CEDO3.SA+CEDO4.SA&amp;f=nol1hgd1" htmlFormat="all"/>
  </connection>
  <connection id="1099" name="Connection81" type="4" refreshedVersion="4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+GSHP3.SA+MULT4.SA+TEMP3.SA+DASA3.SA+FLRY3.SA+ODPV3.SA+QUAL3.SA+BIOM3M.SA+CREM3.SA+NATU3.SA+BOBR3.SA+BOBR4.SA+CRUZ3.SA&amp;f=nol1hgd1" htmlFormat="all"/>
  </connection>
  <connection id="1100" name="Connection811" type="4" refreshedVersion="4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+GSHP3.SA+MULT4.SA+TEMP3.SA+DASA3.SA+FLRY3.SA+ODPV3.SA+QUAL3.SA+BIOM3M.SA+CREM3.SA+NATU3.SA+BOBR3.SA+BOBR4.SA+CRUZ3.SA&amp;f=nol1hgd1" htmlFormat="all"/>
  </connection>
  <connection id="1101" name="Connection8111" type="4" refreshedVersion="4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+GSHP3.SA+MULT4.SA+TEMP3.SA+DASA3.SA+FLRY3.SA+ODPV3.SA+QUAL3.SA+BIOM3M.SA+CREM3.SA+NATU3.SA+BOBR3.SA+BOBR4.SA+CRUZ3.SA&amp;f=nol1hgd1" htmlFormat="all"/>
  </connection>
  <connection id="1102" name="Connection812" type="4" refreshedVersion="4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+GSHP3.SA+MULT4.SA+TEMP3.SA+DASA3.SA+FLRY3.SA+ODPV3.SA+QUAL3.SA+BIOM3M.SA+CREM3.SA+NATU3.SA+BOBR3.SA+BOBR4.SA+CRUZ3.SA&amp;f=nol1hgd1" htmlFormat="all"/>
  </connection>
  <connection id="1103" name="Connection82" type="4" refreshedVersion="0" background="1" saveData="1">
    <webPr url="http://download.finance.yahoo.com/d/quotes.csv?s=IGUA3.SA+IGUA5.SA+IGUA6.SA+JOPA3.SA+JOPA4.SA+SMTO3.SA+BSEV3.SA+VAGR3.SA+RNAR3.SA+SLCE3.SA+CVCB3.SA+AHEB3.SA+AHEB5.SA+AHEB6.SA+SHOW3.SA+BMKS3.SA+UCAS3.SA+WHRL3.SA+WHRL4.SA+BMTO3.SA+BMTO4.SA+MGLU3.SA+VVAR11.SA+VVAR3.SA+VVAR4.SA+IGBR3.SA+HGTX3.SA+CEDO3.SA+CEDO4.SA+TOYB3.SA+TOYB4.SA+ESTR3.SA+ESTR4.SA+NAFG3.SA+NAFG4.SA+HETA3.SA+HETA4.SA+CATA3.SA+CATA4.SA+CEDO3.SA+CEDO4.SA&amp;f=nol1hgd1" htmlTables="1" htmlFormat="all"/>
  </connection>
  <connection id="1104" name="Connection821" type="4" refreshedVersion="0" background="1" saveData="1">
    <webPr url="http://download.finance.yahoo.com/d/quotes.csv?s=IGUA3.SA+IGUA5.SA+IGUA6.SA+JOPA3.SA+JOPA4.SA+SMTO3.SA+BSEV3.SA+VAGR3.SA+RNAR3.SA+SLCE3.SA+CVCB3.SA+AHEB3.SA+AHEB5.SA+AHEB6.SA+SHOW3.SA+BMKS3.SA+UCAS3.SA+WHRL3.SA+WHRL4.SA+BMTO3.SA+BMTO4.SA+MGLU3.SA+VVAR11.SA+VVAR3.SA+VVAR4.SA+IGBR3.SA+HGTX3.SA+CEDO3.SA+CEDO4.SA+TOYB3.SA+TOYB4.SA+ESTR3.SA+ESTR4.SA+NAFG3.SA+NAFG4.SA+HETA3.SA+HETA4.SA+CATA3.SA+CATA4.SA+CEDO3.SA+CEDO4.SA&amp;f=nol1hgd1" htmlTables="1" htmlFormat="all"/>
  </connection>
  <connection id="1105" name="Connection822" type="4" refreshedVersion="0" background="1" saveData="1">
    <webPr url="http://download.finance.yahoo.com/d/quotes.csv?s=IGUA3.SA+IGUA5.SA+IGUA6.SA+JOPA3.SA+JOPA4.SA+SMTO3.SA+BSEV3.SA+VAGR3.SA+RNAR3.SA+SLCE3.SA+CVCB3.SA+AHEB3.SA+AHEB5.SA+AHEB6.SA+SHOW3.SA+BMKS3.SA+UCAS3.SA+WHRL3.SA+WHRL4.SA+BMTO3.SA+BMTO4.SA+MGLU3.SA+VVAR11.SA+VVAR3.SA+VVAR4.SA+IGBR3.SA+HGTX3.SA+CEDO3.SA+CEDO4.SA+TOYB3.SA+TOYB4.SA+ESTR3.SA+ESTR4.SA+NAFG3.SA+NAFG4.SA+HETA3.SA+HETA4.SA+CATA3.SA+CATA4.SA+CEDO3.SA+CEDO4.SA&amp;f=nol1hgd1" htmlTables="1" htmlFormat="all"/>
  </connection>
  <connection id="1106" name="Connection83" type="4" refreshedVersion="4" background="1" saveData="1">
    <webPr xl2000="1" url="http://download.finance.yahoo.com/d/quotes.csv?s=IGUA3.SA+IGUA5.SA+IGUA6.SA+JOPA3.SA+JOPA4.SA+SMTO3.SA+BSEV3.SA+VAGR3.SA+RNAR3.SA+SLCE3.SA+CVCB3.SA+AHEB3.SA+AHEB5.SA+AHEB6.SA+SHOW3.SA+BMKS3.SA+UCAS3.SA+WHRL3.SA+WHRL4.SA+BMTO3.SA+BMTO4.SA+MGLU3.SA+VVAR11.SA+VVAR3.SA+VVAR4.SA+IGBR3.SA+HGTX3.SA+CEDO3.SA+CEDO4.SA+TOYB3.SA+TOYB4.SA+ESTR3.SA+ESTR4.SA+NAFG3.SA+NAFG4.SA+HETA3.SA+HETA4.SA+SCLO3.SA+SCLO4.SA&amp;f=nol1hgd1" htmlFormat="all"/>
  </connection>
  <connection id="1107" name="Connection831" type="4" refreshedVersion="4" background="1" saveData="1">
    <webPr xl2000="1" url="http://download.finance.yahoo.com/d/quotes.csv?s=IGUA3.SA+IGUA5.SA+IGUA6.SA+JOPA3.SA+JOPA4.SA+SMTO3.SA+BSEV3.SA+VAGR3.SA+RNAR3.SA+SLCE3.SA+CVCB3.SA+AHEB3.SA+AHEB5.SA+AHEB6.SA+SHOW3.SA+BMKS3.SA+UCAS3.SA+WHRL3.SA+WHRL4.SA+BMTO3.SA+BMTO4.SA+MGLU3.SA+VVAR11.SA+VVAR3.SA+VVAR4.SA+IGBR3.SA+HGTX3.SA+CEDO3.SA+CEDO4.SA+TOYB3.SA+TOYB4.SA+ESTR3.SA+ESTR4.SA+NAFG3.SA+NAFG4.SA+HETA3.SA+HETA4.SA+SCLO3.SA+SCLO4.SA&amp;f=nol1hgd1" htmlFormat="all"/>
  </connection>
  <connection id="1108" name="Connection84" type="4" refreshedVersion="4" background="1" saveData="1">
    <webPr xl2000="1" url="http://download.finance.yahoo.com/d/quotes.csv?s=IGUA3.SA+IGUA5.SA+IGUA6.SA+JOPA3.SA+JOPA4.SA+SMTO3.SA+BSEV3.SA+VAGR3.SA+RNAR3.SA+SLCE3.SA+CVCB3.SA+AHEB3.SA+AHEB5.SA+AHEB6.SA+SHOW3.SA+BMKS3.SA+UCAS3.SA+WHRL3.SA+WHRL4.SA+BMTO3.SA+BMTO4.SA+MGLU3.SA+VVAR11.SA+VVAR3.SA+VVAR4.SA+IGBR3.SA+HGTX3.SA+CEDO3.SA+CEDO4.SA+TOYB3.SA+TOYB4.SA+ESTR3.SA+ESTR4.SA+NAFG3.SA+NAFG4.SA+HETA3.SA+HETA4.SA+CTNM3.SA+CTNM4.SA&amp;f=nol1hgd1" htmlFormat="all"/>
  </connection>
  <connection id="1109" name="Connection841" type="4" refreshedVersion="4" background="1" saveData="1">
    <webPr xl2000="1" url="http://download.finance.yahoo.com/d/quotes.csv?s=IGUA3.SA+IGUA5.SA+IGUA6.SA+JOPA3.SA+JOPA4.SA+SMTO3.SA+BSEV3.SA+VAGR3.SA+RNAR3.SA+SLCE3.SA+CVCB3.SA+AHEB3.SA+AHEB5.SA+AHEB6.SA+SHOW3.SA+BMKS3.SA+UCAS3.SA+WHRL3.SA+WHRL4.SA+BMTO3.SA+BMTO4.SA+MGLU3.SA+VVAR11.SA+VVAR3.SA+VVAR4.SA+IGBR3.SA+HGTX3.SA+CEDO3.SA+CEDO4.SA+TOYB3.SA+TOYB4.SA+ESTR3.SA+ESTR4.SA+NAFG3.SA+NAFG4.SA+HETA3.SA+HETA4.SA+CTNM3.SA+CTNM4.SA&amp;f=nol1hgd1" htmlFormat="all"/>
  </connection>
  <connection id="1110" name="Connection85" type="4" refreshedVersion="4" background="1" saveData="1">
    <webPr xl2000="1" url="http://download.finance.yahoo.com/d/quotes.csv?s=IGUA3.SA+IGUA5.SA+IGUA6.SA+JOPA3.SA+JOPA4.SA+SMTO3.SA+BSEV3.SA+VAGR3.SA+RNAR3.SA+SLCE3.SA+CVCB3.SA+AHEB3.SA+AHEB5.SA+AHEB6.SA+SHOW3.SA+BMKS3.SA+UCAS3.SA+WHRL3.SA+WHRL4.SA+BMTO3.SA+BMTO4.SA+MGLU3.SA+VVAR11.SA+VVAR3.SA+VVAR4.SA+IGBR3.SA+HGTX3.SA+CEDO3.SA+CEDO4.SA+TOYB3.SA+TOYB4.SA+ESTR3.SA+ESTR4.SA+NAFG3.SA+NAFG4.SA+HETA3.SA+HETA4.SA+CTNM3.SA+CTNM4.SA+CTSA3.SA+CTSA4.SA&amp;f=nol1hgd1" htmlFormat="all"/>
  </connection>
  <connection id="1111" name="Connection851" type="4" refreshedVersion="4" background="1" saveData="1">
    <webPr xl2000="1" url="http://download.finance.yahoo.com/d/quotes.csv?s=IGUA3.SA+IGUA5.SA+IGUA6.SA+JOPA3.SA+JOPA4.SA+SMTO3.SA+BSEV3.SA+VAGR3.SA+RNAR3.SA+SLCE3.SA+CVCB3.SA+AHEB3.SA+AHEB5.SA+AHEB6.SA+SHOW3.SA+BMKS3.SA+UCAS3.SA+WHRL3.SA+WHRL4.SA+BMTO3.SA+BMTO4.SA+MGLU3.SA+VVAR11.SA+VVAR3.SA+VVAR4.SA+IGBR3.SA+HGTX3.SA+CEDO3.SA+CEDO4.SA+TOYB3.SA+TOYB4.SA+ESTR3.SA+ESTR4.SA+NAFG3.SA+NAFG4.SA+HETA3.SA+HETA4.SA+CTNM3.SA+CTNM4.SA+CTSA3.SA+CTSA4.SA&amp;f=nol1hgd1" htmlFormat="all"/>
  </connection>
  <connection id="1112" name="Connection86" type="4" refreshedVersion="4" background="1" saveData="1">
    <webPr xl2000="1" url="http://download.finance.yahoo.com/d/quotes.csv?s=IGUA3.SA+IGUA5.SA+IGUA6.SA+JOPA3.SA+JOPA4.SA+SMTO3.SA+BSEV3.SA+VAGR3.SA+RNAR3.SA+SLCE3.SA+CVCB3.SA+AHEB3.SA+AHEB5.SA+AHEB6.SA+SHOW3.SA+BMKS3.SA+UCAS3.SA+WHRL3.SA+WHRL4.SA+BMTO3.SA+BMTO4.SA+MGLU3.SA+VVAR11.SA+VVAR3.SA+VVAR4.SA+IGBR3.SA+HGTX3.SA+CEDO3.SA+CEDO4.SA+TOYB3.SA+TOYB4.SA+ESTR3.SA+ESTR4.SA+NAFG3.SA+NAFG4.SA+HETA3.SA+HETA4.SA+CTNM3.SA+CTNM4.SA+CTSA3.SA+CTSA4.SA+CTSA8.SA&amp;f=nol1hgd1" htmlFormat="all"/>
  </connection>
  <connection id="1113" name="Connection861" type="4" refreshedVersion="4" background="1" saveData="1">
    <webPr xl2000="1" url="http://download.finance.yahoo.com/d/quotes.csv?s=IGUA3.SA+IGUA5.SA+IGUA6.SA+JOPA3.SA+JOPA4.SA+SMTO3.SA+BSEV3.SA+VAGR3.SA+RNAR3.SA+SLCE3.SA+CVCB3.SA+AHEB3.SA+AHEB5.SA+AHEB6.SA+SHOW3.SA+BMKS3.SA+UCAS3.SA+WHRL3.SA+WHRL4.SA+BMTO3.SA+BMTO4.SA+MGLU3.SA+VVAR11.SA+VVAR3.SA+VVAR4.SA+IGBR3.SA+HGTX3.SA+CEDO3.SA+CEDO4.SA+TOYB3.SA+TOYB4.SA+ESTR3.SA+ESTR4.SA+NAFG3.SA+NAFG4.SA+HETA3.SA+HETA4.SA+CTNM3.SA+CTNM4.SA+CTSA3.SA+CTSA4.SA+CTSA8.SA&amp;f=nol1hgd1" htmlFormat="all"/>
  </connection>
  <connection id="1114" name="Connection87" type="4" refreshedVersion="4" background="1" saveData="1">
    <webPr xl2000="1" url="http://download.finance.yahoo.com/d/quotes.csv?s=IGUA3.SA+IGUA5.SA+IGUA6.SA+JOPA3.SA+JOPA4.SA+SMTO3.SA+BSEV3.SA+VAGR3.SA+RNAR3.SA+SLCE3.SA+CVCB3.SA+AHEB3.SA+AHEB5.SA+AHEB6.SA+SHOW3.SA+BMKS3.SA+UCAS3.SA+WHRL3.SA+WHRL4.SA+BMTO3.SA+BMTO4.SA+MGLU3.SA+VVAR11.SA+VVAR3.SA+VVAR4.SA+IGBR3.SA+HGTX3.SA+CEDO3.SA+CEDO4.SA+TOYB3.SA+TOYB4.SA+ESTR3.SA+ESTR4.SA+NAFG3.SA+NAFG4.SA+HETA3.SA+HETA4.SA+CTNM3.SA+CTNM4.SA+CTSA3.SA+CTSA4.SA+CTSA8.SA+DOHL3.SA+DOHL4.SA&amp;f=nol1hgd1" htmlFormat="all"/>
  </connection>
  <connection id="1115" name="Connection871" type="4" refreshedVersion="4" background="1" saveData="1">
    <webPr xl2000="1" url="http://download.finance.yahoo.com/d/quotes.csv?s=IGUA3.SA+IGUA5.SA+IGUA6.SA+JOPA3.SA+JOPA4.SA+SMTO3.SA+BSEV3.SA+VAGR3.SA+RNAR3.SA+SLCE3.SA+CVCB3.SA+AHEB3.SA+AHEB5.SA+AHEB6.SA+SHOW3.SA+BMKS3.SA+UCAS3.SA+WHRL3.SA+WHRL4.SA+BMTO3.SA+BMTO4.SA+MGLU3.SA+VVAR11.SA+VVAR3.SA+VVAR4.SA+IGBR3.SA+HGTX3.SA+CEDO3.SA+CEDO4.SA+TOYB3.SA+TOYB4.SA+ESTR3.SA+ESTR4.SA+NAFG3.SA+NAFG4.SA+HETA3.SA+HETA4.SA+CTNM3.SA+CTNM4.SA+CTSA3.SA+CTSA4.SA+CTSA8.SA+DOHL3.SA+DOHL4.SA&amp;f=nol1hgd1" htmlFormat="all"/>
  </connection>
  <connection id="1116" name="Connection88" type="4" refreshedVersion="4" background="1" saveData="1">
    <webPr xl2000="1" url="http://download.finance.yahoo.com/d/quotes.csv?s=IGUA3.SA+IGUA5.SA+IGUA6.SA+JOPA3.SA+JOPA4.SA+SMTO3.SA+BSEV3.SA+VAGR3.SA+RNAR3.SA+SLCE3.SA+CVCB3.SA+AHEB3.SA+AHEB5.SA+AHEB6.SA+SHOW3.SA+BMKS3.SA+UCAS3.SA+WHRL3.SA+WHRL4.SA+BMTO3.SA+BMTO4.SA+MGLU3.SA+VVAR11.SA+VVAR3.SA+VVAR4.SA+IGBR3.SA+HGTX3.SA+CEDO3.SA+CEDO4.SA+TOYB3.SA+TOYB4.SA+ESTR3.SA+ESTR4.SA+NAFG3.SA+NAFG4.SA+HETA3.SA+HETA4.SA+CTNM3.SA+CTNM4.SA+CTSA3.SA+CTSA4.SA+CTSA8.SA+DOHL3.SA+DOHL4.SA+ECPR3.SA+ECPR4.SA&amp;f=nol1hgd1" htmlFormat="all"/>
  </connection>
  <connection id="1117" name="Connection881" type="4" refreshedVersion="4" background="1" saveData="1">
    <webPr xl2000="1" url="http://download.finance.yahoo.com/d/quotes.csv?s=IGUA3.SA+IGUA5.SA+IGUA6.SA+JOPA3.SA+JOPA4.SA+SMTO3.SA+BSEV3.SA+VAGR3.SA+RNAR3.SA+SLCE3.SA+CVCB3.SA+AHEB3.SA+AHEB5.SA+AHEB6.SA+SHOW3.SA+BMKS3.SA+UCAS3.SA+WHRL3.SA+WHRL4.SA+BMTO3.SA+BMTO4.SA+MGLU3.SA+VVAR11.SA+VVAR3.SA+VVAR4.SA+IGBR3.SA+HGTX3.SA+CEDO3.SA+CEDO4.SA+TOYB3.SA+TOYB4.SA+ESTR3.SA+ESTR4.SA+NAFG3.SA+NAFG4.SA+HETA3.SA+HETA4.SA+CTNM3.SA+CTNM4.SA+CTSA3.SA+CTSA4.SA+CTSA8.SA+DOHL3.SA+DOHL4.SA+ECPR3.SA+ECPR4.SA&amp;f=nol1hgd1" htmlFormat="all"/>
  </connection>
  <connection id="1118" name="Connection89" type="4" refreshedVersion="4" background="1" saveData="1">
    <webPr xl2000="1" url="http://download.finance.yahoo.com/d/quotes.csv?s=IGUA3.SA+IGUA5.SA+IGUA6.SA+JOPA3.SA+JOPA4.SA+SMTO3.SA+BSEV3.SA+VAGR3.SA+RNAR3.SA+SLCE3.SA+CVCB3.SA+AHEB3.SA+AHEB5.SA+AHEB6.SA+SHOW3.SA+BMKS3.SA+UCAS3.SA+WHRL3.SA+WHRL4.SA+BMTO3.SA+BMTO4.SA+MGLU3.SA+VVAR11.SA+VVAR3.SA+VVAR4.SA+IGBR3.SA+HGTX3.SA+CEDO3.SA+CEDO4.SA+TOYB3.SA+TOYB4.SA+ESTR3.SA+ESTR4.SA+NAFG3.SA+NAFG4.SA+HETA3.SA+HETA4.SA+CTNM3.SA+CTNM4.SA+CTSA3.SA+CTSA4.SA+CTSA8.SA+DOHL3.SA+DOHL4.SA+ECPR3.SA+ECPR4.SA+SJOS3.SA+SJOS4.SA&amp;f=nol1hgd1" htmlFormat="all"/>
  </connection>
  <connection id="1119" name="Connection891" type="4" refreshedVersion="4" background="1" saveData="1">
    <webPr xl2000="1" url="http://download.finance.yahoo.com/d/quotes.csv?s=IGUA3.SA+IGUA5.SA+IGUA6.SA+JOPA3.SA+JOPA4.SA+SMTO3.SA+BSEV3.SA+VAGR3.SA+RNAR3.SA+SLCE3.SA+CVCB3.SA+AHEB3.SA+AHEB5.SA+AHEB6.SA+SHOW3.SA+BMKS3.SA+UCAS3.SA+WHRL3.SA+WHRL4.SA+BMTO3.SA+BMTO4.SA+MGLU3.SA+VVAR11.SA+VVAR3.SA+VVAR4.SA+IGBR3.SA+HGTX3.SA+CEDO3.SA+CEDO4.SA+TOYB3.SA+TOYB4.SA+ESTR3.SA+ESTR4.SA+NAFG3.SA+NAFG4.SA+HETA3.SA+HETA4.SA+CTNM3.SA+CTNM4.SA+CTSA3.SA+CTSA4.SA+CTSA8.SA+DOHL3.SA+DOHL4.SA+ECPR3.SA+ECPR4.SA+SJOS3.SA+SJOS4.SA&amp;f=nol1hgd1" htmlFormat="all"/>
  </connection>
  <connection id="1120" name="Connection9" type="4" refreshedVersion="0" background="1" saveData="1">
    <webPr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+GSHP3.SA+MULT4.SA+TEMP3.SA+DASA3.SA+FLRY3.SA+ODPV3.SA+QUAL3.SA+BIOM3M.SA+CREM3.SA+NATU3.SA+BOBR3.SA+BOBR4.SA+CRUZ3.SA+LAME3.SA+LAME4.SA&amp;f=nol1hgd1" htmlTables="1" htmlFormat="all"/>
  </connection>
  <connection id="1121" name="Connection90" type="4" refreshedVersion="4" background="1" saveData="1">
    <webPr xl2000="1" url="http://download.finance.yahoo.com/d/quotes.csv?s=IGUA3.SA+IGUA5.SA+IGUA6.SA+JOPA3.SA+JOPA4.SA+SMTO3.SA+BSEV3.SA+VAGR3.SA+RNAR3.SA+SLCE3.SA+CVCB3.SA+AHEB3.SA+AHEB5.SA+AHEB6.SA+SHOW3.SA+BMKS3.SA+UCAS3.SA+WHRL3.SA+WHRL4.SA+BMTO3.SA+BMTO4.SA+MGLU3.SA+VVAR11.SA+VVAR3.SA+VVAR4.SA+IGBR3.SA+HGTX3.SA+CEDO3.SA+CEDO4.SA+TOYB3.SA+TOYB4.SA+ESTR3.SA+ESTR4.SA+NAFG3.SA+NAFG4.SA+HETA3.SA+HETA4.SA+CTNM3.SA+CTNM4.SA+CTSA3.SA+CTSA4.SA+CTSA8.SA+DOHL3.SA+DOHL4.SA+ECPR3.SA+ECPR4.SA+CTKA3.SA+CTKA4.SA&amp;f=nol1hgd1" htmlFormat="all"/>
  </connection>
  <connection id="1122" name="Connection901" type="4" refreshedVersion="4" background="1" saveData="1">
    <webPr xl2000="1" url="http://download.finance.yahoo.com/d/quotes.csv?s=IGUA3.SA+IGUA5.SA+IGUA6.SA+JOPA3.SA+JOPA4.SA+SMTO3.SA+BSEV3.SA+VAGR3.SA+RNAR3.SA+SLCE3.SA+CVCB3.SA+AHEB3.SA+AHEB5.SA+AHEB6.SA+SHOW3.SA+BMKS3.SA+UCAS3.SA+WHRL3.SA+WHRL4.SA+BMTO3.SA+BMTO4.SA+MGLU3.SA+VVAR11.SA+VVAR3.SA+VVAR4.SA+IGBR3.SA+HGTX3.SA+CEDO3.SA+CEDO4.SA+TOYB3.SA+TOYB4.SA+ESTR3.SA+ESTR4.SA+NAFG3.SA+NAFG4.SA+HETA3.SA+HETA4.SA+CTNM3.SA+CTNM4.SA+CTSA3.SA+CTSA4.SA+CTSA8.SA+DOHL3.SA+DOHL4.SA+ECPR3.SA+ECPR4.SA+CTKA3.SA+CTKA4.SA&amp;f=nol1hgd1" htmlFormat="all"/>
  </connection>
  <connection id="1123" name="Connection91" type="4" refreshedVersion="4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+GSHP3.SA+MULT4.SA+TEMP3.SA+DASA3.SA+FLRY3.SA+ODPV3.SA+QUAL3.SA+BIOM3M.SA+CREM3.SA+NATU3.SA+BOBR3.SA+BOBR4.SA+CRUZ3.SA+LAME3.SA+LAME4.SA&amp;f=nol1hgd1" htmlFormat="all"/>
  </connection>
  <connection id="1124" name="Connection911" type="4" refreshedVersion="4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+GSHP3.SA+MULT4.SA+TEMP3.SA+DASA3.SA+FLRY3.SA+ODPV3.SA+QUAL3.SA+BIOM3M.SA+CREM3.SA+NATU3.SA+BOBR3.SA+BOBR4.SA+CRUZ3.SA+LAME3.SA+LAME4.SA&amp;f=nol1hgd1" htmlFormat="all"/>
  </connection>
  <connection id="1125" name="Connection9111" type="4" refreshedVersion="4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+GSHP3.SA+MULT4.SA+TEMP3.SA+DASA3.SA+FLRY3.SA+ODPV3.SA+QUAL3.SA+BIOM3M.SA+CREM3.SA+NATU3.SA+BOBR3.SA+BOBR4.SA+CRUZ3.SA+LAME3.SA+LAME4.SA&amp;f=nol1hgd1" htmlFormat="all"/>
  </connection>
  <connection id="1126" name="Connection912" type="4" refreshedVersion="4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+GSHP3.SA+MULT4.SA+TEMP3.SA+DASA3.SA+FLRY3.SA+ODPV3.SA+QUAL3.SA+BIOM3M.SA+CREM3.SA+NATU3.SA+BOBR3.SA+BOBR4.SA+CRUZ3.SA+LAME3.SA+LAME4.SA&amp;f=nol1hgd1" htmlFormat="all"/>
  </connection>
  <connection id="1127" name="Connection92" type="4" refreshedVersion="4" background="1" saveData="1">
    <webPr xl2000="1" url="http://download.finance.yahoo.com/d/quotes.csv?s=IGUA3.SA+IGUA5.SA+IGUA6.SA+JOPA3.SA+JOPA4.SA+SMTO3.SA+BSEV3.SA+VAGR3.SA+RNAR3.SA+SLCE3.SA+CVCB3.SA+AHEB3.SA+AHEB5.SA+AHEB6.SA+SHOW3.SA+BMKS3.SA+UCAS3.SA+WHRL3.SA+WHRL4.SA+BMTO3.SA+BMTO4.SA+MGLU3.SA+VVAR11.SA+VVAR3.SA+VVAR4.SA+IGBR3.SA+HGTX3.SA+CEDO3.SA+CEDO4.SA+TOYB3.SA+TOYB4.SA+ESTR3.SA+ESTR4.SA+NAFG3.SA+NAFG4.SA+HETA3.SA+HETA4.SA+CTNM3.SA+CTNM4.SA+CTSA3.SA+CTSA4.SA+CTSA8.SA+DOHL3.SA+DOHL4.SA+ECPR3.SA+ECPR4.SA+CTKA3.SA+CTKA4.SA+PTNT3.SA+PTNT4.SA&amp;f=nol1hgd1" htmlFormat="all"/>
  </connection>
  <connection id="1128" name="Connection921" type="4" refreshedVersion="4" background="1" saveData="1">
    <webPr xl2000="1" url="http://download.finance.yahoo.com/d/quotes.csv?s=IGUA3.SA+IGUA5.SA+IGUA6.SA+JOPA3.SA+JOPA4.SA+SMTO3.SA+BSEV3.SA+VAGR3.SA+RNAR3.SA+SLCE3.SA+CVCB3.SA+AHEB3.SA+AHEB5.SA+AHEB6.SA+SHOW3.SA+BMKS3.SA+UCAS3.SA+WHRL3.SA+WHRL4.SA+BMTO3.SA+BMTO4.SA+MGLU3.SA+VVAR11.SA+VVAR3.SA+VVAR4.SA+IGBR3.SA+HGTX3.SA+CEDO3.SA+CEDO4.SA+TOYB3.SA+TOYB4.SA+ESTR3.SA+ESTR4.SA+NAFG3.SA+NAFG4.SA+HETA3.SA+HETA4.SA+CTNM3.SA+CTNM4.SA+CTSA3.SA+CTSA4.SA+CTSA8.SA+DOHL3.SA+DOHL4.SA+ECPR3.SA+ECPR4.SA+CTKA3.SA+CTKA4.SA+PTNT3.SA+PTNT4.SA&amp;f=nol1hgd1" htmlFormat="all"/>
  </connection>
  <connection id="1129" name="Connection922" type="4" refreshedVersion="4" background="1" saveData="1">
    <webPr xl2000="1" url="http://download.finance.yahoo.com/d/quotes.csv?s=IGUA3.SA+IGUA5.SA+IGUA6.SA+JOPA3.SA+JOPA4.SA+SMTO3.SA+BSEV3.SA+VAGR3.SA+RNAR3.SA+SLCE3.SA+CVCB3.SA+AHEB3.SA+AHEB5.SA+AHEB6.SA+SHOW3.SA+BMKS3.SA+UCAS3.SA+WHRL3.SA+WHRL4.SA+BMTO3.SA+BMTO4.SA+MGLU3.SA+VVAR11.SA+VVAR3.SA+VVAR4.SA+IGBR3.SA+HGTX3.SA+CEDO3.SA+CEDO4.SA+TOYB3.SA+TOYB4.SA+ESTR3.SA+ESTR4.SA+NAFG3.SA+NAFG4.SA+HETA3.SA+HETA4.SA+CTNM3.SA+CTNM4.SA+CTSA3.SA+CTSA4.SA+CTSA8.SA+DOHL3.SA+DOHL4.SA+ECPR3.SA+ECPR4.SA+CTKA3.SA+CTKA4.SA+PTNT3.SA+PTNT4.SA&amp;f=nol1hgd1" htmlFormat="all"/>
  </connection>
  <connection id="1130" name="Connection93" type="4" refreshedVersion="4" background="1" saveData="1">
    <webPr xl2000="1" url="http://download.finance.yahoo.com/d/quotes.csv?s=IGUA3.SA+IGUA5.SA+IGUA6.SA+JOPA3.SA+JOPA4.SA+SMTO3.SA+BSEV3.SA+VAGR3.SA+RNAR3.SA+SLCE3.SA+CVCB3.SA+AHEB3.SA+AHEB5.SA+AHEB6.SA+SHOW3.SA+BMKS3.SA+UCAS3.SA+WHRL3.SA+WHRL4.SA+BMTO3.SA+BMTO4.SA+MGLU3.SA+VVAR11.SA+VVAR3.SA+VVAR4.SA+IGBR3.SA+HGTX3.SA+CEDO3.SA+CEDO4.SA+TOYB3.SA+TOYB4.SA+ESTR3.SA+ESTR4.SA+NAFG3.SA+NAFG4.SA+HETA3.SA+HETA4.SA+CTNM3.SA+CTNM4.SA+CTSA3.SA+CTSA4.SA+CTSA8.SA+DOHL3.SA+DOHL4.SA+ECPR3.SA+ECPR4.SA+CTKA3.SA+CTKA4.SA+PTNT3.SA+PTNT4.SA+WMBY3.SA&amp;f=nol1hgd1" htmlFormat="all"/>
  </connection>
  <connection id="1131" name="Connection931" type="4" refreshedVersion="4" background="1" saveData="1">
    <webPr xl2000="1" url="http://download.finance.yahoo.com/d/quotes.csv?s=IGUA3.SA+IGUA5.SA+IGUA6.SA+JOPA3.SA+JOPA4.SA+SMTO3.SA+BSEV3.SA+VAGR3.SA+RNAR3.SA+SLCE3.SA+CVCB3.SA+AHEB3.SA+AHEB5.SA+AHEB6.SA+SHOW3.SA+BMKS3.SA+UCAS3.SA+WHRL3.SA+WHRL4.SA+BMTO3.SA+BMTO4.SA+MGLU3.SA+VVAR11.SA+VVAR3.SA+VVAR4.SA+IGBR3.SA+HGTX3.SA+CEDO3.SA+CEDO4.SA+TOYB3.SA+TOYB4.SA+ESTR3.SA+ESTR4.SA+NAFG3.SA+NAFG4.SA+HETA3.SA+HETA4.SA+CTNM3.SA+CTNM4.SA+CTSA3.SA+CTSA4.SA+CTSA8.SA+DOHL3.SA+DOHL4.SA+ECPR3.SA+ECPR4.SA+CTKA3.SA+CTKA4.SA+PTNT3.SA+PTNT4.SA+WMBY3.SA&amp;f=nol1hgd1" htmlFormat="all"/>
  </connection>
  <connection id="1132" name="Connection94" type="4" refreshedVersion="4" background="1" saveData="1">
    <webPr xl2000="1" url="http://download.finance.yahoo.com/d/quotes.csv?s=IGUA3.SA+IGUA5.SA+IGUA6.SA+JOPA3.SA+JOPA4.SA+SMTO3.SA+BSEV3.SA+VAGR3.SA+RNAR3.SA+SLCE3.SA+CVCB3.SA+AHEB3.SA+AHEB5.SA+AHEB6.SA+SHOW3.SA+BMKS3.SA+UCAS3.SA+WHRL3.SA+WHRL4.SA+BMTO3.SA+BMTO4.SA+MGLU3.SA+VVAR11.SA+VVAR3.SA+VVAR4.SA+IGBR3.SA+HGTX3.SA+CEDO3.SA+CEDO4.SA+TOYB3.SA+TOYB4.SA+ESTR3.SA+ESTR4.SA+NAFG3.SA+NAFG4.SA+HETA3.SA+HETA4.SA+CTNM3.SA+CTNM4.SA+CTSA3.SA+CTSA4.SA+CTSA8.SA+DOHL3.SA+DOHL4.SA+ECPR3.SA+ECPR4.SA+CTKA3.SA+CTKA4.SA+PTNT3.SA+PTNT4.SA+WMBY3.SA+SGPS3.SA&amp;f=nol1hgd1" htmlFormat="all"/>
  </connection>
  <connection id="1133" name="Connection941" type="4" refreshedVersion="4" background="1" saveData="1">
    <webPr xl2000="1" url="http://download.finance.yahoo.com/d/quotes.csv?s=IGUA3.SA+IGUA5.SA+IGUA6.SA+JOPA3.SA+JOPA4.SA+SMTO3.SA+BSEV3.SA+VAGR3.SA+RNAR3.SA+SLCE3.SA+CVCB3.SA+AHEB3.SA+AHEB5.SA+AHEB6.SA+SHOW3.SA+BMKS3.SA+UCAS3.SA+WHRL3.SA+WHRL4.SA+BMTO3.SA+BMTO4.SA+MGLU3.SA+VVAR11.SA+VVAR3.SA+VVAR4.SA+IGBR3.SA+HGTX3.SA+CEDO3.SA+CEDO4.SA+TOYB3.SA+TOYB4.SA+ESTR3.SA+ESTR4.SA+NAFG3.SA+NAFG4.SA+HETA3.SA+HETA4.SA+CTNM3.SA+CTNM4.SA+CTSA3.SA+CTSA4.SA+CTSA8.SA+DOHL3.SA+DOHL4.SA+ECPR3.SA+ECPR4.SA+CTKA3.SA+CTKA4.SA+PTNT3.SA+PTNT4.SA+WMBY3.SA+SGPS3.SA&amp;f=nol1hgd1" htmlFormat="all"/>
  </connection>
  <connection id="1134" name="Connection95" type="4" refreshedVersion="4" background="1" saveData="1">
    <webPr xl2000="1" url="http://download.finance.yahoo.com/d/quotes.csv?s=IGUA3.SA+IGUA5.SA+IGUA6.SA+JOPA3.SA+JOPA4.SA+SMTO3.SA+BSEV3.SA+VAGR3.SA+RNAR3.SA+SLCE3.SA+CVCB3.SA+AHEB3.SA+AHEB5.SA+AHEB6.SA+SHOW3.SA+BMKS3.SA+UCAS3.SA+WHRL3.SA+WHRL4.SA+BMTO3.SA+BMTO4.SA+MGLU3.SA+VVAR11.SA+VVAR3.SA+VVAR4.SA+IGBR3.SA+HGTX3.SA+CEDO3.SA+CEDO4.SA+TOYB3.SA+TOYB4.SA+ESTR3.SA+ESTR4.SA+NAFG3.SA+NAFG4.SA+HETA3.SA+HETA4.SA+CTNM3.SA+CTNM4.SA+CTSA3.SA+CTSA4.SA+CTSA8.SA+DOHL3.SA+DOHL4.SA+ECPR3.SA+ECPR4.SA+CTKA3.SA+CTKA4.SA+PTNT3.SA+PTNT4.SA+WMBY3.SA+SGPS3.SA+TENE3.SA+TENE5.SA+TENE6.SA+TENE7.SA&amp;f=nol1hgd1" htmlFormat="all"/>
  </connection>
  <connection id="1135" name="Connection951" type="4" refreshedVersion="4" background="1" saveData="1">
    <webPr xl2000="1" url="http://download.finance.yahoo.com/d/quotes.csv?s=IGUA3.SA+IGUA5.SA+IGUA6.SA+JOPA3.SA+JOPA4.SA+SMTO3.SA+BSEV3.SA+VAGR3.SA+RNAR3.SA+SLCE3.SA+CVCB3.SA+AHEB3.SA+AHEB5.SA+AHEB6.SA+SHOW3.SA+BMKS3.SA+UCAS3.SA+WHRL3.SA+WHRL4.SA+BMTO3.SA+BMTO4.SA+MGLU3.SA+VVAR11.SA+VVAR3.SA+VVAR4.SA+IGBR3.SA+HGTX3.SA+CEDO3.SA+CEDO4.SA+TOYB3.SA+TOYB4.SA+ESTR3.SA+ESTR4.SA+NAFG3.SA+NAFG4.SA+HETA3.SA+HETA4.SA+CTNM3.SA+CTNM4.SA+CTSA3.SA+CTSA4.SA+CTSA8.SA+DOHL3.SA+DOHL4.SA+ECPR3.SA+ECPR4.SA+CTKA3.SA+CTKA4.SA+PTNT3.SA+PTNT4.SA+WMBY3.SA+SGPS3.SA+TENE3.SA+TENE5.SA+TENE6.SA+TENE7.SA&amp;f=nol1hgd1" htmlFormat="all"/>
  </connection>
  <connection id="1136" name="Connection96" type="4" refreshedVersion="4" background="1" saveData="1">
    <webPr xl2000="1" url="http://download.finance.yahoo.com/d/quotes.csv?s=IGUA3.SA+IGUA5.SA+IGUA6.SA+JOPA3.SA+JOPA4.SA+SMTO3.SA+BSEV3.SA+VAGR3.SA+RNAR3.SA+SLCE3.SA+CVCB3.SA+AHEB3.SA+AHEB5.SA+AHEB6.SA+SHOW3.SA+BMKS3.SA+UCAS3.SA+WHRL3.SA+WHRL4.SA+BMTO3.SA+BMTO4.SA+MGLU3.SA+VVAR11.SA+VVAR3.SA+VVAR4.SA+IGBR3.SA+HGTX3.SA+CEDO3.SA+CEDO4.SA+TOYB3.SA+TOYB4.SA+ESTR3.SA+ESTR4.SA+NAFG3.SA+NAFG4.SA+HETA3.SA+HETA4.SA+CTNM3.SA+CTNM4.SA+CTSA3.SA+CTSA4.SA+CTSA8.SA+DOHL3.SA+DOHL4.SA+ECPR3.SA+ECPR4.SA+CTKA3.SA+CTKA4.SA+PTNT3.SA+PTNT4.SA+WMBY3.SA+SGPS3.SA+TENE3.SA+TENE5.SA+TENE6.SA+TENE7.SA+TEKA3.SA+TEKA4.SA&amp;f=nol1hgd1" htmlFormat="all"/>
  </connection>
  <connection id="1137" name="Connection961" type="4" refreshedVersion="4" background="1" saveData="1">
    <webPr xl2000="1" url="http://download.finance.yahoo.com/d/quotes.csv?s=IGUA3.SA+IGUA5.SA+IGUA6.SA+JOPA3.SA+JOPA4.SA+SMTO3.SA+BSEV3.SA+VAGR3.SA+RNAR3.SA+SLCE3.SA+CVCB3.SA+AHEB3.SA+AHEB5.SA+AHEB6.SA+SHOW3.SA+BMKS3.SA+UCAS3.SA+WHRL3.SA+WHRL4.SA+BMTO3.SA+BMTO4.SA+MGLU3.SA+VVAR11.SA+VVAR3.SA+VVAR4.SA+IGBR3.SA+HGTX3.SA+CEDO3.SA+CEDO4.SA+TOYB3.SA+TOYB4.SA+ESTR3.SA+ESTR4.SA+NAFG3.SA+NAFG4.SA+HETA3.SA+HETA4.SA+CTNM3.SA+CTNM4.SA+CTSA3.SA+CTSA4.SA+CTSA8.SA+DOHL3.SA+DOHL4.SA+ECPR3.SA+ECPR4.SA+CTKA3.SA+CTKA4.SA+PTNT3.SA+PTNT4.SA+WMBY3.SA+SGPS3.SA+TENE3.SA+TENE5.SA+TENE6.SA+TENE7.SA+TEKA3.SA+TEKA4.SA&amp;f=nol1hgd1" htmlFormat="all"/>
  </connection>
  <connection id="1138" name="Connection97" type="4" refreshedVersion="4" background="1" saveData="1">
    <webPr xl2000="1" url="http://download.finance.yahoo.com/d/quotes.csv?s=IGUA3.SA+IGUA5.SA+IGUA6.SA+JOPA3.SA+JOPA4.SA+SMTO3.SA+BSEV3.SA+VAGR3.SA+RNAR3.SA+SLCE3.SA+CVCB3.SA+AHEB3.SA+AHEB5.SA+AHEB6.SA+SHOW3.SA+BMKS3.SA+UCAS3.SA+WHRL3.SA+WHRL4.SA+BMTO3.SA+BMTO4.SA+MGLU3.SA+VVAR11.SA+VVAR3.SA+VVAR4.SA+IGBR3.SA+HGTX3.SA+CEDO3.SA+CEDO4.SA+TOYB3.SA+TOYB4.SA+ESTR3.SA+ESTR4.SA+NAFG3.SA+NAFG4.SA+HETA3.SA+HETA4.SA+CTNM3.SA+CTNM4.SA+CTSA3.SA+CTSA4.SA+CTSA8.SA+DOHL3.SA+DOHL4.SA+ECPR3.SA+ECPR4.SA+CTKA3.SA+CTKA4.SA+PTNT3.SA+PTNT4.SA+WMBY3.SA+SGPS3.SA+TENE3.SA+TENE5.SA+TENE6.SA+TENE7.SA+ALPA3.SA+ALPA4.SA&amp;f=nol1hgd1" htmlFormat="all"/>
  </connection>
  <connection id="1139" name="Connection971" type="4" refreshedVersion="4" background="1" saveData="1">
    <webPr xl2000="1" url="http://download.finance.yahoo.com/d/quotes.csv?s=IGUA3.SA+IGUA5.SA+IGUA6.SA+JOPA3.SA+JOPA4.SA+SMTO3.SA+BSEV3.SA+VAGR3.SA+RNAR3.SA+SLCE3.SA+CVCB3.SA+AHEB3.SA+AHEB5.SA+AHEB6.SA+SHOW3.SA+BMKS3.SA+UCAS3.SA+WHRL3.SA+WHRL4.SA+BMTO3.SA+BMTO4.SA+MGLU3.SA+VVAR11.SA+VVAR3.SA+VVAR4.SA+IGBR3.SA+HGTX3.SA+CEDO3.SA+CEDO4.SA+TOYB3.SA+TOYB4.SA+ESTR3.SA+ESTR4.SA+NAFG3.SA+NAFG4.SA+HETA3.SA+HETA4.SA+CTNM3.SA+CTNM4.SA+CTSA3.SA+CTSA4.SA+CTSA8.SA+DOHL3.SA+DOHL4.SA+ECPR3.SA+ECPR4.SA+CTKA3.SA+CTKA4.SA+PTNT3.SA+PTNT4.SA+WMBY3.SA+SGPS3.SA+TENE3.SA+TENE5.SA+TENE6.SA+TENE7.SA+ALPA3.SA+ALPA4.SA&amp;f=nol1hgd1" htmlFormat="all"/>
  </connection>
  <connection id="1140" name="Connection98" type="4" refreshedVersion="4" background="1" saveData="1">
    <webPr xl2000="1" url="http://download.finance.yahoo.com/d/quotes.csv?s=IGUA3.SA+IGUA5.SA+IGUA6.SA+JOPA3.SA+JOPA4.SA+SMTO3.SA+BSEV3.SA+VAGR3.SA+RNAR3.SA+SLCE3.SA+CVCB3.SA+AHEB3.SA+AHEB5.SA+AHEB6.SA+SHOW3.SA+BMKS3.SA+UCAS3.SA+WHRL3.SA+WHRL4.SA+BMTO3.SA+BMTO4.SA+MGLU3.SA+VVAR11.SA+VVAR3.SA+VVAR4.SA+IGBR3.SA+HGTX3.SA+CEDO3.SA+CEDO4.SA+TOYB3.SA+TOYB4.SA+ESTR3.SA+ESTR4.SA+NAFG3.SA+NAFG4.SA+HETA3.SA+HETA4.SA+CTNM3.SA+CTNM4.SA+CTSA3.SA+CTSA4.SA+CTSA8.SA+DOHL3.SA+DOHL4.SA+ECPR3.SA+ECPR4.SA+CTKA3.SA+CTKA4.SA+PTNT3.SA+PTNT4.SA+WMBY3.SA+SGPS3.SA+TENE3.SA+TENE5.SA+TENE6.SA+TENE7.SA+ALPA3.SA+ALPA4.SA+CAMB3.SA+CAMB4.SA&amp;f=nol1hgd1" htmlFormat="all"/>
  </connection>
  <connection id="1141" name="Connection981" type="4" refreshedVersion="4" background="1" saveData="1">
    <webPr xl2000="1" url="http://download.finance.yahoo.com/d/quotes.csv?s=IGUA3.SA+IGUA5.SA+IGUA6.SA+JOPA3.SA+JOPA4.SA+SMTO3.SA+BSEV3.SA+VAGR3.SA+RNAR3.SA+SLCE3.SA+CVCB3.SA+AHEB3.SA+AHEB5.SA+AHEB6.SA+SHOW3.SA+BMKS3.SA+UCAS3.SA+WHRL3.SA+WHRL4.SA+BMTO3.SA+BMTO4.SA+MGLU3.SA+VVAR11.SA+VVAR3.SA+VVAR4.SA+IGBR3.SA+HGTX3.SA+CEDO3.SA+CEDO4.SA+TOYB3.SA+TOYB4.SA+ESTR3.SA+ESTR4.SA+NAFG3.SA+NAFG4.SA+HETA3.SA+HETA4.SA+CTNM3.SA+CTNM4.SA+CTSA3.SA+CTSA4.SA+CTSA8.SA+DOHL3.SA+DOHL4.SA+ECPR3.SA+ECPR4.SA+CTKA3.SA+CTKA4.SA+PTNT3.SA+PTNT4.SA+WMBY3.SA+SGPS3.SA+TENE3.SA+TENE5.SA+TENE6.SA+TENE7.SA+ALPA3.SA+ALPA4.SA+CAMB3.SA+CAMB4.SA&amp;f=nol1hgd1" htmlFormat="all"/>
  </connection>
  <connection id="1142" name="Connection99" type="4" refreshedVersion="4" background="1" saveData="1">
    <webPr xl2000="1" url="http://download.finance.yahoo.com/d/quotes.csv?s=IGUA3.SA+IGUA5.SA+IGUA6.SA+JOPA3.SA+JOPA4.SA+SMTO3.SA+BSEV3.SA+VAGR3.SA+RNAR3.SA+SLCE3.SA+CVCB3.SA+AHEB3.SA+AHEB5.SA+AHEB6.SA+SHOW3.SA+BMKS3.SA+UCAS3.SA+WHRL3.SA+WHRL4.SA+BMTO3.SA+BMTO4.SA+MGLU3.SA+VVAR11.SA+VVAR3.SA+VVAR4.SA+IGBR3.SA+HGTX3.SA+CEDO3.SA+CEDO4.SA+TOYB3.SA+TOYB4.SA+ESTR3.SA+ESTR4.SA+NAFG3.SA+NAFG4.SA+HETA3.SA+HETA4.SA+CTNM3.SA+CTNM4.SA+CTSA3.SA+CTSA4.SA+CTSA8.SA+DOHL3.SA+DOHL4.SA+ECPR3.SA+ECPR4.SA+CTKA3.SA+CTKA4.SA+PTNT3.SA+PTNT4.SA+WMBY3.SA+SGPS3.SA+TENE3.SA+TENE5.SA+TENE6.SA+TENE7.SA+ALPA3.SA+ALPA4.SA+CAMB3.SA+CAMB4.SA+MNDL3.SA+TECN3.SA&amp;f=nol1hgd1" htmlFormat="all"/>
  </connection>
  <connection id="1143" name="Connection991" type="4" refreshedVersion="4" background="1" saveData="1">
    <webPr xl2000="1" url="http://download.finance.yahoo.com/d/quotes.csv?s=IGUA3.SA+IGUA5.SA+IGUA6.SA+JOPA3.SA+JOPA4.SA+SMTO3.SA+BSEV3.SA+VAGR3.SA+RNAR3.SA+SLCE3.SA+CVCB3.SA+AHEB3.SA+AHEB5.SA+AHEB6.SA+SHOW3.SA+BMKS3.SA+UCAS3.SA+WHRL3.SA+WHRL4.SA+BMTO3.SA+BMTO4.SA+MGLU3.SA+VVAR11.SA+VVAR3.SA+VVAR4.SA+IGBR3.SA+HGTX3.SA+CEDO3.SA+CEDO4.SA+TOYB3.SA+TOYB4.SA+ESTR3.SA+ESTR4.SA+NAFG3.SA+NAFG4.SA+HETA3.SA+HETA4.SA+CTNM3.SA+CTNM4.SA+CTSA3.SA+CTSA4.SA+CTSA8.SA+DOHL3.SA+DOHL4.SA+ECPR3.SA+ECPR4.SA+CTKA3.SA+CTKA4.SA+PTNT3.SA+PTNT4.SA+WMBY3.SA+SGPS3.SA+TENE3.SA+TENE5.SA+TENE6.SA+TENE7.SA+ALPA3.SA+ALPA4.SA+CAMB3.SA+CAMB4.SA+MNDL3.SA+TECN3.SA&amp;f=nol1hgd1" htmlFormat="all"/>
  </connection>
</connections>
</file>

<file path=xl/sharedStrings.xml><?xml version="1.0" encoding="utf-8"?>
<sst xmlns="http://schemas.openxmlformats.org/spreadsheetml/2006/main" count="4325" uniqueCount="2066">
  <si>
    <t>Ativo</t>
  </si>
  <si>
    <t>ELPL4</t>
  </si>
  <si>
    <t>ELET3</t>
  </si>
  <si>
    <t>Patrimônio Líquido</t>
  </si>
  <si>
    <t>Total Ações</t>
  </si>
  <si>
    <t>VPA</t>
  </si>
  <si>
    <t>Cotação</t>
  </si>
  <si>
    <t>PVPA</t>
  </si>
  <si>
    <t>Comprar ?</t>
  </si>
  <si>
    <t>PAPEL</t>
  </si>
  <si>
    <t>BICB4</t>
  </si>
  <si>
    <t>Valores</t>
  </si>
  <si>
    <t>Utilidade Pública / Energia Elétrica / Energia Elétrica</t>
  </si>
  <si>
    <t>Classificação Setorial</t>
  </si>
  <si>
    <t>Financeiro e Outros / Intermediários Financeiros / Bancos</t>
  </si>
  <si>
    <t>DAYC4</t>
  </si>
  <si>
    <t>ITSA4</t>
  </si>
  <si>
    <t>Rentabilidade</t>
  </si>
  <si>
    <t>SUZB5</t>
  </si>
  <si>
    <t>Materiais Básicos / Madeira e Papel / Papel e Celulose</t>
  </si>
  <si>
    <t>PETR3</t>
  </si>
  <si>
    <t>PETR4</t>
  </si>
  <si>
    <t>ABCB4</t>
  </si>
  <si>
    <t>BRSR6</t>
  </si>
  <si>
    <t>BBAS3</t>
  </si>
  <si>
    <t>BBSE3</t>
  </si>
  <si>
    <t>Financeiro e Outros / Previdência e Seguros / Seguradoras</t>
  </si>
  <si>
    <t>ELET6</t>
  </si>
  <si>
    <t>ENBR3</t>
  </si>
  <si>
    <t>GETI3</t>
  </si>
  <si>
    <t>CMIG4</t>
  </si>
  <si>
    <t>CMIG3</t>
  </si>
  <si>
    <t>CPFE3</t>
  </si>
  <si>
    <t>GETI4</t>
  </si>
  <si>
    <t>CPLE3</t>
  </si>
  <si>
    <t>EQTL3</t>
  </si>
  <si>
    <t>SBSP3</t>
  </si>
  <si>
    <t>Utilidade Pública / Água e Saneamento / Água e Saneamento</t>
  </si>
  <si>
    <t>GEPA4</t>
  </si>
  <si>
    <t>UNIP6</t>
  </si>
  <si>
    <t>Materiais Básicos / Químicos / Petroquímicos</t>
  </si>
  <si>
    <t>Ativos</t>
  </si>
  <si>
    <t>URL =</t>
  </si>
  <si>
    <t>Yahoo tags =</t>
  </si>
  <si>
    <t>Carteira ações</t>
  </si>
  <si>
    <t>Código</t>
  </si>
  <si>
    <t>nol1hgd1</t>
  </si>
  <si>
    <t>Data</t>
  </si>
  <si>
    <t>Abertura</t>
  </si>
  <si>
    <t>Fechamento</t>
  </si>
  <si>
    <t>Máxima</t>
  </si>
  <si>
    <t>Mínima</t>
  </si>
  <si>
    <t>PL</t>
  </si>
  <si>
    <t>Lucro Líquido</t>
  </si>
  <si>
    <t>KLBN4</t>
  </si>
  <si>
    <t>LIGT3</t>
  </si>
  <si>
    <t>TAEE11</t>
  </si>
  <si>
    <t>SULA11</t>
  </si>
  <si>
    <t>BEES3</t>
  </si>
  <si>
    <t>BEES4</t>
  </si>
  <si>
    <t>Lucro Med A.A</t>
  </si>
  <si>
    <t>BMIN4</t>
  </si>
  <si>
    <t>BAZA3</t>
  </si>
  <si>
    <t>Ref</t>
  </si>
  <si>
    <t>ENGI4</t>
  </si>
  <si>
    <t>RDTR3</t>
  </si>
  <si>
    <t>SAPR4</t>
  </si>
  <si>
    <t>AELP3</t>
  </si>
  <si>
    <t>CSRN6</t>
  </si>
  <si>
    <t>CEBR6</t>
  </si>
  <si>
    <t>CEPE5</t>
  </si>
  <si>
    <t>CLSC4</t>
  </si>
  <si>
    <t>CESP3</t>
  </si>
  <si>
    <t>UNIP5</t>
  </si>
  <si>
    <t>PINE4</t>
  </si>
  <si>
    <t>SFSA4</t>
  </si>
  <si>
    <t>RPAD5</t>
  </si>
  <si>
    <t>BRGE6</t>
  </si>
  <si>
    <t>TERI3</t>
  </si>
  <si>
    <t>FESA4</t>
  </si>
  <si>
    <t>ITUB4</t>
  </si>
  <si>
    <t>COCE5</t>
  </si>
  <si>
    <t>PRBC4</t>
  </si>
  <si>
    <t>Exercício</t>
  </si>
  <si>
    <t>Lucro/Ação</t>
  </si>
  <si>
    <t>ENGI11</t>
  </si>
  <si>
    <t>CESP5</t>
  </si>
  <si>
    <t>CESP6</t>
  </si>
  <si>
    <t>CEEB3</t>
  </si>
  <si>
    <t>CEEB5</t>
  </si>
  <si>
    <t>CEBR3</t>
  </si>
  <si>
    <t>CEBR5</t>
  </si>
  <si>
    <t>CEPE6</t>
  </si>
  <si>
    <t>COCE3</t>
  </si>
  <si>
    <t>ENMA3B</t>
  </si>
  <si>
    <t>CSRN3</t>
  </si>
  <si>
    <t>CSRN5</t>
  </si>
  <si>
    <t>EEEL3</t>
  </si>
  <si>
    <t>EEEL4</t>
  </si>
  <si>
    <t>CPLE5</t>
  </si>
  <si>
    <t>CPLE6</t>
  </si>
  <si>
    <t xml:space="preserve"> </t>
  </si>
  <si>
    <t xml:space="preserve">ABC BRASIL  -PN  </t>
  </si>
  <si>
    <t>AES ELPA    -ON</t>
  </si>
  <si>
    <t>AMAZONIA    -ON</t>
  </si>
  <si>
    <t xml:space="preserve">BRASIL      -ON  </t>
  </si>
  <si>
    <t>9.00</t>
  </si>
  <si>
    <t xml:space="preserve">BICBANCO    -PN  </t>
  </si>
  <si>
    <t>MERC INVEST -PN</t>
  </si>
  <si>
    <t xml:space="preserve">BANRISUL    -PNB </t>
  </si>
  <si>
    <t>CEB         -ON</t>
  </si>
  <si>
    <t>CEB         -PNA</t>
  </si>
  <si>
    <t>CEB         -PNB</t>
  </si>
  <si>
    <t>32.01</t>
  </si>
  <si>
    <t>CELPE       -PNA</t>
  </si>
  <si>
    <t>CELPE       -PNB</t>
  </si>
  <si>
    <t xml:space="preserve">CESP        -ON  </t>
  </si>
  <si>
    <t xml:space="preserve">CESP        -PNA </t>
  </si>
  <si>
    <t xml:space="preserve">CESP        -PNB </t>
  </si>
  <si>
    <t xml:space="preserve">CELESC      -PN  </t>
  </si>
  <si>
    <t xml:space="preserve">CEMIG       -ON  </t>
  </si>
  <si>
    <t xml:space="preserve">CEMIG       -PN  </t>
  </si>
  <si>
    <t>COELCE      -ON</t>
  </si>
  <si>
    <t>COELCE      -PNA</t>
  </si>
  <si>
    <t xml:space="preserve">CPFL ENERGIA-ON  </t>
  </si>
  <si>
    <t xml:space="preserve">COPEL       -ON  </t>
  </si>
  <si>
    <t xml:space="preserve">COPEL       -PNA </t>
  </si>
  <si>
    <t>30.00</t>
  </si>
  <si>
    <t xml:space="preserve">COPEL       -PNB </t>
  </si>
  <si>
    <t>10.12</t>
  </si>
  <si>
    <t xml:space="preserve">DAYCOVAL    -PN  </t>
  </si>
  <si>
    <t xml:space="preserve">CEEE-GT     -ON  </t>
  </si>
  <si>
    <t xml:space="preserve">CEEE-GT     -PN  </t>
  </si>
  <si>
    <t xml:space="preserve">ELETROBRAS  -ON  </t>
  </si>
  <si>
    <t xml:space="preserve">ELETROBRAS  -PNB </t>
  </si>
  <si>
    <t xml:space="preserve">ELETROPAULO -PN  </t>
  </si>
  <si>
    <t>11.00</t>
  </si>
  <si>
    <t xml:space="preserve">ENERGIAS BR -ON  </t>
  </si>
  <si>
    <t>ENERGISA    -UNT</t>
  </si>
  <si>
    <t>ENERGISA    -PN</t>
  </si>
  <si>
    <t xml:space="preserve">CEMAR       -ON  </t>
  </si>
  <si>
    <t xml:space="preserve">EQUATORIAL  -ON  </t>
  </si>
  <si>
    <t>AES TIETE   -ON</t>
  </si>
  <si>
    <t>AES TIETE   -PN</t>
  </si>
  <si>
    <t xml:space="preserve">ITAUSA      -PN  </t>
  </si>
  <si>
    <t xml:space="preserve">ITAUUNIBANCO-PN  </t>
  </si>
  <si>
    <t xml:space="preserve">KLABIN S/A  -PN  </t>
  </si>
  <si>
    <t xml:space="preserve">LIGHT S/A   -ON  </t>
  </si>
  <si>
    <t xml:space="preserve">PINE        -PN  </t>
  </si>
  <si>
    <t xml:space="preserve">PARANA      -PN  </t>
  </si>
  <si>
    <t>REDENTOR    -ON</t>
  </si>
  <si>
    <t xml:space="preserve">SABESP      -ON  </t>
  </si>
  <si>
    <t xml:space="preserve">SOFISA      -PN  </t>
  </si>
  <si>
    <t xml:space="preserve">SUZANO PAPEL-PNA </t>
  </si>
  <si>
    <t xml:space="preserve">TAESA       -UNT </t>
  </si>
  <si>
    <t>UNIPAR      -PNA</t>
  </si>
  <si>
    <t>UNIPAR      -PNB</t>
  </si>
  <si>
    <t>TRPL3</t>
  </si>
  <si>
    <t>TRPL4</t>
  </si>
  <si>
    <t>4.12</t>
  </si>
  <si>
    <t xml:space="preserve">TRAN PAULIST-ON  </t>
  </si>
  <si>
    <t xml:space="preserve">TRAN PAULIST-PN  </t>
  </si>
  <si>
    <t>GEPA3</t>
  </si>
  <si>
    <t>62.04</t>
  </si>
  <si>
    <t>LIPR3</t>
  </si>
  <si>
    <t>ELETROPAR   -ON</t>
  </si>
  <si>
    <t>ELPL3</t>
  </si>
  <si>
    <t xml:space="preserve">ELETROPAULO -ON  </t>
  </si>
  <si>
    <t>EMAE4</t>
  </si>
  <si>
    <t>EMAE        -PN</t>
  </si>
  <si>
    <t>ENGI3</t>
  </si>
  <si>
    <t>ENERGISA    -ON</t>
  </si>
  <si>
    <t>GTDP3B</t>
  </si>
  <si>
    <t>GTDP4B</t>
  </si>
  <si>
    <t xml:space="preserve">GTD PART    -ON  </t>
  </si>
  <si>
    <t xml:space="preserve">GTD PART    -PN  </t>
  </si>
  <si>
    <t>TBLE3</t>
  </si>
  <si>
    <t xml:space="preserve">TRACTEBEL   -ON  </t>
  </si>
  <si>
    <t>CASN3</t>
  </si>
  <si>
    <t>CASAN       -ON</t>
  </si>
  <si>
    <t>CSMG3</t>
  </si>
  <si>
    <t xml:space="preserve">COPASA      -ON  </t>
  </si>
  <si>
    <t>SAPR3</t>
  </si>
  <si>
    <t>8.19</t>
  </si>
  <si>
    <t>RANI3</t>
  </si>
  <si>
    <t>RANI4</t>
  </si>
  <si>
    <t>KLBN3</t>
  </si>
  <si>
    <t xml:space="preserve">KLABIN S/A  -ON  </t>
  </si>
  <si>
    <t>SUZB6</t>
  </si>
  <si>
    <t>4.00</t>
  </si>
  <si>
    <t xml:space="preserve">SUZANO PAPEL-PNB </t>
  </si>
  <si>
    <t>RPAD3</t>
  </si>
  <si>
    <t>RPAD6</t>
  </si>
  <si>
    <t>ALFA HOLDING-ON</t>
  </si>
  <si>
    <t>3.08</t>
  </si>
  <si>
    <t>ALFA HOLDING-PNB</t>
  </si>
  <si>
    <t>BRIV3</t>
  </si>
  <si>
    <t>BRIV4</t>
  </si>
  <si>
    <t>BBDC3</t>
  </si>
  <si>
    <t>BBDC4</t>
  </si>
  <si>
    <t xml:space="preserve">BRADESCO    -ON  </t>
  </si>
  <si>
    <t xml:space="preserve">BRADESCO    -PN  </t>
  </si>
  <si>
    <t>BGIP3</t>
  </si>
  <si>
    <t>BGIP4</t>
  </si>
  <si>
    <t>BRSR3</t>
  </si>
  <si>
    <t>BRSR5</t>
  </si>
  <si>
    <t xml:space="preserve">BANRISUL    -ON  </t>
  </si>
  <si>
    <t xml:space="preserve">BANRISUL    -PNA </t>
  </si>
  <si>
    <t>BICB3</t>
  </si>
  <si>
    <t xml:space="preserve">BICBANCO    -ON  </t>
  </si>
  <si>
    <t>BMIN3</t>
  </si>
  <si>
    <t>MERC INVEST -ON</t>
  </si>
  <si>
    <t>BNBR3</t>
  </si>
  <si>
    <t>BNBR4</t>
  </si>
  <si>
    <t>NORD BRASIL -ON</t>
  </si>
  <si>
    <t>NORD BRASIL -PN</t>
  </si>
  <si>
    <t>BSLI3</t>
  </si>
  <si>
    <t>BSLI4</t>
  </si>
  <si>
    <t>BRGE3</t>
  </si>
  <si>
    <t>BRGE5</t>
  </si>
  <si>
    <t>BRGE7</t>
  </si>
  <si>
    <t>BRGE8</t>
  </si>
  <si>
    <t>BRGE11</t>
  </si>
  <si>
    <t>BRGE12</t>
  </si>
  <si>
    <t>ALFA CONSORC-ON</t>
  </si>
  <si>
    <t>3.27</t>
  </si>
  <si>
    <t>3.60</t>
  </si>
  <si>
    <t>ALFA CONSORC-PNF</t>
  </si>
  <si>
    <t>ITUB3</t>
  </si>
  <si>
    <t xml:space="preserve">ITAUUNIBANCO-ON  </t>
  </si>
  <si>
    <t>ITSA3</t>
  </si>
  <si>
    <t xml:space="preserve">ITAUSA      -ON  </t>
  </si>
  <si>
    <t>PSSA3</t>
  </si>
  <si>
    <t xml:space="preserve">PORTO SEGURO-ON  </t>
  </si>
  <si>
    <t>19.00</t>
  </si>
  <si>
    <t>FESA3</t>
  </si>
  <si>
    <t xml:space="preserve">FERBASA     -PN  </t>
  </si>
  <si>
    <t xml:space="preserve">FERBASA     -ON  </t>
  </si>
  <si>
    <t>Materiais Básicos / Siderurgia e Metalurgia / Siderurgia</t>
  </si>
  <si>
    <t>PETROBRAS   -PN</t>
  </si>
  <si>
    <t>Cotação 1</t>
  </si>
  <si>
    <t>Cotação 2</t>
  </si>
  <si>
    <t>PETROBRAS   -ON</t>
  </si>
  <si>
    <t>Petróleo. Gás e Biocombustíveis / Petróleo. Gás e Biocombustíveis / Exploração e/ou Refino</t>
  </si>
  <si>
    <t>QGEP3</t>
  </si>
  <si>
    <t xml:space="preserve">QGEP PART   -ON  </t>
  </si>
  <si>
    <t xml:space="preserve">SUL AMERICA -UNT </t>
  </si>
  <si>
    <t>CSAB3</t>
  </si>
  <si>
    <t>CSAB4</t>
  </si>
  <si>
    <t>SEG AL BAHIA-ON</t>
  </si>
  <si>
    <t>SEG AL BAHIA-PN</t>
  </si>
  <si>
    <t xml:space="preserve">BBSEGURIDADE-ON  </t>
  </si>
  <si>
    <t>JOPA3</t>
  </si>
  <si>
    <t>JOPA4</t>
  </si>
  <si>
    <t>JOSAPAR     -ON</t>
  </si>
  <si>
    <t>JOSAPAR     -PN</t>
  </si>
  <si>
    <t xml:space="preserve">TEREOS      -ON  </t>
  </si>
  <si>
    <t>Consumo não Cíclico / Alimentos Processados / Alimentos Diversos</t>
  </si>
  <si>
    <t>ELEK3</t>
  </si>
  <si>
    <t>ELEK4</t>
  </si>
  <si>
    <t>10.00</t>
  </si>
  <si>
    <t>BRKM3</t>
  </si>
  <si>
    <t>BRKM5</t>
  </si>
  <si>
    <t>BRKM6</t>
  </si>
  <si>
    <t xml:space="preserve">BRASKEM     -ON  </t>
  </si>
  <si>
    <t xml:space="preserve">BRASKEM     -PNA </t>
  </si>
  <si>
    <t xml:space="preserve">BRASKEM     -PNB </t>
  </si>
  <si>
    <t>Consumo não Cíclico / Alimentos Processados / Açucar e Alcool</t>
  </si>
  <si>
    <t>CSAN3</t>
  </si>
  <si>
    <t xml:space="preserve">COSAN       -ON  </t>
  </si>
  <si>
    <t>SMTO3</t>
  </si>
  <si>
    <t xml:space="preserve">SAO MARTINHO-ON  </t>
  </si>
  <si>
    <t>CIQU3</t>
  </si>
  <si>
    <t>CIQU4</t>
  </si>
  <si>
    <t>7.08</t>
  </si>
  <si>
    <t>Consumo não Cíclico / Alimentos Processados / Café</t>
  </si>
  <si>
    <t>BRFS3</t>
  </si>
  <si>
    <t>Consumo não Cíclico / Alimentos Processados / Carnes e Derivados</t>
  </si>
  <si>
    <t xml:space="preserve">BRF SA      -ON  </t>
  </si>
  <si>
    <t>JBSS3</t>
  </si>
  <si>
    <t xml:space="preserve">JBS         -ON  </t>
  </si>
  <si>
    <t>VIGR3</t>
  </si>
  <si>
    <t xml:space="preserve">VIGOR FOOD  -ON  </t>
  </si>
  <si>
    <t>Consumo não Cíclico / Alimentos Processados / Laticínios</t>
  </si>
  <si>
    <t>TIMP3</t>
  </si>
  <si>
    <t>Telecomunicações / Telefonia Móvel / Telefonia móvel</t>
  </si>
  <si>
    <t xml:space="preserve">TIM PART S/A-ON  </t>
  </si>
  <si>
    <t>OIBR3</t>
  </si>
  <si>
    <t>OIBR4</t>
  </si>
  <si>
    <t xml:space="preserve">OI          -ON  </t>
  </si>
  <si>
    <t xml:space="preserve">OI          -PN  </t>
  </si>
  <si>
    <t>Telecomunicações / Telefonia Fixa / Telefonia Fixa</t>
  </si>
  <si>
    <t>VIVT3</t>
  </si>
  <si>
    <t>VIVT4</t>
  </si>
  <si>
    <t>BRAP3</t>
  </si>
  <si>
    <t>BRAP4</t>
  </si>
  <si>
    <t>Financeiro e Outros / Holdings Diversificadas / Holdings Diversificadas</t>
  </si>
  <si>
    <t xml:space="preserve">BRADESPAR   -ON  </t>
  </si>
  <si>
    <t xml:space="preserve">BRADESPAR   -PN  </t>
  </si>
  <si>
    <t>% Yield</t>
  </si>
  <si>
    <t>HBTS5</t>
  </si>
  <si>
    <t>HABITASUL   -PNA</t>
  </si>
  <si>
    <t>MOAR3</t>
  </si>
  <si>
    <t>UGPA3</t>
  </si>
  <si>
    <t xml:space="preserve">ULTRAPAR    -ON  </t>
  </si>
  <si>
    <t>BAHI3</t>
  </si>
  <si>
    <t>BAHEMA      -ON</t>
  </si>
  <si>
    <t>Data Liquidação</t>
  </si>
  <si>
    <t>Taxas</t>
  </si>
  <si>
    <t>Resgates</t>
  </si>
  <si>
    <t>Aplicação</t>
  </si>
  <si>
    <t>Total</t>
  </si>
  <si>
    <t>Consumo Cíclico / Diversos / Aluguel de carros</t>
  </si>
  <si>
    <t>LCAM3</t>
  </si>
  <si>
    <t xml:space="preserve">LOCAMERICA  -ON  </t>
  </si>
  <si>
    <t>PTPA4</t>
  </si>
  <si>
    <t>Materiais Básicos / Embalagens / Embalagens</t>
  </si>
  <si>
    <t>DTEX3</t>
  </si>
  <si>
    <t>Materiais Básicos / Madeira e Papel / Madeira</t>
  </si>
  <si>
    <t xml:space="preserve">DURATEX     -ON  </t>
  </si>
  <si>
    <t>EUCA4</t>
  </si>
  <si>
    <t xml:space="preserve">EUCATEX     -PN  </t>
  </si>
  <si>
    <t>Materiais Básicos / Materiais Diversos / Materiais Diversos</t>
  </si>
  <si>
    <t>PRVI3</t>
  </si>
  <si>
    <t xml:space="preserve">PROVIDENCIA -ON  </t>
  </si>
  <si>
    <t>MAGG3</t>
  </si>
  <si>
    <t xml:space="preserve">MAGNESITA SA-ON  </t>
  </si>
  <si>
    <t>Materiais Básicos / Mineração / Minerais Metálicos</t>
  </si>
  <si>
    <t>VALE5</t>
  </si>
  <si>
    <t xml:space="preserve">VALE        -PNA </t>
  </si>
  <si>
    <t>NUTR3M</t>
  </si>
  <si>
    <t xml:space="preserve">NUTRIPLANT  -ON  </t>
  </si>
  <si>
    <t>PATI4</t>
  </si>
  <si>
    <t>Materiais Básicos / Siderurgia e Metalurgia / Artefatos de Ferro e Aço</t>
  </si>
  <si>
    <t>PANATLANTICA-PN</t>
  </si>
  <si>
    <t>TKNO4</t>
  </si>
  <si>
    <t>TEKNO       -PN</t>
  </si>
  <si>
    <t>ETER3</t>
  </si>
  <si>
    <t>Construção e Transporte / Construção e Engenharia / Materiais de Construção</t>
  </si>
  <si>
    <t xml:space="preserve">ETERNIT     -ON  </t>
  </si>
  <si>
    <t>9.50</t>
  </si>
  <si>
    <t>GER PARANAP -ON</t>
  </si>
  <si>
    <t>GER PARANAP -PN</t>
  </si>
  <si>
    <t>Financeiro e Outros / Exploração de Imóveis / Exploração de Imóveis</t>
  </si>
  <si>
    <t>ALSC3</t>
  </si>
  <si>
    <t xml:space="preserve">ALIANSCE    -ON  </t>
  </si>
  <si>
    <t>BRML3</t>
  </si>
  <si>
    <t xml:space="preserve">BR MALLS PAR-ON  </t>
  </si>
  <si>
    <t>BRPR3</t>
  </si>
  <si>
    <t xml:space="preserve">BR PROPERT  -ON  </t>
  </si>
  <si>
    <t>CCPR3</t>
  </si>
  <si>
    <t xml:space="preserve">CYRE COM-CCP-ON  </t>
  </si>
  <si>
    <t>IGTA3</t>
  </si>
  <si>
    <t xml:space="preserve">IGUATEMI    -ON  </t>
  </si>
  <si>
    <t>MULT3</t>
  </si>
  <si>
    <t xml:space="preserve">MULTIPLAN   -ON  </t>
  </si>
  <si>
    <t>SSBR3</t>
  </si>
  <si>
    <t>SCAR3</t>
  </si>
  <si>
    <t xml:space="preserve">SIERRABRASIL-ON  </t>
  </si>
  <si>
    <t xml:space="preserve">SAO CARLOS  -ON  </t>
  </si>
  <si>
    <t>MERC3</t>
  </si>
  <si>
    <t>MERC4</t>
  </si>
  <si>
    <t>Financeiro e Outros / Intermediários Financeiros / Soc. Crédito e Financiamento</t>
  </si>
  <si>
    <t>MERC FINANC -ON</t>
  </si>
  <si>
    <t>8.55</t>
  </si>
  <si>
    <t>MERC FINANC -PN</t>
  </si>
  <si>
    <t>CRIV3</t>
  </si>
  <si>
    <t>CRIV4</t>
  </si>
  <si>
    <t>ALFA FINANC -ON</t>
  </si>
  <si>
    <t>BRIN3</t>
  </si>
  <si>
    <t>Financeiro e Outros / Previdência e Seguros / Corretoras de Seguros</t>
  </si>
  <si>
    <t xml:space="preserve">BR INSURANCE-ON  </t>
  </si>
  <si>
    <t>TRPN3</t>
  </si>
  <si>
    <t>Financeiro e Outros / Serviços Financeiros Diversos / Gestão de Recursos e Investimentos</t>
  </si>
  <si>
    <t xml:space="preserve">TARPON INV  -ON  </t>
  </si>
  <si>
    <t>BVMF3</t>
  </si>
  <si>
    <t>Financeiro e Outros / Serviços Financeiros Diversos / Serviços Financeiros Diversos</t>
  </si>
  <si>
    <t xml:space="preserve">BMFBOVESPA  -ON  </t>
  </si>
  <si>
    <t>CTIP3</t>
  </si>
  <si>
    <t>CIEL3</t>
  </si>
  <si>
    <t xml:space="preserve">CETIP       -ON  </t>
  </si>
  <si>
    <t xml:space="preserve">CIELO       -ON  </t>
  </si>
  <si>
    <t>0.46</t>
  </si>
  <si>
    <t>EBTP4</t>
  </si>
  <si>
    <t>EMBRATEL PAR-PN *</t>
  </si>
  <si>
    <t>Nome</t>
  </si>
  <si>
    <t>Quantidade</t>
  </si>
  <si>
    <t>Preço Médio</t>
  </si>
  <si>
    <t>Lucro p/ Ação</t>
  </si>
  <si>
    <t>Total Aplicado</t>
  </si>
  <si>
    <t>Total de Ativos</t>
  </si>
  <si>
    <t>Total Lucro p/ Ação</t>
  </si>
  <si>
    <t>% Rentabilidade</t>
  </si>
  <si>
    <t>Dia</t>
  </si>
  <si>
    <t>Mês</t>
  </si>
  <si>
    <t>Ano</t>
  </si>
  <si>
    <t>Dividendo</t>
  </si>
  <si>
    <t>JPC</t>
  </si>
  <si>
    <t>Total Dividendo</t>
  </si>
  <si>
    <t>Total JPC</t>
  </si>
  <si>
    <t>43.24</t>
  </si>
  <si>
    <t>43.25</t>
  </si>
  <si>
    <t>19.50</t>
  </si>
  <si>
    <t>BANESE      -ON</t>
  </si>
  <si>
    <t>BANESE      -PN</t>
  </si>
  <si>
    <t>0.50</t>
  </si>
  <si>
    <t>ELEKEIROZ   -ON</t>
  </si>
  <si>
    <t>ELEKEIROZ   -PN</t>
  </si>
  <si>
    <t>EVORA       -PN</t>
  </si>
  <si>
    <t>12.20</t>
  </si>
  <si>
    <t>15.00</t>
  </si>
  <si>
    <t>0.12</t>
  </si>
  <si>
    <t>20.00</t>
  </si>
  <si>
    <t>% A.A.</t>
  </si>
  <si>
    <t>Capital Social</t>
  </si>
  <si>
    <t>% PNA (PL)</t>
  </si>
  <si>
    <t>% PNA (CS)</t>
  </si>
  <si>
    <t>Div PNA (PL)</t>
  </si>
  <si>
    <t>Div PNA (CS)</t>
  </si>
  <si>
    <t>PATI3</t>
  </si>
  <si>
    <t>Ações</t>
  </si>
  <si>
    <t>http://download.finance.yahoo.com/d/quotes.csv?s=ABCB4.SA+AELP3.SA+BAZA3.SA+BBAS3.SA+BBDC3.SA+BBDC4.SA+BEES3.SA+BEES4.SA+BGIP3.SA+BGIP4.SA+BICB3.SA+BICB4.SA+BMIN3.SA+BMIN4.SA+BNBR3.SA+BNBR4.SA+BRGE11.SA+BRGE12.SA+BRGE3.SA+BRGE5.SA+BRGE6.SA+BRGE7.SA+BRGE8.SA+BRIV3.SA+BRIV4.SA+BRSR3.SA+BRSR5.SA+BRSR6.SA+BSLI3.SA+BSLI4.SA+CASN3.SA+CEBR3.SA+CEBR5.SA+CEBR6.SA+CEEB3.SA+CEEB5.SA+CEPE5.SA+CEPE6.SA+CESP3.SA+CESP5.SA+CESP6.SA+CLSC4.SA+CMIG3.SA+CMIG4.SA+COCE3.SA+COCE5.SA+CPFE3.SA+CPLE3.SA+CPLE5.SA+CPLE6.SA+CSMG3.SA+CSRN3.SA+CSRN5.SA+CSRN6.SA+DAYC4.SA+EEEL3.SA+EEEL4.SA+ELET3.SA+ELET6.SA+ELPL3.SA+ELPL4.SA+EMAE4.SA+ENBR3.SA+ENGI11.SA+ENGI3.SA+ENGI4.SA+ENMA3B.SA+EQTL3.SA+FESA3.SA+FESA4.SA+GEPA3.SA+GEPA4.SA+GETI3.SA+GETI4.SA+GTDP3B.SA+GTDP4B.SA+ITSA3.SA+ITSA4.SA+ITUB3.SA+ITUB4.SA+KLBN3.SA+KLBN4.SA+LIGT3.SA+LIPR3.SA+PINE4.SA+PRBC4.SA+PSSA3.SA+RANI3.SA+RANI4.SA+RDTR3.SA+RPAD3.SA+RPAD5.SA+RPAD6.SA+SAPR3.SA+SAPR4.SA+SBSP3.SA+SFSA4.SA+SUZB5.SA+SUZB6.SA+TAEE11.SA+TBLE3.SA+TRPL3.SA+TRPL4.SA+UNIP5.SA+UNIP6.SA+PATI3.SA&amp;f=nol1hgd1</t>
  </si>
  <si>
    <t>PANATLANTICA-ON</t>
  </si>
  <si>
    <t>Reserva Legal</t>
  </si>
  <si>
    <t>Lucro Distribuir</t>
  </si>
  <si>
    <t>Teto R. Legal</t>
  </si>
  <si>
    <t>Div. Mínimo</t>
  </si>
  <si>
    <t>Total Div. Pref.</t>
  </si>
  <si>
    <t>UNIP3</t>
  </si>
  <si>
    <t>UNIPAR      -ON</t>
  </si>
  <si>
    <t>% Pref. / ON</t>
  </si>
  <si>
    <t>27.00</t>
  </si>
  <si>
    <t>Lucro</t>
  </si>
  <si>
    <t>Lucro Dist./Ação</t>
  </si>
  <si>
    <t>PINE3</t>
  </si>
  <si>
    <t>22.40</t>
  </si>
  <si>
    <t>25 % Div</t>
  </si>
  <si>
    <t>Div Base</t>
  </si>
  <si>
    <t>VN</t>
  </si>
  <si>
    <t>ABCB3</t>
  </si>
  <si>
    <t>21.00</t>
  </si>
  <si>
    <t xml:space="preserve">ABC BRASIL  -ON  </t>
  </si>
  <si>
    <t>N/A</t>
  </si>
  <si>
    <t>0.00</t>
  </si>
  <si>
    <t>%Div</t>
  </si>
  <si>
    <t>Unit ON</t>
  </si>
  <si>
    <t>Unit PN</t>
  </si>
  <si>
    <t>AFLU3</t>
  </si>
  <si>
    <t>AFLU5</t>
  </si>
  <si>
    <t>AFLU6</t>
  </si>
  <si>
    <t>AFLUENTE    -ON</t>
  </si>
  <si>
    <t>5.55</t>
  </si>
  <si>
    <t>AFLUENTE    -PNA</t>
  </si>
  <si>
    <t>AFLUENTE    -PNB</t>
  </si>
  <si>
    <t>AFLT3</t>
  </si>
  <si>
    <t>AFLUENTE T  -ON</t>
  </si>
  <si>
    <t>3.50</t>
  </si>
  <si>
    <t>ALUP11</t>
  </si>
  <si>
    <t>ALUP3</t>
  </si>
  <si>
    <t>ALUP4</t>
  </si>
  <si>
    <t xml:space="preserve">ALUPAR      -UNT </t>
  </si>
  <si>
    <t xml:space="preserve">ALUPAR      -ON  </t>
  </si>
  <si>
    <t xml:space="preserve">ALUPAR      -PN  </t>
  </si>
  <si>
    <t>CBEE3</t>
  </si>
  <si>
    <t>AMPLA ENERG -ON *</t>
  </si>
  <si>
    <t>elet5</t>
  </si>
  <si>
    <t xml:space="preserve">ELETROBRAS  -PNA </t>
  </si>
  <si>
    <t>23.01</t>
  </si>
  <si>
    <t>ELET5</t>
  </si>
  <si>
    <t>CLSC3</t>
  </si>
  <si>
    <t>clsc3</t>
  </si>
  <si>
    <t xml:space="preserve">CELESC      -ON  </t>
  </si>
  <si>
    <t>CELP3</t>
  </si>
  <si>
    <t>CELP5</t>
  </si>
  <si>
    <t>CELP6</t>
  </si>
  <si>
    <t>CELP7</t>
  </si>
  <si>
    <t>CELPA       -ON</t>
  </si>
  <si>
    <t>CELPA       -PNA</t>
  </si>
  <si>
    <t>1.00</t>
  </si>
  <si>
    <t>CELPA       -PNB</t>
  </si>
  <si>
    <t>0.75</t>
  </si>
  <si>
    <t>CELPA       -PNC</t>
  </si>
  <si>
    <t>GPAR3</t>
  </si>
  <si>
    <t>CELGPAR     -ON</t>
  </si>
  <si>
    <t>CEEB6</t>
  </si>
  <si>
    <t>CEPE3</t>
  </si>
  <si>
    <t>CELPE       -ON</t>
  </si>
  <si>
    <t>24.53</t>
  </si>
  <si>
    <t>COCE6</t>
  </si>
  <si>
    <t>COELCE      -PNB</t>
  </si>
  <si>
    <t>35.00</t>
  </si>
  <si>
    <t>ENMA5B</t>
  </si>
  <si>
    <t>ENMA6B</t>
  </si>
  <si>
    <t xml:space="preserve">CEMAR       -PNA </t>
  </si>
  <si>
    <t xml:space="preserve">CEMAR       -PNB </t>
  </si>
  <si>
    <t>CEED3</t>
  </si>
  <si>
    <t>CEED4</t>
  </si>
  <si>
    <t xml:space="preserve">CEEE-D      -ON  </t>
  </si>
  <si>
    <t xml:space="preserve">CEEE-D      -PN  </t>
  </si>
  <si>
    <t>1.60</t>
  </si>
  <si>
    <t>EKTR3</t>
  </si>
  <si>
    <t>EKTR4</t>
  </si>
  <si>
    <t>ELEKTRO     -ON</t>
  </si>
  <si>
    <t>ELEKTRO     -PN</t>
  </si>
  <si>
    <t>EMAE3</t>
  </si>
  <si>
    <t>ENEV3</t>
  </si>
  <si>
    <t xml:space="preserve">ENEVA       -ON  </t>
  </si>
  <si>
    <t>REDE3</t>
  </si>
  <si>
    <t>REDE4</t>
  </si>
  <si>
    <t>REDE ENERGIA-ON</t>
  </si>
  <si>
    <t>REDE ENERGIA-PN</t>
  </si>
  <si>
    <t>RNEW11</t>
  </si>
  <si>
    <t>RNEW3</t>
  </si>
  <si>
    <t>RNEW4</t>
  </si>
  <si>
    <t xml:space="preserve">RENOVA      -UNT </t>
  </si>
  <si>
    <t xml:space="preserve">RENOVA      -ON  </t>
  </si>
  <si>
    <t xml:space="preserve">RENOVA      -PN  </t>
  </si>
  <si>
    <t>TAEE3</t>
  </si>
  <si>
    <t>TAEE4</t>
  </si>
  <si>
    <t xml:space="preserve">TAESA       -ON  </t>
  </si>
  <si>
    <t xml:space="preserve">TAESA       -PN  </t>
  </si>
  <si>
    <t>CASN4</t>
  </si>
  <si>
    <t>CSAN4</t>
  </si>
  <si>
    <t>CSAN4.SA</t>
  </si>
  <si>
    <t>Utilidade Pública / Gás / Gás</t>
  </si>
  <si>
    <t>CGAS3</t>
  </si>
  <si>
    <t>CGAS5</t>
  </si>
  <si>
    <t>COMGAS      -ON</t>
  </si>
  <si>
    <t>COMGAS      -PNA</t>
  </si>
  <si>
    <t>CEGR3</t>
  </si>
  <si>
    <t>CEG         -ON *</t>
  </si>
  <si>
    <t>INET3</t>
  </si>
  <si>
    <t>INEPAR TEL  -ON</t>
  </si>
  <si>
    <t>0.18</t>
  </si>
  <si>
    <t>EBTP3</t>
  </si>
  <si>
    <t>EMBRATEL PAR-ON *</t>
  </si>
  <si>
    <t>MLFT3</t>
  </si>
  <si>
    <t>MLFT4</t>
  </si>
  <si>
    <t>JEREISSATI  -ON</t>
  </si>
  <si>
    <t>1.87</t>
  </si>
  <si>
    <t>JEREISSATI  -PN</t>
  </si>
  <si>
    <t>1.70</t>
  </si>
  <si>
    <t>LFFE3</t>
  </si>
  <si>
    <t>LFFE4</t>
  </si>
  <si>
    <t>http://download.finance.yahoo.com/d/quotes.csv?s=ABCB3.SA+AFLT3.SA+AFLU3.SA+AFLU5.SA+AFLU6.SA+ALSC3.SA+ALUP11.SA+ALUP3.SA+ALUP4.SA+BAHI3.SA+BBSE3.SA+BRAP3.SA+BRAP4.SA+BRFS3.SA+BRIN3.SA+BRKM3.SA+BRKM5.SA+BRKM6.SA+BRML3.SA+BRPR3.SA+BVMF3.SA+CBEE3.SA+CCPR3.SA+CEEB6.SA+CELP3.SA+CELP5.SA+CELP6.SA+CELP7.SA+CIEL3.SA+CIQU3.SA+CIQU4.SA+clsc3.SA+CRIV3.SA+CRIV4.SA+CSAB3.SA+CSAB4.SA+CSAN3.SA+CTIP3.SA+DTEX3.SA+EBTP4.SA+ELEK3.SA+ELEK4.SA+elet5.SA+ETER3.SA+EUCA4.SA+GPAR3.SA+HBTS5.SA+IGTA3.SA+JBSS3.SA+JOPA3.SA+JOPA4.SA+LCAM3.SA+MAGG3.SA+MERC3.SA+MERC4.SA+MOAR3.SA+MULT3.SA+NUTR3M.SA+OIBR3.SA+OIBR4.SA+PATI4.SA+PETR3.SA+PETR4.SA+PRVI3.SA+PTPA4.SA+QGEP3.SA+SCAR3.SA+SMTO3.SA+SSBR3.SA+SULA11.SA+TERI3.SA+TIMP3.SA+TKNO4.SA+TRPN3.SA+UGPA3.SA+UNIP3.SA+VALE5.SA+VIGR3.SA+VIVT3.SA+VIVT4.SA+CEPE3.SA+COCE6.SA+ENMA5B.SA+ENMA6B.SA+CEED3.SA+CEED4.SA+EKTR3.SA+EKTR4.SA+ENEV3.SA+REDE3.SA+REDE4.SA+RNEW11.SA+RNEW3.SA+RNEW4.SA+TAEE3.SA+TAEE4.SA+CSAN4.SA+CGAS3.SA+CGAS5.SA+CEGR3.SA+INET3.SA+EBTP3.SA+MLFT3.SA+MLFT4.SA+LFFE3.SA+LFFE4.SA&amp;f=nol1hgd1</t>
  </si>
  <si>
    <t>LA FONTE TEL-ON</t>
  </si>
  <si>
    <t>LA FONTE TEL-PN</t>
  </si>
  <si>
    <t>3.69</t>
  </si>
  <si>
    <t>Cotação 3</t>
  </si>
  <si>
    <t>DAYC3</t>
  </si>
  <si>
    <t>IDVL3</t>
  </si>
  <si>
    <t>IDVL4</t>
  </si>
  <si>
    <t xml:space="preserve">INDUSVAL    -ON  </t>
  </si>
  <si>
    <t>6.25</t>
  </si>
  <si>
    <t xml:space="preserve">INDUSVAL    -PN  </t>
  </si>
  <si>
    <t>BMEB3</t>
  </si>
  <si>
    <t>BMEB4</t>
  </si>
  <si>
    <t>MERC BRASIL -ON</t>
  </si>
  <si>
    <t>MERC BRASIL -PN</t>
  </si>
  <si>
    <t>BPNM3</t>
  </si>
  <si>
    <t>BPNM4</t>
  </si>
  <si>
    <t xml:space="preserve">PANAMERICANO-ON  </t>
  </si>
  <si>
    <t xml:space="preserve">PANAMERICANO-PN  </t>
  </si>
  <si>
    <t>BPMN3</t>
  </si>
  <si>
    <t>BPMN4</t>
  </si>
  <si>
    <t>BPAT33</t>
  </si>
  <si>
    <t>PATAGONIA   -DR3</t>
  </si>
  <si>
    <t>SANB11</t>
  </si>
  <si>
    <t>SANB3</t>
  </si>
  <si>
    <t>SANB4</t>
  </si>
  <si>
    <t xml:space="preserve">SANTANDER BR-UNT </t>
  </si>
  <si>
    <t xml:space="preserve">SANTANDER BR-ON  </t>
  </si>
  <si>
    <t>0.11</t>
  </si>
  <si>
    <t xml:space="preserve">SANTANDER BR-PN  </t>
  </si>
  <si>
    <t>SFSA3</t>
  </si>
  <si>
    <t xml:space="preserve">SOFISA      -ON  </t>
  </si>
  <si>
    <t>PRBC3</t>
  </si>
  <si>
    <t>IDNT3</t>
  </si>
  <si>
    <t xml:space="preserve">IDEIASNET   -ON  </t>
  </si>
  <si>
    <t>Tecnologia da Informação / Programas e Serviços / Programas e Serviços</t>
  </si>
  <si>
    <t>LINX3</t>
  </si>
  <si>
    <t>TELB3</t>
  </si>
  <si>
    <t>TELB4</t>
  </si>
  <si>
    <t xml:space="preserve">LINX        -ON  </t>
  </si>
  <si>
    <t>TELEBRAS    -ON</t>
  </si>
  <si>
    <t>TELEBRAS    -PN</t>
  </si>
  <si>
    <t>SNSL3M</t>
  </si>
  <si>
    <t xml:space="preserve">SENIOR SOL  -ON  </t>
  </si>
  <si>
    <t>TOTS3</t>
  </si>
  <si>
    <t xml:space="preserve">TOTVS       -ON  </t>
  </si>
  <si>
    <t>Tecnologia da Informação / Computadores e Equipamentos / Computadores e Equipamentos</t>
  </si>
  <si>
    <t>BEMA3</t>
  </si>
  <si>
    <t>ITEC3</t>
  </si>
  <si>
    <t>POSI3</t>
  </si>
  <si>
    <t xml:space="preserve">BEMATECH    -ON  </t>
  </si>
  <si>
    <t>ITAUTEC     -ON</t>
  </si>
  <si>
    <t xml:space="preserve">POSITIVO INF-ON  </t>
  </si>
  <si>
    <t>OGXP3</t>
  </si>
  <si>
    <t>RPMG3</t>
  </si>
  <si>
    <t>RPMG4</t>
  </si>
  <si>
    <t>PET MANGUINH-ON</t>
  </si>
  <si>
    <t>PET MANGUINH-PN</t>
  </si>
  <si>
    <t>Petróleo. Gás e Biocombustíveis / Petróleo. Gás e Biocombustíveis / Equipamentos e Serviços</t>
  </si>
  <si>
    <t>OSXB3</t>
  </si>
  <si>
    <t>CSNA3</t>
  </si>
  <si>
    <t>SID NACIONAL-ON</t>
  </si>
  <si>
    <t>USIM3</t>
  </si>
  <si>
    <t>USIM5</t>
  </si>
  <si>
    <t>USIM6</t>
  </si>
  <si>
    <t xml:space="preserve">USIMINAS    -ON  </t>
  </si>
  <si>
    <t xml:space="preserve">USIMINAS    -PNA </t>
  </si>
  <si>
    <t xml:space="preserve">USIMINAS    -PNB </t>
  </si>
  <si>
    <t>11.13</t>
  </si>
  <si>
    <t>GGBR3</t>
  </si>
  <si>
    <t>GGBR4</t>
  </si>
  <si>
    <t xml:space="preserve">GERDAU      -ON  </t>
  </si>
  <si>
    <t xml:space="preserve">GERDAU      -PN  </t>
  </si>
  <si>
    <t>GOAU3</t>
  </si>
  <si>
    <t>GOAU4</t>
  </si>
  <si>
    <t xml:space="preserve">GERDAU MET  -ON  </t>
  </si>
  <si>
    <t xml:space="preserve">GERDAU MET  -PN  </t>
  </si>
  <si>
    <t>FBMC3</t>
  </si>
  <si>
    <t>FBMC4</t>
  </si>
  <si>
    <t>FIBAM       -ON</t>
  </si>
  <si>
    <t>80.00</t>
  </si>
  <si>
    <t>FIBAM       -PN</t>
  </si>
  <si>
    <t>MGEL3</t>
  </si>
  <si>
    <t>MGEL4</t>
  </si>
  <si>
    <t xml:space="preserve">MANGELS INDL-ON  </t>
  </si>
  <si>
    <t>25.00</t>
  </si>
  <si>
    <t xml:space="preserve">MANGELS INDL-PN  </t>
  </si>
  <si>
    <t>DUQE3</t>
  </si>
  <si>
    <t>DUQE4</t>
  </si>
  <si>
    <t>MET DUQUE   -ON</t>
  </si>
  <si>
    <t>28.00</t>
  </si>
  <si>
    <t>MET DUQUE   -PN</t>
  </si>
  <si>
    <t>TKNO3</t>
  </si>
  <si>
    <t>PMAM3</t>
  </si>
  <si>
    <t xml:space="preserve">PARANAPANEMA-ON  </t>
  </si>
  <si>
    <t>Materiais Básicos / Siderurgia e Metalurgia / Artefatos de Cobre</t>
  </si>
  <si>
    <t>TIBR3</t>
  </si>
  <si>
    <t>TIBR5</t>
  </si>
  <si>
    <t>TIBR6</t>
  </si>
  <si>
    <t>Materiais Básicos / Químicos / Químicos Diversos</t>
  </si>
  <si>
    <t>MILLENNIUM  -ON</t>
  </si>
  <si>
    <t>MILLENNIUM  -PNA</t>
  </si>
  <si>
    <t>MILLENNIUM  -PNB</t>
  </si>
  <si>
    <t>17.00</t>
  </si>
  <si>
    <t>COELBA      -PNB</t>
  </si>
  <si>
    <t>CACIQUE     -ON</t>
  </si>
  <si>
    <t>CACIQUE     -PN</t>
  </si>
  <si>
    <t>60.00</t>
  </si>
  <si>
    <t>TELEF BRASIL-ON</t>
  </si>
  <si>
    <t>TELEF BRASIL-PN</t>
  </si>
  <si>
    <t>BANESTES    -ON</t>
  </si>
  <si>
    <t>BANESTES    -PN</t>
  </si>
  <si>
    <t>COELBA      -ON</t>
  </si>
  <si>
    <t>COELBA      -PNA</t>
  </si>
  <si>
    <t>COSERN      -ON</t>
  </si>
  <si>
    <t>COSERN      -PNA</t>
  </si>
  <si>
    <t>COSERN      -PNB</t>
  </si>
  <si>
    <t>SANEPAR     -ON</t>
  </si>
  <si>
    <t>SANEPAR     -PN</t>
  </si>
  <si>
    <t>GPCP3</t>
  </si>
  <si>
    <t>GPC PART    -ON</t>
  </si>
  <si>
    <t>RHDS3</t>
  </si>
  <si>
    <t>M G POLIEST -ON</t>
  </si>
  <si>
    <t>Materiais Básicos / Químicos / Fertilizantes e Defensivos</t>
  </si>
  <si>
    <t>FHER3</t>
  </si>
  <si>
    <t>Materiais Básicos / Mineração / Minerais Não Metálicos</t>
  </si>
  <si>
    <t>CCXC3</t>
  </si>
  <si>
    <t xml:space="preserve">CCX CARVAO  -ON  </t>
  </si>
  <si>
    <t>VALE3</t>
  </si>
  <si>
    <t>MMXM3</t>
  </si>
  <si>
    <t xml:space="preserve">MMX MINER   -ON  </t>
  </si>
  <si>
    <t>SNSY3</t>
  </si>
  <si>
    <t>SNSY5</t>
  </si>
  <si>
    <t>SNSY6</t>
  </si>
  <si>
    <t>0.61</t>
  </si>
  <si>
    <t>0.08</t>
  </si>
  <si>
    <t>SANSUY      -ON</t>
  </si>
  <si>
    <t>1.34</t>
  </si>
  <si>
    <t>2.00</t>
  </si>
  <si>
    <t>SANSUY      -PNA</t>
  </si>
  <si>
    <t>SANSUY      -PNB</t>
  </si>
  <si>
    <t>3.00</t>
  </si>
  <si>
    <t>MSPA3</t>
  </si>
  <si>
    <t>MSPA4</t>
  </si>
  <si>
    <t>MELHOR SP   -ON</t>
  </si>
  <si>
    <t>MELHOR SP   -PN</t>
  </si>
  <si>
    <t>FIBR3</t>
  </si>
  <si>
    <t xml:space="preserve">FIBRIA      -ON  </t>
  </si>
  <si>
    <t>KLBN11</t>
  </si>
  <si>
    <t xml:space="preserve">KLABIN S/A  -UNT </t>
  </si>
  <si>
    <t>SUZB3</t>
  </si>
  <si>
    <t xml:space="preserve">SUZANO PAPEL-ON  </t>
  </si>
  <si>
    <t>EUCA3</t>
  </si>
  <si>
    <t xml:space="preserve">EUCATEX     -ON  </t>
  </si>
  <si>
    <t>7.11</t>
  </si>
  <si>
    <t>PTPA3</t>
  </si>
  <si>
    <t>MTIG3</t>
  </si>
  <si>
    <t>MTIG4</t>
  </si>
  <si>
    <t>METAL IGUACU-ON</t>
  </si>
  <si>
    <t>METAL IGUACU-PN</t>
  </si>
  <si>
    <t>0.45</t>
  </si>
  <si>
    <t>PEAB3</t>
  </si>
  <si>
    <t>PEAB4</t>
  </si>
  <si>
    <t>1.51</t>
  </si>
  <si>
    <t>PAR AL BAHIA-ON</t>
  </si>
  <si>
    <t>PAR AL BAHIA-PN</t>
  </si>
  <si>
    <t>SULA3</t>
  </si>
  <si>
    <t>SULA4</t>
  </si>
  <si>
    <t xml:space="preserve">SUL AMERICA -ON  </t>
  </si>
  <si>
    <t xml:space="preserve">SUL AMERICA -PN  </t>
  </si>
  <si>
    <t>BTTL3</t>
  </si>
  <si>
    <t>BTTL4</t>
  </si>
  <si>
    <t>BATTISTELLA -ON</t>
  </si>
  <si>
    <t>BATTISTELLA -PN</t>
  </si>
  <si>
    <t>HBTS3</t>
  </si>
  <si>
    <t>HBTS6</t>
  </si>
  <si>
    <t>HABITASUL   -ON</t>
  </si>
  <si>
    <t>HABITASUL   -PNB</t>
  </si>
  <si>
    <t>DOCA3</t>
  </si>
  <si>
    <t>DOCA4</t>
  </si>
  <si>
    <t>DOCAS       -ON</t>
  </si>
  <si>
    <t>DOCAS       -PN</t>
  </si>
  <si>
    <t>5.01</t>
  </si>
  <si>
    <t>JBDU3</t>
  </si>
  <si>
    <t>JBDU4</t>
  </si>
  <si>
    <t>J B DUARTE  -ON</t>
  </si>
  <si>
    <t>J B DUARTE  -PN</t>
  </si>
  <si>
    <t>0.24</t>
  </si>
  <si>
    <t>4.90</t>
  </si>
  <si>
    <t>AGRO3</t>
  </si>
  <si>
    <t>CORR3</t>
  </si>
  <si>
    <t>CORR4</t>
  </si>
  <si>
    <t>10.30</t>
  </si>
  <si>
    <t>5.00</t>
  </si>
  <si>
    <t>0.23</t>
  </si>
  <si>
    <t xml:space="preserve">BRASILAGRO  -ON  </t>
  </si>
  <si>
    <t>COR RIBEIRO -ON</t>
  </si>
  <si>
    <t>COR RIBEIRO -PN</t>
  </si>
  <si>
    <t>210.01</t>
  </si>
  <si>
    <t>0.43</t>
  </si>
  <si>
    <t>6.61</t>
  </si>
  <si>
    <t>45.80</t>
  </si>
  <si>
    <t>10.15</t>
  </si>
  <si>
    <t>0.17</t>
  </si>
  <si>
    <t>GSHP3</t>
  </si>
  <si>
    <t xml:space="preserve">GENERALSHOPP-ON  </t>
  </si>
  <si>
    <t>MULT4</t>
  </si>
  <si>
    <t>MULT4.SA</t>
  </si>
  <si>
    <t>TEMP3</t>
  </si>
  <si>
    <t>Consumo não Cíclico / Saúde / Serv.Méd.Hospit..Análises e Diagnósticos</t>
  </si>
  <si>
    <t xml:space="preserve">TEMPO PART  -ON  </t>
  </si>
  <si>
    <t>DASA3</t>
  </si>
  <si>
    <t xml:space="preserve">DASA        -ON  </t>
  </si>
  <si>
    <t>FLRY3</t>
  </si>
  <si>
    <t xml:space="preserve">FLEURY      -ON  </t>
  </si>
  <si>
    <t>ODPV3</t>
  </si>
  <si>
    <t xml:space="preserve">ODONTOPREV  -ON  </t>
  </si>
  <si>
    <t>QUAL3</t>
  </si>
  <si>
    <t xml:space="preserve">QUALICORP   -ON  </t>
  </si>
  <si>
    <t>BIOM3M</t>
  </si>
  <si>
    <t xml:space="preserve">BIOMM       -ON  </t>
  </si>
  <si>
    <t>CREM3</t>
  </si>
  <si>
    <t xml:space="preserve">CREMER      -ON  </t>
  </si>
  <si>
    <t>Consumo não Cíclico / Saúde / Medicamentos e Outros Produtos</t>
  </si>
  <si>
    <t>5.50</t>
  </si>
  <si>
    <t>5.04</t>
  </si>
  <si>
    <t>12.40</t>
  </si>
  <si>
    <t>11.50</t>
  </si>
  <si>
    <t>23.00</t>
  </si>
  <si>
    <t>16.00</t>
  </si>
  <si>
    <t>25.99</t>
  </si>
  <si>
    <t>40.00</t>
  </si>
  <si>
    <t>7.21</t>
  </si>
  <si>
    <t>ALFA CONSORC-PNE</t>
  </si>
  <si>
    <t>ALFA CONSORC-PNA</t>
  </si>
  <si>
    <t>ALFA CONSORC-PNB</t>
  </si>
  <si>
    <t>5.96</t>
  </si>
  <si>
    <t>ALFA CONSORC-PNC</t>
  </si>
  <si>
    <t>ALFA CONSORC-PND</t>
  </si>
  <si>
    <t>3.78</t>
  </si>
  <si>
    <t>ALFA INVEST -ON</t>
  </si>
  <si>
    <t>ALFA INVEST -PN</t>
  </si>
  <si>
    <t>17.09</t>
  </si>
  <si>
    <t>17.60</t>
  </si>
  <si>
    <t>18.11</t>
  </si>
  <si>
    <t>1.79</t>
  </si>
  <si>
    <t>0.10</t>
  </si>
  <si>
    <t>12.52</t>
  </si>
  <si>
    <t>3.30</t>
  </si>
  <si>
    <t>ALFA HOLDING-PNA</t>
  </si>
  <si>
    <t>ALFA FINANC -PN</t>
  </si>
  <si>
    <t>7.02</t>
  </si>
  <si>
    <t>17.01</t>
  </si>
  <si>
    <t>156.00</t>
  </si>
  <si>
    <t>10.40</t>
  </si>
  <si>
    <t>10.17</t>
  </si>
  <si>
    <t>0.20</t>
  </si>
  <si>
    <t>9.75</t>
  </si>
  <si>
    <t>Row Labels</t>
  </si>
  <si>
    <t>Grand Total</t>
  </si>
  <si>
    <t>1.01</t>
  </si>
  <si>
    <t>Consumo não Cíclico / Produtos de Uso Pessoal e de Limpeza / Produtos de Uso Pessoal</t>
  </si>
  <si>
    <t>NATU3</t>
  </si>
  <si>
    <t>3.90</t>
  </si>
  <si>
    <t>0.07</t>
  </si>
  <si>
    <t xml:space="preserve">NATURA      -ON  </t>
  </si>
  <si>
    <t>Consumo não Cíclico / Produtos de Uso Pessoal e de Limpeza / Produtos de Limpeza</t>
  </si>
  <si>
    <t>BOBR3</t>
  </si>
  <si>
    <t>BOBR4</t>
  </si>
  <si>
    <t>BOMBRIL     -ON</t>
  </si>
  <si>
    <t>BOMBRIL     -PN</t>
  </si>
  <si>
    <t>CRUZ3</t>
  </si>
  <si>
    <t>Consumo não Cíclico / Fumo / Cigarros e Fumo</t>
  </si>
  <si>
    <t>SOUZA CRUZ  -ON</t>
  </si>
  <si>
    <t>Consumo Cíclico / Comércio / Produtos Diversos</t>
  </si>
  <si>
    <t>LAME3</t>
  </si>
  <si>
    <t>LAME4</t>
  </si>
  <si>
    <t>LOJAS AMERIC-ON</t>
  </si>
  <si>
    <t>LOJAS AMERIC-PN</t>
  </si>
  <si>
    <t>BTOW3</t>
  </si>
  <si>
    <t xml:space="preserve">B2W DIGITAL -ON  </t>
  </si>
  <si>
    <t>HYPE3</t>
  </si>
  <si>
    <t xml:space="preserve">HYPERMARCAS -ON  </t>
  </si>
  <si>
    <t>RADL3</t>
  </si>
  <si>
    <t>Consumo não Cíclico / Comércio e Distribuição / Medicamentos</t>
  </si>
  <si>
    <t xml:space="preserve">RAIADROGASIL-ON  </t>
  </si>
  <si>
    <t>BPHA3</t>
  </si>
  <si>
    <t xml:space="preserve">BR PHARMA   -ON  </t>
  </si>
  <si>
    <t>PNVL3</t>
  </si>
  <si>
    <t>PNVL4</t>
  </si>
  <si>
    <t>DIMED       -ON</t>
  </si>
  <si>
    <t>DIMED       -PN</t>
  </si>
  <si>
    <t>188.00</t>
  </si>
  <si>
    <t>190.00</t>
  </si>
  <si>
    <t>PFRM3</t>
  </si>
  <si>
    <t xml:space="preserve">PROFARMA    -ON  </t>
  </si>
  <si>
    <t>Consumo não Cíclico / Comércio e Distribuição / Alimentos</t>
  </si>
  <si>
    <t>PCAR3</t>
  </si>
  <si>
    <t>PCAR4</t>
  </si>
  <si>
    <t xml:space="preserve">P.ACUCAR-CBD-ON  </t>
  </si>
  <si>
    <t>74.99</t>
  </si>
  <si>
    <t xml:space="preserve">P.ACUCAR-CBD-PN  </t>
  </si>
  <si>
    <t>Consumo não Cíclico / Bebidas / Cervejas e Refrigerantes</t>
  </si>
  <si>
    <t>ABEV3</t>
  </si>
  <si>
    <t>AMBEV S/A   -ON</t>
  </si>
  <si>
    <t>CLAN3</t>
  </si>
  <si>
    <t>CLAN4</t>
  </si>
  <si>
    <t>CLARION     -ON</t>
  </si>
  <si>
    <t>CLARION     -PN</t>
  </si>
  <si>
    <t>Consumo não Cíclico / Alimentos Processados / Grãos e Derivados</t>
  </si>
  <si>
    <t>MNPR3</t>
  </si>
  <si>
    <t>MINUPAR     -ON</t>
  </si>
  <si>
    <t>BAUH3</t>
  </si>
  <si>
    <t>BAUH4</t>
  </si>
  <si>
    <t>EXCELSIOR   -ON</t>
  </si>
  <si>
    <t>EXCELSIOR   -PN</t>
  </si>
  <si>
    <t>MRFG3</t>
  </si>
  <si>
    <t>BEEF3</t>
  </si>
  <si>
    <t xml:space="preserve">MINERVA     -ON  </t>
  </si>
  <si>
    <t xml:space="preserve">MARFRIG     -ON  </t>
  </si>
  <si>
    <t>CAFE3</t>
  </si>
  <si>
    <t>CAFE4</t>
  </si>
  <si>
    <t>CAF BRASILIA-ON *</t>
  </si>
  <si>
    <t>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CAFE4.SA+PEAB3.SA+PEAB4.SA+SULA3.SA+SULA4.SA+BTTL3.SA+BTTL4.SA+HBTS3.SA+HBTS6.SA+DOCA3.SA+DOCA4.SA+JBDU3.SA+JBDU4.SA+AGRO3.SA+CORR3.SA+CORR4.SA+GSHP3.SA+MULT4.SA+TEMP3.SA+DASA3.SA+FLRY3.SA+ODPV3.SA+QUAL3.SA+BIOM3M.SA+CREM3.SA+NATU3.SA+BOBR3.SA+BOBR4.SA+CRUZ3.SA+LAME3.SA+LAME4.SA+BTOW3.SA+HYPE3.SA+RADL3.SA+BPHA3.SA+PNVL3.SA+PNVL4.SA+PFRM3.SA+PCAR3.SA+PCAR4.SA+ABEV3.SA+VIGR3.SA+CLAN3.SA+CLAN4.SA+MNPR3.SA+BAUH3.SA+BAUH4.SA+BEEF3.SA+MRFG3.SA+CAFE3.SA&amp;f=nol1hgd1</t>
  </si>
  <si>
    <t>CAF BRASILIA-PN *</t>
  </si>
  <si>
    <t>IGUA3</t>
  </si>
  <si>
    <t>IGUA5</t>
  </si>
  <si>
    <t>IGUA6</t>
  </si>
  <si>
    <t>IGUACU CAFE -ON</t>
  </si>
  <si>
    <t>3.75</t>
  </si>
  <si>
    <t>IGUACU CAFE -PNA</t>
  </si>
  <si>
    <t>IGUACU CAFE -PNB</t>
  </si>
  <si>
    <t>Cotação 4</t>
  </si>
  <si>
    <t>MDIA3</t>
  </si>
  <si>
    <t>BSEV3</t>
  </si>
  <si>
    <t xml:space="preserve">BIOSEV      -ON  </t>
  </si>
  <si>
    <t>VAGR3</t>
  </si>
  <si>
    <t>Consumo não Cíclico / Agropecuária / Agricultura</t>
  </si>
  <si>
    <t xml:space="preserve">V-AGRO      -ON  </t>
  </si>
  <si>
    <t>RNAR3</t>
  </si>
  <si>
    <t xml:space="preserve">RENAR       -ON  </t>
  </si>
  <si>
    <t>SLCE3</t>
  </si>
  <si>
    <t xml:space="preserve">SLC AGRICOLA-ON  </t>
  </si>
  <si>
    <t>Consumo Cíclico / Viagens e Lazer / Viagens e Turismo</t>
  </si>
  <si>
    <t>CVCB3</t>
  </si>
  <si>
    <t xml:space="preserve">CVC BRASIL  -ON  </t>
  </si>
  <si>
    <t>AHEB3</t>
  </si>
  <si>
    <t>AHEB5</t>
  </si>
  <si>
    <t>AHEB6</t>
  </si>
  <si>
    <t>SPTURIS     -ON</t>
  </si>
  <si>
    <t>SPTURIS     -PNA</t>
  </si>
  <si>
    <t>20.01</t>
  </si>
  <si>
    <t>SPTURIS     -PNB</t>
  </si>
  <si>
    <t>35.01</t>
  </si>
  <si>
    <t>Consumo Cíclico / Viagens e Lazer / Produção de Eventos e Shows</t>
  </si>
  <si>
    <t>SHOW3</t>
  </si>
  <si>
    <t xml:space="preserve">TIME FOR FUN-ON  </t>
  </si>
  <si>
    <t>BMKS3</t>
  </si>
  <si>
    <t>BIC MONARK  -ON</t>
  </si>
  <si>
    <t>Consumo Cíclico / Viagens e Lazer / Bicicletas</t>
  </si>
  <si>
    <t>Consumo Cíclico / Utilidades Domésticas / Móveis</t>
  </si>
  <si>
    <t>UCAS3</t>
  </si>
  <si>
    <t xml:space="preserve">UNICASA     -ON  </t>
  </si>
  <si>
    <t>Consumo Cíclico / Utilidades Domésticas / Eletrodomésticos</t>
  </si>
  <si>
    <t>WHRL3</t>
  </si>
  <si>
    <t>WHRL4</t>
  </si>
  <si>
    <t>WHIRLPOOL   -ON</t>
  </si>
  <si>
    <t>WHIRLPOOL   -PN</t>
  </si>
  <si>
    <t>BMTO3</t>
  </si>
  <si>
    <t>BMTO4</t>
  </si>
  <si>
    <t>BRASMOTOR   -ON</t>
  </si>
  <si>
    <t>BRASMOTOR   -PN</t>
  </si>
  <si>
    <t>0.80</t>
  </si>
  <si>
    <t>MGLU3</t>
  </si>
  <si>
    <t xml:space="preserve">MAGAZ LUIZA -ON  </t>
  </si>
  <si>
    <t>VVAR11</t>
  </si>
  <si>
    <t>VVAR3</t>
  </si>
  <si>
    <t>VVAR4</t>
  </si>
  <si>
    <t xml:space="preserve">VIAVAREJO   -UNT </t>
  </si>
  <si>
    <t xml:space="preserve">VIAVAREJO   -ON  </t>
  </si>
  <si>
    <t xml:space="preserve">VIAVAREJO   -PN  </t>
  </si>
  <si>
    <t>IGBR3</t>
  </si>
  <si>
    <t>IGB S/A     -ON</t>
  </si>
  <si>
    <t>HGTX3</t>
  </si>
  <si>
    <t xml:space="preserve">CIA HERING  -ON  </t>
  </si>
  <si>
    <t>Consumo Cíclico / Tecidos. Vestuário e Calçados / Fios e Tecidos</t>
  </si>
  <si>
    <t>CEDO3</t>
  </si>
  <si>
    <t>CEDO4</t>
  </si>
  <si>
    <t xml:space="preserve">CEDRO       -ON  </t>
  </si>
  <si>
    <t xml:space="preserve">CEDRO       -PN  </t>
  </si>
  <si>
    <t>11.10</t>
  </si>
  <si>
    <t>41.50</t>
  </si>
  <si>
    <t>9.30</t>
  </si>
  <si>
    <t>3.68</t>
  </si>
  <si>
    <t>12.50</t>
  </si>
  <si>
    <t>7.00</t>
  </si>
  <si>
    <t>ID</t>
  </si>
  <si>
    <t>Aporte</t>
  </si>
  <si>
    <t>Papel</t>
  </si>
  <si>
    <t>Valor</t>
  </si>
  <si>
    <t>PETRB15</t>
  </si>
  <si>
    <t>Ação</t>
  </si>
  <si>
    <t>Gordura</t>
  </si>
  <si>
    <t>Target</t>
  </si>
  <si>
    <t>Objetivo</t>
  </si>
  <si>
    <t>% Obj</t>
  </si>
  <si>
    <t>VALEB31</t>
  </si>
  <si>
    <t>VALEB32</t>
  </si>
  <si>
    <t>12.00</t>
  </si>
  <si>
    <t>1.25</t>
  </si>
  <si>
    <t>18.99</t>
  </si>
  <si>
    <t>0.60</t>
  </si>
  <si>
    <t>19.02</t>
  </si>
  <si>
    <t>0.32</t>
  </si>
  <si>
    <t>0.79</t>
  </si>
  <si>
    <t>0.82</t>
  </si>
  <si>
    <t>7.30</t>
  </si>
  <si>
    <t>0.31</t>
  </si>
  <si>
    <t>7.20</t>
  </si>
  <si>
    <t>3.87</t>
  </si>
  <si>
    <t>13.55</t>
  </si>
  <si>
    <t>5.30</t>
  </si>
  <si>
    <t>2.23</t>
  </si>
  <si>
    <t>16.57</t>
  </si>
  <si>
    <t>5.97</t>
  </si>
  <si>
    <t>2.04</t>
  </si>
  <si>
    <t>7.01</t>
  </si>
  <si>
    <t>85.00</t>
  </si>
  <si>
    <t>11.68</t>
  </si>
  <si>
    <t>27.30</t>
  </si>
  <si>
    <t>10.90</t>
  </si>
  <si>
    <t>2.75</t>
  </si>
  <si>
    <t>6.00</t>
  </si>
  <si>
    <t>14.71</t>
  </si>
  <si>
    <t>8.16</t>
  </si>
  <si>
    <t>16.80</t>
  </si>
  <si>
    <t>49.00</t>
  </si>
  <si>
    <t>1.41</t>
  </si>
  <si>
    <t>2.61</t>
  </si>
  <si>
    <t>0.54</t>
  </si>
  <si>
    <t>0.77</t>
  </si>
  <si>
    <t>16.38</t>
  </si>
  <si>
    <t>2.81</t>
  </si>
  <si>
    <t>3.09</t>
  </si>
  <si>
    <t>3.79</t>
  </si>
  <si>
    <t>41.00</t>
  </si>
  <si>
    <t>BRB BANCO   -ON</t>
  </si>
  <si>
    <t>BRB BANCO   -PN</t>
  </si>
  <si>
    <t>13.29</t>
  </si>
  <si>
    <t>16.59</t>
  </si>
  <si>
    <t>7.92</t>
  </si>
  <si>
    <t>CELUL IRANI -ON</t>
  </si>
  <si>
    <t>CELUL IRANI -PN</t>
  </si>
  <si>
    <t>17.56</t>
  </si>
  <si>
    <t>MONT ARANHA -ON</t>
  </si>
  <si>
    <t>4.30</t>
  </si>
  <si>
    <t>2.12</t>
  </si>
  <si>
    <t>31.20</t>
  </si>
  <si>
    <t>0.22</t>
  </si>
  <si>
    <t>7.44</t>
  </si>
  <si>
    <t>7.77</t>
  </si>
  <si>
    <t>2.76</t>
  </si>
  <si>
    <t>20.38</t>
  </si>
  <si>
    <t>4.82</t>
  </si>
  <si>
    <t>10.52</t>
  </si>
  <si>
    <t>13.41</t>
  </si>
  <si>
    <t>4.67</t>
  </si>
  <si>
    <t>4.50</t>
  </si>
  <si>
    <t>Consumo Cíclico / Viagens e Lazer / Brinquedos e Jogos</t>
  </si>
  <si>
    <t>TOYB3</t>
  </si>
  <si>
    <t>TOYB4</t>
  </si>
  <si>
    <t>TECTOY      -ON *</t>
  </si>
  <si>
    <t>0.02</t>
  </si>
  <si>
    <t>TECTOY      -PN *</t>
  </si>
  <si>
    <t>0.01</t>
  </si>
  <si>
    <t>ESTR3</t>
  </si>
  <si>
    <t>ESTR4</t>
  </si>
  <si>
    <t>ESTRELA     -ON</t>
  </si>
  <si>
    <t>ESTRELA     -PN</t>
  </si>
  <si>
    <t>NAFG3</t>
  </si>
  <si>
    <t>NAFG4</t>
  </si>
  <si>
    <t>NADIR FIGUEI-ON</t>
  </si>
  <si>
    <t>NADIR FIGUEI-PN</t>
  </si>
  <si>
    <t>Consumo Cíclico / Utilidades Domésticas / Utensílios Domésticos</t>
  </si>
  <si>
    <t>HETA3</t>
  </si>
  <si>
    <t>HETA4</t>
  </si>
  <si>
    <t>HERCULES    -ON</t>
  </si>
  <si>
    <t>HERCULES    -PN</t>
  </si>
  <si>
    <t>0.30</t>
  </si>
  <si>
    <t>Consumo Cíclico / Tecidos. Vestuário e Calçados / Vestuário</t>
  </si>
  <si>
    <t>CTNM3</t>
  </si>
  <si>
    <t>CTNM4</t>
  </si>
  <si>
    <t>COTEMINAS   -ON</t>
  </si>
  <si>
    <t>2.47</t>
  </si>
  <si>
    <t>COTEMINAS   -PN</t>
  </si>
  <si>
    <t>CTSA3</t>
  </si>
  <si>
    <t>CTSA4</t>
  </si>
  <si>
    <t>SANTANENSE  -ON</t>
  </si>
  <si>
    <t>SANTANENSE  -PN</t>
  </si>
  <si>
    <t>CTSA8</t>
  </si>
  <si>
    <t>SANTANENSE  -PND</t>
  </si>
  <si>
    <t>DOHL3</t>
  </si>
  <si>
    <t>DOHL4</t>
  </si>
  <si>
    <t>DOHLER      -ON</t>
  </si>
  <si>
    <t>DOHLER      -PN</t>
  </si>
  <si>
    <t>ECPR3</t>
  </si>
  <si>
    <t>ECPR4</t>
  </si>
  <si>
    <t>ENCORPAR    -ON</t>
  </si>
  <si>
    <t>31.86</t>
  </si>
  <si>
    <t>ENCORPAR    -PN</t>
  </si>
  <si>
    <t>CTKA3</t>
  </si>
  <si>
    <t>CTKA4</t>
  </si>
  <si>
    <t>KARSTEN     -ON</t>
  </si>
  <si>
    <t>2.20</t>
  </si>
  <si>
    <t>KARSTEN     -PN</t>
  </si>
  <si>
    <t>PTNT3</t>
  </si>
  <si>
    <t>PTNT4</t>
  </si>
  <si>
    <t>PETTENATI   -ON</t>
  </si>
  <si>
    <t>2.25</t>
  </si>
  <si>
    <t>PETTENATI   -PN</t>
  </si>
  <si>
    <t>WMBY3</t>
  </si>
  <si>
    <t>WEMBLEY     -ON</t>
  </si>
  <si>
    <t>25.39</t>
  </si>
  <si>
    <t>SGPS3</t>
  </si>
  <si>
    <t xml:space="preserve">SPRINGS     -ON  </t>
  </si>
  <si>
    <t>1.53</t>
  </si>
  <si>
    <t>TENE3</t>
  </si>
  <si>
    <t>TENE5</t>
  </si>
  <si>
    <t>TENE6</t>
  </si>
  <si>
    <t>TENE7</t>
  </si>
  <si>
    <t>TEC BLUMENAU-ON</t>
  </si>
  <si>
    <t>TEC BLUMENAU-PNA</t>
  </si>
  <si>
    <t>TEC BLUMENAU-PNB</t>
  </si>
  <si>
    <t>TEC BLUMENAU-PNC</t>
  </si>
  <si>
    <t>0.78</t>
  </si>
  <si>
    <t>ALPA3</t>
  </si>
  <si>
    <t>ALPA4</t>
  </si>
  <si>
    <t xml:space="preserve">ALPARGATAS  -ON  </t>
  </si>
  <si>
    <t xml:space="preserve">ALPARGATAS  -PN  </t>
  </si>
  <si>
    <t>Consumo Cíclico / Tecidos. Vestuário e Calçados / Calçados</t>
  </si>
  <si>
    <t>CAMB3</t>
  </si>
  <si>
    <t>CAMB4</t>
  </si>
  <si>
    <t>CAMBUCI     -ON</t>
  </si>
  <si>
    <t>CAMBUCI     -PN</t>
  </si>
  <si>
    <t>GRND3</t>
  </si>
  <si>
    <t>VULC3</t>
  </si>
  <si>
    <t>Consumo Cíclico / Tecidos. Vestuário e Calçados / Acessórios</t>
  </si>
  <si>
    <t>MNDL3</t>
  </si>
  <si>
    <t>TECN3</t>
  </si>
  <si>
    <t>9.01</t>
  </si>
  <si>
    <t>4.75</t>
  </si>
  <si>
    <t>0.65</t>
  </si>
  <si>
    <t>MUNDIAL     -ON</t>
  </si>
  <si>
    <t xml:space="preserve">TECHNOS     -ON  </t>
  </si>
  <si>
    <t>14.99</t>
  </si>
  <si>
    <t>Consumo Cíclico / Mídia / Produção e Difusão de Filmes e Programas</t>
  </si>
  <si>
    <t>NETC3</t>
  </si>
  <si>
    <t>NETC4</t>
  </si>
  <si>
    <t>NET         -ON</t>
  </si>
  <si>
    <t>NET         -PN</t>
  </si>
  <si>
    <t>Consumo Cíclico / Mídia / Jornais. Livros e Revistas</t>
  </si>
  <si>
    <t>ABRE11</t>
  </si>
  <si>
    <t>ABRE3</t>
  </si>
  <si>
    <t>ABRE4</t>
  </si>
  <si>
    <t>ABRE3.SA</t>
  </si>
  <si>
    <t>ABRE4.SA</t>
  </si>
  <si>
    <t xml:space="preserve">ABRIL EDUCA -UNT </t>
  </si>
  <si>
    <t>SLED3</t>
  </si>
  <si>
    <t>SLED4</t>
  </si>
  <si>
    <t xml:space="preserve">SARAIVA LIVR-ON  </t>
  </si>
  <si>
    <t>18.48</t>
  </si>
  <si>
    <t xml:space="preserve">SARAIVA LIVR-PN  </t>
  </si>
  <si>
    <t>11.72</t>
  </si>
  <si>
    <t>26.75</t>
  </si>
  <si>
    <t>3.81</t>
  </si>
  <si>
    <t>10.78</t>
  </si>
  <si>
    <t>17.90</t>
  </si>
  <si>
    <t>12.99</t>
  </si>
  <si>
    <t>8.11</t>
  </si>
  <si>
    <t>12.25</t>
  </si>
  <si>
    <t>16.70</t>
  </si>
  <si>
    <t>12.12</t>
  </si>
  <si>
    <t>5.10</t>
  </si>
  <si>
    <t>8.89</t>
  </si>
  <si>
    <t>17.23</t>
  </si>
  <si>
    <t>16.45</t>
  </si>
  <si>
    <t>18.40</t>
  </si>
  <si>
    <t>40.01</t>
  </si>
  <si>
    <t>16.50</t>
  </si>
  <si>
    <t>30.12</t>
  </si>
  <si>
    <t>8.15</t>
  </si>
  <si>
    <t>4.23</t>
  </si>
  <si>
    <t>8.20</t>
  </si>
  <si>
    <t>8.34</t>
  </si>
  <si>
    <t>27.10</t>
  </si>
  <si>
    <t>14.12</t>
  </si>
  <si>
    <t>89.99</t>
  </si>
  <si>
    <t>1.57</t>
  </si>
  <si>
    <t>1.40</t>
  </si>
  <si>
    <t>7.50</t>
  </si>
  <si>
    <t>13.00</t>
  </si>
  <si>
    <t>12.36</t>
  </si>
  <si>
    <t>3.80</t>
  </si>
  <si>
    <t>3.01</t>
  </si>
  <si>
    <t>0.81</t>
  </si>
  <si>
    <t>0.27</t>
  </si>
  <si>
    <t>0.19</t>
  </si>
  <si>
    <t>8.75</t>
  </si>
  <si>
    <t>14.05</t>
  </si>
  <si>
    <t>14.32</t>
  </si>
  <si>
    <t>10.68</t>
  </si>
  <si>
    <t>13.21</t>
  </si>
  <si>
    <t>4.56</t>
  </si>
  <si>
    <t>Consumo Cíclico / Hoteis e Restaurantes / Restaurante e Similares</t>
  </si>
  <si>
    <t>IMCH3</t>
  </si>
  <si>
    <t>RENT3</t>
  </si>
  <si>
    <t>4.55</t>
  </si>
  <si>
    <t>4.51</t>
  </si>
  <si>
    <t>2.10</t>
  </si>
  <si>
    <t xml:space="preserve">LOCALIZA    -ON  </t>
  </si>
  <si>
    <t xml:space="preserve">IMC HOLDINGS-ON  </t>
  </si>
  <si>
    <t>LLIS3</t>
  </si>
  <si>
    <t xml:space="preserve">LE LIS BLANC-ON  </t>
  </si>
  <si>
    <t>5.99</t>
  </si>
  <si>
    <t>Consumo Cíclico / Comércio / Tecidos. Vestuário e Calçados</t>
  </si>
  <si>
    <t>ARZZ3</t>
  </si>
  <si>
    <t xml:space="preserve">AREZZO CO   -ON  </t>
  </si>
  <si>
    <t>CGRA3</t>
  </si>
  <si>
    <t>CGRA4</t>
  </si>
  <si>
    <t>GRAZZIOTIN  -ON</t>
  </si>
  <si>
    <t>GRAZZIOTIN  -PN</t>
  </si>
  <si>
    <t>GUAR3</t>
  </si>
  <si>
    <t>GUAR4</t>
  </si>
  <si>
    <t>GUARARAPES  -ON</t>
  </si>
  <si>
    <t>GUARARAPES  -PN</t>
  </si>
  <si>
    <t>LHER3</t>
  </si>
  <si>
    <t>LHER4</t>
  </si>
  <si>
    <t>LOJAS HERING-ON</t>
  </si>
  <si>
    <t>LOJAS HERING-PN</t>
  </si>
  <si>
    <t>65.00</t>
  </si>
  <si>
    <t>LREN3</t>
  </si>
  <si>
    <t xml:space="preserve">LOJAS RENNER-ON  </t>
  </si>
  <si>
    <t>AMAR3</t>
  </si>
  <si>
    <t xml:space="preserve">LOJAS MARISA-ON  </t>
  </si>
  <si>
    <t>SPRI3</t>
  </si>
  <si>
    <t>SPRI5</t>
  </si>
  <si>
    <t>SPRI6</t>
  </si>
  <si>
    <t>SPRINGER    -ON</t>
  </si>
  <si>
    <t>SPRINGER    -PNA</t>
  </si>
  <si>
    <t>0.36</t>
  </si>
  <si>
    <t>SPRINGER    -PNB</t>
  </si>
  <si>
    <t>0.39</t>
  </si>
  <si>
    <t>Construção e Transporte / Construção e Engenharia / Construção Civil</t>
  </si>
  <si>
    <t>BISA3</t>
  </si>
  <si>
    <t xml:space="preserve">BROOKFIELD  -ON  </t>
  </si>
  <si>
    <t>CALI3</t>
  </si>
  <si>
    <t>CALI4</t>
  </si>
  <si>
    <t>CONST A LIND-ON</t>
  </si>
  <si>
    <t>126.01</t>
  </si>
  <si>
    <t>CONST A LIND-PN</t>
  </si>
  <si>
    <t>250.00</t>
  </si>
  <si>
    <t>CRDE3</t>
  </si>
  <si>
    <t>CYRE3</t>
  </si>
  <si>
    <t>DIRR3</t>
  </si>
  <si>
    <t>EVEN3</t>
  </si>
  <si>
    <t>EZTC3</t>
  </si>
  <si>
    <t>GFSA3</t>
  </si>
  <si>
    <t>HBOR3</t>
  </si>
  <si>
    <t>JHSF3</t>
  </si>
  <si>
    <t xml:space="preserve">CR2         -ON  </t>
  </si>
  <si>
    <t xml:space="preserve">CYRELA REALT-ON  </t>
  </si>
  <si>
    <t xml:space="preserve">DIRECIONAL  -ON  </t>
  </si>
  <si>
    <t xml:space="preserve">EVEN        -ON  </t>
  </si>
  <si>
    <t>7.17</t>
  </si>
  <si>
    <t xml:space="preserve">EZTEC       -ON  </t>
  </si>
  <si>
    <t xml:space="preserve">GAFISA      -ON  </t>
  </si>
  <si>
    <t>2.95</t>
  </si>
  <si>
    <t xml:space="preserve">HELBOR      -ON  </t>
  </si>
  <si>
    <t xml:space="preserve">JHSF PART   -ON  </t>
  </si>
  <si>
    <t>JFEN3</t>
  </si>
  <si>
    <t>MRVE3</t>
  </si>
  <si>
    <t>PDGR3</t>
  </si>
  <si>
    <t>RDNI3</t>
  </si>
  <si>
    <t>RSID3</t>
  </si>
  <si>
    <t>SGEN3</t>
  </si>
  <si>
    <t>SGEN4</t>
  </si>
  <si>
    <t>TCSA3</t>
  </si>
  <si>
    <t>TRIS3</t>
  </si>
  <si>
    <t>VIVR3</t>
  </si>
  <si>
    <t>JOAO FORTES -ON</t>
  </si>
  <si>
    <t xml:space="preserve">MRV         -ON  </t>
  </si>
  <si>
    <t xml:space="preserve">PDG REALT   -ON  </t>
  </si>
  <si>
    <t xml:space="preserve">RODOBENSIMOB-ON  </t>
  </si>
  <si>
    <t xml:space="preserve">ROSSI RESID -ON  </t>
  </si>
  <si>
    <t>1.77</t>
  </si>
  <si>
    <t>SERGEN      -ON *</t>
  </si>
  <si>
    <t>SERGEN      -PN *</t>
  </si>
  <si>
    <t xml:space="preserve">TECNISA     -ON  </t>
  </si>
  <si>
    <t xml:space="preserve">TRISUL      -ON  </t>
  </si>
  <si>
    <t xml:space="preserve">VIVER       -ON  </t>
  </si>
  <si>
    <t>AZEV3</t>
  </si>
  <si>
    <t>AZEV4</t>
  </si>
  <si>
    <t>LIXC3</t>
  </si>
  <si>
    <t>LIXC4</t>
  </si>
  <si>
    <t>SULT3</t>
  </si>
  <si>
    <t>SULT4</t>
  </si>
  <si>
    <t>MEND3</t>
  </si>
  <si>
    <t>MEND5</t>
  </si>
  <si>
    <t>MEND6</t>
  </si>
  <si>
    <t>AZEVEDO     -ON</t>
  </si>
  <si>
    <t>1.95</t>
  </si>
  <si>
    <t>AZEVEDO     -PN</t>
  </si>
  <si>
    <t>1.50</t>
  </si>
  <si>
    <t>0.55</t>
  </si>
  <si>
    <t>LIX DA CUNHA-ON</t>
  </si>
  <si>
    <t>LIX DA CUNHA-PN</t>
  </si>
  <si>
    <t>SULTEPA     -ON</t>
  </si>
  <si>
    <t>1.15</t>
  </si>
  <si>
    <t>SULTEPA     -PN</t>
  </si>
  <si>
    <t>MENDES JR   -ON</t>
  </si>
  <si>
    <t>MENDES JR   -PNA</t>
  </si>
  <si>
    <t>11.22</t>
  </si>
  <si>
    <t>MENDES JR   -PNB</t>
  </si>
  <si>
    <t>11.60</t>
  </si>
  <si>
    <t>Construção e Transporte / Construção e Engenharia / Construção Pesada</t>
  </si>
  <si>
    <t>Cotação 5</t>
  </si>
  <si>
    <t>SOND3</t>
  </si>
  <si>
    <t>SOND5</t>
  </si>
  <si>
    <t>SOND6</t>
  </si>
  <si>
    <t>TCNO3</t>
  </si>
  <si>
    <t>TCNO4</t>
  </si>
  <si>
    <t>SONDOTECNICA-ON</t>
  </si>
  <si>
    <t>42.00</t>
  </si>
  <si>
    <t>SONDOTECNICA-PNA</t>
  </si>
  <si>
    <t>SONDOTECNICA-PNB</t>
  </si>
  <si>
    <t>44.00</t>
  </si>
  <si>
    <t>TECNOSOLO   -ON</t>
  </si>
  <si>
    <t>TECNOSOLO   -PN</t>
  </si>
  <si>
    <t>0.06</t>
  </si>
  <si>
    <t>Construção e Transporte / Construção e Engenharia / Engenharia Consultiva</t>
  </si>
  <si>
    <t>BBRK3</t>
  </si>
  <si>
    <t>LPSB3</t>
  </si>
  <si>
    <t xml:space="preserve">BR BROKERS  -ON  </t>
  </si>
  <si>
    <t xml:space="preserve">LOPES BRASIL-ON  </t>
  </si>
  <si>
    <t>13.10</t>
  </si>
  <si>
    <t>Construção e Transporte / Construção e Engenharia / Intermediação Imobiliária</t>
  </si>
  <si>
    <t>CCHI3</t>
  </si>
  <si>
    <t>CCHI4</t>
  </si>
  <si>
    <t>HAGA3</t>
  </si>
  <si>
    <t>HAGA4</t>
  </si>
  <si>
    <t>PTBL3</t>
  </si>
  <si>
    <t>CHIARELLI   -ON</t>
  </si>
  <si>
    <t>CHIARELLI   -PN</t>
  </si>
  <si>
    <t>HAGA S/A    -ON</t>
  </si>
  <si>
    <t>1.98</t>
  </si>
  <si>
    <t>HAGA S/A    -PN</t>
  </si>
  <si>
    <t>1.29</t>
  </si>
  <si>
    <t>1.35</t>
  </si>
  <si>
    <t xml:space="preserve">PORTOBELLO  -ON  </t>
  </si>
  <si>
    <t>CTAX11</t>
  </si>
  <si>
    <t>CTAX3</t>
  </si>
  <si>
    <t>CTAX4</t>
  </si>
  <si>
    <t>CARD3</t>
  </si>
  <si>
    <t>DTCY3</t>
  </si>
  <si>
    <t>DTCY4</t>
  </si>
  <si>
    <t>MILS3</t>
  </si>
  <si>
    <t>VLID3</t>
  </si>
  <si>
    <t xml:space="preserve">CONTAX      -UNT </t>
  </si>
  <si>
    <t xml:space="preserve">CONTAX      -ON  </t>
  </si>
  <si>
    <t xml:space="preserve">CONTAX      -PN  </t>
  </si>
  <si>
    <t xml:space="preserve">CSU CARDSYST-ON  </t>
  </si>
  <si>
    <t>2.65</t>
  </si>
  <si>
    <t>DTCOM-DIRECT-ON</t>
  </si>
  <si>
    <t>DTCOM-DIRECT-PN</t>
  </si>
  <si>
    <t xml:space="preserve">MILLS       -ON  </t>
  </si>
  <si>
    <t xml:space="preserve">VALID       -ON  </t>
  </si>
  <si>
    <t>Bens Industriais / Serviços / Serviços Diversos</t>
  </si>
  <si>
    <t>ARTR3</t>
  </si>
  <si>
    <t>CCRO3</t>
  </si>
  <si>
    <t>ECOR3</t>
  </si>
  <si>
    <t>TPIS3</t>
  </si>
  <si>
    <t xml:space="preserve">ARTERIS     -ON  </t>
  </si>
  <si>
    <t xml:space="preserve">CCR SA      -ON  </t>
  </si>
  <si>
    <t xml:space="preserve">ECORODOVIAS -ON  </t>
  </si>
  <si>
    <t xml:space="preserve">TRIUNFO PART-ON  </t>
  </si>
  <si>
    <t>Construção e Transporte / Transporte / Exploração de Rodovias</t>
  </si>
  <si>
    <t>Construção e Transporte / Transporte / Serviços de Apoio e Armazenagem</t>
  </si>
  <si>
    <t>IMBI3</t>
  </si>
  <si>
    <t>IMBI4</t>
  </si>
  <si>
    <t>LLXL3</t>
  </si>
  <si>
    <t>STBP11</t>
  </si>
  <si>
    <t>STBP3</t>
  </si>
  <si>
    <t>STBP4</t>
  </si>
  <si>
    <t>DOC IMBITUBA-ON</t>
  </si>
  <si>
    <t>DOC IMBITUBA-PN</t>
  </si>
  <si>
    <t xml:space="preserve">LLX LOG     -ON  </t>
  </si>
  <si>
    <t>0.90</t>
  </si>
  <si>
    <t xml:space="preserve">SANTOS BRP  -UNT </t>
  </si>
  <si>
    <t xml:space="preserve">SANTOS BRP  -ON  </t>
  </si>
  <si>
    <t xml:space="preserve">SANTOS BRP  -PN  </t>
  </si>
  <si>
    <t>Construção e Transporte / Transporte / Transporte Aéreo</t>
  </si>
  <si>
    <t>GOLL3</t>
  </si>
  <si>
    <t>GOLL4</t>
  </si>
  <si>
    <t xml:space="preserve">GOL         -ON  </t>
  </si>
  <si>
    <t xml:space="preserve">GOL         -PN  </t>
  </si>
  <si>
    <t>Construção e Transporte / Transporte / Transporte Ferroviário</t>
  </si>
  <si>
    <t>ALLL3</t>
  </si>
  <si>
    <t>VSPT3</t>
  </si>
  <si>
    <t>VSPT4</t>
  </si>
  <si>
    <t xml:space="preserve">ALL AMER LAT-ON  </t>
  </si>
  <si>
    <t>FER C ATLANT-ON</t>
  </si>
  <si>
    <t>FER C ATLANT-PN</t>
  </si>
  <si>
    <t>Construção e Transporte / Transporte / Transporte Hidroviário</t>
  </si>
  <si>
    <t>LOGN3</t>
  </si>
  <si>
    <t>LUXM3</t>
  </si>
  <si>
    <t>LUXM4</t>
  </si>
  <si>
    <t xml:space="preserve">LOG-IN      -ON  </t>
  </si>
  <si>
    <t>8.44</t>
  </si>
  <si>
    <t>TREVISA     -ON</t>
  </si>
  <si>
    <t>48.00</t>
  </si>
  <si>
    <t>TREVISA     -PN</t>
  </si>
  <si>
    <t>Construção e Transporte / Transporte / Transporte Rodoviário</t>
  </si>
  <si>
    <t>JSLG3</t>
  </si>
  <si>
    <t>TGMA3</t>
  </si>
  <si>
    <t xml:space="preserve">JSL         -ON  </t>
  </si>
  <si>
    <t xml:space="preserve">TEGMA       -ON  </t>
  </si>
  <si>
    <t>SGAS3</t>
  </si>
  <si>
    <t>SGAS4</t>
  </si>
  <si>
    <t>WLM IND COM -ON</t>
  </si>
  <si>
    <t>WLM IND COM -PN</t>
  </si>
  <si>
    <t>http://download.finance.yahoo.com/d/quotes.csv?s=ABRE11.SA+ABRE3.SA+ABRE4.SA+AHEB3.SA+AHEB5.SA+AHEB6.SA+ALPA3.SA+ALPA4.SA+AMAR3.SA+ARZZ3.SA+BISA3.SA+BMKS3.SA+BMTO3.SA+BMTO4.SA+BSEV3.SA+CALI3.SA+CALI4.SA+CAMB3.SA+CAMB4.SA+CEDO3.SA+CEDO4.SA+CGRA3.SA+CGRA4.SA+CRDE3.SA+CTKA3.SA+CTKA4.SA+CTNM3.SA+CTNM4.SA+CTSA3.SA+CTSA4.SA+CTSA8.SA+CVCB3.SA+CYRE3.SA+DIRR3.SA+DOHL3.SA+DOHL4.SA+ECPR3.SA+ECPR4.SA+ESTR3.SA+ESTR4.SA+EVEN3.SA+EZTC3.SA+GFSA3.SA+GUAR3.SA+GUAR4.SA+HBOR3.SA+HETA3.SA+HETA4.SA+HGTX3.SA+IGBR3.SA+IGUA3.SA+IGUA5.SA+IGUA6.SA+IMCH3.SA+JFEN3.SA+JHSF3.SA+JOPA3.SA+JOPA4.SA+LHER3.SA+LHER4.SA+LLIS3.SA+LREN3.SA+MGLU3.SA+MNDL3.SA+MRVE3.SA+NAFG3.SA+NAFG4.SA+NETC3.SA+NETC4.SA+PDGR3.SA+PTNT3.SA+PTNT4.SA+RDNI3.SA+RENT3.SA+RNAR3.SA+RSID3.SA+SGEN3.SA+SGEN4.SA+SGPS3.SA+SHOW3.SA+SLCE3.SA+SLED3.SA+SLED4.SA+SMTO3.SA+SPRI3.SA+SPRI5.SA+SPRI6.SA+TCSA3.SA+TECN3.SA+TENE3.SA+TENE5.SA+TENE6.SA+TENE7.SA+TOYB3.SA+TOYB4.SA+TRIS3.SA+UCAS3.SA+VAGR3.SA+VIVR3.SA+VVAR11.SA+VVAR3.SA+VVAR4.SA+WHRL3.SA+WHRL4.SA+WMBY3.SA&amp;f=nol1hgd1</t>
  </si>
  <si>
    <t>Bens Industriais / Comércio / Material de Transporte</t>
  </si>
  <si>
    <t>Bens Industriais / Equipamentos Elétricos / Equipamentos Elétricos</t>
  </si>
  <si>
    <t>FRIO3</t>
  </si>
  <si>
    <t xml:space="preserve">METALFRIO   -ON  </t>
  </si>
  <si>
    <t>Bens Industriais / Máquinas e Equipamentos / Armas e Munições</t>
  </si>
  <si>
    <t>FJTA3</t>
  </si>
  <si>
    <t>FJTA4</t>
  </si>
  <si>
    <t xml:space="preserve">FORJA TAURUS-ON  </t>
  </si>
  <si>
    <t xml:space="preserve">FORJA TAURUS-PN  </t>
  </si>
  <si>
    <t>1.75</t>
  </si>
  <si>
    <t>EALT3</t>
  </si>
  <si>
    <t>EALT4</t>
  </si>
  <si>
    <t>MTSA3</t>
  </si>
  <si>
    <t>MTSA4</t>
  </si>
  <si>
    <t>ACO ALTONA  -ON</t>
  </si>
  <si>
    <t>ACO ALTONA  -PN</t>
  </si>
  <si>
    <t>METISA      -ON</t>
  </si>
  <si>
    <t>METISA      -PN</t>
  </si>
  <si>
    <t>Bens Industriais / Máquinas e Equipamentos / Máq. e Equip. Construção e Agrícolas</t>
  </si>
  <si>
    <t>BALM3</t>
  </si>
  <si>
    <t>BALM4</t>
  </si>
  <si>
    <t>BAUMER      -ON</t>
  </si>
  <si>
    <t>BAUMER      -PN</t>
  </si>
  <si>
    <t>97.00</t>
  </si>
  <si>
    <t>98.00</t>
  </si>
  <si>
    <t>Bens Industriais / Máquinas e Equipamentos / Máq. e Equip. Hospitalares</t>
  </si>
  <si>
    <t>0.44</t>
  </si>
  <si>
    <t>0.41</t>
  </si>
  <si>
    <t>12.54</t>
  </si>
  <si>
    <t>1.44</t>
  </si>
  <si>
    <t>8.50</t>
  </si>
  <si>
    <t>14.40</t>
  </si>
  <si>
    <t>4.94</t>
  </si>
  <si>
    <t>2.82</t>
  </si>
  <si>
    <t>7.80</t>
  </si>
  <si>
    <t>17.80</t>
  </si>
  <si>
    <t>8.06</t>
  </si>
  <si>
    <t>92.00</t>
  </si>
  <si>
    <t>1.39</t>
  </si>
  <si>
    <t>12.10</t>
  </si>
  <si>
    <t>175.00</t>
  </si>
  <si>
    <t>178.00</t>
  </si>
  <si>
    <t>BDLL3</t>
  </si>
  <si>
    <t>BDLL4</t>
  </si>
  <si>
    <t>ROMI3</t>
  </si>
  <si>
    <t>INEP3</t>
  </si>
  <si>
    <t>INEP4</t>
  </si>
  <si>
    <t>KEPL3</t>
  </si>
  <si>
    <t>NORD3</t>
  </si>
  <si>
    <t>4.65</t>
  </si>
  <si>
    <t>15.08</t>
  </si>
  <si>
    <t>12.11</t>
  </si>
  <si>
    <t>0.89</t>
  </si>
  <si>
    <t>5.65</t>
  </si>
  <si>
    <t>8.41</t>
  </si>
  <si>
    <t>1.76</t>
  </si>
  <si>
    <t>BARDELLA    -ON</t>
  </si>
  <si>
    <t>45.00</t>
  </si>
  <si>
    <t>BARDELLA    -PN</t>
  </si>
  <si>
    <t xml:space="preserve">INDS ROMI   -ON  </t>
  </si>
  <si>
    <t xml:space="preserve">INEPAR      -ON  </t>
  </si>
  <si>
    <t>0.95</t>
  </si>
  <si>
    <t xml:space="preserve">INEPAR      -PN  </t>
  </si>
  <si>
    <t>KEPLER WEBER-ON</t>
  </si>
  <si>
    <t>NORDON MET  -ON *</t>
  </si>
  <si>
    <t>Bens Industriais / Máquinas e Equipamentos / Máq. e Equip. Industriais</t>
  </si>
  <si>
    <t>Bens Industriais / Máquinas e Equipamentos / Motores . Compressores e Outros</t>
  </si>
  <si>
    <t>SHUL3</t>
  </si>
  <si>
    <t>SHUL4</t>
  </si>
  <si>
    <t>WEGE3</t>
  </si>
  <si>
    <t>SCHULZ      -ON</t>
  </si>
  <si>
    <t>SCHULZ      -PN</t>
  </si>
  <si>
    <t xml:space="preserve">WEG         -ON  </t>
  </si>
  <si>
    <t>Bens Industriais / Material de Transporte / Material Aeronáutico e de Defesa</t>
  </si>
  <si>
    <t>EMBR3</t>
  </si>
  <si>
    <t>0.15</t>
  </si>
  <si>
    <t xml:space="preserve">EMBRAER     -ON  </t>
  </si>
  <si>
    <t>Bens Industriais / Material de Transporte / Material Ferroviário</t>
  </si>
  <si>
    <t>CBMA3</t>
  </si>
  <si>
    <t>CBMA4</t>
  </si>
  <si>
    <t>COBRASMA    -ON</t>
  </si>
  <si>
    <t>0.05</t>
  </si>
  <si>
    <t>COBRASMA    -PN</t>
  </si>
  <si>
    <t>0.04</t>
  </si>
  <si>
    <t>AUTM3</t>
  </si>
  <si>
    <t>DHBI3</t>
  </si>
  <si>
    <t>DHBI4</t>
  </si>
  <si>
    <t>FRAS3</t>
  </si>
  <si>
    <t>LEVE3</t>
  </si>
  <si>
    <t>POMO3</t>
  </si>
  <si>
    <t>POMO4</t>
  </si>
  <si>
    <t>RSUL3</t>
  </si>
  <si>
    <t>RSUL4</t>
  </si>
  <si>
    <t>PLAS3</t>
  </si>
  <si>
    <t>RAPT3</t>
  </si>
  <si>
    <t>RAPT4</t>
  </si>
  <si>
    <t>RCSL3</t>
  </si>
  <si>
    <t>RCSL4</t>
  </si>
  <si>
    <t>TUPY3</t>
  </si>
  <si>
    <t>MWET3</t>
  </si>
  <si>
    <t>MWET4</t>
  </si>
  <si>
    <t>4.58</t>
  </si>
  <si>
    <t xml:space="preserve">AUTOMETAL   -ON  </t>
  </si>
  <si>
    <t>D H B       -ON</t>
  </si>
  <si>
    <t>50.36</t>
  </si>
  <si>
    <t>D H B       -PN</t>
  </si>
  <si>
    <t xml:space="preserve">METAL LEVE  -ON  </t>
  </si>
  <si>
    <t xml:space="preserve">MARCOPOLO   -ON  </t>
  </si>
  <si>
    <t>RIOSULENSE  -ON</t>
  </si>
  <si>
    <t>RIOSULENSE  -PN</t>
  </si>
  <si>
    <t>29.95</t>
  </si>
  <si>
    <t>PLASCAR PART-ON</t>
  </si>
  <si>
    <t xml:space="preserve">RANDON PART -ON  </t>
  </si>
  <si>
    <t xml:space="preserve">RANDON PART -PN  </t>
  </si>
  <si>
    <t>RECRUSUL    -ON</t>
  </si>
  <si>
    <t xml:space="preserve">TUPY        -ON  </t>
  </si>
  <si>
    <t>17.50</t>
  </si>
  <si>
    <t>WETZEL S/A  -ON</t>
  </si>
  <si>
    <t>WETZEL S/A  -PN</t>
  </si>
  <si>
    <t>1.58</t>
  </si>
  <si>
    <t>MYPK3</t>
  </si>
  <si>
    <t xml:space="preserve">IOCHP-MAXION-ON  </t>
  </si>
  <si>
    <t>Bens Industriais / Material de Transporte / Material Rodoviário</t>
  </si>
  <si>
    <t xml:space="preserve">FRAS-LE     -ON  </t>
  </si>
  <si>
    <t xml:space="preserve">MARCOPOLO   -PN  </t>
  </si>
  <si>
    <t>http://download.finance.yahoo.com/d/quotes.csv?s=AZEV3.SA+AZEV4.SA+LIXC3.SA+LIXC4.SA+MEND3.SA+MEND5.SA+MEND6.SA+SULT3.SA+SULT4.SA+SOND3.SA+SOND5.SA+SOND6.SA+TCNO3.SA+TCNO4.SA+BBRK3.SA+LPSB3.SA+CCHI3.SA+CCHI4.SA+HAGA3.SA+HAGA4.SA+PTBL3.SA+CTAX11.SA+CTAX3.SA+CTAX4.SA+CARD3.SA+DTCY3.SA+DTCY4.SA+MILS3.SA+VLID3.SA+ARTR3.SA+CCRO3.SA+ECOR3.SA+TPIS3.SA+IMBI3.SA+IMBI4.SA+LLXL3.SA+STBP11.SA+STBP3.SA+STBP4.SA+GOLL3.SA+GOLL4.SA+ALLL3.SA+VSPT3.SA+VSPT4.SA+LOGN3.SA+LUXM3.SA+LUXM4.SA+JSLG3.SA+TGMA3.SA+SGAS3.SA+SGAS4.SA+FRIO3.SA+FJTA3.SA+FJTA4.SA+EALT3.SA+EALT4.SA+MTSA3.SA+MTSA4.SA+BALM3.SA+BALM4.SA+BDLL3.SA+BDLL4.SA+ROMI3.SA+INEP3.SA+INEP4.SA+KEPL3.SA+NORD3.SA+SHUL3.SA+SHUL4.SA+WEGE3.SA+EMBR3.SA+CBMA3.SA+CBMA4.SA+AUTM3.SA+DHBI3.SA+DHBI4.SA+MYPK3.SA+LEVE3.SA+POMO3.SA+RSUL3.SA+RSUL4.SA+PLAS3.SA+RAPT3.SA+RAPT4.SA+RCSL3.SA+TUPY3.SA+MWET3.SA+MWET4.SA+FRAS3.SA+POMO4.SA+RCSL4.SA&amp;f=nol1hgd1</t>
  </si>
  <si>
    <t>RECRUSUL    -PN</t>
  </si>
  <si>
    <t>9.13</t>
  </si>
  <si>
    <t>29.00</t>
  </si>
  <si>
    <t>8.82</t>
  </si>
  <si>
    <t>16.42</t>
  </si>
  <si>
    <t>18.33</t>
  </si>
  <si>
    <t>15.78</t>
  </si>
  <si>
    <t>3.98</t>
  </si>
  <si>
    <t>24.68</t>
  </si>
  <si>
    <t>10.91</t>
  </si>
  <si>
    <t>5.15</t>
  </si>
  <si>
    <t>13.40</t>
  </si>
  <si>
    <t>32.17</t>
  </si>
  <si>
    <t>2.08</t>
  </si>
  <si>
    <t>12.08</t>
  </si>
  <si>
    <t>30.41</t>
  </si>
  <si>
    <t>1.92</t>
  </si>
  <si>
    <t>5.27</t>
  </si>
  <si>
    <t>7.59</t>
  </si>
  <si>
    <t>2.62</t>
  </si>
  <si>
    <t>10.55</t>
  </si>
  <si>
    <t>1.04</t>
  </si>
  <si>
    <t>13.71</t>
  </si>
  <si>
    <t>9.90</t>
  </si>
  <si>
    <t>10.50</t>
  </si>
  <si>
    <t>18.67</t>
  </si>
  <si>
    <t>7.32</t>
  </si>
  <si>
    <t>3.56</t>
  </si>
  <si>
    <t>4.05</t>
  </si>
  <si>
    <t>25.10</t>
  </si>
  <si>
    <t>27.01</t>
  </si>
  <si>
    <t>11.07</t>
  </si>
  <si>
    <t>19.25</t>
  </si>
  <si>
    <t>3.13</t>
  </si>
  <si>
    <t>17.48</t>
  </si>
  <si>
    <t>19.01</t>
  </si>
  <si>
    <t>5.14</t>
  </si>
  <si>
    <t>12.17</t>
  </si>
  <si>
    <t>52.49</t>
  </si>
  <si>
    <t>1.85</t>
  </si>
  <si>
    <t>3.77</t>
  </si>
  <si>
    <t>11.47</t>
  </si>
  <si>
    <t>2.66</t>
  </si>
  <si>
    <t>15.25</t>
  </si>
  <si>
    <t>18.92</t>
  </si>
  <si>
    <t>19.14</t>
  </si>
  <si>
    <t>0.99</t>
  </si>
  <si>
    <t>12.19</t>
  </si>
  <si>
    <t>13.94</t>
  </si>
  <si>
    <t>14.33</t>
  </si>
  <si>
    <t>27.70</t>
  </si>
  <si>
    <t>12.46</t>
  </si>
  <si>
    <t>9.47</t>
  </si>
  <si>
    <t>6.94</t>
  </si>
  <si>
    <t>29.73</t>
  </si>
  <si>
    <t>0.35</t>
  </si>
  <si>
    <t>13.18</t>
  </si>
  <si>
    <t>15.53</t>
  </si>
  <si>
    <t>37.55</t>
  </si>
  <si>
    <t>19.83</t>
  </si>
  <si>
    <t>15.52</t>
  </si>
  <si>
    <t>4.48</t>
  </si>
  <si>
    <t>Dívida</t>
  </si>
  <si>
    <t>Valor de Mercado</t>
  </si>
  <si>
    <t>Ativo Circulante</t>
  </si>
  <si>
    <t>Passivo Circulante</t>
  </si>
  <si>
    <t>Liquidez Corrente</t>
  </si>
  <si>
    <t>Rentabilidade s/ PL</t>
  </si>
  <si>
    <t>Dívida / PL</t>
  </si>
  <si>
    <t>Liquidez Corrente Média</t>
  </si>
  <si>
    <t>Rentabilidade s/ PL Média</t>
  </si>
  <si>
    <t>Dívida / PL Média</t>
  </si>
  <si>
    <t>Ativo || Passivo</t>
  </si>
  <si>
    <t>11.55</t>
  </si>
  <si>
    <t>7.19</t>
  </si>
  <si>
    <t>7.05</t>
  </si>
  <si>
    <t>20.40</t>
  </si>
  <si>
    <t>20.32</t>
  </si>
  <si>
    <t>20.48</t>
  </si>
  <si>
    <t>20.08</t>
  </si>
  <si>
    <t>28.37</t>
  </si>
  <si>
    <t>29.24</t>
  </si>
  <si>
    <t>29.41</t>
  </si>
  <si>
    <t>26.90</t>
  </si>
  <si>
    <t>27.15</t>
  </si>
  <si>
    <t>26.73</t>
  </si>
  <si>
    <t>42.50</t>
  </si>
  <si>
    <t>7.15</t>
  </si>
  <si>
    <t>7.16</t>
  </si>
  <si>
    <t>5.70</t>
  </si>
  <si>
    <t>10.96</t>
  </si>
  <si>
    <t>11.05</t>
  </si>
  <si>
    <t>10.92</t>
  </si>
  <si>
    <t>28.01</t>
  </si>
  <si>
    <t>22.95</t>
  </si>
  <si>
    <t>22.72</t>
  </si>
  <si>
    <t>22.70</t>
  </si>
  <si>
    <t>22.62</t>
  </si>
  <si>
    <t>15.79</t>
  </si>
  <si>
    <t>15.70</t>
  </si>
  <si>
    <t>15.69</t>
  </si>
  <si>
    <t>13.13</t>
  </si>
  <si>
    <t>13.23</t>
  </si>
  <si>
    <t>12.88</t>
  </si>
  <si>
    <t>48.60</t>
  </si>
  <si>
    <t>38.60</t>
  </si>
  <si>
    <t>39.54</t>
  </si>
  <si>
    <t>40.15</t>
  </si>
  <si>
    <t>16.95</t>
  </si>
  <si>
    <t>16.87</t>
  </si>
  <si>
    <t>17.14</t>
  </si>
  <si>
    <t>16.56</t>
  </si>
  <si>
    <t>17.93</t>
  </si>
  <si>
    <t>18.12</t>
  </si>
  <si>
    <t>24.79</t>
  </si>
  <si>
    <t>24.55</t>
  </si>
  <si>
    <t>31.32</t>
  </si>
  <si>
    <t>31.88</t>
  </si>
  <si>
    <t>8.05</t>
  </si>
  <si>
    <t>4.80</t>
  </si>
  <si>
    <t>4.89</t>
  </si>
  <si>
    <t>4.73</t>
  </si>
  <si>
    <t>8.88</t>
  </si>
  <si>
    <t>8.94</t>
  </si>
  <si>
    <t>8.60</t>
  </si>
  <si>
    <t>8.22</t>
  </si>
  <si>
    <t>8.33</t>
  </si>
  <si>
    <t>8.36</t>
  </si>
  <si>
    <t>9.07</t>
  </si>
  <si>
    <t>9.18</t>
  </si>
  <si>
    <t>15.40</t>
  </si>
  <si>
    <t>15.45</t>
  </si>
  <si>
    <t>20.09</t>
  </si>
  <si>
    <t>20.57</t>
  </si>
  <si>
    <t>12.23</t>
  </si>
  <si>
    <t>14.68</t>
  </si>
  <si>
    <t>15.14</t>
  </si>
  <si>
    <t>14.66</t>
  </si>
  <si>
    <t>17.26</t>
  </si>
  <si>
    <t>17.07</t>
  </si>
  <si>
    <t>17.32</t>
  </si>
  <si>
    <t>0.13</t>
  </si>
  <si>
    <t>9.16</t>
  </si>
  <si>
    <t>8.43</t>
  </si>
  <si>
    <t>8.48</t>
  </si>
  <si>
    <t>28.67</t>
  </si>
  <si>
    <t>28.93</t>
  </si>
  <si>
    <t>29.04</t>
  </si>
  <si>
    <t>28.64</t>
  </si>
  <si>
    <t>31.10</t>
  </si>
  <si>
    <t>31.08</t>
  </si>
  <si>
    <t>31.30</t>
  </si>
  <si>
    <t>30.87</t>
  </si>
  <si>
    <t>12.05</t>
  </si>
  <si>
    <t>16.19</t>
  </si>
  <si>
    <t>16.04</t>
  </si>
  <si>
    <t>16.39</t>
  </si>
  <si>
    <t>15.93</t>
  </si>
  <si>
    <t>51.00</t>
  </si>
  <si>
    <t>49.78</t>
  </si>
  <si>
    <t>49.50</t>
  </si>
  <si>
    <t>7.39</t>
  </si>
  <si>
    <t>10.62</t>
  </si>
  <si>
    <t>30.16</t>
  </si>
  <si>
    <t>30.71</t>
  </si>
  <si>
    <t>5.25</t>
  </si>
  <si>
    <t>5.38</t>
  </si>
  <si>
    <t>5.11</t>
  </si>
  <si>
    <t>21.80</t>
  </si>
  <si>
    <t>21.99</t>
  </si>
  <si>
    <t>22.15</t>
  </si>
  <si>
    <t>21.45</t>
  </si>
  <si>
    <t>2.88</t>
  </si>
  <si>
    <t>2.85</t>
  </si>
  <si>
    <t>9.03</t>
  </si>
  <si>
    <t>9.04</t>
  </si>
  <si>
    <t>9.08</t>
  </si>
  <si>
    <t>17.35</t>
  </si>
  <si>
    <t>17.40</t>
  </si>
  <si>
    <t>17.52</t>
  </si>
  <si>
    <t>17.33</t>
  </si>
  <si>
    <t>33.98</t>
  </si>
  <si>
    <t>33.92</t>
  </si>
  <si>
    <t>34.32</t>
  </si>
  <si>
    <t>33.69</t>
  </si>
  <si>
    <t>24.70</t>
  </si>
  <si>
    <t>25.13</t>
  </si>
  <si>
    <t>25.45</t>
  </si>
  <si>
    <t>24.67</t>
  </si>
  <si>
    <t>0.57</t>
  </si>
  <si>
    <t>16.81</t>
  </si>
  <si>
    <t>17.29</t>
  </si>
  <si>
    <t>16.93</t>
  </si>
  <si>
    <t>17.17</t>
  </si>
  <si>
    <t>5.26</t>
  </si>
  <si>
    <t>23.45</t>
  </si>
  <si>
    <t>23.39</t>
  </si>
  <si>
    <t>23.69</t>
  </si>
  <si>
    <t>23.31</t>
  </si>
  <si>
    <t>18.34</t>
  </si>
  <si>
    <t>18.06</t>
  </si>
  <si>
    <t>22.21</t>
  </si>
  <si>
    <t>22.22</t>
  </si>
  <si>
    <t>22.39</t>
  </si>
  <si>
    <t>22.05</t>
  </si>
  <si>
    <t>40.85</t>
  </si>
  <si>
    <t>40.96</t>
  </si>
  <si>
    <t>41.15</t>
  </si>
  <si>
    <t>40.45</t>
  </si>
  <si>
    <t>16.98</t>
  </si>
  <si>
    <t>16.90</t>
  </si>
  <si>
    <t>13.90</t>
  </si>
  <si>
    <t>14.20</t>
  </si>
  <si>
    <t>14.24</t>
  </si>
  <si>
    <t>13.85</t>
  </si>
  <si>
    <t>18.00</t>
  </si>
  <si>
    <t>17.97</t>
  </si>
  <si>
    <t>18.25</t>
  </si>
  <si>
    <t>17.70</t>
  </si>
  <si>
    <t>17.34</t>
  </si>
  <si>
    <t>17.04</t>
  </si>
  <si>
    <t>17.02</t>
  </si>
  <si>
    <t>16.29</t>
  </si>
  <si>
    <t>9.58</t>
  </si>
  <si>
    <t>9.72</t>
  </si>
  <si>
    <t>19.55</t>
  </si>
  <si>
    <t>64.55</t>
  </si>
  <si>
    <t>64.79</t>
  </si>
  <si>
    <t>65.08</t>
  </si>
  <si>
    <t>64.25</t>
  </si>
  <si>
    <t>34.69</t>
  </si>
  <si>
    <t>34.45</t>
  </si>
  <si>
    <t>34.74</t>
  </si>
  <si>
    <t>34.00</t>
  </si>
  <si>
    <t>24.69</t>
  </si>
  <si>
    <t>24.90</t>
  </si>
  <si>
    <t>24.64</t>
  </si>
  <si>
    <t>11.24</t>
  </si>
  <si>
    <t>11.51</t>
  </si>
  <si>
    <t>7.94</t>
  </si>
  <si>
    <t>9.40</t>
  </si>
  <si>
    <t>9.10</t>
  </si>
  <si>
    <t>9.60</t>
  </si>
  <si>
    <t>8.25</t>
  </si>
  <si>
    <t>8.18</t>
  </si>
  <si>
    <t>5.87</t>
  </si>
  <si>
    <t>13.20</t>
  </si>
  <si>
    <t>20.30</t>
  </si>
  <si>
    <t>20.52</t>
  </si>
  <si>
    <t>20.23</t>
  </si>
  <si>
    <t>7.70</t>
  </si>
  <si>
    <t>7.67</t>
  </si>
  <si>
    <t>3.95</t>
  </si>
  <si>
    <t>4.99</t>
  </si>
  <si>
    <t>43.90</t>
  </si>
  <si>
    <t>44.97</t>
  </si>
  <si>
    <t>45.04</t>
  </si>
  <si>
    <t>43.57</t>
  </si>
  <si>
    <t>4.10</t>
  </si>
  <si>
    <t>4.16</t>
  </si>
  <si>
    <t>4.01</t>
  </si>
  <si>
    <t>3.84</t>
  </si>
  <si>
    <t>3.92</t>
  </si>
  <si>
    <t>13.50</t>
  </si>
  <si>
    <t>14.23</t>
  </si>
  <si>
    <t>8.17</t>
  </si>
  <si>
    <t>8.64</t>
  </si>
  <si>
    <t>33.71</t>
  </si>
  <si>
    <t>33.85</t>
  </si>
  <si>
    <t>27.02</t>
  </si>
  <si>
    <t>26.98</t>
  </si>
  <si>
    <t>16.72</t>
  </si>
  <si>
    <t>16.55</t>
  </si>
  <si>
    <t>16.53</t>
  </si>
  <si>
    <t>14.56</t>
  </si>
  <si>
    <t>14.45</t>
  </si>
  <si>
    <t>2.07</t>
  </si>
  <si>
    <t>2.09</t>
  </si>
  <si>
    <t>12.06</t>
  </si>
  <si>
    <t>11.95</t>
  </si>
  <si>
    <t>11.86</t>
  </si>
  <si>
    <t>13.78</t>
  </si>
  <si>
    <t>52.00</t>
  </si>
  <si>
    <t>52.39</t>
  </si>
  <si>
    <t>51.52</t>
  </si>
  <si>
    <t>0.59</t>
  </si>
  <si>
    <t>30.63</t>
  </si>
  <si>
    <t>30.61</t>
  </si>
  <si>
    <t>30.70</t>
  </si>
  <si>
    <t>30.45</t>
  </si>
  <si>
    <t>37.44</t>
  </si>
  <si>
    <t>42.99</t>
  </si>
  <si>
    <t>43.00</t>
  </si>
  <si>
    <t>43.21</t>
  </si>
  <si>
    <t>42.60</t>
  </si>
  <si>
    <t>1.89</t>
  </si>
  <si>
    <t>1.84</t>
  </si>
  <si>
    <t>43.15</t>
  </si>
  <si>
    <t>47.00</t>
  </si>
  <si>
    <t>50.37</t>
  </si>
  <si>
    <t>50.39</t>
  </si>
  <si>
    <t>51.05</t>
  </si>
  <si>
    <t>50.30</t>
  </si>
  <si>
    <t>1.65</t>
  </si>
  <si>
    <t>5.02</t>
  </si>
  <si>
    <t>3.85</t>
  </si>
  <si>
    <t>11.49</t>
  </si>
  <si>
    <t>11.34</t>
  </si>
  <si>
    <t>42.59</t>
  </si>
  <si>
    <t>41.87</t>
  </si>
  <si>
    <t>42.76</t>
  </si>
  <si>
    <t>41.67</t>
  </si>
  <si>
    <t>2.56</t>
  </si>
  <si>
    <t>2.55</t>
  </si>
  <si>
    <t>2.59</t>
  </si>
  <si>
    <t>31.94</t>
  </si>
  <si>
    <t>32.28</t>
  </si>
  <si>
    <t>32.44</t>
  </si>
  <si>
    <t>7.71</t>
  </si>
  <si>
    <t>7.81</t>
  </si>
  <si>
    <t>2.77</t>
  </si>
  <si>
    <t>0.34</t>
  </si>
  <si>
    <t>11.44</t>
  </si>
  <si>
    <t>11.30</t>
  </si>
  <si>
    <t>11.56</t>
  </si>
  <si>
    <t>11.25</t>
  </si>
  <si>
    <t>9.85</t>
  </si>
  <si>
    <t>9.73</t>
  </si>
  <si>
    <t>9.66</t>
  </si>
  <si>
    <t>10.71</t>
  </si>
  <si>
    <t>10.45</t>
  </si>
  <si>
    <t>12.80</t>
  </si>
  <si>
    <t>15.63</t>
  </si>
  <si>
    <t>15.68</t>
  </si>
  <si>
    <t>14.95</t>
  </si>
  <si>
    <t>19.21</t>
  </si>
  <si>
    <t>19.47</t>
  </si>
  <si>
    <t>0.58</t>
  </si>
  <si>
    <t>3.70</t>
  </si>
  <si>
    <t>3.73</t>
  </si>
  <si>
    <t>1.05</t>
  </si>
  <si>
    <t>3.05</t>
  </si>
  <si>
    <t>3.24</t>
  </si>
  <si>
    <t>3.28</t>
  </si>
  <si>
    <t>27.31</t>
  </si>
  <si>
    <t>27.53</t>
  </si>
  <si>
    <t>25.87</t>
  </si>
  <si>
    <t>26.27</t>
  </si>
  <si>
    <t>26.47</t>
  </si>
  <si>
    <t>25.83</t>
  </si>
  <si>
    <t>60.66</t>
  </si>
  <si>
    <t>60.46</t>
  </si>
  <si>
    <t>61.00</t>
  </si>
  <si>
    <t>60.05</t>
  </si>
  <si>
    <t>6.87</t>
  </si>
  <si>
    <t>6.96</t>
  </si>
  <si>
    <t>6.98</t>
  </si>
  <si>
    <t>6.86</t>
  </si>
  <si>
    <t>3.57</t>
  </si>
  <si>
    <t>15.05</t>
  </si>
  <si>
    <t>15.10</t>
  </si>
  <si>
    <t>15.03</t>
  </si>
  <si>
    <t>18.65</t>
  </si>
  <si>
    <t>18.15</t>
  </si>
  <si>
    <t>8.56</t>
  </si>
  <si>
    <t>8.59</t>
  </si>
  <si>
    <t>8.66</t>
  </si>
  <si>
    <t>19.97</t>
  </si>
  <si>
    <t>19.59</t>
  </si>
  <si>
    <t>20.07</t>
  </si>
  <si>
    <t>19.52</t>
  </si>
  <si>
    <t>13.34</t>
  </si>
  <si>
    <t>13.26</t>
  </si>
  <si>
    <t>34.61</t>
  </si>
  <si>
    <t>34.92</t>
  </si>
  <si>
    <t>35.05</t>
  </si>
  <si>
    <t>34.38</t>
  </si>
  <si>
    <t>20.43</t>
  </si>
  <si>
    <t>20.41</t>
  </si>
  <si>
    <t>20.53</t>
  </si>
  <si>
    <t>20.21</t>
  </si>
  <si>
    <t>12.32</t>
  </si>
  <si>
    <t>12.38</t>
  </si>
  <si>
    <t>12.48</t>
  </si>
  <si>
    <t>14.10</t>
  </si>
  <si>
    <t>14.21</t>
  </si>
  <si>
    <t>22.90</t>
  </si>
  <si>
    <t>22.69</t>
  </si>
  <si>
    <t>22.35</t>
  </si>
  <si>
    <t>15.11</t>
  </si>
  <si>
    <t>15.23</t>
  </si>
  <si>
    <t>15.26</t>
  </si>
  <si>
    <t>15.07</t>
  </si>
  <si>
    <t>14.35</t>
  </si>
  <si>
    <t>14.72</t>
  </si>
  <si>
    <t>4.72</t>
  </si>
  <si>
    <t>16.51</t>
  </si>
  <si>
    <t>16.65</t>
  </si>
  <si>
    <t>16.49</t>
  </si>
  <si>
    <t>96.50</t>
  </si>
  <si>
    <t>97.57</t>
  </si>
  <si>
    <t>97.99</t>
  </si>
  <si>
    <t>95.70</t>
  </si>
  <si>
    <t>16.67</t>
  </si>
  <si>
    <t>16.86</t>
  </si>
  <si>
    <t>10.44</t>
  </si>
  <si>
    <t>10.37</t>
  </si>
  <si>
    <t>10.34</t>
  </si>
  <si>
    <t>3.91</t>
  </si>
  <si>
    <t>28.45</t>
  </si>
  <si>
    <t>27.67</t>
  </si>
  <si>
    <t>27.54</t>
  </si>
  <si>
    <t>11.53</t>
  </si>
  <si>
    <t>13.52</t>
  </si>
  <si>
    <t>13.44</t>
  </si>
  <si>
    <t>13.69</t>
  </si>
  <si>
    <t>13.36</t>
  </si>
  <si>
    <t>27.93</t>
  </si>
  <si>
    <t>1.48</t>
  </si>
  <si>
    <t>1.49</t>
  </si>
  <si>
    <t>1.47</t>
  </si>
  <si>
    <t>360.00</t>
  </si>
  <si>
    <t>0.83</t>
  </si>
  <si>
    <t>2.16</t>
  </si>
  <si>
    <t>2.17</t>
  </si>
  <si>
    <t>1.97</t>
  </si>
  <si>
    <t>16.30</t>
  </si>
  <si>
    <t>3.38</t>
  </si>
  <si>
    <t>3.29</t>
  </si>
  <si>
    <t>12.27</t>
  </si>
  <si>
    <t>12.49</t>
  </si>
  <si>
    <t>13.73</t>
  </si>
  <si>
    <t>9.78</t>
  </si>
  <si>
    <t>4.91</t>
  </si>
  <si>
    <t>5.19</t>
  </si>
  <si>
    <t>7.14</t>
  </si>
  <si>
    <t>7.25</t>
  </si>
  <si>
    <t>6.99</t>
  </si>
  <si>
    <t>25.09</t>
  </si>
  <si>
    <t>25.35</t>
  </si>
  <si>
    <t>25.43</t>
  </si>
  <si>
    <t>24.81</t>
  </si>
  <si>
    <t>3.06</t>
  </si>
  <si>
    <t>3.15</t>
  </si>
  <si>
    <t>92.20</t>
  </si>
  <si>
    <t>90.20</t>
  </si>
  <si>
    <t>89.58</t>
  </si>
  <si>
    <t>82.35</t>
  </si>
  <si>
    <t>6.83</t>
  </si>
  <si>
    <t>24.16</t>
  </si>
  <si>
    <t>24.38</t>
  </si>
  <si>
    <t>23.95</t>
  </si>
  <si>
    <t>6.09</t>
  </si>
  <si>
    <t>6.40</t>
  </si>
  <si>
    <t>5.95</t>
  </si>
  <si>
    <t>16.13</t>
  </si>
  <si>
    <t>15.83</t>
  </si>
  <si>
    <t>4.14</t>
  </si>
  <si>
    <t>5.98</t>
  </si>
  <si>
    <t>6.02</t>
  </si>
  <si>
    <t>6.05</t>
  </si>
  <si>
    <t>56.15</t>
  </si>
  <si>
    <t>56.65</t>
  </si>
  <si>
    <t>56.81</t>
  </si>
  <si>
    <t>55.35</t>
  </si>
  <si>
    <t>7.23</t>
  </si>
  <si>
    <t>7.65</t>
  </si>
  <si>
    <t>9.96</t>
  </si>
  <si>
    <t>30.34</t>
  </si>
  <si>
    <t>31.16</t>
  </si>
  <si>
    <t>1.61</t>
  </si>
  <si>
    <t>1.55</t>
  </si>
  <si>
    <t>10.60</t>
  </si>
  <si>
    <t>10.88</t>
  </si>
  <si>
    <t>31.85</t>
  </si>
  <si>
    <t>32.05</t>
  </si>
  <si>
    <t>31.70</t>
  </si>
  <si>
    <t>1.73</t>
  </si>
  <si>
    <t>1.72</t>
  </si>
  <si>
    <t>1.69</t>
  </si>
  <si>
    <t>1.37</t>
  </si>
  <si>
    <t>4.59</t>
  </si>
  <si>
    <t>4.46</t>
  </si>
  <si>
    <t>17.64</t>
  </si>
  <si>
    <t>17.67</t>
  </si>
  <si>
    <t>19.07</t>
  </si>
  <si>
    <t>0.38</t>
  </si>
  <si>
    <t>7.48</t>
  </si>
  <si>
    <t>7.64</t>
  </si>
  <si>
    <t>14.14</t>
  </si>
  <si>
    <t>14.37</t>
  </si>
  <si>
    <t>3.61</t>
  </si>
  <si>
    <t>23.49</t>
  </si>
  <si>
    <t>23.64</t>
  </si>
  <si>
    <t>23.80</t>
  </si>
  <si>
    <t>23.13</t>
  </si>
  <si>
    <t>1.09</t>
  </si>
  <si>
    <t>4.97</t>
  </si>
  <si>
    <t>4.84</t>
  </si>
  <si>
    <t>13.27</t>
  </si>
  <si>
    <t>13.37</t>
  </si>
  <si>
    <t>0.14</t>
  </si>
  <si>
    <t>21.50</t>
  </si>
  <si>
    <t>21.10</t>
  </si>
  <si>
    <t>22.00</t>
  </si>
  <si>
    <t>20.93</t>
  </si>
  <si>
    <t>2.68</t>
  </si>
  <si>
    <t>25.27</t>
  </si>
  <si>
    <t>25.34</t>
  </si>
  <si>
    <t>25.47</t>
  </si>
  <si>
    <t>25.26</t>
  </si>
  <si>
    <t>27.99</t>
  </si>
  <si>
    <t>28.04</t>
  </si>
  <si>
    <t>27.90</t>
  </si>
  <si>
    <t>15.61</t>
  </si>
  <si>
    <t>15.43</t>
  </si>
  <si>
    <t>12.33</t>
  </si>
  <si>
    <t>8.77</t>
  </si>
  <si>
    <t>8.63</t>
  </si>
  <si>
    <t>0.74</t>
  </si>
  <si>
    <t>0.97</t>
  </si>
  <si>
    <t>14.36</t>
  </si>
  <si>
    <t>14.60</t>
  </si>
  <si>
    <t>14.29</t>
  </si>
  <si>
    <t>11.45</t>
  </si>
  <si>
    <t>11.27</t>
  </si>
  <si>
    <t>6.31</t>
  </si>
  <si>
    <t>6.37</t>
  </si>
  <si>
    <t>6.49</t>
  </si>
  <si>
    <t>6.22</t>
  </si>
  <si>
    <t>9.09</t>
  </si>
  <si>
    <t>9.23</t>
  </si>
  <si>
    <t>13.57</t>
  </si>
  <si>
    <t>18.87</t>
  </si>
  <si>
    <t>19.35</t>
  </si>
  <si>
    <t>62.10</t>
  </si>
  <si>
    <t>68.90</t>
  </si>
  <si>
    <t>68.99</t>
  </si>
  <si>
    <t>60.10</t>
  </si>
  <si>
    <t>1.99</t>
  </si>
  <si>
    <t>17.11</t>
  </si>
  <si>
    <t>5.13</t>
  </si>
  <si>
    <t>0.87</t>
  </si>
  <si>
    <t>37.87</t>
  </si>
  <si>
    <t>38.15</t>
  </si>
  <si>
    <t>38.20</t>
  </si>
  <si>
    <t>10.05</t>
  </si>
  <si>
    <t>10.10</t>
  </si>
  <si>
    <t>29.65</t>
  </si>
  <si>
    <t>29.88</t>
  </si>
  <si>
    <t>19.49</t>
  </si>
  <si>
    <t>19.79</t>
  </si>
  <si>
    <t>19.85</t>
  </si>
  <si>
    <t>19.43</t>
  </si>
  <si>
    <t>15.47</t>
  </si>
  <si>
    <t>15.49</t>
  </si>
  <si>
    <t>22.77</t>
  </si>
  <si>
    <t>23.48</t>
  </si>
  <si>
    <t>22.63</t>
  </si>
  <si>
    <t>23.61</t>
  </si>
  <si>
    <t>4.53</t>
  </si>
  <si>
    <t>4.49</t>
  </si>
  <si>
    <t>8.26</t>
  </si>
  <si>
    <t>17.18</t>
  </si>
  <si>
    <t>4.70</t>
  </si>
</sst>
</file>

<file path=xl/styles.xml><?xml version="1.0" encoding="utf-8"?>
<styleSheet xmlns="http://schemas.openxmlformats.org/spreadsheetml/2006/main">
  <numFmts count="9">
    <numFmt numFmtId="8" formatCode="&quot;R$ &quot;#,##0.00_);[Red]\(&quot;R$ &quot;#,##0.00\)"/>
    <numFmt numFmtId="44" formatCode="_(&quot;R$ &quot;* #,##0.00_);_(&quot;R$ &quot;* \(#,##0.00\);_(&quot;R$ &quot;* &quot;-&quot;??_);_(@_)"/>
    <numFmt numFmtId="164" formatCode="&quot;R$&quot;\ #,##0.00;[Red]\-&quot;R$&quot;\ #,##0.00"/>
    <numFmt numFmtId="165" formatCode="_-&quot;R$&quot;\ * #,##0.00_-;\-&quot;R$&quot;\ * #,##0.00_-;_-&quot;R$&quot;\ * &quot;-&quot;??_-;_-@_-"/>
    <numFmt numFmtId="166" formatCode="_-* #,##0.00_-;\-* #,##0.00_-;_-* &quot;-&quot;??_-;_-@_-"/>
    <numFmt numFmtId="167" formatCode="_-* #,##0_-;\-* #,##0_-;_-* &quot;-&quot;??_-;_-@_-"/>
    <numFmt numFmtId="168" formatCode="_-* #,##0.0000_-;\-* #,##0.0000_-;_-* &quot;-&quot;??_-;_-@_-"/>
    <numFmt numFmtId="169" formatCode="0.0000%"/>
    <numFmt numFmtId="170" formatCode="_-&quot;R$&quot;\ * #,##0.0000_-;\-&quot;R$&quot;\ * #,##0.0000_-;_-&quot;R$&quot;\ * &quot;-&quot;??_-;_-@_-"/>
  </numFmts>
  <fonts count="16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8"/>
      <color theme="1"/>
      <name val="Calibri"/>
      <family val="2"/>
      <scheme val="minor"/>
    </font>
    <font>
      <b/>
      <sz val="8"/>
      <color theme="1"/>
      <name val="Calibri"/>
      <family val="2"/>
      <scheme val="minor"/>
    </font>
    <font>
      <sz val="8"/>
      <color theme="1"/>
      <name val="Calibri"/>
      <family val="2"/>
      <scheme val="minor"/>
    </font>
    <font>
      <b/>
      <sz val="8"/>
      <color theme="1"/>
      <name val="Calibri"/>
      <family val="2"/>
      <scheme val="minor"/>
    </font>
    <font>
      <sz val="10"/>
      <name val="Arial"/>
      <family val="2"/>
    </font>
    <font>
      <sz val="8"/>
      <color theme="1" tint="0.499984740745262"/>
      <name val="Calibri"/>
      <family val="2"/>
      <scheme val="minor"/>
    </font>
    <font>
      <u/>
      <sz val="11"/>
      <color theme="10"/>
      <name val="Calibri"/>
      <family val="2"/>
    </font>
    <font>
      <u/>
      <sz val="8"/>
      <color theme="10"/>
      <name val="Calibri"/>
      <family val="2"/>
    </font>
    <font>
      <sz val="8"/>
      <color theme="10"/>
      <name val="Calibri"/>
      <family val="2"/>
    </font>
    <font>
      <b/>
      <sz val="11"/>
      <color theme="1"/>
      <name val="Calibri"/>
      <family val="2"/>
      <scheme val="minor"/>
    </font>
    <font>
      <sz val="8"/>
      <color theme="1"/>
      <name val="Calibri"/>
      <scheme val="minor"/>
    </font>
    <font>
      <b/>
      <sz val="8"/>
      <color theme="1"/>
      <name val="Calibri"/>
      <scheme val="minor"/>
    </font>
    <font>
      <b/>
      <i/>
      <u/>
      <sz val="8"/>
      <color theme="10"/>
      <name val="Calibri"/>
      <family val="2"/>
    </font>
    <font>
      <sz val="11"/>
      <color rgb="FF000000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theme="0"/>
        <bgColor indexed="64"/>
      </patternFill>
    </fill>
  </fills>
  <borders count="4">
    <border>
      <left/>
      <right/>
      <top/>
      <bottom/>
      <diagonal/>
    </border>
    <border>
      <left/>
      <right/>
      <top style="thin">
        <color theme="0" tint="-0.14999847407452621"/>
      </top>
      <bottom style="thin">
        <color theme="0" tint="-0.14999847407452621"/>
      </bottom>
      <diagonal/>
    </border>
    <border>
      <left/>
      <right/>
      <top style="thin">
        <color theme="4" tint="0.39997558519241921"/>
      </top>
      <bottom style="thin">
        <color theme="4" tint="0.39997558519241921"/>
      </bottom>
      <diagonal/>
    </border>
    <border>
      <left/>
      <right/>
      <top/>
      <bottom style="thin">
        <color indexed="64"/>
      </bottom>
      <diagonal/>
    </border>
  </borders>
  <cellStyleXfs count="6">
    <xf numFmtId="0" fontId="0" fillId="0" borderId="0"/>
    <xf numFmtId="166" fontId="1" fillId="0" borderId="0" applyFont="0" applyFill="0" applyBorder="0" applyAlignment="0" applyProtection="0"/>
    <xf numFmtId="165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6" fillId="0" borderId="0"/>
    <xf numFmtId="0" fontId="8" fillId="0" borderId="0" applyNumberFormat="0" applyFill="0" applyBorder="0" applyAlignment="0" applyProtection="0">
      <alignment vertical="top"/>
      <protection locked="0"/>
    </xf>
  </cellStyleXfs>
  <cellXfs count="139">
    <xf numFmtId="0" fontId="0" fillId="0" borderId="0" xfId="0"/>
    <xf numFmtId="0" fontId="0" fillId="0" borderId="0" xfId="0" pivotButton="1"/>
    <xf numFmtId="0" fontId="0" fillId="0" borderId="0" xfId="0" applyAlignment="1">
      <alignment horizontal="left"/>
    </xf>
    <xf numFmtId="0" fontId="2" fillId="0" borderId="0" xfId="0" applyFont="1"/>
    <xf numFmtId="0" fontId="2" fillId="0" borderId="0" xfId="0" applyFont="1" applyBorder="1"/>
    <xf numFmtId="165" fontId="2" fillId="0" borderId="0" xfId="2" applyFont="1"/>
    <xf numFmtId="165" fontId="2" fillId="0" borderId="0" xfId="2" applyFont="1" applyBorder="1"/>
    <xf numFmtId="165" fontId="2" fillId="0" borderId="0" xfId="0" applyNumberFormat="1" applyFont="1"/>
    <xf numFmtId="167" fontId="2" fillId="0" borderId="0" xfId="1" applyNumberFormat="1" applyFont="1" applyBorder="1"/>
    <xf numFmtId="9" fontId="2" fillId="0" borderId="0" xfId="3" applyFont="1" applyBorder="1"/>
    <xf numFmtId="0" fontId="2" fillId="0" borderId="0" xfId="0" applyNumberFormat="1" applyFont="1"/>
    <xf numFmtId="165" fontId="3" fillId="0" borderId="0" xfId="2" applyFont="1" applyBorder="1"/>
    <xf numFmtId="165" fontId="3" fillId="0" borderId="0" xfId="2" applyFont="1"/>
    <xf numFmtId="165" fontId="2" fillId="0" borderId="0" xfId="2" applyNumberFormat="1" applyFont="1" applyBorder="1"/>
    <xf numFmtId="0" fontId="2" fillId="0" borderId="0" xfId="0" applyNumberFormat="1" applyFont="1" applyBorder="1"/>
    <xf numFmtId="0" fontId="2" fillId="0" borderId="0" xfId="2" applyNumberFormat="1" applyFont="1" applyBorder="1"/>
    <xf numFmtId="0" fontId="2" fillId="0" borderId="0" xfId="2" applyNumberFormat="1" applyFont="1"/>
    <xf numFmtId="165" fontId="2" fillId="0" borderId="0" xfId="0" applyNumberFormat="1" applyFont="1" applyBorder="1"/>
    <xf numFmtId="10" fontId="2" fillId="0" borderId="0" xfId="3" applyNumberFormat="1" applyFont="1"/>
    <xf numFmtId="10" fontId="2" fillId="0" borderId="0" xfId="3" applyNumberFormat="1" applyFont="1" applyBorder="1"/>
    <xf numFmtId="14" fontId="2" fillId="0" borderId="0" xfId="0" applyNumberFormat="1" applyFont="1"/>
    <xf numFmtId="167" fontId="2" fillId="0" borderId="0" xfId="2" applyNumberFormat="1" applyFont="1"/>
    <xf numFmtId="10" fontId="2" fillId="0" borderId="0" xfId="0" applyNumberFormat="1" applyFont="1"/>
    <xf numFmtId="9" fontId="2" fillId="0" borderId="0" xfId="3" applyFont="1"/>
    <xf numFmtId="0" fontId="4" fillId="0" borderId="0" xfId="0" applyFont="1" applyBorder="1"/>
    <xf numFmtId="0" fontId="4" fillId="0" borderId="0" xfId="0" applyNumberFormat="1" applyFont="1" applyBorder="1"/>
    <xf numFmtId="0" fontId="4" fillId="0" borderId="0" xfId="2" applyNumberFormat="1" applyFont="1" applyBorder="1"/>
    <xf numFmtId="10" fontId="4" fillId="0" borderId="0" xfId="0" applyNumberFormat="1" applyFont="1" applyBorder="1"/>
    <xf numFmtId="165" fontId="4" fillId="0" borderId="0" xfId="2" applyFont="1" applyBorder="1"/>
    <xf numFmtId="165" fontId="5" fillId="0" borderId="0" xfId="2" applyFont="1" applyBorder="1"/>
    <xf numFmtId="9" fontId="4" fillId="0" borderId="0" xfId="3" applyNumberFormat="1" applyFont="1" applyBorder="1"/>
    <xf numFmtId="0" fontId="3" fillId="0" borderId="0" xfId="0" applyFont="1"/>
    <xf numFmtId="14" fontId="3" fillId="0" borderId="0" xfId="0" applyNumberFormat="1" applyFont="1"/>
    <xf numFmtId="0" fontId="7" fillId="2" borderId="1" xfId="4" applyNumberFormat="1" applyFont="1" applyFill="1" applyBorder="1" applyAlignment="1" applyProtection="1">
      <alignment horizontal="center" vertical="center"/>
    </xf>
    <xf numFmtId="2" fontId="2" fillId="0" borderId="0" xfId="3" applyNumberFormat="1" applyFont="1"/>
    <xf numFmtId="2" fontId="4" fillId="0" borderId="0" xfId="3" applyNumberFormat="1" applyFont="1" applyBorder="1"/>
    <xf numFmtId="2" fontId="2" fillId="0" borderId="0" xfId="3" applyNumberFormat="1" applyFont="1" applyBorder="1"/>
    <xf numFmtId="2" fontId="2" fillId="0" borderId="0" xfId="0" applyNumberFormat="1" applyFont="1"/>
    <xf numFmtId="167" fontId="2" fillId="0" borderId="0" xfId="2" applyNumberFormat="1" applyFont="1" applyBorder="1"/>
    <xf numFmtId="165" fontId="3" fillId="0" borderId="0" xfId="2" applyNumberFormat="1" applyFont="1" applyBorder="1"/>
    <xf numFmtId="2" fontId="2" fillId="0" borderId="0" xfId="0" applyNumberFormat="1" applyFont="1" applyBorder="1"/>
    <xf numFmtId="10" fontId="2" fillId="0" borderId="0" xfId="2" applyNumberFormat="1" applyFont="1" applyBorder="1"/>
    <xf numFmtId="10" fontId="2" fillId="0" borderId="0" xfId="0" applyNumberFormat="1" applyFont="1" applyBorder="1"/>
    <xf numFmtId="0" fontId="3" fillId="0" borderId="0" xfId="2" applyNumberFormat="1" applyFont="1" applyBorder="1"/>
    <xf numFmtId="9" fontId="2" fillId="0" borderId="0" xfId="0" applyNumberFormat="1" applyFont="1" applyBorder="1"/>
    <xf numFmtId="14" fontId="2" fillId="0" borderId="0" xfId="0" applyNumberFormat="1" applyFont="1"/>
    <xf numFmtId="14" fontId="2" fillId="0" borderId="0" xfId="0" applyNumberFormat="1" applyFont="1" applyBorder="1"/>
    <xf numFmtId="165" fontId="2" fillId="0" borderId="0" xfId="2" applyNumberFormat="1" applyFont="1"/>
    <xf numFmtId="165" fontId="3" fillId="0" borderId="0" xfId="0" applyNumberFormat="1" applyFont="1" applyBorder="1"/>
    <xf numFmtId="10" fontId="4" fillId="0" borderId="0" xfId="3" applyNumberFormat="1" applyFont="1" applyBorder="1"/>
    <xf numFmtId="10" fontId="0" fillId="0" borderId="0" xfId="0" applyNumberFormat="1"/>
    <xf numFmtId="14" fontId="2" fillId="0" borderId="0" xfId="0" applyNumberFormat="1" applyFont="1"/>
    <xf numFmtId="165" fontId="3" fillId="0" borderId="0" xfId="0" applyNumberFormat="1" applyFont="1"/>
    <xf numFmtId="9" fontId="2" fillId="0" borderId="0" xfId="0" applyNumberFormat="1" applyFont="1"/>
    <xf numFmtId="165" fontId="2" fillId="0" borderId="0" xfId="3" applyNumberFormat="1" applyFont="1"/>
    <xf numFmtId="165" fontId="2" fillId="0" borderId="0" xfId="3" applyNumberFormat="1" applyFont="1" applyBorder="1"/>
    <xf numFmtId="167" fontId="2" fillId="0" borderId="0" xfId="1" applyNumberFormat="1" applyFont="1"/>
    <xf numFmtId="0" fontId="9" fillId="0" borderId="0" xfId="5" applyNumberFormat="1" applyFont="1" applyBorder="1" applyAlignment="1" applyProtection="1"/>
    <xf numFmtId="0" fontId="9" fillId="0" borderId="0" xfId="5" applyNumberFormat="1" applyFont="1" applyAlignment="1" applyProtection="1"/>
    <xf numFmtId="168" fontId="2" fillId="0" borderId="0" xfId="0" applyNumberFormat="1" applyFont="1"/>
    <xf numFmtId="0" fontId="9" fillId="0" borderId="0" xfId="5" applyFont="1" applyAlignment="1" applyProtection="1"/>
    <xf numFmtId="3" fontId="2" fillId="0" borderId="0" xfId="0" applyNumberFormat="1" applyFont="1"/>
    <xf numFmtId="10" fontId="3" fillId="0" borderId="0" xfId="3" applyNumberFormat="1" applyFont="1"/>
    <xf numFmtId="14" fontId="2" fillId="0" borderId="0" xfId="2" applyNumberFormat="1" applyFont="1"/>
    <xf numFmtId="8" fontId="2" fillId="0" borderId="0" xfId="0" applyNumberFormat="1" applyFont="1"/>
    <xf numFmtId="0" fontId="3" fillId="0" borderId="0" xfId="2" applyNumberFormat="1" applyFont="1"/>
    <xf numFmtId="168" fontId="3" fillId="0" borderId="0" xfId="1" applyNumberFormat="1" applyFont="1"/>
    <xf numFmtId="168" fontId="2" fillId="0" borderId="0" xfId="1" applyNumberFormat="1" applyFont="1"/>
    <xf numFmtId="0" fontId="0" fillId="0" borderId="0" xfId="0" applyNumberFormat="1"/>
    <xf numFmtId="44" fontId="0" fillId="0" borderId="0" xfId="0" applyNumberFormat="1"/>
    <xf numFmtId="0" fontId="3" fillId="0" borderId="0" xfId="0" applyNumberFormat="1" applyFont="1"/>
    <xf numFmtId="44" fontId="3" fillId="0" borderId="0" xfId="2" applyNumberFormat="1" applyFont="1"/>
    <xf numFmtId="44" fontId="2" fillId="0" borderId="0" xfId="2" applyNumberFormat="1" applyFont="1"/>
    <xf numFmtId="44" fontId="2" fillId="0" borderId="0" xfId="0" applyNumberFormat="1" applyFont="1"/>
    <xf numFmtId="44" fontId="2" fillId="0" borderId="0" xfId="1" applyNumberFormat="1" applyFont="1"/>
    <xf numFmtId="169" fontId="2" fillId="0" borderId="0" xfId="3" applyNumberFormat="1" applyFont="1"/>
    <xf numFmtId="165" fontId="0" fillId="0" borderId="0" xfId="0" applyNumberFormat="1"/>
    <xf numFmtId="170" fontId="2" fillId="0" borderId="0" xfId="2" applyNumberFormat="1" applyFont="1"/>
    <xf numFmtId="170" fontId="2" fillId="0" borderId="0" xfId="2" applyNumberFormat="1" applyFont="1" applyBorder="1"/>
    <xf numFmtId="170" fontId="4" fillId="0" borderId="0" xfId="2" applyNumberFormat="1" applyFont="1" applyBorder="1"/>
    <xf numFmtId="165" fontId="3" fillId="0" borderId="0" xfId="2" applyNumberFormat="1" applyFont="1"/>
    <xf numFmtId="9" fontId="2" fillId="0" borderId="0" xfId="3" applyNumberFormat="1" applyFont="1"/>
    <xf numFmtId="0" fontId="10" fillId="0" borderId="0" xfId="5" applyNumberFormat="1" applyFont="1" applyBorder="1" applyAlignment="1" applyProtection="1"/>
    <xf numFmtId="0" fontId="10" fillId="0" borderId="0" xfId="5" applyNumberFormat="1" applyFont="1" applyAlignment="1" applyProtection="1"/>
    <xf numFmtId="0" fontId="2" fillId="0" borderId="0" xfId="2" applyNumberFormat="1" applyFont="1" applyBorder="1" applyAlignment="1" applyProtection="1"/>
    <xf numFmtId="170" fontId="2" fillId="0" borderId="0" xfId="0" applyNumberFormat="1" applyFont="1"/>
    <xf numFmtId="9" fontId="2" fillId="0" borderId="0" xfId="3" applyNumberFormat="1" applyFont="1" applyBorder="1"/>
    <xf numFmtId="0" fontId="2" fillId="0" borderId="0" xfId="3" applyNumberFormat="1" applyFont="1"/>
    <xf numFmtId="0" fontId="2" fillId="0" borderId="0" xfId="3" applyNumberFormat="1" applyFont="1" applyBorder="1"/>
    <xf numFmtId="44" fontId="2" fillId="0" borderId="0" xfId="2" applyNumberFormat="1" applyFont="1" applyBorder="1"/>
    <xf numFmtId="44" fontId="4" fillId="0" borderId="0" xfId="2" applyNumberFormat="1" applyFont="1" applyBorder="1"/>
    <xf numFmtId="44" fontId="2" fillId="0" borderId="0" xfId="3" applyNumberFormat="1" applyFont="1"/>
    <xf numFmtId="44" fontId="2" fillId="0" borderId="0" xfId="3" applyNumberFormat="1" applyFont="1" applyBorder="1"/>
    <xf numFmtId="44" fontId="2" fillId="0" borderId="0" xfId="0" applyNumberFormat="1" applyFont="1" applyBorder="1"/>
    <xf numFmtId="44" fontId="4" fillId="0" borderId="0" xfId="2" applyNumberFormat="1" applyFont="1"/>
    <xf numFmtId="14" fontId="2" fillId="0" borderId="0" xfId="2" applyNumberFormat="1" applyFont="1"/>
    <xf numFmtId="164" fontId="2" fillId="0" borderId="0" xfId="0" applyNumberFormat="1" applyFont="1"/>
    <xf numFmtId="0" fontId="11" fillId="0" borderId="0" xfId="0" applyFont="1"/>
    <xf numFmtId="165" fontId="0" fillId="0" borderId="0" xfId="2" applyFont="1"/>
    <xf numFmtId="9" fontId="11" fillId="0" borderId="0" xfId="0" applyNumberFormat="1" applyFont="1"/>
    <xf numFmtId="165" fontId="11" fillId="0" borderId="0" xfId="2" applyFont="1"/>
    <xf numFmtId="167" fontId="0" fillId="0" borderId="0" xfId="1" applyNumberFormat="1" applyFont="1"/>
    <xf numFmtId="10" fontId="0" fillId="0" borderId="0" xfId="3" applyNumberFormat="1" applyFont="1"/>
    <xf numFmtId="0" fontId="12" fillId="0" borderId="0" xfId="0" applyFont="1"/>
    <xf numFmtId="0" fontId="12" fillId="0" borderId="0" xfId="0" applyNumberFormat="1" applyFont="1"/>
    <xf numFmtId="0" fontId="12" fillId="0" borderId="0" xfId="2" applyNumberFormat="1" applyFont="1"/>
    <xf numFmtId="165" fontId="12" fillId="0" borderId="0" xfId="2" applyFont="1"/>
    <xf numFmtId="167" fontId="12" fillId="0" borderId="0" xfId="1" applyNumberFormat="1" applyFont="1"/>
    <xf numFmtId="9" fontId="12" fillId="0" borderId="0" xfId="3" applyNumberFormat="1" applyFont="1"/>
    <xf numFmtId="0" fontId="12" fillId="0" borderId="0" xfId="3" applyNumberFormat="1" applyFont="1"/>
    <xf numFmtId="10" fontId="12" fillId="0" borderId="0" xfId="3" applyNumberFormat="1" applyFont="1"/>
    <xf numFmtId="44" fontId="12" fillId="0" borderId="0" xfId="3" applyNumberFormat="1" applyFont="1"/>
    <xf numFmtId="44" fontId="12" fillId="0" borderId="0" xfId="0" applyNumberFormat="1" applyFont="1"/>
    <xf numFmtId="165" fontId="12" fillId="0" borderId="0" xfId="0" applyNumberFormat="1" applyFont="1"/>
    <xf numFmtId="165" fontId="12" fillId="0" borderId="0" xfId="2" applyNumberFormat="1" applyFont="1"/>
    <xf numFmtId="170" fontId="12" fillId="0" borderId="0" xfId="0" applyNumberFormat="1" applyFont="1"/>
    <xf numFmtId="170" fontId="12" fillId="0" borderId="0" xfId="2" applyNumberFormat="1" applyFont="1"/>
    <xf numFmtId="165" fontId="13" fillId="0" borderId="0" xfId="0" applyNumberFormat="1" applyFont="1"/>
    <xf numFmtId="9" fontId="12" fillId="0" borderId="0" xfId="0" applyNumberFormat="1" applyFont="1"/>
    <xf numFmtId="10" fontId="12" fillId="0" borderId="0" xfId="0" applyNumberFormat="1" applyFont="1"/>
    <xf numFmtId="165" fontId="2" fillId="0" borderId="0" xfId="1" applyNumberFormat="1" applyFont="1"/>
    <xf numFmtId="0" fontId="0" fillId="0" borderId="3" xfId="0" applyBorder="1"/>
    <xf numFmtId="165" fontId="0" fillId="0" borderId="3" xfId="2" applyFont="1" applyBorder="1"/>
    <xf numFmtId="165" fontId="0" fillId="0" borderId="3" xfId="0" applyNumberFormat="1" applyBorder="1"/>
    <xf numFmtId="167" fontId="0" fillId="0" borderId="3" xfId="1" applyNumberFormat="1" applyFont="1" applyBorder="1"/>
    <xf numFmtId="0" fontId="14" fillId="0" borderId="0" xfId="5" applyNumberFormat="1" applyFont="1" applyAlignment="1" applyProtection="1"/>
    <xf numFmtId="0" fontId="14" fillId="0" borderId="0" xfId="5" applyNumberFormat="1" applyFont="1" applyBorder="1" applyAlignment="1" applyProtection="1"/>
    <xf numFmtId="0" fontId="14" fillId="0" borderId="0" xfId="5" applyFont="1" applyAlignment="1" applyProtection="1"/>
    <xf numFmtId="165" fontId="4" fillId="0" borderId="0" xfId="2" applyNumberFormat="1" applyFont="1" applyBorder="1"/>
    <xf numFmtId="165" fontId="4" fillId="0" borderId="0" xfId="2" applyNumberFormat="1" applyFont="1"/>
    <xf numFmtId="2" fontId="2" fillId="0" borderId="0" xfId="2" applyNumberFormat="1" applyFont="1"/>
    <xf numFmtId="2" fontId="4" fillId="0" borderId="0" xfId="2" applyNumberFormat="1" applyFont="1" applyBorder="1"/>
    <xf numFmtId="2" fontId="2" fillId="0" borderId="0" xfId="2" applyNumberFormat="1" applyFont="1" applyBorder="1"/>
    <xf numFmtId="2" fontId="4" fillId="0" borderId="0" xfId="2" applyNumberFormat="1" applyFont="1"/>
    <xf numFmtId="2" fontId="12" fillId="0" borderId="0" xfId="0" applyNumberFormat="1" applyFont="1"/>
    <xf numFmtId="10" fontId="4" fillId="0" borderId="0" xfId="3" applyNumberFormat="1" applyFont="1"/>
    <xf numFmtId="165" fontId="0" fillId="0" borderId="0" xfId="0" applyNumberFormat="1" applyFont="1"/>
    <xf numFmtId="165" fontId="12" fillId="0" borderId="0" xfId="3" applyNumberFormat="1" applyFont="1"/>
    <xf numFmtId="165" fontId="4" fillId="0" borderId="2" xfId="2" applyFont="1" applyBorder="1"/>
  </cellXfs>
  <cellStyles count="6">
    <cellStyle name="Hyperlink" xfId="5" builtinId="8"/>
    <cellStyle name="Moeda" xfId="2" builtinId="4"/>
    <cellStyle name="Normal" xfId="0" builtinId="0"/>
    <cellStyle name="Normal 2" xfId="4"/>
    <cellStyle name="Porcentagem" xfId="3" builtinId="5"/>
    <cellStyle name="Separador de milhares" xfId="1" builtinId="3"/>
  </cellStyles>
  <dxfs count="172"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numFmt numFmtId="165" formatCode="_-&quot;R$&quot;\ * #,##0.00_-;\-&quot;R$&quot;\ * #,##0.00_-;_-&quot;R$&quot;\ * &quot;-&quot;??_-;_-@_-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numFmt numFmtId="165" formatCode="_-&quot;R$&quot;\ * #,##0.00_-;\-&quot;R$&quot;\ * #,##0.00_-;_-&quot;R$&quot;\ * &quot;-&quot;??_-;_-@_-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numFmt numFmtId="165" formatCode="_-&quot;R$&quot;\ * #,##0.00_-;\-&quot;R$&quot;\ * #,##0.00_-;_-&quot;R$&quot;\ * &quot;-&quot;??_-;_-@_-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numFmt numFmtId="14" formatCode="0.00%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numFmt numFmtId="14" formatCode="0.00%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numFmt numFmtId="14" formatCode="0.00%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numFmt numFmtId="14" formatCode="0.00%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numFmt numFmtId="2" formatCode="0.0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numFmt numFmtId="2" formatCode="0.0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numFmt numFmtId="165" formatCode="_-&quot;R$&quot;\ * #,##0.00_-;\-&quot;R$&quot;\ * #,##0.00_-;_-&quot;R$&quot;\ * &quot;-&quot;??_-;_-@_-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65" formatCode="_-&quot;R$&quot;\ * #,##0.00_-;\-&quot;R$&quot;\ * #,##0.00_-;_-&quot;R$&quot;\ * &quot;-&quot;??_-;_-@_-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65" formatCode="_-&quot;R$&quot;\ * #,##0.00_-;\-&quot;R$&quot;\ * #,##0.00_-;_-&quot;R$&quot;\ * &quot;-&quot;??_-;_-@_-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65" formatCode="_-&quot;R$&quot;\ * #,##0.00_-;\-&quot;R$&quot;\ * #,##0.00_-;_-&quot;R$&quot;\ * &quot;-&quot;??_-;_-@_-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numFmt numFmtId="14" formatCode="0.00%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numFmt numFmtId="14" formatCode="0.00%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numFmt numFmtId="168" formatCode="_-* #,##0.0000_-;\-* #,##0.0000_-;_-* &quot;-&quot;??_-;_-@_-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numFmt numFmtId="168" formatCode="_-* #,##0.0000_-;\-* #,##0.0000_-;_-* &quot;-&quot;??_-;_-@_-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numFmt numFmtId="168" formatCode="_-* #,##0.0000_-;\-* #,##0.0000_-;_-* &quot;-&quot;??_-;_-@_-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numFmt numFmtId="168" formatCode="_-* #,##0.0000_-;\-* #,##0.0000_-;_-* &quot;-&quot;??_-;_-@_-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numFmt numFmtId="165" formatCode="_-&quot;R$&quot;\ * #,##0.00_-;\-&quot;R$&quot;\ * #,##0.00_-;_-&quot;R$&quot;\ * &quot;-&quot;??_-;_-@_-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numFmt numFmtId="34" formatCode="_(&quot;R$ &quot;* #,##0.00_);_(&quot;R$ &quot;* \(#,##0.00\);_(&quot;R$ &quot;* &quot;-&quot;??_);_(@_)"/>
    </dxf>
    <dxf>
      <font>
        <strike val="0"/>
        <outline val="0"/>
        <shadow val="0"/>
        <u val="none"/>
        <vertAlign val="baseline"/>
        <sz val="8"/>
        <color theme="1"/>
        <name val="Calibri"/>
        <scheme val="minor"/>
      </font>
      <numFmt numFmtId="34" formatCode="_(&quot;R$ &quot;* #,##0.00_);_(&quot;R$ &quot;* \(#,##0.00\);_(&quot;R$ &quot;* &quot;-&quot;??_);_(@_)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numFmt numFmtId="34" formatCode="_(&quot;R$ &quot;* #,##0.00_);_(&quot;R$ &quot;* \(#,##0.00\);_(&quot;R$ &quot;* &quot;-&quot;??_);_(@_)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numFmt numFmtId="34" formatCode="_(&quot;R$ &quot;* #,##0.00_);_(&quot;R$ &quot;* \(#,##0.00\);_(&quot;R$ &quot;* &quot;-&quot;??_);_(@_)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numFmt numFmtId="34" formatCode="_(&quot;R$ &quot;* #,##0.00_);_(&quot;R$ &quot;* \(#,##0.00\);_(&quot;R$ &quot;* &quot;-&quot;??_);_(@_)"/>
    </dxf>
    <dxf>
      <font>
        <strike val="0"/>
        <outline val="0"/>
        <shadow val="0"/>
        <u val="none"/>
        <vertAlign val="baseline"/>
        <sz val="8"/>
        <color theme="1"/>
        <name val="Calibri"/>
        <scheme val="minor"/>
      </font>
      <numFmt numFmtId="34" formatCode="_(&quot;R$ &quot;* #,##0.00_);_(&quot;R$ &quot;* \(#,##0.00\);_(&quot;R$ &quot;* &quot;-&quot;??_);_(@_)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numFmt numFmtId="34" formatCode="_(&quot;R$ &quot;* #,##0.00_);_(&quot;R$ &quot;* \(#,##0.00\);_(&quot;R$ &quot;* &quot;-&quot;??_);_(@_)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numFmt numFmtId="34" formatCode="_(&quot;R$ &quot;* #,##0.00_);_(&quot;R$ &quot;* \(#,##0.00\);_(&quot;R$ &quot;* &quot;-&quot;??_);_(@_)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numFmt numFmtId="19" formatCode="d/m/yyyy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numFmt numFmtId="171" formatCode="dd/mm/yyyy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numFmt numFmtId="19" formatCode="d/m/yyyy"/>
    </dxf>
    <dxf>
      <font>
        <strike val="0"/>
        <outline val="0"/>
        <shadow val="0"/>
        <u val="none"/>
        <vertAlign val="baseline"/>
        <sz val="8"/>
        <color theme="1"/>
        <name val="Calibri"/>
        <scheme val="minor"/>
      </font>
    </dxf>
    <dxf>
      <font>
        <strike val="0"/>
        <outline val="0"/>
        <shadow val="0"/>
        <u val="none"/>
        <vertAlign val="baseline"/>
        <sz val="8"/>
        <color theme="1"/>
        <name val="Calibri"/>
        <scheme val="minor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</dxf>
    <dxf>
      <font>
        <strike val="0"/>
        <outline val="0"/>
        <shadow val="0"/>
        <u val="none"/>
        <vertAlign val="baseline"/>
        <sz val="8"/>
        <name val="Calibri"/>
        <scheme val="minor"/>
      </font>
    </dxf>
    <dxf>
      <font>
        <strike val="0"/>
        <outline val="0"/>
        <shadow val="0"/>
        <u val="none"/>
        <vertAlign val="baseline"/>
        <sz val="8"/>
        <name val="Calibri"/>
        <scheme val="minor"/>
      </font>
    </dxf>
    <dxf>
      <font>
        <strike val="0"/>
        <outline val="0"/>
        <shadow val="0"/>
        <u val="none"/>
        <vertAlign val="baseline"/>
        <sz val="8"/>
        <name val="Calibri"/>
        <scheme val="minor"/>
      </font>
    </dxf>
    <dxf>
      <font>
        <strike val="0"/>
        <outline val="0"/>
        <shadow val="0"/>
        <u val="none"/>
        <vertAlign val="baseline"/>
        <sz val="8"/>
        <name val="Calibri"/>
        <scheme val="minor"/>
      </font>
    </dxf>
    <dxf>
      <font>
        <strike val="0"/>
        <outline val="0"/>
        <shadow val="0"/>
        <u val="none"/>
        <vertAlign val="baseline"/>
        <sz val="8"/>
        <name val="Calibri"/>
        <scheme val="minor"/>
      </font>
      <numFmt numFmtId="19" formatCode="d/m/yyyy"/>
    </dxf>
    <dxf>
      <font>
        <strike val="0"/>
        <outline val="0"/>
        <shadow val="0"/>
        <u val="none"/>
        <vertAlign val="baseline"/>
        <sz val="8"/>
        <name val="Calibri"/>
        <scheme val="minor"/>
      </font>
      <numFmt numFmtId="0" formatCode="General"/>
    </dxf>
    <dxf>
      <font>
        <strike val="0"/>
        <outline val="0"/>
        <shadow val="0"/>
        <u val="none"/>
        <vertAlign val="baseline"/>
        <sz val="8"/>
        <name val="Calibri"/>
        <scheme val="minor"/>
      </font>
    </dxf>
    <dxf>
      <font>
        <strike val="0"/>
        <outline val="0"/>
        <shadow val="0"/>
        <u val="none"/>
        <vertAlign val="baseline"/>
        <sz val="8"/>
        <name val="Calibri"/>
        <scheme val="none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</dxf>
    <dxf>
      <font>
        <strike val="0"/>
        <outline val="0"/>
        <shadow val="0"/>
        <u val="none"/>
        <vertAlign val="baseline"/>
        <sz val="8"/>
        <name val="Calibri"/>
        <scheme val="minor"/>
      </font>
    </dxf>
    <dxf>
      <font>
        <strike val="0"/>
        <outline val="0"/>
        <shadow val="0"/>
        <u val="none"/>
        <vertAlign val="baseline"/>
        <sz val="8"/>
        <name val="Calibri"/>
        <scheme val="minor"/>
      </font>
    </dxf>
    <dxf>
      <font>
        <strike val="0"/>
        <outline val="0"/>
        <shadow val="0"/>
        <u val="none"/>
        <vertAlign val="baseline"/>
        <sz val="8"/>
        <name val="Calibri"/>
        <scheme val="minor"/>
      </font>
    </dxf>
    <dxf>
      <font>
        <strike val="0"/>
        <outline val="0"/>
        <shadow val="0"/>
        <u val="none"/>
        <vertAlign val="baseline"/>
        <sz val="8"/>
        <name val="Calibri"/>
        <scheme val="minor"/>
      </font>
    </dxf>
    <dxf>
      <font>
        <strike val="0"/>
        <outline val="0"/>
        <shadow val="0"/>
        <u val="none"/>
        <vertAlign val="baseline"/>
        <sz val="8"/>
        <name val="Calibri"/>
        <scheme val="minor"/>
      </font>
      <numFmt numFmtId="19" formatCode="d/m/yyyy"/>
    </dxf>
    <dxf>
      <font>
        <strike val="0"/>
        <outline val="0"/>
        <shadow val="0"/>
        <u val="none"/>
        <vertAlign val="baseline"/>
        <sz val="8"/>
        <name val="Calibri"/>
        <scheme val="minor"/>
      </font>
      <numFmt numFmtId="0" formatCode="General"/>
    </dxf>
    <dxf>
      <font>
        <strike val="0"/>
        <outline val="0"/>
        <shadow val="0"/>
        <u val="none"/>
        <vertAlign val="baseline"/>
        <sz val="8"/>
        <name val="Calibri"/>
        <scheme val="minor"/>
      </font>
    </dxf>
    <dxf>
      <font>
        <strike val="0"/>
        <outline val="0"/>
        <shadow val="0"/>
        <u val="none"/>
        <vertAlign val="baseline"/>
        <sz val="8"/>
        <name val="Calibri"/>
        <scheme val="none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</dxf>
    <dxf>
      <font>
        <strike val="0"/>
        <outline val="0"/>
        <shadow val="0"/>
        <u val="none"/>
        <vertAlign val="baseline"/>
        <sz val="8"/>
        <name val="Calibri"/>
        <scheme val="minor"/>
      </font>
    </dxf>
    <dxf>
      <font>
        <strike val="0"/>
        <outline val="0"/>
        <shadow val="0"/>
        <u val="none"/>
        <vertAlign val="baseline"/>
        <sz val="8"/>
        <name val="Calibri"/>
        <scheme val="minor"/>
      </font>
    </dxf>
    <dxf>
      <font>
        <strike val="0"/>
        <outline val="0"/>
        <shadow val="0"/>
        <u val="none"/>
        <vertAlign val="baseline"/>
        <sz val="8"/>
        <name val="Calibri"/>
        <scheme val="minor"/>
      </font>
    </dxf>
    <dxf>
      <font>
        <strike val="0"/>
        <outline val="0"/>
        <shadow val="0"/>
        <u val="none"/>
        <vertAlign val="baseline"/>
        <sz val="8"/>
        <name val="Calibri"/>
        <scheme val="minor"/>
      </font>
    </dxf>
    <dxf>
      <font>
        <strike val="0"/>
        <outline val="0"/>
        <shadow val="0"/>
        <u val="none"/>
        <vertAlign val="baseline"/>
        <sz val="8"/>
        <name val="Calibri"/>
        <scheme val="minor"/>
      </font>
      <numFmt numFmtId="19" formatCode="d/m/yyyy"/>
    </dxf>
    <dxf>
      <font>
        <strike val="0"/>
        <outline val="0"/>
        <shadow val="0"/>
        <u val="none"/>
        <vertAlign val="baseline"/>
        <sz val="8"/>
        <name val="Calibri"/>
        <scheme val="minor"/>
      </font>
      <numFmt numFmtId="0" formatCode="General"/>
    </dxf>
    <dxf>
      <font>
        <strike val="0"/>
        <outline val="0"/>
        <shadow val="0"/>
        <u val="none"/>
        <vertAlign val="baseline"/>
        <sz val="8"/>
        <name val="Calibri"/>
        <scheme val="minor"/>
      </font>
    </dxf>
    <dxf>
      <font>
        <strike val="0"/>
        <outline val="0"/>
        <shadow val="0"/>
        <u val="none"/>
        <vertAlign val="baseline"/>
        <sz val="8"/>
        <name val="Calibri"/>
        <scheme val="none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</dxf>
    <dxf>
      <font>
        <strike val="0"/>
        <outline val="0"/>
        <shadow val="0"/>
        <u val="none"/>
        <vertAlign val="baseline"/>
        <sz val="8"/>
        <name val="Calibri"/>
        <scheme val="minor"/>
      </font>
    </dxf>
    <dxf>
      <font>
        <strike val="0"/>
        <outline val="0"/>
        <shadow val="0"/>
        <u val="none"/>
        <vertAlign val="baseline"/>
        <sz val="8"/>
        <name val="Calibri"/>
        <scheme val="minor"/>
      </font>
    </dxf>
    <dxf>
      <font>
        <strike val="0"/>
        <outline val="0"/>
        <shadow val="0"/>
        <u val="none"/>
        <vertAlign val="baseline"/>
        <sz val="8"/>
        <name val="Calibri"/>
        <scheme val="minor"/>
      </font>
    </dxf>
    <dxf>
      <font>
        <strike val="0"/>
        <outline val="0"/>
        <shadow val="0"/>
        <u val="none"/>
        <vertAlign val="baseline"/>
        <sz val="8"/>
        <name val="Calibri"/>
        <scheme val="minor"/>
      </font>
    </dxf>
    <dxf>
      <font>
        <strike val="0"/>
        <outline val="0"/>
        <shadow val="0"/>
        <u val="none"/>
        <vertAlign val="baseline"/>
        <sz val="8"/>
        <name val="Calibri"/>
        <scheme val="minor"/>
      </font>
      <numFmt numFmtId="19" formatCode="d/m/yyyy"/>
    </dxf>
    <dxf>
      <font>
        <strike val="0"/>
        <outline val="0"/>
        <shadow val="0"/>
        <u val="none"/>
        <vertAlign val="baseline"/>
        <sz val="8"/>
        <name val="Calibri"/>
        <scheme val="minor"/>
      </font>
      <numFmt numFmtId="0" formatCode="General"/>
    </dxf>
    <dxf>
      <font>
        <strike val="0"/>
        <outline val="0"/>
        <shadow val="0"/>
        <u val="none"/>
        <vertAlign val="baseline"/>
        <sz val="8"/>
        <name val="Calibri"/>
        <scheme val="minor"/>
      </font>
    </dxf>
    <dxf>
      <font>
        <strike val="0"/>
        <outline val="0"/>
        <shadow val="0"/>
        <u val="none"/>
        <vertAlign val="baseline"/>
        <sz val="8"/>
        <name val="Calibri"/>
        <scheme val="none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</dxf>
    <dxf>
      <font>
        <strike val="0"/>
        <outline val="0"/>
        <shadow val="0"/>
        <u val="none"/>
        <vertAlign val="baseline"/>
        <sz val="8"/>
        <name val="Calibri"/>
        <scheme val="minor"/>
      </font>
    </dxf>
    <dxf>
      <font>
        <strike val="0"/>
        <outline val="0"/>
        <shadow val="0"/>
        <u val="none"/>
        <vertAlign val="baseline"/>
        <sz val="8"/>
        <name val="Calibri"/>
        <scheme val="minor"/>
      </font>
    </dxf>
    <dxf>
      <font>
        <strike val="0"/>
        <outline val="0"/>
        <shadow val="0"/>
        <u val="none"/>
        <vertAlign val="baseline"/>
        <sz val="8"/>
        <name val="Calibri"/>
        <scheme val="minor"/>
      </font>
    </dxf>
    <dxf>
      <font>
        <strike val="0"/>
        <outline val="0"/>
        <shadow val="0"/>
        <u val="none"/>
        <vertAlign val="baseline"/>
        <sz val="8"/>
        <name val="Calibri"/>
        <scheme val="minor"/>
      </font>
    </dxf>
    <dxf>
      <font>
        <strike val="0"/>
        <outline val="0"/>
        <shadow val="0"/>
        <u val="none"/>
        <vertAlign val="baseline"/>
        <sz val="8"/>
        <name val="Calibri"/>
        <scheme val="minor"/>
      </font>
      <numFmt numFmtId="19" formatCode="d/m/yyyy"/>
    </dxf>
    <dxf>
      <font>
        <strike val="0"/>
        <outline val="0"/>
        <shadow val="0"/>
        <u val="none"/>
        <vertAlign val="baseline"/>
        <sz val="8"/>
        <name val="Calibri"/>
        <scheme val="minor"/>
      </font>
      <numFmt numFmtId="0" formatCode="General"/>
    </dxf>
    <dxf>
      <font>
        <strike val="0"/>
        <outline val="0"/>
        <shadow val="0"/>
        <u val="none"/>
        <vertAlign val="baseline"/>
        <sz val="8"/>
        <name val="Calibri"/>
        <scheme val="minor"/>
      </font>
    </dxf>
    <dxf>
      <font>
        <strike val="0"/>
        <outline val="0"/>
        <shadow val="0"/>
        <u val="none"/>
        <vertAlign val="baseline"/>
        <sz val="8"/>
        <name val="Calibri"/>
        <scheme val="minor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numFmt numFmtId="165" formatCode="_-&quot;R$&quot;\ * #,##0.00_-;\-&quot;R$&quot;\ * #,##0.00_-;_-&quot;R$&quot;\ * &quot;-&quot;??_-;_-@_-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numFmt numFmtId="165" formatCode="_-&quot;R$&quot;\ * #,##0.00_-;\-&quot;R$&quot;\ * #,##0.00_-;_-&quot;R$&quot;\ * &quot;-&quot;??_-;_-@_-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numFmt numFmtId="165" formatCode="_-&quot;R$&quot;\ * #,##0.00_-;\-&quot;R$&quot;\ * #,##0.00_-;_-&quot;R$&quot;\ * &quot;-&quot;??_-;_-@_-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numFmt numFmtId="165" formatCode="_-&quot;R$&quot;\ * #,##0.00_-;\-&quot;R$&quot;\ * #,##0.00_-;_-&quot;R$&quot;\ * &quot;-&quot;??_-;_-@_-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numFmt numFmtId="165" formatCode="_-&quot;R$&quot;\ * #,##0.00_-;\-&quot;R$&quot;\ * #,##0.00_-;_-&quot;R$&quot;\ * &quot;-&quot;??_-;_-@_-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numFmt numFmtId="165" formatCode="_-&quot;R$&quot;\ * #,##0.00_-;\-&quot;R$&quot;\ * #,##0.00_-;_-&quot;R$&quot;\ * &quot;-&quot;??_-;_-@_-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numFmt numFmtId="14" formatCode="0.00%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numFmt numFmtId="14" formatCode="0.00%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numFmt numFmtId="170" formatCode="_-&quot;R$&quot;\ * #,##0.0000_-;\-&quot;R$&quot;\ * #,##0.0000_-;_-&quot;R$&quot;\ * &quot;-&quot;??_-;_-@_-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numFmt numFmtId="170" formatCode="_-&quot;R$&quot;\ * #,##0.0000_-;\-&quot;R$&quot;\ * #,##0.0000_-;_-&quot;R$&quot;\ * &quot;-&quot;??_-;_-@_-"/>
    </dxf>
    <dxf>
      <numFmt numFmtId="2" formatCode="0.0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numFmt numFmtId="13" formatCode="0%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numFmt numFmtId="165" formatCode="_-&quot;R$&quot;\ * #,##0.00_-;\-&quot;R$&quot;\ * #,##0.00_-;_-&quot;R$&quot;\ * &quot;-&quot;??_-;_-@_-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numFmt numFmtId="165" formatCode="_-&quot;R$&quot;\ * #,##0.00_-;\-&quot;R$&quot;\ * #,##0.00_-;_-&quot;R$&quot;\ * &quot;-&quot;??_-;_-@_-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numFmt numFmtId="165" formatCode="_-&quot;R$&quot;\ * #,##0.00_-;\-&quot;R$&quot;\ * #,##0.00_-;_-&quot;R$&quot;\ * &quot;-&quot;??_-;_-@_-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numFmt numFmtId="170" formatCode="_-&quot;R$&quot;\ * #,##0.0000_-;\-&quot;R$&quot;\ * #,##0.0000_-;_-&quot;R$&quot;\ * &quot;-&quot;??_-;_-@_-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numFmt numFmtId="170" formatCode="_-&quot;R$&quot;\ * #,##0.0000_-;\-&quot;R$&quot;\ * #,##0.0000_-;_-&quot;R$&quot;\ * &quot;-&quot;??_-;_-@_-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numFmt numFmtId="170" formatCode="_-&quot;R$&quot;\ * #,##0.0000_-;\-&quot;R$&quot;\ * #,##0.0000_-;_-&quot;R$&quot;\ * &quot;-&quot;??_-;_-@_-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numFmt numFmtId="170" formatCode="_-&quot;R$&quot;\ * #,##0.0000_-;\-&quot;R$&quot;\ * #,##0.0000_-;_-&quot;R$&quot;\ * &quot;-&quot;??_-;_-@_-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numFmt numFmtId="170" formatCode="_-&quot;R$&quot;\ * #,##0.0000_-;\-&quot;R$&quot;\ * #,##0.0000_-;_-&quot;R$&quot;\ * &quot;-&quot;??_-;_-@_-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numFmt numFmtId="167" formatCode="_-* #,##0_-;\-* #,##0_-;_-* &quot;-&quot;??_-;_-@_-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numFmt numFmtId="165" formatCode="_-&quot;R$&quot;\ * #,##0.00_-;\-&quot;R$&quot;\ * #,##0.00_-;_-&quot;R$&quot;\ * &quot;-&quot;??_-;_-@_-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numFmt numFmtId="165" formatCode="_-&quot;R$&quot;\ * #,##0.00_-;\-&quot;R$&quot;\ * #,##0.00_-;_-&quot;R$&quot;\ * &quot;-&quot;??_-;_-@_-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numFmt numFmtId="165" formatCode="_-&quot;R$&quot;\ * #,##0.00_-;\-&quot;R$&quot;\ * #,##0.00_-;_-&quot;R$&quot;\ * &quot;-&quot;??_-;_-@_-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numFmt numFmtId="165" formatCode="_-&quot;R$&quot;\ * #,##0.00_-;\-&quot;R$&quot;\ * #,##0.00_-;_-&quot;R$&quot;\ * &quot;-&quot;??_-;_-@_-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numFmt numFmtId="14" formatCode="0.00%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numFmt numFmtId="14" formatCode="0.00%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numFmt numFmtId="14" formatCode="0.00%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numFmt numFmtId="14" formatCode="0.00%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numFmt numFmtId="2" formatCode="0.0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numFmt numFmtId="2" formatCode="0.0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numFmt numFmtId="165" formatCode="_-&quot;R$&quot;\ * #,##0.00_-;\-&quot;R$&quot;\ * #,##0.00_-;_-&quot;R$&quot;\ * &quot;-&quot;??_-;_-@_-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numFmt numFmtId="34" formatCode="_(&quot;R$ &quot;* #,##0.00_);_(&quot;R$ &quot;* \(#,##0.00\);_(&quot;R$ &quot;* &quot;-&quot;??_);_(@_)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numFmt numFmtId="165" formatCode="_-&quot;R$&quot;\ * #,##0.00_-;\-&quot;R$&quot;\ * #,##0.00_-;_-&quot;R$&quot;\ * &quot;-&quot;??_-;_-@_-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numFmt numFmtId="165" formatCode="_-&quot;R$&quot;\ * #,##0.00_-;\-&quot;R$&quot;\ * #,##0.00_-;_-&quot;R$&quot;\ * &quot;-&quot;??_-;_-@_-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numFmt numFmtId="165" formatCode="_-&quot;R$&quot;\ * #,##0.00_-;\-&quot;R$&quot;\ * #,##0.00_-;_-&quot;R$&quot;\ * &quot;-&quot;??_-;_-@_-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numFmt numFmtId="14" formatCode="0.00%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numFmt numFmtId="14" formatCode="0.00%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numFmt numFmtId="13" formatCode="0%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numFmt numFmtId="167" formatCode="_-* #,##0_-;\-* #,##0_-;_-* &quot;-&quot;??_-;_-@_-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theme" Target="theme/theme1.xml"/><Relationship Id="rId1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pivotCacheDefinition" Target="pivotCache/pivotCacheDefinition1.xml"/><Relationship Id="rId17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externalLink" Target="externalLinks/externalLink1.xml"/><Relationship Id="rId5" Type="http://schemas.openxmlformats.org/officeDocument/2006/relationships/worksheet" Target="worksheets/sheet5.xml"/><Relationship Id="rId15" Type="http://schemas.openxmlformats.org/officeDocument/2006/relationships/styles" Target="style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onnections" Target="connections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C&#243;pia%20de%20dividendo.xlsx" TargetMode="External"/></Relationships>
</file>

<file path=xl/externalLinks/externalLink1.xml><?xml version="1.0" encoding="utf-8"?>
<externalLink xmlns="http://schemas.openxmlformats.org/spreadsheetml/2006/main">
  <externalBook xmlns:r="http://schemas.openxmlformats.org/officeDocument/2006/relationships" r:id="rId1">
    <sheetNames>
      <sheetName val="Patrimonio"/>
      <sheetName val="Proventos"/>
      <sheetName val="Tabela Proventos"/>
      <sheetName val="Cotacoes"/>
    </sheetNames>
    <sheetDataSet>
      <sheetData sheetId="0"/>
      <sheetData sheetId="1"/>
      <sheetData sheetId="2"/>
      <sheetData sheetId="3"/>
    </sheetDataSet>
  </externalBook>
</externalLink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edBy="Engelbert" refreshedDate="41677.992990046296" createdVersion="3" refreshedVersion="4" minRefreshableVersion="3" recordCount="2">
  <cacheSource type="worksheet">
    <worksheetSource name="Table4"/>
  </cacheSource>
  <cacheFields count="14">
    <cacheField name="Data Liquidação" numFmtId="14">
      <sharedItems containsSemiMixedTypes="0" containsNonDate="0" containsDate="1" containsString="0" minDate="2014-01-06T00:00:00" maxDate="2015-05-06T00:00:00" count="12">
        <d v="2014-01-06T00:00:00"/>
        <d v="2014-02-03T00:00:00"/>
        <d v="2014-01-08T00:00:00" u="1"/>
        <d v="2014-01-30T00:00:00" u="1"/>
        <d v="2014-05-30T00:00:00" u="1"/>
        <d v="2015-01-30T00:00:00" u="1"/>
        <d v="2014-05-05T00:00:00" u="1"/>
        <d v="2015-05-05T00:00:00" u="1"/>
        <d v="2014-05-06T00:00:00" u="1"/>
        <d v="2014-07-08T00:00:00" u="1"/>
        <d v="2014-01-07T00:00:00" u="1"/>
        <d v="2014-01-20T00:00:00" u="1"/>
      </sharedItems>
    </cacheField>
    <cacheField name="Dia" numFmtId="0">
      <sharedItems containsSemiMixedTypes="0" containsString="0" containsNumber="1" containsInteger="1" minValue="3" maxValue="6"/>
    </cacheField>
    <cacheField name="Mês" numFmtId="0">
      <sharedItems containsSemiMixedTypes="0" containsString="0" containsNumber="1" containsInteger="1" minValue="1" maxValue="2"/>
    </cacheField>
    <cacheField name="Ano" numFmtId="0">
      <sharedItems containsSemiMixedTypes="0" containsString="0" containsNumber="1" containsInteger="1" minValue="2014" maxValue="2015" count="2">
        <n v="2014"/>
        <n v="2015" u="1"/>
      </sharedItems>
    </cacheField>
    <cacheField name="Nome" numFmtId="0">
      <sharedItems count="2">
        <s v="AELP3"/>
        <s v="UNIP6"/>
      </sharedItems>
    </cacheField>
    <cacheField name="Aplicação" numFmtId="44">
      <sharedItems containsSemiMixedTypes="0" containsString="0" containsNumber="1" minValue="315.86" maxValue="940.06"/>
    </cacheField>
    <cacheField name="Taxas" numFmtId="44">
      <sharedItems containsSemiMixedTypes="0" containsString="0" containsNumber="1" containsInteger="1" minValue="0" maxValue="0"/>
    </cacheField>
    <cacheField name="Resgates" numFmtId="44">
      <sharedItems containsSemiMixedTypes="0" containsString="0" containsNumber="1" containsInteger="1" minValue="0" maxValue="0"/>
    </cacheField>
    <cacheField name="Dividendo" numFmtId="44">
      <sharedItems containsSemiMixedTypes="0" containsString="0" containsNumber="1" containsInteger="1" minValue="0" maxValue="0"/>
    </cacheField>
    <cacheField name="JPC" numFmtId="165">
      <sharedItems containsString="0" containsBlank="1" containsNumber="1" containsInteger="1" minValue="0" maxValue="0"/>
    </cacheField>
    <cacheField name="Quantidade" numFmtId="0">
      <sharedItems containsSemiMixedTypes="0" containsString="0" containsNumber="1" containsInteger="1" minValue="100" maxValue="600"/>
    </cacheField>
    <cacheField name="Preço Médio" numFmtId="168">
      <sharedItems containsSemiMixedTypes="0" containsString="0" containsNumber="1" minValue="0.52643333333333331" maxValue="9.400599999999999"/>
    </cacheField>
    <cacheField name="Lucro p/ Ação" numFmtId="168">
      <sharedItems containsSemiMixedTypes="0" containsString="0" containsNumber="1" containsInteger="1" minValue="0" maxValue="0"/>
    </cacheField>
    <cacheField name="Rentabilidade" numFmtId="10">
      <sharedItems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2">
  <r>
    <x v="0"/>
    <n v="6"/>
    <n v="1"/>
    <x v="0"/>
    <x v="0"/>
    <n v="940.06"/>
    <n v="0"/>
    <n v="0"/>
    <n v="0"/>
    <m/>
    <n v="100"/>
    <n v="9.400599999999999"/>
    <n v="0"/>
    <s v=""/>
  </r>
  <r>
    <x v="1"/>
    <n v="3"/>
    <n v="2"/>
    <x v="0"/>
    <x v="1"/>
    <n v="315.86"/>
    <n v="0"/>
    <n v="0"/>
    <n v="0"/>
    <n v="0"/>
    <n v="600"/>
    <n v="0.52643333333333331"/>
    <n v="0"/>
    <s v="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name="Tabela dinâmica1" cacheId="0" applyNumberFormats="0" applyBorderFormats="0" applyFontFormats="0" applyPatternFormats="0" applyAlignmentFormats="0" applyWidthHeightFormats="1" dataCaption="Valores" updatedVersion="4" minRefreshableVersion="3" showCalcMbrs="0" useAutoFormatting="1" itemPrintTitles="1" createdVersion="3" indent="0" outline="1" outlineData="1" multipleFieldFilters="0">
  <location ref="A3:G7" firstHeaderRow="1" firstDataRow="2" firstDataCol="1"/>
  <pivotFields count="14">
    <pivotField axis="axisRow" showAll="0">
      <items count="13">
        <item x="0"/>
        <item m="1" x="11"/>
        <item m="1" x="3"/>
        <item m="1" x="6"/>
        <item m="1" x="8"/>
        <item m="1" x="4"/>
        <item m="1" x="5"/>
        <item m="1" x="7"/>
        <item m="1" x="10"/>
        <item m="1" x="9"/>
        <item m="1" x="2"/>
        <item x="1"/>
        <item t="default"/>
      </items>
    </pivotField>
    <pivotField showAll="0" defaultSubtotal="0"/>
    <pivotField showAll="0" defaultSubtotal="0"/>
    <pivotField axis="axisRow" showAll="0" defaultSubtotal="0">
      <items count="2">
        <item sd="0" x="0"/>
        <item sd="0" m="1" x="1"/>
      </items>
    </pivotField>
    <pivotField axis="axisRow" showAll="0">
      <items count="3">
        <item sd="0" x="0"/>
        <item sd="0" x="1"/>
        <item t="default"/>
      </items>
    </pivotField>
    <pivotField dataField="1" numFmtId="165" showAll="0"/>
    <pivotField numFmtId="165" showAll="0"/>
    <pivotField numFmtId="165" showAll="0"/>
    <pivotField dataField="1" numFmtId="44" showAll="0" defaultSubtotal="0"/>
    <pivotField dataField="1" showAll="0" defaultSubtotal="0"/>
    <pivotField dataField="1" showAll="0"/>
    <pivotField numFmtId="168" showAll="0"/>
    <pivotField dataField="1" numFmtId="168" showAll="0"/>
    <pivotField dataField="1" numFmtId="10" showAll="0"/>
  </pivotFields>
  <rowFields count="3">
    <field x="4"/>
    <field x="3"/>
    <field x="0"/>
  </rowFields>
  <rowItems count="3">
    <i>
      <x/>
    </i>
    <i>
      <x v="1"/>
    </i>
    <i t="grand">
      <x/>
    </i>
  </rowItems>
  <colFields count="1">
    <field x="-2"/>
  </colFields>
  <colItems count="6">
    <i>
      <x/>
    </i>
    <i i="1">
      <x v="1"/>
    </i>
    <i i="2">
      <x v="2"/>
    </i>
    <i i="3">
      <x v="3"/>
    </i>
    <i i="4">
      <x v="4"/>
    </i>
    <i i="5">
      <x v="5"/>
    </i>
  </colItems>
  <dataFields count="6">
    <dataField name="Total Aplicado" fld="5" baseField="0" baseItem="0" numFmtId="44"/>
    <dataField name="Total de Ativos" fld="10" baseField="0" baseItem="0"/>
    <dataField name="Total Dividendo" fld="8" baseField="0" baseItem="0" numFmtId="44"/>
    <dataField name="Total JPC" fld="9" baseField="0" baseItem="0" numFmtId="44"/>
    <dataField name="Total Lucro p/ Ação" fld="12" baseField="0" baseItem="0" numFmtId="44"/>
    <dataField name="% Rentabilidade" fld="13" baseField="0" baseItem="0" numFmtId="10"/>
  </dataFields>
  <pivotTableStyleInfo name="PivotStyleLight16" showRowHeaders="1" showColHeaders="1" showRowStripes="0" showColStripes="0" showLastColumn="1"/>
</pivotTableDefinition>
</file>

<file path=xl/queryTables/queryTable1.xml><?xml version="1.0" encoding="utf-8"?>
<queryTable xmlns="http://schemas.openxmlformats.org/spreadsheetml/2006/main" name="DadosExternos_257" connectionId="89" autoFormatId="16" applyNumberFormats="0" applyBorderFormats="0" applyFontFormats="1" applyPatternFormats="1" applyAlignmentFormats="0" applyWidthHeightFormats="0"/>
</file>

<file path=xl/queryTables/queryTable2.xml><?xml version="1.0" encoding="utf-8"?>
<queryTable xmlns="http://schemas.openxmlformats.org/spreadsheetml/2006/main" name="ExternalData_26" connectionId="1054" autoFormatId="16" applyNumberFormats="0" applyBorderFormats="0" applyFontFormats="1" applyPatternFormats="1" applyAlignmentFormats="0" applyWidthHeightFormats="0"/>
</file>

<file path=xl/queryTables/queryTable3.xml><?xml version="1.0" encoding="utf-8"?>
<queryTable xmlns="http://schemas.openxmlformats.org/spreadsheetml/2006/main" name="DadosExternos_178" connectionId="749" autoFormatId="16" applyNumberFormats="0" applyBorderFormats="0" applyFontFormats="1" applyPatternFormats="1" applyAlignmentFormats="0" applyWidthHeightFormats="0"/>
</file>

<file path=xl/queryTables/queryTable4.xml><?xml version="1.0" encoding="utf-8"?>
<queryTable xmlns="http://schemas.openxmlformats.org/spreadsheetml/2006/main" name="DadosExternos_106" connectionId="45" autoFormatId="16" applyNumberFormats="0" applyBorderFormats="0" applyFontFormats="1" applyPatternFormats="1" applyAlignmentFormats="0" applyWidthHeightFormats="0"/>
</file>

<file path=xl/queryTables/queryTable5.xml><?xml version="1.0" encoding="utf-8"?>
<queryTable xmlns="http://schemas.openxmlformats.org/spreadsheetml/2006/main" name="DadosExternos_8" connectionId="688" autoFormatId="16" applyNumberFormats="0" applyBorderFormats="0" applyFontFormats="1" applyPatternFormats="1" applyAlignmentFormats="0" applyWidthHeightFormats="0"/>
</file>

<file path=xl/queryTables/queryTable6.xml><?xml version="1.0" encoding="utf-8"?>
<queryTable xmlns="http://schemas.openxmlformats.org/spreadsheetml/2006/main" name="DadosExternos_241" connectionId="416" autoFormatId="16" applyNumberFormats="0" applyBorderFormats="0" applyFontFormats="1" applyPatternFormats="1" applyAlignmentFormats="0" applyWidthHeightFormats="0"/>
</file>

<file path=xl/queryTables/queryTable7.xml><?xml version="1.0" encoding="utf-8"?>
<queryTable xmlns="http://schemas.openxmlformats.org/spreadsheetml/2006/main" name="DadosExternos_230" connectionId="358" autoFormatId="16" applyNumberFormats="0" applyBorderFormats="0" applyFontFormats="1" applyPatternFormats="1" applyAlignmentFormats="0" applyWidthHeightFormats="0"/>
</file>

<file path=xl/queryTables/queryTable8.xml><?xml version="1.0" encoding="utf-8"?>
<queryTable xmlns="http://schemas.openxmlformats.org/spreadsheetml/2006/main" name="DadosExternos_187" connectionId="110" autoFormatId="16" applyNumberFormats="0" applyBorderFormats="0" applyFontFormats="1" applyPatternFormats="1" applyAlignmentFormats="0" applyWidthHeightFormats="0"/>
</file>

<file path=xl/queryTables/queryTable9.xml><?xml version="1.0" encoding="utf-8"?>
<queryTable xmlns="http://schemas.openxmlformats.org/spreadsheetml/2006/main" name="DadosExternos_202" connectionId="237" autoFormatId="16" applyNumberFormats="0" applyBorderFormats="0" applyFontFormats="1" applyPatternFormats="1" applyAlignmentFormats="0" applyWidthHeightFormats="0"/>
</file>

<file path=xl/queryTables/queryTable10.xml><?xml version="1.0" encoding="utf-8"?>
<queryTable xmlns="http://schemas.openxmlformats.org/spreadsheetml/2006/main" name="DadosExternos_206" connectionId="270" autoFormatId="16" applyNumberFormats="0" applyBorderFormats="0" applyFontFormats="1" applyPatternFormats="1" applyAlignmentFormats="0" applyWidthHeightFormats="0"/>
</file>

<file path=xl/queryTables/queryTable11.xml><?xml version="1.0" encoding="utf-8"?>
<queryTable xmlns="http://schemas.openxmlformats.org/spreadsheetml/2006/main" name="DadosExternos_96" connectionId="2" autoFormatId="16" applyNumberFormats="0" applyBorderFormats="0" applyFontFormats="1" applyPatternFormats="1" applyAlignmentFormats="0" applyWidthHeightFormats="0"/>
</file>

<file path=xl/queryTables/queryTable12.xml><?xml version="1.0" encoding="utf-8"?>
<queryTable xmlns="http://schemas.openxmlformats.org/spreadsheetml/2006/main" name="ExternalData_10" connectionId="1096" autoFormatId="16" applyNumberFormats="0" applyBorderFormats="0" applyFontFormats="1" applyPatternFormats="1" applyAlignmentFormats="0" applyWidthHeightFormats="0"/>
</file>

<file path=xl/queryTables/queryTable13.xml><?xml version="1.0" encoding="utf-8"?>
<queryTable xmlns="http://schemas.openxmlformats.org/spreadsheetml/2006/main" name="DadosExternos_204" connectionId="243" autoFormatId="16" applyNumberFormats="0" applyBorderFormats="0" applyFontFormats="1" applyPatternFormats="1" applyAlignmentFormats="0" applyWidthHeightFormats="0"/>
</file>

<file path=xl/queryTables/queryTable14.xml><?xml version="1.0" encoding="utf-8"?>
<queryTable xmlns="http://schemas.openxmlformats.org/spreadsheetml/2006/main" name="DadosExternos_164" connectionId="685" autoFormatId="16" applyNumberFormats="0" applyBorderFormats="0" applyFontFormats="1" applyPatternFormats="1" applyAlignmentFormats="0" applyWidthHeightFormats="0"/>
</file>

<file path=xl/queryTables/queryTable15.xml><?xml version="1.0" encoding="utf-8"?>
<queryTable xmlns="http://schemas.openxmlformats.org/spreadsheetml/2006/main" name="DadosExternos_44" connectionId="194" autoFormatId="16" applyNumberFormats="0" applyBorderFormats="0" applyFontFormats="1" applyPatternFormats="1" applyAlignmentFormats="0" applyWidthHeightFormats="0"/>
</file>

<file path=xl/queryTables/queryTable16.xml><?xml version="1.0" encoding="utf-8"?>
<queryTable xmlns="http://schemas.openxmlformats.org/spreadsheetml/2006/main" name="DadosExternos_147" connectionId="620" autoFormatId="16" applyNumberFormats="0" applyBorderFormats="0" applyFontFormats="1" applyPatternFormats="1" applyAlignmentFormats="0" applyWidthHeightFormats="0"/>
</file>

<file path=xl/queryTables/queryTable17.xml><?xml version="1.0" encoding="utf-8"?>
<queryTable xmlns="http://schemas.openxmlformats.org/spreadsheetml/2006/main" name="ExternalData_22" connectionId="807" autoFormatId="16" applyNumberFormats="0" applyBorderFormats="0" applyFontFormats="1" applyPatternFormats="1" applyAlignmentFormats="0" applyWidthHeightFormats="0"/>
</file>

<file path=xl/queryTables/queryTable18.xml><?xml version="1.0" encoding="utf-8"?>
<queryTable xmlns="http://schemas.openxmlformats.org/spreadsheetml/2006/main" name="DadosExternos_69" connectionId="226" autoFormatId="16" applyNumberFormats="0" applyBorderFormats="0" applyFontFormats="1" applyPatternFormats="1" applyAlignmentFormats="0" applyWidthHeightFormats="0"/>
</file>

<file path=xl/queryTables/queryTable19.xml><?xml version="1.0" encoding="utf-8"?>
<queryTable xmlns="http://schemas.openxmlformats.org/spreadsheetml/2006/main" name="DadosExternos_159" connectionId="667" autoFormatId="16" applyNumberFormats="0" applyBorderFormats="0" applyFontFormats="1" applyPatternFormats="1" applyAlignmentFormats="0" applyWidthHeightFormats="0"/>
</file>

<file path=xl/queryTables/queryTable20.xml><?xml version="1.0" encoding="utf-8"?>
<queryTable xmlns="http://schemas.openxmlformats.org/spreadsheetml/2006/main" name="DadosExternos_201" connectionId="236" autoFormatId="16" applyNumberFormats="0" applyBorderFormats="0" applyFontFormats="1" applyPatternFormats="1" applyAlignmentFormats="0" applyWidthHeightFormats="0"/>
</file>

<file path=xl/queryTables/queryTable21.xml><?xml version="1.0" encoding="utf-8"?>
<queryTable xmlns="http://schemas.openxmlformats.org/spreadsheetml/2006/main" name="DadosExternos_216" connectionId="304" autoFormatId="16" applyNumberFormats="0" applyBorderFormats="0" applyFontFormats="1" applyPatternFormats="1" applyAlignmentFormats="0" applyWidthHeightFormats="0"/>
</file>

<file path=xl/queryTables/queryTable22.xml><?xml version="1.0" encoding="utf-8"?>
<queryTable xmlns="http://schemas.openxmlformats.org/spreadsheetml/2006/main" name="DadosExternos_171" connectionId="718" autoFormatId="16" applyNumberFormats="0" applyBorderFormats="0" applyFontFormats="1" applyPatternFormats="1" applyAlignmentFormats="0" applyWidthHeightFormats="0"/>
</file>

<file path=xl/queryTables/queryTable23.xml><?xml version="1.0" encoding="utf-8"?>
<queryTable xmlns="http://schemas.openxmlformats.org/spreadsheetml/2006/main" name="DadosExternos_113" connectionId="194" autoFormatId="16" applyNumberFormats="0" applyBorderFormats="0" applyFontFormats="1" applyPatternFormats="1" applyAlignmentFormats="0" applyWidthHeightFormats="0"/>
</file>

<file path=xl/queryTables/queryTable24.xml><?xml version="1.0" encoding="utf-8"?>
<queryTable xmlns="http://schemas.openxmlformats.org/spreadsheetml/2006/main" name="DadosExternos_7" connectionId="647" autoFormatId="16" applyNumberFormats="0" applyBorderFormats="0" applyFontFormats="1" applyPatternFormats="1" applyAlignmentFormats="0" applyWidthHeightFormats="0"/>
</file>

<file path=xl/queryTables/queryTable25.xml><?xml version="1.0" encoding="utf-8"?>
<queryTable xmlns="http://schemas.openxmlformats.org/spreadsheetml/2006/main" name="DadosExternos_97" connectionId="226" autoFormatId="16" applyNumberFormats="0" applyBorderFormats="0" applyFontFormats="1" applyPatternFormats="1" applyAlignmentFormats="0" applyWidthHeightFormats="0"/>
</file>

<file path=xl/queryTables/queryTable26.xml><?xml version="1.0" encoding="utf-8"?>
<queryTable xmlns="http://schemas.openxmlformats.org/spreadsheetml/2006/main" name="DadosExternos_186" connectionId="102" autoFormatId="16" applyNumberFormats="0" applyBorderFormats="0" applyFontFormats="1" applyPatternFormats="1" applyAlignmentFormats="0" applyWidthHeightFormats="0"/>
</file>

<file path=xl/queryTables/queryTable27.xml><?xml version="1.0" encoding="utf-8"?>
<queryTable xmlns="http://schemas.openxmlformats.org/spreadsheetml/2006/main" name="DadosExternos_73" connectionId="647" autoFormatId="16" applyNumberFormats="0" applyBorderFormats="0" applyFontFormats="1" applyPatternFormats="1" applyAlignmentFormats="0" applyWidthHeightFormats="0"/>
</file>

<file path=xl/queryTables/queryTable28.xml><?xml version="1.0" encoding="utf-8"?>
<queryTable xmlns="http://schemas.openxmlformats.org/spreadsheetml/2006/main" name="DadosExternos_11" connectionId="1" autoFormatId="16" applyNumberFormats="0" applyBorderFormats="0" applyFontFormats="1" applyPatternFormats="1" applyAlignmentFormats="0" applyWidthHeightFormats="0"/>
</file>

<file path=xl/queryTables/queryTable29.xml><?xml version="1.0" encoding="utf-8"?>
<queryTable xmlns="http://schemas.openxmlformats.org/spreadsheetml/2006/main" name="DadosExternos_167" connectionId="703" autoFormatId="16" applyNumberFormats="0" applyBorderFormats="0" applyFontFormats="1" applyPatternFormats="1" applyAlignmentFormats="0" applyWidthHeightFormats="0"/>
</file>

<file path=xl/queryTables/queryTable30.xml><?xml version="1.0" encoding="utf-8"?>
<queryTable xmlns="http://schemas.openxmlformats.org/spreadsheetml/2006/main" name="DadosExternos_142" connectionId="597" autoFormatId="16" applyNumberFormats="0" applyBorderFormats="0" applyFontFormats="1" applyPatternFormats="1" applyAlignmentFormats="0" applyWidthHeightFormats="0"/>
</file>

<file path=xl/queryTables/queryTable31.xml><?xml version="1.0" encoding="utf-8"?>
<queryTable xmlns="http://schemas.openxmlformats.org/spreadsheetml/2006/main" name="DadosExternos_28" connectionId="226" autoFormatId="16" applyNumberFormats="0" applyBorderFormats="0" applyFontFormats="1" applyPatternFormats="1" applyAlignmentFormats="0" applyWidthHeightFormats="0"/>
</file>

<file path=xl/queryTables/queryTable32.xml><?xml version="1.0" encoding="utf-8"?>
<queryTable xmlns="http://schemas.openxmlformats.org/spreadsheetml/2006/main" name="ExternalData_8" connectionId="1057" autoFormatId="16" applyNumberFormats="0" applyBorderFormats="0" applyFontFormats="1" applyPatternFormats="1" applyAlignmentFormats="0" applyWidthHeightFormats="0"/>
</file>

<file path=xl/queryTables/queryTable33.xml><?xml version="1.0" encoding="utf-8"?>
<queryTable xmlns="http://schemas.openxmlformats.org/spreadsheetml/2006/main" name="DadosExternos_112" connectionId="175" autoFormatId="16" applyNumberFormats="0" applyBorderFormats="0" applyFontFormats="1" applyPatternFormats="1" applyAlignmentFormats="0" applyWidthHeightFormats="0"/>
</file>

<file path=xl/queryTables/queryTable34.xml><?xml version="1.0" encoding="utf-8"?>
<queryTable xmlns="http://schemas.openxmlformats.org/spreadsheetml/2006/main" name="DadosExternos_169" connectionId="711" autoFormatId="16" applyNumberFormats="0" applyBorderFormats="0" applyFontFormats="1" applyPatternFormats="1" applyAlignmentFormats="0" applyWidthHeightFormats="0"/>
</file>

<file path=xl/queryTables/queryTable35.xml><?xml version="1.0" encoding="utf-8"?>
<queryTable xmlns="http://schemas.openxmlformats.org/spreadsheetml/2006/main" name="ExternalData_7" connectionId="1041" autoFormatId="16" applyNumberFormats="0" applyBorderFormats="0" applyFontFormats="1" applyPatternFormats="1" applyAlignmentFormats="0" applyWidthHeightFormats="0"/>
</file>

<file path=xl/queryTables/queryTable36.xml><?xml version="1.0" encoding="utf-8"?>
<queryTable xmlns="http://schemas.openxmlformats.org/spreadsheetml/2006/main" name="DadosExternos_119" connectionId="288" autoFormatId="16" applyNumberFormats="0" applyBorderFormats="0" applyFontFormats="1" applyPatternFormats="1" applyAlignmentFormats="0" applyWidthHeightFormats="0"/>
</file>

<file path=xl/queryTables/queryTable37.xml><?xml version="1.0" encoding="utf-8"?>
<queryTable xmlns="http://schemas.openxmlformats.org/spreadsheetml/2006/main" name="DadosExternos_2" connectionId="2" autoFormatId="16" applyNumberFormats="0" applyBorderFormats="0" applyFontFormats="1" applyPatternFormats="1" applyAlignmentFormats="0" applyWidthHeightFormats="0"/>
</file>

<file path=xl/queryTables/queryTable38.xml><?xml version="1.0" encoding="utf-8"?>
<queryTable xmlns="http://schemas.openxmlformats.org/spreadsheetml/2006/main" name="ExternalData_20" connectionId="997" autoFormatId="16" applyNumberFormats="0" applyBorderFormats="0" applyFontFormats="1" applyPatternFormats="1" applyAlignmentFormats="0" applyWidthHeightFormats="0"/>
</file>

<file path=xl/queryTables/queryTable39.xml><?xml version="1.0" encoding="utf-8"?>
<queryTable xmlns="http://schemas.openxmlformats.org/spreadsheetml/2006/main" name="DadosExternos_38" connectionId="82" autoFormatId="16" applyNumberFormats="0" applyBorderFormats="0" applyFontFormats="1" applyPatternFormats="1" applyAlignmentFormats="0" applyWidthHeightFormats="0"/>
</file>

<file path=xl/queryTables/queryTable40.xml><?xml version="1.0" encoding="utf-8"?>
<queryTable xmlns="http://schemas.openxmlformats.org/spreadsheetml/2006/main" name="DadosExternos_115" connectionId="227" autoFormatId="16" applyNumberFormats="0" applyBorderFormats="0" applyFontFormats="1" applyPatternFormats="1" applyAlignmentFormats="0" applyWidthHeightFormats="0"/>
</file>

<file path=xl/queryTables/queryTable41.xml><?xml version="1.0" encoding="utf-8"?>
<queryTable xmlns="http://schemas.openxmlformats.org/spreadsheetml/2006/main" name="DadosExternos_160" connectionId="671" autoFormatId="16" applyNumberFormats="0" applyBorderFormats="0" applyFontFormats="1" applyPatternFormats="1" applyAlignmentFormats="0" applyWidthHeightFormats="0"/>
</file>

<file path=xl/queryTables/queryTable42.xml><?xml version="1.0" encoding="utf-8"?>
<queryTable xmlns="http://schemas.openxmlformats.org/spreadsheetml/2006/main" name="DadosExternos_180" connectionId="755" autoFormatId="16" applyNumberFormats="0" applyBorderFormats="0" applyFontFormats="1" applyPatternFormats="1" applyAlignmentFormats="0" applyWidthHeightFormats="0"/>
</file>

<file path=xl/queryTables/queryTable43.xml><?xml version="1.0" encoding="utf-8"?>
<queryTable xmlns="http://schemas.openxmlformats.org/spreadsheetml/2006/main" name="ExternalData_30" connectionId="823" autoFormatId="16" applyNumberFormats="0" applyBorderFormats="0" applyFontFormats="1" applyPatternFormats="1" applyAlignmentFormats="0" applyWidthHeightFormats="0"/>
</file>

<file path=xl/queryTables/queryTable44.xml><?xml version="1.0" encoding="utf-8"?>
<queryTable xmlns="http://schemas.openxmlformats.org/spreadsheetml/2006/main" name="DadosExternos_219" connectionId="317" autoFormatId="16" applyNumberFormats="0" applyBorderFormats="0" applyFontFormats="1" applyPatternFormats="1" applyAlignmentFormats="0" applyWidthHeightFormats="0"/>
</file>

<file path=xl/queryTables/queryTable45.xml><?xml version="1.0" encoding="utf-8"?>
<queryTable xmlns="http://schemas.openxmlformats.org/spreadsheetml/2006/main" name="DadosExternos_134" connectionId="517" autoFormatId="16" applyNumberFormats="0" applyBorderFormats="0" applyFontFormats="1" applyPatternFormats="1" applyAlignmentFormats="0" applyWidthHeightFormats="0"/>
</file>

<file path=xl/queryTables/queryTable46.xml><?xml version="1.0" encoding="utf-8"?>
<queryTable xmlns="http://schemas.openxmlformats.org/spreadsheetml/2006/main" name="DadosExternos_207" connectionId="275" autoFormatId="16" applyNumberFormats="0" applyBorderFormats="0" applyFontFormats="1" applyPatternFormats="1" applyAlignmentFormats="0" applyWidthHeightFormats="0"/>
</file>

<file path=xl/queryTables/queryTable47.xml><?xml version="1.0" encoding="utf-8"?>
<queryTable xmlns="http://schemas.openxmlformats.org/spreadsheetml/2006/main" name="DadosExternos_190" connectionId="119" autoFormatId="16" applyNumberFormats="0" applyBorderFormats="0" applyFontFormats="1" applyPatternFormats="1" applyAlignmentFormats="0" applyWidthHeightFormats="0"/>
</file>

<file path=xl/queryTables/queryTable48.xml><?xml version="1.0" encoding="utf-8"?>
<queryTable xmlns="http://schemas.openxmlformats.org/spreadsheetml/2006/main" name="DadosExternos_30" connectionId="535" autoFormatId="16" applyNumberFormats="0" applyBorderFormats="0" applyFontFormats="1" applyPatternFormats="1" applyAlignmentFormats="0" applyWidthHeightFormats="0"/>
</file>

<file path=xl/queryTables/queryTable49.xml><?xml version="1.0" encoding="utf-8"?>
<queryTable xmlns="http://schemas.openxmlformats.org/spreadsheetml/2006/main" name="DadosExternos_3" connectionId="226" autoFormatId="16" applyNumberFormats="0" applyBorderFormats="0" applyFontFormats="1" applyPatternFormats="1" applyAlignmentFormats="0" applyWidthHeightFormats="0"/>
</file>

<file path=xl/queryTables/queryTable50.xml><?xml version="1.0" encoding="utf-8"?>
<queryTable xmlns="http://schemas.openxmlformats.org/spreadsheetml/2006/main" name="DadosExternos_107" connectionId="82" autoFormatId="16" applyNumberFormats="0" applyBorderFormats="0" applyFontFormats="1" applyPatternFormats="1" applyAlignmentFormats="0" applyWidthHeightFormats="0"/>
</file>

<file path=xl/queryTables/queryTable51.xml><?xml version="1.0" encoding="utf-8"?>
<queryTable xmlns="http://schemas.openxmlformats.org/spreadsheetml/2006/main" name="DadosExternos_129" connectionId="439" autoFormatId="16" applyNumberFormats="0" applyBorderFormats="0" applyFontFormats="1" applyPatternFormats="1" applyAlignmentFormats="0" applyWidthHeightFormats="0"/>
</file>

<file path=xl/queryTables/queryTable52.xml><?xml version="1.0" encoding="utf-8"?>
<queryTable xmlns="http://schemas.openxmlformats.org/spreadsheetml/2006/main" name="DadosExternos_177" connectionId="746" autoFormatId="16" applyNumberFormats="0" applyBorderFormats="0" applyFontFormats="1" applyPatternFormats="1" applyAlignmentFormats="0" applyWidthHeightFormats="0"/>
</file>

<file path=xl/queryTables/queryTable53.xml><?xml version="1.0" encoding="utf-8"?>
<queryTable xmlns="http://schemas.openxmlformats.org/spreadsheetml/2006/main" name="DadosExternos_31" connectionId="606" autoFormatId="16" applyNumberFormats="0" applyBorderFormats="0" applyFontFormats="1" applyPatternFormats="1" applyAlignmentFormats="0" applyWidthHeightFormats="0"/>
</file>

<file path=xl/queryTables/queryTable54.xml><?xml version="1.0" encoding="utf-8"?>
<queryTable xmlns="http://schemas.openxmlformats.org/spreadsheetml/2006/main" name="DadosExternos_57" connectionId="390" autoFormatId="16" applyNumberFormats="0" applyBorderFormats="0" applyFontFormats="1" applyPatternFormats="1" applyAlignmentFormats="0" applyWidthHeightFormats="0"/>
</file>

<file path=xl/queryTables/queryTable55.xml><?xml version="1.0" encoding="utf-8"?>
<queryTable xmlns="http://schemas.openxmlformats.org/spreadsheetml/2006/main" name="DadosExternos_10" connectionId="771" autoFormatId="16" applyNumberFormats="0" applyBorderFormats="0" applyFontFormats="1" applyPatternFormats="1" applyAlignmentFormats="0" applyWidthHeightFormats="0"/>
</file>

<file path=xl/queryTables/queryTable56.xml><?xml version="1.0" encoding="utf-8"?>
<queryTable xmlns="http://schemas.openxmlformats.org/spreadsheetml/2006/main" name="DadosExternos_172" connectionId="721" autoFormatId="16" applyNumberFormats="0" applyBorderFormats="0" applyFontFormats="1" applyPatternFormats="1" applyAlignmentFormats="0" applyWidthHeightFormats="0"/>
</file>

<file path=xl/queryTables/queryTable57.xml><?xml version="1.0" encoding="utf-8"?>
<queryTable xmlns="http://schemas.openxmlformats.org/spreadsheetml/2006/main" name="DadosExternos_181" connectionId="758" autoFormatId="16" applyNumberFormats="0" applyBorderFormats="0" applyFontFormats="1" applyPatternFormats="1" applyAlignmentFormats="0" applyWidthHeightFormats="0"/>
</file>

<file path=xl/queryTables/queryTable58.xml><?xml version="1.0" encoding="utf-8"?>
<queryTable xmlns="http://schemas.openxmlformats.org/spreadsheetml/2006/main" name="DadosExternos_65" connectionId="517" autoFormatId="16" applyNumberFormats="0" applyBorderFormats="0" applyFontFormats="1" applyPatternFormats="1" applyAlignmentFormats="0" applyWidthHeightFormats="0"/>
</file>

<file path=xl/queryTables/queryTable59.xml><?xml version="1.0" encoding="utf-8"?>
<queryTable xmlns="http://schemas.openxmlformats.org/spreadsheetml/2006/main" name="DadosExternos_141" connectionId="593" autoFormatId="16" applyNumberFormats="0" applyBorderFormats="0" applyFontFormats="1" applyPatternFormats="1" applyAlignmentFormats="0" applyWidthHeightFormats="0"/>
</file>

<file path=xl/queryTables/queryTable60.xml><?xml version="1.0" encoding="utf-8"?>
<queryTable xmlns="http://schemas.openxmlformats.org/spreadsheetml/2006/main" name="ExternalData_11" connectionId="1120" autoFormatId="16" applyNumberFormats="0" applyBorderFormats="0" applyFontFormats="1" applyPatternFormats="1" applyAlignmentFormats="0" applyWidthHeightFormats="0"/>
</file>

<file path=xl/queryTables/queryTable61.xml><?xml version="1.0" encoding="utf-8"?>
<queryTable xmlns="http://schemas.openxmlformats.org/spreadsheetml/2006/main" name="DadosExternos_48" connectionId="263" autoFormatId="16" applyNumberFormats="0" applyBorderFormats="0" applyFontFormats="1" applyPatternFormats="1" applyAlignmentFormats="0" applyWidthHeightFormats="0"/>
</file>

<file path=xl/queryTables/queryTable62.xml><?xml version="1.0" encoding="utf-8"?>
<queryTable xmlns="http://schemas.openxmlformats.org/spreadsheetml/2006/main" name="DadosExternos_132" connectionId="484" autoFormatId="16" applyNumberFormats="0" applyBorderFormats="0" applyFontFormats="1" applyPatternFormats="1" applyAlignmentFormats="0" applyWidthHeightFormats="0"/>
</file>

<file path=xl/queryTables/queryTable63.xml><?xml version="1.0" encoding="utf-8"?>
<queryTable xmlns="http://schemas.openxmlformats.org/spreadsheetml/2006/main" name="DadosExternos_121" connectionId="320" autoFormatId="16" applyNumberFormats="0" applyBorderFormats="0" applyFontFormats="1" applyPatternFormats="1" applyAlignmentFormats="0" applyWidthHeightFormats="0"/>
</file>

<file path=xl/queryTables/queryTable64.xml><?xml version="1.0" encoding="utf-8"?>
<queryTable xmlns="http://schemas.openxmlformats.org/spreadsheetml/2006/main" name="DadosExternos_212" connectionId="296" autoFormatId="16" applyNumberFormats="0" applyBorderFormats="0" applyFontFormats="1" applyPatternFormats="1" applyAlignmentFormats="0" applyWidthHeightFormats="0"/>
</file>

<file path=xl/queryTables/queryTable65.xml><?xml version="1.0" encoding="utf-8"?>
<queryTable xmlns="http://schemas.openxmlformats.org/spreadsheetml/2006/main" name="ExternalData_3" connectionId="808" autoFormatId="16" applyNumberFormats="0" applyBorderFormats="0" applyFontFormats="1" applyPatternFormats="1" applyAlignmentFormats="0" applyWidthHeightFormats="0"/>
</file>

<file path=xl/queryTables/queryTable66.xml><?xml version="1.0" encoding="utf-8"?>
<queryTable xmlns="http://schemas.openxmlformats.org/spreadsheetml/2006/main" name="DadosExternos_183" connectionId="802" autoFormatId="16" applyNumberFormats="0" applyBorderFormats="0" applyFontFormats="1" applyPatternFormats="1" applyAlignmentFormats="0" applyWidthHeightFormats="0"/>
</file>

<file path=xl/queryTables/queryTable67.xml><?xml version="1.0" encoding="utf-8"?>
<queryTable xmlns="http://schemas.openxmlformats.org/spreadsheetml/2006/main" name="DadosExternos_103" connectionId="730" autoFormatId="16" applyNumberFormats="0" applyBorderFormats="0" applyFontFormats="1" applyPatternFormats="1" applyAlignmentFormats="0" applyWidthHeightFormats="0"/>
</file>

<file path=xl/queryTables/queryTable68.xml><?xml version="1.0" encoding="utf-8"?>
<queryTable xmlns="http://schemas.openxmlformats.org/spreadsheetml/2006/main" name="DadosExternos_104" connectionId="771" autoFormatId="16" applyNumberFormats="0" applyBorderFormats="0" applyFontFormats="1" applyPatternFormats="1" applyAlignmentFormats="0" applyWidthHeightFormats="0"/>
</file>

<file path=xl/queryTables/queryTable69.xml><?xml version="1.0" encoding="utf-8"?>
<queryTable xmlns="http://schemas.openxmlformats.org/spreadsheetml/2006/main" name="DadosExternos_155" connectionId="648" autoFormatId="16" applyNumberFormats="0" applyBorderFormats="0" applyFontFormats="1" applyPatternFormats="1" applyAlignmentFormats="0" applyWidthHeightFormats="0"/>
</file>

<file path=xl/queryTables/queryTable70.xml><?xml version="1.0" encoding="utf-8"?>
<queryTable xmlns="http://schemas.openxmlformats.org/spreadsheetml/2006/main" name="DadosExternos_136" connectionId="550" autoFormatId="16" applyNumberFormats="0" applyBorderFormats="0" applyFontFormats="1" applyPatternFormats="1" applyAlignmentFormats="0" applyWidthHeightFormats="0"/>
</file>

<file path=xl/queryTables/queryTable71.xml><?xml version="1.0" encoding="utf-8"?>
<queryTable xmlns="http://schemas.openxmlformats.org/spreadsheetml/2006/main" name="DadosExternos_237" connectionId="386" autoFormatId="16" applyNumberFormats="0" applyBorderFormats="0" applyFontFormats="1" applyPatternFormats="1" applyAlignmentFormats="0" applyWidthHeightFormats="0"/>
</file>

<file path=xl/queryTables/queryTable72.xml><?xml version="1.0" encoding="utf-8"?>
<queryTable xmlns="http://schemas.openxmlformats.org/spreadsheetml/2006/main" name="DadosExternos_243" connectionId="419" autoFormatId="16" applyNumberFormats="0" applyBorderFormats="0" applyFontFormats="1" applyPatternFormats="1" applyAlignmentFormats="0" applyWidthHeightFormats="0"/>
</file>

<file path=xl/queryTables/queryTable73.xml><?xml version="1.0" encoding="utf-8"?>
<queryTable xmlns="http://schemas.openxmlformats.org/spreadsheetml/2006/main" name="ExternalData_17" connectionId="807" autoFormatId="16" applyNumberFormats="0" applyBorderFormats="0" applyFontFormats="1" applyPatternFormats="1" applyAlignmentFormats="0" applyWidthHeightFormats="0"/>
</file>

<file path=xl/queryTables/queryTable74.xml><?xml version="1.0" encoding="utf-8"?>
<queryTable xmlns="http://schemas.openxmlformats.org/spreadsheetml/2006/main" name="DadosExternos_222" connectionId="329" autoFormatId="16" applyNumberFormats="0" applyBorderFormats="0" applyFontFormats="1" applyPatternFormats="1" applyAlignmentFormats="0" applyWidthHeightFormats="0"/>
</file>

<file path=xl/queryTables/queryTable75.xml><?xml version="1.0" encoding="utf-8"?>
<queryTable xmlns="http://schemas.openxmlformats.org/spreadsheetml/2006/main" name="DadosExternos_117" connectionId="263" autoFormatId="16" applyNumberFormats="0" applyBorderFormats="0" applyFontFormats="1" applyPatternFormats="1" applyAlignmentFormats="0" applyWidthHeightFormats="0"/>
</file>

<file path=xl/queryTables/queryTable76.xml><?xml version="1.0" encoding="utf-8"?>
<queryTable xmlns="http://schemas.openxmlformats.org/spreadsheetml/2006/main" name="DadosExternos_151" connectionId="632" autoFormatId="16" applyNumberFormats="0" applyBorderFormats="0" applyFontFormats="1" applyPatternFormats="1" applyAlignmentFormats="0" applyWidthHeightFormats="0"/>
</file>

<file path=xl/queryTables/queryTable77.xml><?xml version="1.0" encoding="utf-8"?>
<queryTable xmlns="http://schemas.openxmlformats.org/spreadsheetml/2006/main" name="DadosExternos_229" connectionId="355" autoFormatId="16" applyNumberFormats="0" applyBorderFormats="0" applyFontFormats="1" applyPatternFormats="1" applyAlignmentFormats="0" applyWidthHeightFormats="0"/>
</file>

<file path=xl/queryTables/queryTable78.xml><?xml version="1.0" encoding="utf-8"?>
<queryTable xmlns="http://schemas.openxmlformats.org/spreadsheetml/2006/main" name="DadosExternos_49" connectionId="276" autoFormatId="16" applyNumberFormats="0" applyBorderFormats="0" applyFontFormats="1" applyPatternFormats="1" applyAlignmentFormats="0" applyWidthHeightFormats="0"/>
</file>

<file path=xl/queryTables/queryTable79.xml><?xml version="1.0" encoding="utf-8"?>
<queryTable xmlns="http://schemas.openxmlformats.org/spreadsheetml/2006/main" name="DadosExternos_228" connectionId="348" autoFormatId="16" applyNumberFormats="0" applyBorderFormats="0" applyFontFormats="1" applyPatternFormats="1" applyAlignmentFormats="0" applyWidthHeightFormats="0"/>
</file>

<file path=xl/queryTables/queryTable80.xml><?xml version="1.0" encoding="utf-8"?>
<queryTable xmlns="http://schemas.openxmlformats.org/spreadsheetml/2006/main" name="DadosExternos_156" connectionId="651" autoFormatId="16" applyNumberFormats="0" applyBorderFormats="0" applyFontFormats="1" applyPatternFormats="1" applyAlignmentFormats="0" applyWidthHeightFormats="0"/>
</file>

<file path=xl/queryTables/queryTable81.xml><?xml version="1.0" encoding="utf-8"?>
<queryTable xmlns="http://schemas.openxmlformats.org/spreadsheetml/2006/main" name="DadosExternos_211" connectionId="289" autoFormatId="16" applyNumberFormats="0" applyBorderFormats="0" applyFontFormats="1" applyPatternFormats="1" applyAlignmentFormats="0" applyWidthHeightFormats="0"/>
</file>

<file path=xl/queryTables/queryTable82.xml><?xml version="1.0" encoding="utf-8"?>
<queryTable xmlns="http://schemas.openxmlformats.org/spreadsheetml/2006/main" name="ExternalData_15" connectionId="874" autoFormatId="16" applyNumberFormats="0" applyBorderFormats="0" applyFontFormats="1" applyPatternFormats="1" applyAlignmentFormats="0" applyWidthHeightFormats="0"/>
</file>

<file path=xl/queryTables/queryTable83.xml><?xml version="1.0" encoding="utf-8"?>
<queryTable xmlns="http://schemas.openxmlformats.org/spreadsheetml/2006/main" name="DadosExternos_55" connectionId="361" autoFormatId="16" applyNumberFormats="0" applyBorderFormats="0" applyFontFormats="1" applyPatternFormats="1" applyAlignmentFormats="0" applyWidthHeightFormats="0"/>
</file>

<file path=xl/queryTables/queryTable84.xml><?xml version="1.0" encoding="utf-8"?>
<queryTable xmlns="http://schemas.openxmlformats.org/spreadsheetml/2006/main" name="ExternalData_12" connectionId="809" autoFormatId="16" applyNumberFormats="0" applyBorderFormats="0" applyFontFormats="1" applyPatternFormats="1" applyAlignmentFormats="0" applyWidthHeightFormats="0"/>
</file>

<file path=xl/queryTables/queryTable85.xml><?xml version="1.0" encoding="utf-8"?>
<queryTable xmlns="http://schemas.openxmlformats.org/spreadsheetml/2006/main" name="DadosExternos_24" connectionId="2" autoFormatId="16" applyNumberFormats="0" applyBorderFormats="0" applyFontFormats="1" applyPatternFormats="1" applyAlignmentFormats="0" applyWidthHeightFormats="0"/>
</file>

<file path=xl/queryTables/queryTable86.xml><?xml version="1.0" encoding="utf-8"?>
<queryTable xmlns="http://schemas.openxmlformats.org/spreadsheetml/2006/main" name="DadosExternos_98" connectionId="377" autoFormatId="16" applyNumberFormats="0" applyBorderFormats="0" applyFontFormats="1" applyPatternFormats="1" applyAlignmentFormats="0" applyWidthHeightFormats="0"/>
</file>

<file path=xl/queryTables/queryTable87.xml><?xml version="1.0" encoding="utf-8"?>
<queryTable xmlns="http://schemas.openxmlformats.org/spreadsheetml/2006/main" name="DadosExternos_51" connectionId="303" autoFormatId="16" applyNumberFormats="0" applyBorderFormats="0" applyFontFormats="1" applyPatternFormats="1" applyAlignmentFormats="0" applyWidthHeightFormats="0"/>
</file>

<file path=xl/queryTables/queryTable88.xml><?xml version="1.0" encoding="utf-8"?>
<queryTable xmlns="http://schemas.openxmlformats.org/spreadsheetml/2006/main" name="DadosExternos_153" connectionId="640" autoFormatId="16" applyNumberFormats="0" applyBorderFormats="0" applyFontFormats="1" applyPatternFormats="1" applyAlignmentFormats="0" applyWidthHeightFormats="0"/>
</file>

<file path=xl/queryTables/queryTable89.xml><?xml version="1.0" encoding="utf-8"?>
<queryTable xmlns="http://schemas.openxmlformats.org/spreadsheetml/2006/main" name="DadosExternos_240" connectionId="413" autoFormatId="16" applyNumberFormats="0" applyBorderFormats="0" applyFontFormats="1" applyPatternFormats="1" applyAlignmentFormats="0" applyWidthHeightFormats="0"/>
</file>

<file path=xl/queryTables/queryTable90.xml><?xml version="1.0" encoding="utf-8"?>
<queryTable xmlns="http://schemas.openxmlformats.org/spreadsheetml/2006/main" name="DadosExternos_205" connectionId="262" autoFormatId="16" applyNumberFormats="0" applyBorderFormats="0" applyFontFormats="1" applyPatternFormats="1" applyAlignmentFormats="0" applyWidthHeightFormats="0"/>
</file>

<file path=xl/queryTables/queryTable91.xml><?xml version="1.0" encoding="utf-8"?>
<queryTable xmlns="http://schemas.openxmlformats.org/spreadsheetml/2006/main" name="DadosExternos_90" connectionId="771" autoFormatId="16" applyNumberFormats="0" applyBorderFormats="0" applyFontFormats="1" applyPatternFormats="1" applyAlignmentFormats="0" applyWidthHeightFormats="0"/>
</file>

<file path=xl/queryTables/queryTable92.xml><?xml version="1.0" encoding="utf-8"?>
<queryTable xmlns="http://schemas.openxmlformats.org/spreadsheetml/2006/main" name="DadosExternos_188" connectionId="115" autoFormatId="16" applyNumberFormats="0" applyBorderFormats="0" applyFontFormats="1" applyPatternFormats="1" applyAlignmentFormats="0" applyWidthHeightFormats="0"/>
</file>

<file path=xl/queryTables/queryTable93.xml><?xml version="1.0" encoding="utf-8"?>
<queryTable xmlns="http://schemas.openxmlformats.org/spreadsheetml/2006/main" name="ExternalData_27" connectionId="1064" autoFormatId="16" applyNumberFormats="0" applyBorderFormats="0" applyFontFormats="1" applyPatternFormats="1" applyAlignmentFormats="0" applyWidthHeightFormats="0"/>
</file>

<file path=xl/queryTables/queryTable94.xml><?xml version="1.0" encoding="utf-8"?>
<queryTable xmlns="http://schemas.openxmlformats.org/spreadsheetml/2006/main" name="DadosExternos_168" connectionId="707" autoFormatId="16" applyNumberFormats="0" applyBorderFormats="0" applyFontFormats="1" applyPatternFormats="1" applyAlignmentFormats="0" applyWidthHeightFormats="0"/>
</file>

<file path=xl/queryTables/queryTable95.xml><?xml version="1.0" encoding="utf-8"?>
<queryTable xmlns="http://schemas.openxmlformats.org/spreadsheetml/2006/main" name="DadosExternos_238" connectionId="389" autoFormatId="16" applyNumberFormats="0" applyBorderFormats="0" applyFontFormats="1" applyPatternFormats="1" applyAlignmentFormats="0" applyWidthHeightFormats="0"/>
</file>

<file path=xl/queryTables/queryTable96.xml><?xml version="1.0" encoding="utf-8"?>
<queryTable xmlns="http://schemas.openxmlformats.org/spreadsheetml/2006/main" name="DadosExternos_209" connectionId="277" autoFormatId="16" applyNumberFormats="0" applyBorderFormats="0" applyFontFormats="1" applyPatternFormats="1" applyAlignmentFormats="0" applyWidthHeightFormats="0"/>
</file>

<file path=xl/queryTables/queryTable97.xml><?xml version="1.0" encoding="utf-8"?>
<queryTable xmlns="http://schemas.openxmlformats.org/spreadsheetml/2006/main" name="DadosExternos_253" connectionId="805" autoFormatId="16" applyNumberFormats="0" applyBorderFormats="0" applyFontFormats="1" applyPatternFormats="1" applyAlignmentFormats="0" applyWidthHeightFormats="0"/>
</file>

<file path=xl/queryTables/queryTable98.xml><?xml version="1.0" encoding="utf-8"?>
<queryTable xmlns="http://schemas.openxmlformats.org/spreadsheetml/2006/main" name="DadosExternos_162" connectionId="678" autoFormatId="16" applyNumberFormats="0" applyBorderFormats="0" applyFontFormats="1" applyPatternFormats="1" applyAlignmentFormats="0" applyWidthHeightFormats="0"/>
</file>

<file path=xl/queryTables/queryTable99.xml><?xml version="1.0" encoding="utf-8"?>
<queryTable xmlns="http://schemas.openxmlformats.org/spreadsheetml/2006/main" name="DadosExternos_191" connectionId="121" autoFormatId="16" applyNumberFormats="0" applyBorderFormats="0" applyFontFormats="1" applyPatternFormats="1" applyAlignmentFormats="0" applyWidthHeightFormats="0"/>
</file>

<file path=xl/queryTables/queryTable100.xml><?xml version="1.0" encoding="utf-8"?>
<queryTable xmlns="http://schemas.openxmlformats.org/spreadsheetml/2006/main" name="ExternalData_31" connectionId="909" autoFormatId="16" applyNumberFormats="0" applyBorderFormats="0" applyFontFormats="1" applyPatternFormats="1" applyAlignmentFormats="0" applyWidthHeightFormats="0"/>
</file>

<file path=xl/queryTables/queryTable101.xml><?xml version="1.0" encoding="utf-8"?>
<queryTable xmlns="http://schemas.openxmlformats.org/spreadsheetml/2006/main" name="DadosExternos_247" connectionId="481" autoFormatId="16" applyNumberFormats="0" applyBorderFormats="0" applyFontFormats="1" applyPatternFormats="1" applyAlignmentFormats="0" applyWidthHeightFormats="0"/>
</file>

<file path=xl/queryTables/queryTable102.xml><?xml version="1.0" encoding="utf-8"?>
<queryTable xmlns="http://schemas.openxmlformats.org/spreadsheetml/2006/main" name="DadosExternos_166" connectionId="693" autoFormatId="16" applyNumberFormats="0" applyBorderFormats="0" applyFontFormats="1" applyPatternFormats="1" applyAlignmentFormats="0" applyWidthHeightFormats="0"/>
</file>

<file path=xl/queryTables/queryTable103.xml><?xml version="1.0" encoding="utf-8"?>
<queryTable xmlns="http://schemas.openxmlformats.org/spreadsheetml/2006/main" name="DadosExternos_9" connectionId="730" autoFormatId="16" applyNumberFormats="0" applyBorderFormats="0" applyFontFormats="1" applyPatternFormats="1" applyAlignmentFormats="0" applyWidthHeightFormats="0"/>
</file>

<file path=xl/queryTables/queryTable104.xml><?xml version="1.0" encoding="utf-8"?>
<queryTable xmlns="http://schemas.openxmlformats.org/spreadsheetml/2006/main" name="DadosExternos_18" connectionId="226" autoFormatId="16" applyNumberFormats="0" applyBorderFormats="0" applyFontFormats="1" applyPatternFormats="1" applyAlignmentFormats="0" applyWidthHeightFormats="0"/>
</file>

<file path=xl/queryTables/queryTable105.xml><?xml version="1.0" encoding="utf-8"?>
<queryTable xmlns="http://schemas.openxmlformats.org/spreadsheetml/2006/main" name="DadosExternos_33" connectionId="688" autoFormatId="16" applyNumberFormats="0" applyBorderFormats="0" applyFontFormats="1" applyPatternFormats="1" applyAlignmentFormats="0" applyWidthHeightFormats="0"/>
</file>

<file path=xl/queryTables/queryTable106.xml><?xml version="1.0" encoding="utf-8"?>
<queryTable xmlns="http://schemas.openxmlformats.org/spreadsheetml/2006/main" name="DadosExternos_62" connectionId="470" autoFormatId="16" applyNumberFormats="0" applyBorderFormats="0" applyFontFormats="1" applyPatternFormats="1" applyAlignmentFormats="0" applyWidthHeightFormats="0"/>
</file>

<file path=xl/queryTables/queryTable107.xml><?xml version="1.0" encoding="utf-8"?>
<queryTable xmlns="http://schemas.openxmlformats.org/spreadsheetml/2006/main" name="DadosExternos_41" connectionId="137" autoFormatId="16" applyNumberFormats="0" applyBorderFormats="0" applyFontFormats="1" applyPatternFormats="1" applyAlignmentFormats="0" applyWidthHeightFormats="0"/>
</file>

<file path=xl/queryTables/queryTable108.xml><?xml version="1.0" encoding="utf-8"?>
<queryTable xmlns="http://schemas.openxmlformats.org/spreadsheetml/2006/main" name="DadosExternos_252" connectionId="784" autoFormatId="16" applyNumberFormats="0" applyBorderFormats="0" applyFontFormats="1" applyPatternFormats="1" applyAlignmentFormats="0" applyWidthHeightFormats="0"/>
</file>

<file path=xl/queryTables/queryTable109.xml><?xml version="1.0" encoding="utf-8"?>
<queryTable xmlns="http://schemas.openxmlformats.org/spreadsheetml/2006/main" name="DadosExternos_56" connectionId="378" autoFormatId="16" applyNumberFormats="0" applyBorderFormats="0" applyFontFormats="1" applyPatternFormats="1" applyAlignmentFormats="0" applyWidthHeightFormats="0"/>
</file>

<file path=xl/queryTables/queryTable110.xml><?xml version="1.0" encoding="utf-8"?>
<queryTable xmlns="http://schemas.openxmlformats.org/spreadsheetml/2006/main" name="DadosExternos_175" connectionId="731" autoFormatId="16" applyNumberFormats="0" applyBorderFormats="0" applyFontFormats="1" applyPatternFormats="1" applyAlignmentFormats="0" applyWidthHeightFormats="0"/>
</file>

<file path=xl/queryTables/queryTable111.xml><?xml version="1.0" encoding="utf-8"?>
<queryTable xmlns="http://schemas.openxmlformats.org/spreadsheetml/2006/main" name="DadosExternos_182" connectionId="761" autoFormatId="16" applyNumberFormats="0" applyBorderFormats="0" applyFontFormats="1" applyPatternFormats="1" applyAlignmentFormats="0" applyWidthHeightFormats="0"/>
</file>

<file path=xl/queryTables/queryTable112.xml><?xml version="1.0" encoding="utf-8"?>
<queryTable xmlns="http://schemas.openxmlformats.org/spreadsheetml/2006/main" name="DadosExternos_52" connectionId="320" autoFormatId="16" applyNumberFormats="0" applyBorderFormats="0" applyFontFormats="1" applyPatternFormats="1" applyAlignmentFormats="0" applyWidthHeightFormats="0"/>
</file>

<file path=xl/queryTables/queryTable113.xml><?xml version="1.0" encoding="utf-8"?>
<queryTable xmlns="http://schemas.openxmlformats.org/spreadsheetml/2006/main" name="ExternalData_9" connectionId="1075" autoFormatId="16" applyNumberFormats="0" applyBorderFormats="0" applyFontFormats="1" applyPatternFormats="1" applyAlignmentFormats="0" applyWidthHeightFormats="0"/>
</file>

<file path=xl/queryTables/queryTable114.xml><?xml version="1.0" encoding="utf-8"?>
<queryTable xmlns="http://schemas.openxmlformats.org/spreadsheetml/2006/main" name="DadosExternos_4" connectionId="377" autoFormatId="16" applyNumberFormats="0" applyBorderFormats="0" applyFontFormats="1" applyPatternFormats="1" applyAlignmentFormats="0" applyWidthHeightFormats="0"/>
</file>

<file path=xl/queryTables/queryTable115.xml><?xml version="1.0" encoding="utf-8"?>
<queryTable xmlns="http://schemas.openxmlformats.org/spreadsheetml/2006/main" name="DadosExternos_40" connectionId="120" autoFormatId="16" applyNumberFormats="0" applyBorderFormats="0" applyFontFormats="1" applyPatternFormats="1" applyAlignmentFormats="0" applyWidthHeightFormats="0"/>
</file>

<file path=xl/queryTables/queryTable116.xml><?xml version="1.0" encoding="utf-8"?>
<queryTable xmlns="http://schemas.openxmlformats.org/spreadsheetml/2006/main" name="DadosExternos_245" connectionId="432" autoFormatId="16" applyNumberFormats="0" applyBorderFormats="0" applyFontFormats="1" applyPatternFormats="1" applyAlignmentFormats="0" applyWidthHeightFormats="0"/>
</file>

<file path=xl/queryTables/queryTable117.xml><?xml version="1.0" encoding="utf-8"?>
<queryTable xmlns="http://schemas.openxmlformats.org/spreadsheetml/2006/main" name="DadosExternos_225" connectionId="341" autoFormatId="16" applyNumberFormats="0" applyBorderFormats="0" applyFontFormats="1" applyPatternFormats="1" applyAlignmentFormats="0" applyWidthHeightFormats="0"/>
</file>

<file path=xl/queryTables/queryTable118.xml><?xml version="1.0" encoding="utf-8"?>
<queryTable xmlns="http://schemas.openxmlformats.org/spreadsheetml/2006/main" name="DadosExternos_26" connectionId="1" autoFormatId="16" applyNumberFormats="0" applyBorderFormats="0" applyFontFormats="1" applyPatternFormats="1" applyAlignmentFormats="0" applyWidthHeightFormats="0"/>
</file>

<file path=xl/queryTables/queryTable119.xml><?xml version="1.0" encoding="utf-8"?>
<queryTable xmlns="http://schemas.openxmlformats.org/spreadsheetml/2006/main" name="DadosExternos_149" connectionId="626" autoFormatId="16" applyNumberFormats="0" applyBorderFormats="0" applyFontFormats="1" applyPatternFormats="1" applyAlignmentFormats="0" applyWidthHeightFormats="0"/>
</file>

<file path=xl/queryTables/queryTable120.xml><?xml version="1.0" encoding="utf-8"?>
<queryTable xmlns="http://schemas.openxmlformats.org/spreadsheetml/2006/main" name="DadosExternos_36" connectionId="3" autoFormatId="16" applyNumberFormats="0" applyBorderFormats="0" applyFontFormats="1" applyPatternFormats="1" applyAlignmentFormats="0" applyWidthHeightFormats="0"/>
</file>

<file path=xl/queryTables/queryTable121.xml><?xml version="1.0" encoding="utf-8"?>
<queryTable xmlns="http://schemas.openxmlformats.org/spreadsheetml/2006/main" name="DadosExternos_163" connectionId="681" autoFormatId="16" applyNumberFormats="0" applyBorderFormats="0" applyFontFormats="1" applyPatternFormats="1" applyAlignmentFormats="0" applyWidthHeightFormats="0"/>
</file>

<file path=xl/queryTables/queryTable122.xml><?xml version="1.0" encoding="utf-8"?>
<queryTable xmlns="http://schemas.openxmlformats.org/spreadsheetml/2006/main" name="DadosExternos_140" connectionId="589" autoFormatId="16" applyNumberFormats="0" applyBorderFormats="0" applyFontFormats="1" applyPatternFormats="1" applyAlignmentFormats="0" applyWidthHeightFormats="0"/>
</file>

<file path=xl/queryTables/queryTable123.xml><?xml version="1.0" encoding="utf-8"?>
<queryTable xmlns="http://schemas.openxmlformats.org/spreadsheetml/2006/main" name="ExternalData_19" connectionId="953" autoFormatId="16" applyNumberFormats="0" applyBorderFormats="0" applyFontFormats="1" applyPatternFormats="1" applyAlignmentFormats="0" applyWidthHeightFormats="0"/>
</file>

<file path=xl/queryTables/queryTable124.xml><?xml version="1.0" encoding="utf-8"?>
<queryTable xmlns="http://schemas.openxmlformats.org/spreadsheetml/2006/main" name="DadosExternos_158" connectionId="664" autoFormatId="16" applyNumberFormats="0" applyBorderFormats="0" applyFontFormats="1" applyPatternFormats="1" applyAlignmentFormats="0" applyWidthHeightFormats="0"/>
</file>

<file path=xl/queryTables/queryTable125.xml><?xml version="1.0" encoding="utf-8"?>
<queryTable xmlns="http://schemas.openxmlformats.org/spreadsheetml/2006/main" name="DadosExternos_251" connectionId="782" autoFormatId="16" applyNumberFormats="0" applyBorderFormats="0" applyFontFormats="1" applyPatternFormats="1" applyAlignmentFormats="0" applyWidthHeightFormats="0"/>
</file>

<file path=xl/queryTables/queryTable126.xml><?xml version="1.0" encoding="utf-8"?>
<queryTable xmlns="http://schemas.openxmlformats.org/spreadsheetml/2006/main" name="DadosExternos_137" connectionId="566" autoFormatId="16" applyNumberFormats="0" applyBorderFormats="0" applyFontFormats="1" applyPatternFormats="1" applyAlignmentFormats="0" applyWidthHeightFormats="0"/>
</file>

<file path=xl/queryTables/queryTable127.xml><?xml version="1.0" encoding="utf-8"?>
<queryTable xmlns="http://schemas.openxmlformats.org/spreadsheetml/2006/main" name="DadosExternos_189" connectionId="116" autoFormatId="16" applyNumberFormats="0" applyBorderFormats="0" applyFontFormats="1" applyPatternFormats="1" applyAlignmentFormats="0" applyWidthHeightFormats="0"/>
</file>

<file path=xl/queryTables/queryTable128.xml><?xml version="1.0" encoding="utf-8"?>
<queryTable xmlns="http://schemas.openxmlformats.org/spreadsheetml/2006/main" name="DadosExternos_138" connectionId="581" autoFormatId="16" applyNumberFormats="0" applyBorderFormats="0" applyFontFormats="1" applyPatternFormats="1" applyAlignmentFormats="0" applyWidthHeightFormats="0"/>
</file>

<file path=xl/queryTables/queryTable129.xml><?xml version="1.0" encoding="utf-8"?>
<queryTable xmlns="http://schemas.openxmlformats.org/spreadsheetml/2006/main" name="ExternalData_16" connectionId="888" autoFormatId="16" applyNumberFormats="0" applyBorderFormats="0" applyFontFormats="1" applyPatternFormats="1" applyAlignmentFormats="0" applyWidthHeightFormats="0"/>
</file>

<file path=xl/queryTables/queryTable130.xml><?xml version="1.0" encoding="utf-8"?>
<queryTable xmlns="http://schemas.openxmlformats.org/spreadsheetml/2006/main" name="ExternalData_4" connectionId="953" autoFormatId="16" applyNumberFormats="0" applyBorderFormats="0" applyFontFormats="1" applyPatternFormats="1" applyAlignmentFormats="0" applyWidthHeightFormats="0"/>
</file>

<file path=xl/queryTables/queryTable131.xml><?xml version="1.0" encoding="utf-8"?>
<queryTable xmlns="http://schemas.openxmlformats.org/spreadsheetml/2006/main" name="DadosExternos_16" connectionId="1" autoFormatId="16" applyNumberFormats="0" applyBorderFormats="0" applyFontFormats="1" applyPatternFormats="1" applyAlignmentFormats="0" applyWidthHeightFormats="0"/>
</file>

<file path=xl/queryTables/queryTable132.xml><?xml version="1.0" encoding="utf-8"?>
<queryTable xmlns="http://schemas.openxmlformats.org/spreadsheetml/2006/main" name="DadosExternos_67" connectionId="1" autoFormatId="16" applyNumberFormats="0" applyBorderFormats="0" applyFontFormats="1" applyPatternFormats="1" applyAlignmentFormats="0" applyWidthHeightFormats="0"/>
</file>

<file path=xl/queryTables/queryTable133.xml><?xml version="1.0" encoding="utf-8"?>
<queryTable xmlns="http://schemas.openxmlformats.org/spreadsheetml/2006/main" name="DadosExternos_114" connectionId="210" autoFormatId="16" applyNumberFormats="0" applyBorderFormats="0" applyFontFormats="1" applyPatternFormats="1" applyAlignmentFormats="0" applyWidthHeightFormats="0"/>
</file>

<file path=xl/queryTables/queryTable134.xml><?xml version="1.0" encoding="utf-8"?>
<queryTable xmlns="http://schemas.openxmlformats.org/spreadsheetml/2006/main" name="DadosExternos_173" connectionId="724" autoFormatId="16" applyNumberFormats="0" applyBorderFormats="0" applyFontFormats="1" applyPatternFormats="1" applyAlignmentFormats="0" applyWidthHeightFormats="0"/>
</file>

<file path=xl/queryTables/queryTable135.xml><?xml version="1.0" encoding="utf-8"?>
<queryTable xmlns="http://schemas.openxmlformats.org/spreadsheetml/2006/main" name="DadosExternos_184" connectionId="10" autoFormatId="16" applyNumberFormats="0" applyBorderFormats="0" applyFontFormats="1" applyPatternFormats="1" applyAlignmentFormats="0" applyWidthHeightFormats="0"/>
</file>

<file path=xl/queryTables/queryTable136.xml><?xml version="1.0" encoding="utf-8"?>
<queryTable xmlns="http://schemas.openxmlformats.org/spreadsheetml/2006/main" name="DadosExternos_218" connectionId="314" autoFormatId="16" applyNumberFormats="0" applyBorderFormats="0" applyFontFormats="1" applyPatternFormats="1" applyAlignmentFormats="0" applyWidthHeightFormats="0"/>
</file>

<file path=xl/queryTables/queryTable137.xml><?xml version="1.0" encoding="utf-8"?>
<queryTable xmlns="http://schemas.openxmlformats.org/spreadsheetml/2006/main" name="ExternalData_2" connectionId="807" autoFormatId="16" applyNumberFormats="0" applyBorderFormats="0" applyFontFormats="1" applyPatternFormats="1" applyAlignmentFormats="0" applyWidthHeightFormats="0"/>
</file>

<file path=xl/queryTables/queryTable138.xml><?xml version="1.0" encoding="utf-8"?>
<queryTable xmlns="http://schemas.openxmlformats.org/spreadsheetml/2006/main" name="DadosExternos_157" connectionId="661" autoFormatId="16" applyNumberFormats="0" applyBorderFormats="0" applyFontFormats="1" applyPatternFormats="1" applyAlignmentFormats="0" applyWidthHeightFormats="0"/>
</file>

<file path=xl/queryTables/queryTable139.xml><?xml version="1.0" encoding="utf-8"?>
<queryTable xmlns="http://schemas.openxmlformats.org/spreadsheetml/2006/main" name="DadosExternos_231" connectionId="362" autoFormatId="16" applyNumberFormats="0" applyBorderFormats="0" applyFontFormats="1" applyPatternFormats="1" applyAlignmentFormats="0" applyWidthHeightFormats="0"/>
</file>

<file path=xl/queryTables/queryTable140.xml><?xml version="1.0" encoding="utf-8"?>
<queryTable xmlns="http://schemas.openxmlformats.org/spreadsheetml/2006/main" name="DadosExternos_1" connectionId="1" autoFormatId="16" applyNumberFormats="0" applyBorderFormats="0" applyFontFormats="1" applyPatternFormats="1" applyAlignmentFormats="0" applyWidthHeightFormats="0"/>
</file>

<file path=xl/queryTables/queryTable141.xml><?xml version="1.0" encoding="utf-8"?>
<queryTable xmlns="http://schemas.openxmlformats.org/spreadsheetml/2006/main" name="DadosExternos_20" connectionId="1" autoFormatId="16" applyNumberFormats="0" applyBorderFormats="0" applyFontFormats="1" applyPatternFormats="1" applyAlignmentFormats="0" applyWidthHeightFormats="0"/>
</file>

<file path=xl/queryTables/queryTable142.xml><?xml version="1.0" encoding="utf-8"?>
<queryTable xmlns="http://schemas.openxmlformats.org/spreadsheetml/2006/main" name="ExternalData_14" connectionId="853" autoFormatId="16" applyNumberFormats="0" applyBorderFormats="0" applyFontFormats="1" applyPatternFormats="1" applyAlignmentFormats="0" applyWidthHeightFormats="0"/>
</file>

<file path=xl/queryTables/queryTable143.xml><?xml version="1.0" encoding="utf-8"?>
<queryTable xmlns="http://schemas.openxmlformats.org/spreadsheetml/2006/main" name="ExternalData_5" connectionId="997" autoFormatId="16" applyNumberFormats="0" applyBorderFormats="0" applyFontFormats="1" applyPatternFormats="1" applyAlignmentFormats="0" applyWidthHeightFormats="0"/>
</file>

<file path=xl/queryTables/queryTable144.xml><?xml version="1.0" encoding="utf-8"?>
<queryTable xmlns="http://schemas.openxmlformats.org/spreadsheetml/2006/main" name="ExternalData_32" connectionId="928" autoFormatId="16" applyNumberFormats="0" applyBorderFormats="0" applyFontFormats="1" applyPatternFormats="1" applyAlignmentFormats="0" applyWidthHeightFormats="0"/>
</file>

<file path=xl/queryTables/queryTable145.xml><?xml version="1.0" encoding="utf-8"?>
<queryTable xmlns="http://schemas.openxmlformats.org/spreadsheetml/2006/main" name="DadosExternos_145" connectionId="607" autoFormatId="16" applyNumberFormats="0" applyBorderFormats="0" applyFontFormats="1" applyPatternFormats="1" applyAlignmentFormats="0" applyWidthHeightFormats="0"/>
</file>

<file path=xl/queryTables/queryTable146.xml><?xml version="1.0" encoding="utf-8"?>
<queryTable xmlns="http://schemas.openxmlformats.org/spreadsheetml/2006/main" name="DadosExternos_254" connectionId="4" autoFormatId="16" applyNumberFormats="0" applyBorderFormats="0" applyFontFormats="1" applyPatternFormats="1" applyAlignmentFormats="0" applyWidthHeightFormats="0"/>
</file>

<file path=xl/queryTables/queryTable147.xml><?xml version="1.0" encoding="utf-8"?>
<queryTable xmlns="http://schemas.openxmlformats.org/spreadsheetml/2006/main" name="DadosExternos_35" connectionId="771" autoFormatId="16" applyNumberFormats="0" applyBorderFormats="0" applyFontFormats="1" applyPatternFormats="1" applyAlignmentFormats="0" applyWidthHeightFormats="0"/>
</file>

<file path=xl/queryTables/queryTable148.xml><?xml version="1.0" encoding="utf-8"?>
<queryTable xmlns="http://schemas.openxmlformats.org/spreadsheetml/2006/main" name="DadosExternos_256" connectionId="71" autoFormatId="16" applyNumberFormats="0" applyBorderFormats="0" applyFontFormats="1" applyPatternFormats="1" applyAlignmentFormats="0" applyWidthHeightFormats="0"/>
</file>

<file path=xl/queryTables/queryTable149.xml><?xml version="1.0" encoding="utf-8"?>
<queryTable xmlns="http://schemas.openxmlformats.org/spreadsheetml/2006/main" name="DadosExternos_14" connectionId="688" autoFormatId="16" applyNumberFormats="0" applyBorderFormats="0" applyFontFormats="1" applyPatternFormats="1" applyAlignmentFormats="0" applyWidthHeightFormats="0"/>
</file>

<file path=xl/queryTables/queryTable150.xml><?xml version="1.0" encoding="utf-8"?>
<queryTable xmlns="http://schemas.openxmlformats.org/spreadsheetml/2006/main" name="DadosExternos_6" connectionId="606" autoFormatId="16" applyNumberFormats="0" applyBorderFormats="0" applyFontFormats="1" applyPatternFormats="1" applyAlignmentFormats="0" applyWidthHeightFormats="0"/>
</file>

<file path=xl/queryTables/queryTable151.xml><?xml version="1.0" encoding="utf-8"?>
<queryTable xmlns="http://schemas.openxmlformats.org/spreadsheetml/2006/main" name="DadosExternos_46" connectionId="227" autoFormatId="16" applyNumberFormats="0" applyBorderFormats="0" applyFontFormats="1" applyPatternFormats="1" applyAlignmentFormats="0" applyWidthHeightFormats="0"/>
</file>

<file path=xl/queryTables/queryTable152.xml><?xml version="1.0" encoding="utf-8"?>
<queryTable xmlns="http://schemas.openxmlformats.org/spreadsheetml/2006/main" name="DadosExternos_39" connectionId="103" autoFormatId="16" applyNumberFormats="0" applyBorderFormats="0" applyFontFormats="1" applyPatternFormats="1" applyAlignmentFormats="0" applyWidthHeightFormats="0"/>
</file>

<file path=xl/queryTables/queryTable153.xml><?xml version="1.0" encoding="utf-8"?>
<queryTable xmlns="http://schemas.openxmlformats.org/spreadsheetml/2006/main" name="DadosExternos_192" connectionId="128" autoFormatId="16" applyNumberFormats="0" applyBorderFormats="0" applyFontFormats="1" applyPatternFormats="1" applyAlignmentFormats="0" applyWidthHeightFormats="0"/>
</file>

<file path=xl/queryTables/queryTable154.xml><?xml version="1.0" encoding="utf-8"?>
<queryTable xmlns="http://schemas.openxmlformats.org/spreadsheetml/2006/main" name="DadosExternos_232" connectionId="369" autoFormatId="16" applyNumberFormats="0" applyBorderFormats="0" applyFontFormats="1" applyPatternFormats="1" applyAlignmentFormats="0" applyWidthHeightFormats="0"/>
</file>

<file path=xl/queryTables/queryTable155.xml><?xml version="1.0" encoding="utf-8"?>
<queryTable xmlns="http://schemas.openxmlformats.org/spreadsheetml/2006/main" name="DadosExternos_34" connectionId="730" autoFormatId="16" applyNumberFormats="0" applyBorderFormats="0" applyFontFormats="1" applyPatternFormats="1" applyAlignmentFormats="0" applyWidthHeightFormats="0"/>
</file>

<file path=xl/queryTables/queryTable156.xml><?xml version="1.0" encoding="utf-8"?>
<queryTable xmlns="http://schemas.openxmlformats.org/spreadsheetml/2006/main" name="ExternalData_18" connectionId="808" autoFormatId="16" applyNumberFormats="0" applyBorderFormats="0" applyFontFormats="1" applyPatternFormats="1" applyAlignmentFormats="0" applyWidthHeightFormats="0"/>
</file>

<file path=xl/queryTables/queryTable157.xml><?xml version="1.0" encoding="utf-8"?>
<queryTable xmlns="http://schemas.openxmlformats.org/spreadsheetml/2006/main" name="DadosExternos_29" connectionId="377" autoFormatId="16" applyNumberFormats="0" applyBorderFormats="0" applyFontFormats="1" applyPatternFormats="1" applyAlignmentFormats="0" applyWidthHeightFormats="0"/>
</file>

<file path=xl/queryTables/queryTable158.xml><?xml version="1.0" encoding="utf-8"?>
<queryTable xmlns="http://schemas.openxmlformats.org/spreadsheetml/2006/main" name="DadosExternos_130" connectionId="457" autoFormatId="16" applyNumberFormats="0" applyBorderFormats="0" applyFontFormats="1" applyPatternFormats="1" applyAlignmentFormats="0" applyWidthHeightFormats="0"/>
</file>

<file path=xl/queryTables/queryTable159.xml><?xml version="1.0" encoding="utf-8"?>
<queryTable xmlns="http://schemas.openxmlformats.org/spreadsheetml/2006/main" name="DadosExternos_64" connectionId="501" autoFormatId="16" applyNumberFormats="0" applyBorderFormats="0" applyFontFormats="1" applyPatternFormats="1" applyAlignmentFormats="0" applyWidthHeightFormats="0"/>
</file>

<file path=xl/queryTables/queryTable160.xml><?xml version="1.0" encoding="utf-8"?>
<queryTable xmlns="http://schemas.openxmlformats.org/spreadsheetml/2006/main" name="DadosExternos_221" connectionId="328" autoFormatId="16" applyNumberFormats="0" applyBorderFormats="0" applyFontFormats="1" applyPatternFormats="1" applyAlignmentFormats="0" applyWidthHeightFormats="0"/>
</file>

<file path=xl/queryTables/queryTable161.xml><?xml version="1.0" encoding="utf-8"?>
<queryTable xmlns="http://schemas.openxmlformats.org/spreadsheetml/2006/main" name="DadosExternos_179" connectionId="752" autoFormatId="16" applyNumberFormats="0" applyBorderFormats="0" applyFontFormats="1" applyPatternFormats="1" applyAlignmentFormats="0" applyWidthHeightFormats="0"/>
</file>

<file path=xl/queryTables/queryTable162.xml><?xml version="1.0" encoding="utf-8"?>
<queryTable xmlns="http://schemas.openxmlformats.org/spreadsheetml/2006/main" name="DadosExternos_118" connectionId="276" autoFormatId="16" applyNumberFormats="0" applyBorderFormats="0" applyFontFormats="1" applyPatternFormats="1" applyAlignmentFormats="0" applyWidthHeightFormats="0"/>
</file>

<file path=xl/queryTables/queryTable163.xml><?xml version="1.0" encoding="utf-8"?>
<queryTable xmlns="http://schemas.openxmlformats.org/spreadsheetml/2006/main" name="DadosExternos_12" connectionId="2" autoFormatId="16" applyNumberFormats="0" applyBorderFormats="0" applyFontFormats="1" applyPatternFormats="1" applyAlignmentFormats="0" applyWidthHeightFormats="0"/>
</file>

<file path=xl/queryTables/queryTable164.xml><?xml version="1.0" encoding="utf-8"?>
<queryTable xmlns="http://schemas.openxmlformats.org/spreadsheetml/2006/main" name="DadosExternos_143" connectionId="600" autoFormatId="16" applyNumberFormats="0" applyBorderFormats="0" applyFontFormats="1" applyPatternFormats="1" applyAlignmentFormats="0" applyWidthHeightFormats="0"/>
</file>

<file path=xl/queryTables/queryTable165.xml><?xml version="1.0" encoding="utf-8"?>
<queryTable xmlns="http://schemas.openxmlformats.org/spreadsheetml/2006/main" name="DadosExternos_176" connectionId="734" autoFormatId="16" applyNumberFormats="0" applyBorderFormats="0" applyFontFormats="1" applyPatternFormats="1" applyAlignmentFormats="0" applyWidthHeightFormats="0"/>
</file>

<file path=xl/queryTables/queryTable166.xml><?xml version="1.0" encoding="utf-8"?>
<queryTable xmlns="http://schemas.openxmlformats.org/spreadsheetml/2006/main" name="DadosExternos_146" connectionId="610" autoFormatId="16" applyNumberFormats="0" applyBorderFormats="0" applyFontFormats="1" applyPatternFormats="1" applyAlignmentFormats="0" applyWidthHeightFormats="0"/>
</file>

<file path=xl/queryTables/queryTable167.xml><?xml version="1.0" encoding="utf-8"?>
<queryTable xmlns="http://schemas.openxmlformats.org/spreadsheetml/2006/main" name="ExternalData_28" connectionId="1070" autoFormatId="16" applyNumberFormats="0" applyBorderFormats="0" applyFontFormats="1" applyPatternFormats="1" applyAlignmentFormats="0" applyWidthHeightFormats="0"/>
</file>

<file path=xl/queryTables/queryTable168.xml><?xml version="1.0" encoding="utf-8"?>
<queryTable xmlns="http://schemas.openxmlformats.org/spreadsheetml/2006/main" name="DadosExternos_185" connectionId="101" autoFormatId="16" applyNumberFormats="0" applyBorderFormats="0" applyFontFormats="1" applyPatternFormats="1" applyAlignmentFormats="0" applyWidthHeightFormats="0"/>
</file>

<file path=xl/queryTables/queryTable169.xml><?xml version="1.0" encoding="utf-8"?>
<queryTable xmlns="http://schemas.openxmlformats.org/spreadsheetml/2006/main" name="DadosExternos_123" connectionId="347" autoFormatId="16" applyNumberFormats="0" applyBorderFormats="0" applyFontFormats="1" applyPatternFormats="1" applyAlignmentFormats="0" applyWidthHeightFormats="0"/>
</file>

<file path=xl/queryTables/queryTable170.xml><?xml version="1.0" encoding="utf-8"?>
<queryTable xmlns="http://schemas.openxmlformats.org/spreadsheetml/2006/main" name="DadosExternos_108" connectionId="103" autoFormatId="16" applyNumberFormats="0" applyBorderFormats="0" applyFontFormats="1" applyPatternFormats="1" applyAlignmentFormats="0" applyWidthHeightFormats="0"/>
</file>

<file path=xl/queryTables/queryTable171.xml><?xml version="1.0" encoding="utf-8"?>
<queryTable xmlns="http://schemas.openxmlformats.org/spreadsheetml/2006/main" name="DadosExternos_170" connectionId="715" autoFormatId="16" applyNumberFormats="0" applyBorderFormats="0" applyFontFormats="1" applyPatternFormats="1" applyAlignmentFormats="0" applyWidthHeightFormats="0"/>
</file>

<file path=xl/queryTables/queryTable172.xml><?xml version="1.0" encoding="utf-8"?>
<queryTable xmlns="http://schemas.openxmlformats.org/spreadsheetml/2006/main" name="DadosExternos_68" connectionId="2" autoFormatId="16" applyNumberFormats="0" applyBorderFormats="0" applyFontFormats="1" applyPatternFormats="1" applyAlignmentFormats="0" applyWidthHeightFormats="0"/>
</file>

<file path=xl/queryTables/queryTable173.xml><?xml version="1.0" encoding="utf-8"?>
<queryTable xmlns="http://schemas.openxmlformats.org/spreadsheetml/2006/main" name="DadosExternos_45" connectionId="210" autoFormatId="16" applyNumberFormats="0" applyBorderFormats="0" applyFontFormats="1" applyPatternFormats="1" applyAlignmentFormats="0" applyWidthHeightFormats="0"/>
</file>

<file path=xl/queryTables/queryTable174.xml><?xml version="1.0" encoding="utf-8"?>
<queryTable xmlns="http://schemas.openxmlformats.org/spreadsheetml/2006/main" name="DadosExternos_233" connectionId="372" autoFormatId="16" applyNumberFormats="0" applyBorderFormats="0" applyFontFormats="1" applyPatternFormats="1" applyAlignmentFormats="0" applyWidthHeightFormats="0"/>
</file>

<file path=xl/queryTables/queryTable175.xml><?xml version="1.0" encoding="utf-8"?>
<queryTable xmlns="http://schemas.openxmlformats.org/spreadsheetml/2006/main" name="DadosExternos_53" connectionId="332" autoFormatId="16" applyNumberFormats="0" applyBorderFormats="0" applyFontFormats="1" applyPatternFormats="1" applyAlignmentFormats="0" applyWidthHeightFormats="0"/>
</file>

<file path=xl/queryTables/queryTable176.xml><?xml version="1.0" encoding="utf-8"?>
<queryTable xmlns="http://schemas.openxmlformats.org/spreadsheetml/2006/main" name="DadosExternos_54" connectionId="347" autoFormatId="16" applyNumberFormats="0" applyBorderFormats="0" applyFontFormats="1" applyPatternFormats="1" applyAlignmentFormats="0" applyWidthHeightFormats="0"/>
</file>

<file path=xl/queryTables/queryTable177.xml><?xml version="1.0" encoding="utf-8"?>
<queryTable xmlns="http://schemas.openxmlformats.org/spreadsheetml/2006/main" name="DadosExternos_43" connectionId="175" autoFormatId="16" applyNumberFormats="0" applyBorderFormats="0" applyFontFormats="1" applyPatternFormats="1" applyAlignmentFormats="0" applyWidthHeightFormats="0"/>
</file>

<file path=xl/queryTables/queryTable178.xml><?xml version="1.0" encoding="utf-8"?>
<queryTable xmlns="http://schemas.openxmlformats.org/spreadsheetml/2006/main" name="DadosExternos_197" connectionId="176" autoFormatId="16" applyNumberFormats="0" applyBorderFormats="0" applyFontFormats="1" applyPatternFormats="1" applyAlignmentFormats="0" applyWidthHeightFormats="0"/>
</file>

<file path=xl/queryTables/queryTable179.xml><?xml version="1.0" encoding="utf-8"?>
<queryTable xmlns="http://schemas.openxmlformats.org/spreadsheetml/2006/main" name="DadosExternos_255" connectionId="62" autoFormatId="16" applyNumberFormats="0" applyBorderFormats="0" applyFontFormats="1" applyPatternFormats="1" applyAlignmentFormats="0" applyWidthHeightFormats="0"/>
</file>

<file path=xl/queryTables/queryTable180.xml><?xml version="1.0" encoding="utf-8"?>
<queryTable xmlns="http://schemas.openxmlformats.org/spreadsheetml/2006/main" name="DadosExternos_116" connectionId="244" autoFormatId="16" applyNumberFormats="0" applyBorderFormats="0" applyFontFormats="1" applyPatternFormats="1" applyAlignmentFormats="0" applyWidthHeightFormats="0"/>
</file>

<file path=xl/queryTables/queryTable181.xml><?xml version="1.0" encoding="utf-8"?>
<queryTable xmlns="http://schemas.openxmlformats.org/spreadsheetml/2006/main" name="DadosExternos_110" connectionId="137" autoFormatId="16" applyNumberFormats="0" applyBorderFormats="0" applyFontFormats="1" applyPatternFormats="1" applyAlignmentFormats="0" applyWidthHeightFormats="0"/>
</file>

<file path=xl/queryTables/queryTable182.xml><?xml version="1.0" encoding="utf-8"?>
<queryTable xmlns="http://schemas.openxmlformats.org/spreadsheetml/2006/main" name="DadosExternos_215" connectionId="300" autoFormatId="16" applyNumberFormats="0" applyBorderFormats="0" applyFontFormats="1" applyPatternFormats="1" applyAlignmentFormats="0" applyWidthHeightFormats="0"/>
</file>

<file path=xl/queryTables/queryTable183.xml><?xml version="1.0" encoding="utf-8"?>
<queryTable xmlns="http://schemas.openxmlformats.org/spreadsheetml/2006/main" name="ExternalData_13" connectionId="830" autoFormatId="16" applyNumberFormats="0" applyBorderFormats="0" applyFontFormats="1" applyPatternFormats="1" applyAlignmentFormats="0" applyWidthHeightFormats="0"/>
</file>

<file path=xl/queryTables/queryTable184.xml><?xml version="1.0" encoding="utf-8"?>
<queryTable xmlns="http://schemas.openxmlformats.org/spreadsheetml/2006/main" name="ExternalData_23" connectionId="997" autoFormatId="16" applyNumberFormats="0" applyBorderFormats="0" applyFontFormats="1" applyPatternFormats="1" applyAlignmentFormats="0" applyWidthHeightFormats="0"/>
</file>

<file path=xl/queryTables/queryTable185.xml><?xml version="1.0" encoding="utf-8"?>
<queryTable xmlns="http://schemas.openxmlformats.org/spreadsheetml/2006/main" name="DadosExternos_144" connectionId="603" autoFormatId="16" applyNumberFormats="0" applyBorderFormats="0" applyFontFormats="1" applyPatternFormats="1" applyAlignmentFormats="0" applyWidthHeightFormats="0"/>
</file>

<file path=xl/queryTables/queryTable186.xml><?xml version="1.0" encoding="utf-8"?>
<queryTable xmlns="http://schemas.openxmlformats.org/spreadsheetml/2006/main" name="DadosExternos_198" connectionId="183" autoFormatId="16" applyNumberFormats="0" applyBorderFormats="0" applyFontFormats="1" applyPatternFormats="1" applyAlignmentFormats="0" applyWidthHeightFormats="0"/>
</file>

<file path=xl/queryTables/queryTable187.xml><?xml version="1.0" encoding="utf-8"?>
<queryTable xmlns="http://schemas.openxmlformats.org/spreadsheetml/2006/main" name="DadosExternos_194" connectionId="134" autoFormatId="16" applyNumberFormats="0" applyBorderFormats="0" applyFontFormats="1" applyPatternFormats="1" applyAlignmentFormats="0" applyWidthHeightFormats="0"/>
</file>

<file path=xl/queryTables/queryTable188.xml><?xml version="1.0" encoding="utf-8"?>
<queryTable xmlns="http://schemas.openxmlformats.org/spreadsheetml/2006/main" name="ExternalData_33" connectionId="938" autoFormatId="16" applyNumberFormats="0" applyBorderFormats="0" applyFontFormats="1" applyPatternFormats="1" applyAlignmentFormats="0" applyWidthHeightFormats="0"/>
</file>

<file path=xl/queryTables/queryTable189.xml><?xml version="1.0" encoding="utf-8"?>
<queryTable xmlns="http://schemas.openxmlformats.org/spreadsheetml/2006/main" name="DadosExternos_165" connectionId="689" autoFormatId="16" applyNumberFormats="0" applyBorderFormats="0" applyFontFormats="1" applyPatternFormats="1" applyAlignmentFormats="0" applyWidthHeightFormats="0"/>
</file>

<file path=xl/queryTables/queryTable190.xml><?xml version="1.0" encoding="utf-8"?>
<queryTable xmlns="http://schemas.openxmlformats.org/spreadsheetml/2006/main" name="DadosExternos_193" connectionId="131" autoFormatId="16" applyNumberFormats="0" applyBorderFormats="0" applyFontFormats="1" applyPatternFormats="1" applyAlignmentFormats="0" applyWidthHeightFormats="0"/>
</file>

<file path=xl/queryTables/queryTable191.xml><?xml version="1.0" encoding="utf-8"?>
<queryTable xmlns="http://schemas.openxmlformats.org/spreadsheetml/2006/main" name="DadosExternos_17" connectionId="2" autoFormatId="16" applyNumberFormats="0" applyBorderFormats="0" applyFontFormats="1" applyPatternFormats="1" applyAlignmentFormats="0" applyWidthHeightFormats="0"/>
</file>

<file path=xl/queryTables/queryTable192.xml><?xml version="1.0" encoding="utf-8"?>
<queryTable xmlns="http://schemas.openxmlformats.org/spreadsheetml/2006/main" name="DadosExternos_109" connectionId="120" autoFormatId="16" applyNumberFormats="0" applyBorderFormats="0" applyFontFormats="1" applyPatternFormats="1" applyAlignmentFormats="0" applyWidthHeightFormats="0"/>
</file>

<file path=xl/queryTables/queryTable193.xml><?xml version="1.0" encoding="utf-8"?>
<queryTable xmlns="http://schemas.openxmlformats.org/spreadsheetml/2006/main" name="DadosExternos_195" connectionId="169" autoFormatId="16" applyNumberFormats="0" applyBorderFormats="0" applyFontFormats="1" applyPatternFormats="1" applyAlignmentFormats="0" applyWidthHeightFormats="0"/>
</file>

<file path=xl/queryTables/queryTable194.xml><?xml version="1.0" encoding="utf-8"?>
<queryTable xmlns="http://schemas.openxmlformats.org/spreadsheetml/2006/main" name="DadosExternos_111" connectionId="158" autoFormatId="16" applyNumberFormats="0" applyBorderFormats="0" applyFontFormats="1" applyPatternFormats="1" applyAlignmentFormats="0" applyWidthHeightFormats="0"/>
</file>

<file path=xl/queryTables/queryTable195.xml><?xml version="1.0" encoding="utf-8"?>
<queryTable xmlns="http://schemas.openxmlformats.org/spreadsheetml/2006/main" name="DadosExternos_250" connectionId="715" autoFormatId="16" applyNumberFormats="0" applyBorderFormats="0" applyFontFormats="1" applyPatternFormats="1" applyAlignmentFormats="0" applyWidthHeightFormats="0"/>
</file>

<file path=xl/queryTables/queryTable196.xml><?xml version="1.0" encoding="utf-8"?>
<queryTable xmlns="http://schemas.openxmlformats.org/spreadsheetml/2006/main" name="DadosExternos_174" connectionId="727" autoFormatId="16" applyNumberFormats="0" applyBorderFormats="0" applyFontFormats="1" applyPatternFormats="1" applyAlignmentFormats="0" applyWidthHeightFormats="0"/>
</file>

<file path=xl/queryTables/queryTable197.xml><?xml version="1.0" encoding="utf-8"?>
<queryTable xmlns="http://schemas.openxmlformats.org/spreadsheetml/2006/main" name="DadosExternos_21" connectionId="2" autoFormatId="16" applyNumberFormats="0" applyBorderFormats="0" applyFontFormats="1" applyPatternFormats="1" applyAlignmentFormats="0" applyWidthHeightFormats="0"/>
</file>

<file path=xl/queryTables/queryTable198.xml><?xml version="1.0" encoding="utf-8"?>
<queryTable xmlns="http://schemas.openxmlformats.org/spreadsheetml/2006/main" name="DadosExternos_47" connectionId="244" autoFormatId="16" applyNumberFormats="0" applyBorderFormats="0" applyFontFormats="1" applyPatternFormats="1" applyAlignmentFormats="0" applyWidthHeightFormats="0"/>
</file>

<file path=xl/queryTables/queryTable199.xml><?xml version="1.0" encoding="utf-8"?>
<queryTable xmlns="http://schemas.openxmlformats.org/spreadsheetml/2006/main" name="DadosExternos_127" connectionId="408" autoFormatId="16" applyNumberFormats="0" applyBorderFormats="0" applyFontFormats="1" applyPatternFormats="1" applyAlignmentFormats="0" applyWidthHeightFormats="0"/>
</file>

<file path=xl/queryTables/queryTable200.xml><?xml version="1.0" encoding="utf-8"?>
<queryTable xmlns="http://schemas.openxmlformats.org/spreadsheetml/2006/main" name="DadosExternos_50" connectionId="288" autoFormatId="16" applyNumberFormats="0" applyBorderFormats="0" applyFontFormats="1" applyPatternFormats="1" applyAlignmentFormats="0" applyWidthHeightFormats="0"/>
</file>

<file path=xl/queryTables/queryTable201.xml><?xml version="1.0" encoding="utf-8"?>
<queryTable xmlns="http://schemas.openxmlformats.org/spreadsheetml/2006/main" name="DadosExternos_249" connectionId="603" autoFormatId="16" applyNumberFormats="0" applyBorderFormats="0" applyFontFormats="1" applyPatternFormats="1" applyAlignmentFormats="0" applyWidthHeightFormats="0"/>
</file>

<file path=xl/queryTables/queryTable202.xml><?xml version="1.0" encoding="utf-8"?>
<queryTable xmlns="http://schemas.openxmlformats.org/spreadsheetml/2006/main" name="DadosExternos_71" connectionId="535" autoFormatId="16" applyNumberFormats="0" applyBorderFormats="0" applyFontFormats="1" applyPatternFormats="1" applyAlignmentFormats="0" applyWidthHeightFormats="0"/>
</file>

<file path=xl/queryTables/queryTable203.xml><?xml version="1.0" encoding="utf-8"?>
<queryTable xmlns="http://schemas.openxmlformats.org/spreadsheetml/2006/main" name="DadosExternos_133" connectionId="501" autoFormatId="16" applyNumberFormats="0" applyBorderFormats="0" applyFontFormats="1" applyPatternFormats="1" applyAlignmentFormats="0" applyWidthHeightFormats="0"/>
</file>

<file path=xl/queryTables/queryTable204.xml><?xml version="1.0" encoding="utf-8"?>
<queryTable xmlns="http://schemas.openxmlformats.org/spreadsheetml/2006/main" name="DadosExternos_63" connectionId="484" autoFormatId="16" applyNumberFormats="0" applyBorderFormats="0" applyFontFormats="1" applyPatternFormats="1" applyAlignmentFormats="0" applyWidthHeightFormats="0"/>
</file>

<file path=xl/queryTables/queryTable205.xml><?xml version="1.0" encoding="utf-8"?>
<queryTable xmlns="http://schemas.openxmlformats.org/spreadsheetml/2006/main" name="DadosExternos_150" connectionId="629" autoFormatId="16" applyNumberFormats="0" applyBorderFormats="0" applyFontFormats="1" applyPatternFormats="1" applyAlignmentFormats="0" applyWidthHeightFormats="0"/>
</file>

<file path=xl/queryTables/queryTable206.xml><?xml version="1.0" encoding="utf-8"?>
<queryTable xmlns="http://schemas.openxmlformats.org/spreadsheetml/2006/main" name="ExternalData_6" connectionId="1019" autoFormatId="16" applyNumberFormats="0" applyBorderFormats="0" applyFontFormats="1" applyPatternFormats="1" applyAlignmentFormats="0" applyWidthHeightFormats="0"/>
</file>

<file path=xl/queryTables/queryTable207.xml><?xml version="1.0" encoding="utf-8"?>
<queryTable xmlns="http://schemas.openxmlformats.org/spreadsheetml/2006/main" name="DadosExternos_27" connectionId="2" autoFormatId="16" applyNumberFormats="0" applyBorderFormats="0" applyFontFormats="1" applyPatternFormats="1" applyAlignmentFormats="0" applyWidthHeightFormats="0"/>
</file>

<file path=xl/queryTables/queryTable208.xml><?xml version="1.0" encoding="utf-8"?>
<queryTable xmlns="http://schemas.openxmlformats.org/spreadsheetml/2006/main" name="DadosExternos_154" connectionId="643" autoFormatId="16" applyNumberFormats="0" applyBorderFormats="0" applyFontFormats="1" applyPatternFormats="1" applyAlignmentFormats="0" applyWidthHeightFormats="0"/>
</file>

<file path=xl/queryTables/queryTable209.xml><?xml version="1.0" encoding="utf-8"?>
<queryTable xmlns="http://schemas.openxmlformats.org/spreadsheetml/2006/main" name="DadosExternos_42" connectionId="158" autoFormatId="16" applyNumberFormats="0" applyBorderFormats="0" applyFontFormats="1" applyPatternFormats="1" applyAlignmentFormats="0" applyWidthHeightFormats="0"/>
</file>

<file path=xl/queryTables/queryTable210.xml><?xml version="1.0" encoding="utf-8"?>
<queryTable xmlns="http://schemas.openxmlformats.org/spreadsheetml/2006/main" name="DadosExternos_58" connectionId="408" autoFormatId="16" applyNumberFormats="0" applyBorderFormats="0" applyFontFormats="1" applyPatternFormats="1" applyAlignmentFormats="0" applyWidthHeightFormats="0"/>
</file>

<file path=xl/queryTables/queryTable211.xml><?xml version="1.0" encoding="utf-8"?>
<queryTable xmlns="http://schemas.openxmlformats.org/spreadsheetml/2006/main" name="DadosExternos_125" connectionId="378" autoFormatId="16" applyNumberFormats="0" applyBorderFormats="0" applyFontFormats="1" applyPatternFormats="1" applyAlignmentFormats="0" applyWidthHeightFormats="0"/>
</file>

<file path=xl/queryTables/queryTable212.xml><?xml version="1.0" encoding="utf-8"?>
<queryTable xmlns="http://schemas.openxmlformats.org/spreadsheetml/2006/main" name="ExternalData_1" connectionId="807" autoFormatId="16" applyNumberFormats="0" applyBorderFormats="0" applyFontFormats="1" applyPatternFormats="1" applyAlignmentFormats="0" applyWidthHeightFormats="0"/>
</file>

<file path=xl/queryTables/queryTable213.xml><?xml version="1.0" encoding="utf-8"?>
<queryTable xmlns="http://schemas.openxmlformats.org/spreadsheetml/2006/main" name="DadosExternos_37" connectionId="45" autoFormatId="16" applyNumberFormats="0" applyBorderFormats="0" applyFontFormats="1" applyPatternFormats="1" applyAlignmentFormats="0" applyWidthHeightFormats="0"/>
</file>

<file path=xl/queryTables/queryTable214.xml><?xml version="1.0" encoding="utf-8"?>
<queryTable xmlns="http://schemas.openxmlformats.org/spreadsheetml/2006/main" name="DadosExternos_148" connectionId="623" autoFormatId="16" applyNumberFormats="0" applyBorderFormats="0" applyFontFormats="1" applyPatternFormats="1" applyAlignmentFormats="0" applyWidthHeightFormats="0"/>
</file>

<file path=xl/queryTables/queryTable215.xml><?xml version="1.0" encoding="utf-8"?>
<queryTable xmlns="http://schemas.openxmlformats.org/spreadsheetml/2006/main" name="DadosExternos_220" connectionId="321" autoFormatId="16" applyNumberFormats="0" applyBorderFormats="0" applyFontFormats="1" applyPatternFormats="1" applyAlignmentFormats="0" applyWidthHeightFormats="0"/>
</file>

<file path=xl/queryTables/queryTable216.xml><?xml version="1.0" encoding="utf-8"?>
<queryTable xmlns="http://schemas.openxmlformats.org/spreadsheetml/2006/main" name="DadosExternos_235" connectionId="379" autoFormatId="16" applyNumberFormats="0" applyBorderFormats="0" applyFontFormats="1" applyPatternFormats="1" applyAlignmentFormats="0" applyWidthHeightFormats="0"/>
</file>

<file path=xl/queryTables/queryTable217.xml><?xml version="1.0" encoding="utf-8"?>
<queryTable xmlns="http://schemas.openxmlformats.org/spreadsheetml/2006/main" name="DadosExternos_131" connectionId="470" autoFormatId="16" applyNumberFormats="0" applyBorderFormats="0" applyFontFormats="1" applyPatternFormats="1" applyAlignmentFormats="0" applyWidthHeightFormats="0"/>
</file>

<file path=xl/queryTables/queryTable218.xml><?xml version="1.0" encoding="utf-8"?>
<queryTable xmlns="http://schemas.openxmlformats.org/spreadsheetml/2006/main" name="DadosExternos_203" connectionId="240" autoFormatId="16" applyNumberFormats="0" applyBorderFormats="0" applyFontFormats="1" applyPatternFormats="1" applyAlignmentFormats="0" applyWidthHeightFormats="0"/>
</file>

<file path=xl/queryTables/queryTable219.xml><?xml version="1.0" encoding="utf-8"?>
<queryTable xmlns="http://schemas.openxmlformats.org/spreadsheetml/2006/main" name="DadosExternos_59" connectionId="420" autoFormatId="16" applyNumberFormats="0" applyBorderFormats="0" applyFontFormats="1" applyPatternFormats="1" applyAlignmentFormats="0" applyWidthHeightFormats="0"/>
</file>

<file path=xl/queryTables/queryTable220.xml><?xml version="1.0" encoding="utf-8"?>
<queryTable xmlns="http://schemas.openxmlformats.org/spreadsheetml/2006/main" name="DadosExternos_72" connectionId="606" autoFormatId="16" applyNumberFormats="0" applyBorderFormats="0" applyFontFormats="1" applyPatternFormats="1" applyAlignmentFormats="0" applyWidthHeightFormats="0"/>
</file>

<file path=xl/queryTables/queryTable221.xml><?xml version="1.0" encoding="utf-8"?>
<queryTable xmlns="http://schemas.openxmlformats.org/spreadsheetml/2006/main" name="DadosExternos_244" connectionId="427" autoFormatId="16" applyNumberFormats="0" applyBorderFormats="0" applyFontFormats="1" applyPatternFormats="1" applyAlignmentFormats="0" applyWidthHeightFormats="0"/>
</file>

<file path=xl/queryTables/queryTable222.xml><?xml version="1.0" encoding="utf-8"?>
<queryTable xmlns="http://schemas.openxmlformats.org/spreadsheetml/2006/main" name="DadosExternos_128" connectionId="420" autoFormatId="16" applyNumberFormats="0" applyBorderFormats="0" applyFontFormats="1" applyPatternFormats="1" applyAlignmentFormats="0" applyWidthHeightFormats="0"/>
</file>

<file path=xl/queryTables/queryTable223.xml><?xml version="1.0" encoding="utf-8"?>
<queryTable xmlns="http://schemas.openxmlformats.org/spreadsheetml/2006/main" name="DadosExternos_15" connectionId="730" autoFormatId="16" applyNumberFormats="0" applyBorderFormats="0" applyFontFormats="1" applyPatternFormats="1" applyAlignmentFormats="0" applyWidthHeightFormats="0"/>
</file>

<file path=xl/queryTables/queryTable224.xml><?xml version="1.0" encoding="utf-8"?>
<queryTable xmlns="http://schemas.openxmlformats.org/spreadsheetml/2006/main" name="DadosExternos_32" connectionId="647" autoFormatId="16" applyNumberFormats="0" applyBorderFormats="0" applyFontFormats="1" applyPatternFormats="1" applyAlignmentFormats="0" applyWidthHeightFormats="0"/>
</file>

<file path=xl/queryTables/queryTable225.xml><?xml version="1.0" encoding="utf-8"?>
<queryTable xmlns="http://schemas.openxmlformats.org/spreadsheetml/2006/main" name="DadosExternos_126" connectionId="390" autoFormatId="16" applyNumberFormats="0" applyBorderFormats="0" applyFontFormats="1" applyPatternFormats="1" applyAlignmentFormats="0" applyWidthHeightFormats="0"/>
</file>

<file path=xl/queryTables/queryTable226.xml><?xml version="1.0" encoding="utf-8"?>
<queryTable xmlns="http://schemas.openxmlformats.org/spreadsheetml/2006/main" name="DadosExternos_161" connectionId="675" autoFormatId="16" applyNumberFormats="0" applyBorderFormats="0" applyFontFormats="1" applyPatternFormats="1" applyAlignmentFormats="0" applyWidthHeightFormats="0"/>
</file>

<file path=xl/queryTables/queryTable227.xml><?xml version="1.0" encoding="utf-8"?>
<queryTable xmlns="http://schemas.openxmlformats.org/spreadsheetml/2006/main" name="DadosExternos_152" connectionId="636" autoFormatId="16" applyNumberFormats="0" applyBorderFormats="0" applyFontFormats="1" applyPatternFormats="1" applyAlignmentFormats="0" applyWidthHeightFormats="0"/>
</file>

<file path=xl/queryTables/queryTable228.xml><?xml version="1.0" encoding="utf-8"?>
<queryTable xmlns="http://schemas.openxmlformats.org/spreadsheetml/2006/main" name="DadosExternos_135" connectionId="536" autoFormatId="16" applyNumberFormats="0" applyBorderFormats="0" applyFontFormats="1" applyPatternFormats="1" applyAlignmentFormats="0" applyWidthHeightFormats="0"/>
</file>

<file path=xl/queryTables/queryTable229.xml><?xml version="1.0" encoding="utf-8"?>
<queryTable xmlns="http://schemas.openxmlformats.org/spreadsheetml/2006/main" name="DadosExternos_213" connectionId="297" autoFormatId="16" applyNumberFormats="0" applyBorderFormats="0" applyFontFormats="1" applyPatternFormats="1" applyAlignmentFormats="0" applyWidthHeightFormats="0"/>
</file>

<file path=xl/queryTables/queryTable230.xml><?xml version="1.0" encoding="utf-8"?>
<queryTable xmlns="http://schemas.openxmlformats.org/spreadsheetml/2006/main" name="DadosExternos_139" connectionId="586" autoFormatId="16" applyNumberFormats="0" applyBorderFormats="0" applyFontFormats="1" applyPatternFormats="1" applyAlignmentFormats="0" applyWidthHeightFormats="0"/>
</file>

<file path=xl/queryTables/queryTable231.xml><?xml version="1.0" encoding="utf-8"?>
<queryTable xmlns="http://schemas.openxmlformats.org/spreadsheetml/2006/main" name="ExternalData_21" connectionId="1019" autoFormatId="16" applyNumberFormats="0" applyBorderFormats="0" applyFontFormats="1" applyPatternFormats="1" applyAlignmentFormats="0" applyWidthHeightFormats="0"/>
</file>

<file path=xl/queryTables/queryTable232.xml><?xml version="1.0" encoding="utf-8"?>
<queryTable xmlns="http://schemas.openxmlformats.org/spreadsheetml/2006/main" name="DadosExternos_120" connectionId="303" autoFormatId="16" applyNumberFormats="0" applyBorderFormats="0" applyFontFormats="1" applyPatternFormats="1" applyAlignmentFormats="0" applyWidthHeightFormats="0"/>
</file>

<file path=xl/queryTables/queryTable233.xml><?xml version="1.0" encoding="utf-8"?>
<queryTable xmlns="http://schemas.openxmlformats.org/spreadsheetml/2006/main" name="DadosExternos_70" connectionId="377" autoFormatId="16" applyNumberFormats="0" applyBorderFormats="0" applyFontFormats="1" applyPatternFormats="1" applyAlignmentFormats="0" applyWidthHeightFormats="0"/>
</file>

<file path=xl/queryTables/queryTable234.xml><?xml version="1.0" encoding="utf-8"?>
<queryTable xmlns="http://schemas.openxmlformats.org/spreadsheetml/2006/main" name="DadosExternos_66" connectionId="536" autoFormatId="16" applyNumberFormats="0" applyBorderFormats="0" applyFontFormats="1" applyPatternFormats="1" applyAlignmentFormats="0" applyWidthHeightFormats="0"/>
</file>

<file path=xl/queryTables/queryTable235.xml><?xml version="1.0" encoding="utf-8"?>
<queryTable xmlns="http://schemas.openxmlformats.org/spreadsheetml/2006/main" name="DadosExternos_124" connectionId="361" autoFormatId="16" applyNumberFormats="0" applyBorderFormats="0" applyFontFormats="1" applyPatternFormats="1" applyAlignmentFormats="0" applyWidthHeightFormats="0"/>
</file>

<file path=xl/queryTables/queryTable236.xml><?xml version="1.0" encoding="utf-8"?>
<queryTable xmlns="http://schemas.openxmlformats.org/spreadsheetml/2006/main" name="ExternalData_24" connectionId="1050" autoFormatId="16" applyNumberFormats="0" applyBorderFormats="0" applyFontFormats="1" applyPatternFormats="1" applyAlignmentFormats="0" applyWidthHeightFormats="0"/>
</file>

<file path=xl/queryTables/queryTable237.xml><?xml version="1.0" encoding="utf-8"?>
<queryTable xmlns="http://schemas.openxmlformats.org/spreadsheetml/2006/main" name="ExternalData_29" connectionId="1076" autoFormatId="16" applyNumberFormats="0" applyBorderFormats="0" applyFontFormats="1" applyPatternFormats="1" applyAlignmentFormats="0" applyWidthHeightFormats="0"/>
</file>

<file path=xl/queryTables/queryTable238.xml><?xml version="1.0" encoding="utf-8"?>
<queryTable xmlns="http://schemas.openxmlformats.org/spreadsheetml/2006/main" name="DadosExternos_217" connectionId="311" autoFormatId="16" applyNumberFormats="0" applyBorderFormats="0" applyFontFormats="1" applyPatternFormats="1" applyAlignmentFormats="0" applyWidthHeightFormats="0"/>
</file>

<file path=xl/queryTables/queryTable239.xml><?xml version="1.0" encoding="utf-8"?>
<queryTable xmlns="http://schemas.openxmlformats.org/spreadsheetml/2006/main" name="DadosExternos_60" connectionId="439" autoFormatId="16" applyNumberFormats="0" applyBorderFormats="0" applyFontFormats="1" applyPatternFormats="1" applyAlignmentFormats="0" applyWidthHeightFormats="0"/>
</file>

<file path=xl/queryTables/queryTable240.xml><?xml version="1.0" encoding="utf-8"?>
<queryTable xmlns="http://schemas.openxmlformats.org/spreadsheetml/2006/main" name="DadosExternos_200" connectionId="225" autoFormatId="16" applyNumberFormats="0" applyBorderFormats="0" applyFontFormats="1" applyPatternFormats="1" applyAlignmentFormats="0" applyWidthHeightFormats="0"/>
</file>

<file path=xl/queryTables/queryTable241.xml><?xml version="1.0" encoding="utf-8"?>
<queryTable xmlns="http://schemas.openxmlformats.org/spreadsheetml/2006/main" name="DadosExternos_224" connectionId="340" autoFormatId="16" applyNumberFormats="0" applyBorderFormats="0" applyFontFormats="1" applyPatternFormats="1" applyAlignmentFormats="0" applyWidthHeightFormats="0"/>
</file>

<file path=xl/queryTables/queryTable242.xml><?xml version="1.0" encoding="utf-8"?>
<queryTable xmlns="http://schemas.openxmlformats.org/spreadsheetml/2006/main" name="DadosExternos_226" connectionId="344" autoFormatId="16" applyNumberFormats="0" applyBorderFormats="0" applyFontFormats="1" applyPatternFormats="1" applyAlignmentFormats="0" applyWidthHeightFormats="0"/>
</file>

<file path=xl/queryTables/queryTable243.xml><?xml version="1.0" encoding="utf-8"?>
<queryTable xmlns="http://schemas.openxmlformats.org/spreadsheetml/2006/main" name="DadosExternos_122" connectionId="332" autoFormatId="16" applyNumberFormats="0" applyBorderFormats="0" applyFontFormats="1" applyPatternFormats="1" applyAlignmentFormats="0" applyWidthHeightFormats="0"/>
</file>

<file path=xl/queryTables/queryTable244.xml><?xml version="1.0" encoding="utf-8"?>
<queryTable xmlns="http://schemas.openxmlformats.org/spreadsheetml/2006/main" name="DadosExternos_196" connectionId="174" autoFormatId="16" applyNumberFormats="0" applyBorderFormats="0" applyFontFormats="1" applyPatternFormats="1" applyAlignmentFormats="0" applyWidthHeightFormats="0"/>
</file>

<file path=xl/queryTables/queryTable245.xml><?xml version="1.0" encoding="utf-8"?>
<queryTable xmlns="http://schemas.openxmlformats.org/spreadsheetml/2006/main" name="DadosExternos_61" connectionId="457" autoFormatId="16" applyNumberFormats="0" applyBorderFormats="0" applyFontFormats="1" applyPatternFormats="1" applyAlignmentFormats="0" applyWidthHeightFormats="0"/>
</file>

<file path=xl/queryTables/queryTable246.xml><?xml version="1.0" encoding="utf-8"?>
<queryTable xmlns="http://schemas.openxmlformats.org/spreadsheetml/2006/main" name="DadosExternos_380" connectionId="91" autoFormatId="16" applyNumberFormats="0" applyBorderFormats="0" applyFontFormats="1" applyPatternFormats="1" applyAlignmentFormats="0" applyWidthHeightFormats="0"/>
</file>

<file path=xl/queryTables/queryTable247.xml><?xml version="1.0" encoding="utf-8"?>
<queryTable xmlns="http://schemas.openxmlformats.org/spreadsheetml/2006/main" name="DadosExternos_21" connectionId="62" autoFormatId="16" applyNumberFormats="0" applyBorderFormats="0" applyFontFormats="1" applyPatternFormats="1" applyAlignmentFormats="0" applyWidthHeightFormats="0"/>
</file>

<file path=xl/queryTables/queryTable248.xml><?xml version="1.0" encoding="utf-8"?>
<queryTable xmlns="http://schemas.openxmlformats.org/spreadsheetml/2006/main" name="ExternalData_16" connectionId="888" autoFormatId="16" applyNumberFormats="0" applyBorderFormats="0" applyFontFormats="1" applyPatternFormats="1" applyAlignmentFormats="0" applyWidthHeightFormats="0"/>
</file>

<file path=xl/queryTables/queryTable249.xml><?xml version="1.0" encoding="utf-8"?>
<queryTable xmlns="http://schemas.openxmlformats.org/spreadsheetml/2006/main" name="DadosExternos_119" connectionId="290" autoFormatId="16" applyNumberFormats="0" applyBorderFormats="0" applyFontFormats="1" applyPatternFormats="1" applyAlignmentFormats="0" applyWidthHeightFormats="0"/>
</file>

<file path=xl/queryTables/queryTable250.xml><?xml version="1.0" encoding="utf-8"?>
<queryTable xmlns="http://schemas.openxmlformats.org/spreadsheetml/2006/main" name="DadosExternos_349" connectionId="546" autoFormatId="16" applyNumberFormats="0" applyBorderFormats="0" applyFontFormats="1" applyPatternFormats="1" applyAlignmentFormats="0" applyWidthHeightFormats="0"/>
</file>

<file path=xl/queryTables/queryTable251.xml><?xml version="1.0" encoding="utf-8"?>
<queryTable xmlns="http://schemas.openxmlformats.org/spreadsheetml/2006/main" name="DadosExternos_185" connectionId="13" autoFormatId="16" applyNumberFormats="0" applyBorderFormats="0" applyFontFormats="1" applyPatternFormats="1" applyAlignmentFormats="0" applyWidthHeightFormats="0"/>
</file>

<file path=xl/queryTables/queryTable252.xml><?xml version="1.0" encoding="utf-8"?>
<queryTable xmlns="http://schemas.openxmlformats.org/spreadsheetml/2006/main" name="DadosExternos_66" connectionId="539" autoFormatId="16" applyNumberFormats="0" applyBorderFormats="0" applyFontFormats="1" applyPatternFormats="1" applyAlignmentFormats="0" applyWidthHeightFormats="0"/>
</file>

<file path=xl/queryTables/queryTable253.xml><?xml version="1.0" encoding="utf-8"?>
<queryTable xmlns="http://schemas.openxmlformats.org/spreadsheetml/2006/main" name="DadosExternos_186" connectionId="17" autoFormatId="16" applyNumberFormats="0" applyBorderFormats="0" applyFontFormats="1" applyPatternFormats="1" applyAlignmentFormats="0" applyWidthHeightFormats="0"/>
</file>

<file path=xl/queryTables/queryTable254.xml><?xml version="1.0" encoding="utf-8"?>
<queryTable xmlns="http://schemas.openxmlformats.org/spreadsheetml/2006/main" name="ExternalData_31" connectionId="948" autoFormatId="16" applyNumberFormats="0" applyBorderFormats="0" applyFontFormats="1" applyPatternFormats="1" applyAlignmentFormats="0" applyWidthHeightFormats="0"/>
</file>

<file path=xl/queryTables/queryTable255.xml><?xml version="1.0" encoding="utf-8"?>
<queryTable xmlns="http://schemas.openxmlformats.org/spreadsheetml/2006/main" name="DadosExternos_239" connectionId="223" autoFormatId="16" applyNumberFormats="0" applyBorderFormats="0" applyFontFormats="1" applyPatternFormats="1" applyAlignmentFormats="0" applyWidthHeightFormats="0"/>
</file>

<file path=xl/queryTables/queryTable256.xml><?xml version="1.0" encoding="utf-8"?>
<queryTable xmlns="http://schemas.openxmlformats.org/spreadsheetml/2006/main" name="DadosExternos_125" connectionId="382" autoFormatId="16" applyNumberFormats="0" applyBorderFormats="0" applyFontFormats="1" applyPatternFormats="1" applyAlignmentFormats="0" applyWidthHeightFormats="0"/>
</file>

<file path=xl/queryTables/queryTable257.xml><?xml version="1.0" encoding="utf-8"?>
<queryTable xmlns="http://schemas.openxmlformats.org/spreadsheetml/2006/main" name="ExternalData_39" connectionId="994" autoFormatId="16" applyNumberFormats="0" applyBorderFormats="0" applyFontFormats="1" applyPatternFormats="1" applyAlignmentFormats="0" applyWidthHeightFormats="0"/>
</file>

<file path=xl/queryTables/queryTable258.xml><?xml version="1.0" encoding="utf-8"?>
<queryTable xmlns="http://schemas.openxmlformats.org/spreadsheetml/2006/main" name="DadosExternos_326" connectionId="497" autoFormatId="16" applyNumberFormats="0" applyBorderFormats="0" applyFontFormats="1" applyPatternFormats="1" applyAlignmentFormats="0" applyWidthHeightFormats="0"/>
</file>

<file path=xl/queryTables/queryTable259.xml><?xml version="1.0" encoding="utf-8"?>
<queryTable xmlns="http://schemas.openxmlformats.org/spreadsheetml/2006/main" name="DadosExternos_1" connectionId="786" autoFormatId="16" applyNumberFormats="0" applyBorderFormats="0" applyFontFormats="1" applyPatternFormats="1" applyAlignmentFormats="0" applyWidthHeightFormats="0"/>
</file>

<file path=xl/queryTables/queryTable260.xml><?xml version="1.0" encoding="utf-8"?>
<queryTable xmlns="http://schemas.openxmlformats.org/spreadsheetml/2006/main" name="DadosExternos_191" connectionId="41" autoFormatId="16" applyNumberFormats="0" applyBorderFormats="0" applyFontFormats="1" applyPatternFormats="1" applyAlignmentFormats="0" applyWidthHeightFormats="0"/>
</file>

<file path=xl/queryTables/queryTable261.xml><?xml version="1.0" encoding="utf-8"?>
<queryTable xmlns="http://schemas.openxmlformats.org/spreadsheetml/2006/main" name="DadosExternos_279" connectionId="373" autoFormatId="16" applyNumberFormats="0" applyBorderFormats="0" applyFontFormats="1" applyPatternFormats="1" applyAlignmentFormats="0" applyWidthHeightFormats="0"/>
</file>

<file path=xl/queryTables/queryTable262.xml><?xml version="1.0" encoding="utf-8"?>
<queryTable xmlns="http://schemas.openxmlformats.org/spreadsheetml/2006/main" name="DadosExternos_327" connectionId="499" autoFormatId="16" applyNumberFormats="0" applyBorderFormats="0" applyFontFormats="1" applyPatternFormats="1" applyAlignmentFormats="0" applyWidthHeightFormats="0"/>
</file>

<file path=xl/queryTables/queryTable263.xml><?xml version="1.0" encoding="utf-8"?>
<queryTable xmlns="http://schemas.openxmlformats.org/spreadsheetml/2006/main" name="DadosExternos_365" connectionId="577" autoFormatId="16" applyNumberFormats="0" applyBorderFormats="0" applyFontFormats="1" applyPatternFormats="1" applyAlignmentFormats="0" applyWidthHeightFormats="0"/>
</file>

<file path=xl/queryTables/queryTable264.xml><?xml version="1.0" encoding="utf-8"?>
<queryTable xmlns="http://schemas.openxmlformats.org/spreadsheetml/2006/main" name="DadosExternos_160" connectionId="672" autoFormatId="16" applyNumberFormats="0" applyBorderFormats="0" applyFontFormats="1" applyPatternFormats="1" applyAlignmentFormats="0" applyWidthHeightFormats="0"/>
</file>

<file path=xl/queryTables/queryTable265.xml><?xml version="1.0" encoding="utf-8"?>
<queryTable xmlns="http://schemas.openxmlformats.org/spreadsheetml/2006/main" name="DadosExternos_202" connectionId="126" autoFormatId="16" applyNumberFormats="0" applyBorderFormats="0" applyFontFormats="1" applyPatternFormats="1" applyAlignmentFormats="0" applyWidthHeightFormats="0"/>
</file>

<file path=xl/queryTables/queryTable266.xml><?xml version="1.0" encoding="utf-8"?>
<queryTable xmlns="http://schemas.openxmlformats.org/spreadsheetml/2006/main" name="DadosExternos_10" connectionId="793" autoFormatId="16" applyNumberFormats="0" applyBorderFormats="0" applyFontFormats="1" applyPatternFormats="1" applyAlignmentFormats="0" applyWidthHeightFormats="0"/>
</file>

<file path=xl/queryTables/queryTable267.xml><?xml version="1.0" encoding="utf-8"?>
<queryTable xmlns="http://schemas.openxmlformats.org/spreadsheetml/2006/main" name="DadosExternos_358" connectionId="564" autoFormatId="16" applyNumberFormats="0" applyBorderFormats="0" applyFontFormats="1" applyPatternFormats="1" applyAlignmentFormats="0" applyWidthHeightFormats="0"/>
</file>

<file path=xl/queryTables/queryTable268.xml><?xml version="1.0" encoding="utf-8"?>
<queryTable xmlns="http://schemas.openxmlformats.org/spreadsheetml/2006/main" name="DadosExternos_259" connectionId="301" autoFormatId="16" applyNumberFormats="0" applyBorderFormats="0" applyFontFormats="1" applyPatternFormats="1" applyAlignmentFormats="0" applyWidthHeightFormats="0"/>
</file>

<file path=xl/queryTables/queryTable269.xml><?xml version="1.0" encoding="utf-8"?>
<queryTable xmlns="http://schemas.openxmlformats.org/spreadsheetml/2006/main" name="DadosExternos_317" connectionId="477" autoFormatId="16" applyNumberFormats="0" applyBorderFormats="0" applyFontFormats="1" applyPatternFormats="1" applyAlignmentFormats="0" applyWidthHeightFormats="0"/>
</file>

<file path=xl/queryTables/queryTable270.xml><?xml version="1.0" encoding="utf-8"?>
<queryTable xmlns="http://schemas.openxmlformats.org/spreadsheetml/2006/main" name="DadosExternos_194" connectionId="93" autoFormatId="16" applyNumberFormats="0" applyBorderFormats="0" applyFontFormats="1" applyPatternFormats="1" applyAlignmentFormats="0" applyWidthHeightFormats="0"/>
</file>

<file path=xl/queryTables/queryTable271.xml><?xml version="1.0" encoding="utf-8"?>
<queryTable xmlns="http://schemas.openxmlformats.org/spreadsheetml/2006/main" name="DadosExternos_103" connectionId="735" autoFormatId="16" applyNumberFormats="0" applyBorderFormats="0" applyFontFormats="1" applyPatternFormats="1" applyAlignmentFormats="0" applyWidthHeightFormats="0"/>
</file>

<file path=xl/queryTables/queryTable272.xml><?xml version="1.0" encoding="utf-8"?>
<queryTable xmlns="http://schemas.openxmlformats.org/spreadsheetml/2006/main" name="DadosExternos_120" connectionId="307" autoFormatId="16" applyNumberFormats="0" applyBorderFormats="0" applyFontFormats="1" applyPatternFormats="1" applyAlignmentFormats="0" applyWidthHeightFormats="0"/>
</file>

<file path=xl/queryTables/queryTable273.xml><?xml version="1.0" encoding="utf-8"?>
<queryTable xmlns="http://schemas.openxmlformats.org/spreadsheetml/2006/main" name="DadosExternos_331" connectionId="513" autoFormatId="16" applyNumberFormats="0" applyBorderFormats="0" applyFontFormats="1" applyPatternFormats="1" applyAlignmentFormats="0" applyWidthHeightFormats="0"/>
</file>

<file path=xl/queryTables/queryTable274.xml><?xml version="1.0" encoding="utf-8"?>
<queryTable xmlns="http://schemas.openxmlformats.org/spreadsheetml/2006/main" name="DadosExternos_311" connectionId="468" autoFormatId="16" applyNumberFormats="0" applyBorderFormats="0" applyFontFormats="1" applyPatternFormats="1" applyAlignmentFormats="0" applyWidthHeightFormats="0"/>
</file>

<file path=xl/queryTables/queryTable275.xml><?xml version="1.0" encoding="utf-8"?>
<queryTable xmlns="http://schemas.openxmlformats.org/spreadsheetml/2006/main" name="DadosExternos_196" connectionId="97" autoFormatId="16" applyNumberFormats="0" applyBorderFormats="0" applyFontFormats="1" applyPatternFormats="1" applyAlignmentFormats="0" applyWidthHeightFormats="0"/>
</file>

<file path=xl/queryTables/queryTable276.xml><?xml version="1.0" encoding="utf-8"?>
<queryTable xmlns="http://schemas.openxmlformats.org/spreadsheetml/2006/main" name="DadosExternos_35" connectionId="782" autoFormatId="16" applyNumberFormats="0" applyBorderFormats="0" applyFontFormats="1" applyPatternFormats="1" applyAlignmentFormats="0" applyWidthHeightFormats="0"/>
</file>

<file path=xl/queryTables/queryTable277.xml><?xml version="1.0" encoding="utf-8"?>
<queryTable xmlns="http://schemas.openxmlformats.org/spreadsheetml/2006/main" name="DadosExternos_59" connectionId="423" autoFormatId="16" applyNumberFormats="0" applyBorderFormats="0" applyFontFormats="1" applyPatternFormats="1" applyAlignmentFormats="0" applyWidthHeightFormats="0"/>
</file>

<file path=xl/queryTables/queryTable278.xml><?xml version="1.0" encoding="utf-8"?>
<queryTable xmlns="http://schemas.openxmlformats.org/spreadsheetml/2006/main" name="DadosExternos_172" connectionId="722" autoFormatId="16" applyNumberFormats="0" applyBorderFormats="0" applyFontFormats="1" applyPatternFormats="1" applyAlignmentFormats="0" applyWidthHeightFormats="0"/>
</file>

<file path=xl/queryTables/queryTable279.xml><?xml version="1.0" encoding="utf-8"?>
<queryTable xmlns="http://schemas.openxmlformats.org/spreadsheetml/2006/main" name="DadosExternos_12" connectionId="75" autoFormatId="16" applyNumberFormats="0" applyBorderFormats="0" applyFontFormats="1" applyPatternFormats="1" applyAlignmentFormats="0" applyWidthHeightFormats="0"/>
</file>

<file path=xl/queryTables/queryTable280.xml><?xml version="1.0" encoding="utf-8"?>
<queryTable xmlns="http://schemas.openxmlformats.org/spreadsheetml/2006/main" name="DadosExternos_141" connectionId="594" autoFormatId="16" applyNumberFormats="0" applyBorderFormats="0" applyFontFormats="1" applyPatternFormats="1" applyAlignmentFormats="0" applyWidthHeightFormats="0"/>
</file>

<file path=xl/queryTables/queryTable281.xml><?xml version="1.0" encoding="utf-8"?>
<queryTable xmlns="http://schemas.openxmlformats.org/spreadsheetml/2006/main" name="DadosExternos_309" connectionId="466" autoFormatId="16" applyNumberFormats="0" applyBorderFormats="0" applyFontFormats="1" applyPatternFormats="1" applyAlignmentFormats="0" applyWidthHeightFormats="0"/>
</file>

<file path=xl/queryTables/queryTable282.xml><?xml version="1.0" encoding="utf-8"?>
<queryTable xmlns="http://schemas.openxmlformats.org/spreadsheetml/2006/main" name="DadosExternos_256" connectionId="286" autoFormatId="16" applyNumberFormats="0" applyBorderFormats="0" applyFontFormats="1" applyPatternFormats="1" applyAlignmentFormats="0" applyWidthHeightFormats="0"/>
</file>

<file path=xl/queryTables/queryTable283.xml><?xml version="1.0" encoding="utf-8"?>
<queryTable xmlns="http://schemas.openxmlformats.org/spreadsheetml/2006/main" name="DadosExternos_243" connectionId="241" autoFormatId="16" applyNumberFormats="0" applyBorderFormats="0" applyFontFormats="1" applyPatternFormats="1" applyAlignmentFormats="0" applyWidthHeightFormats="0"/>
</file>

<file path=xl/queryTables/queryTable284.xml><?xml version="1.0" encoding="utf-8"?>
<queryTable xmlns="http://schemas.openxmlformats.org/spreadsheetml/2006/main" name="DadosExternos_337" connectionId="525" autoFormatId="16" applyNumberFormats="0" applyBorderFormats="0" applyFontFormats="1" applyPatternFormats="1" applyAlignmentFormats="0" applyWidthHeightFormats="0"/>
</file>

<file path=xl/queryTables/queryTable285.xml><?xml version="1.0" encoding="utf-8"?>
<queryTable xmlns="http://schemas.openxmlformats.org/spreadsheetml/2006/main" name="ExternalData_44" connectionId="1055" autoFormatId="16" applyNumberFormats="0" applyBorderFormats="0" applyFontFormats="1" applyPatternFormats="1" applyAlignmentFormats="0" applyWidthHeightFormats="0"/>
</file>

<file path=xl/queryTables/queryTable286.xml><?xml version="1.0" encoding="utf-8"?>
<queryTable xmlns="http://schemas.openxmlformats.org/spreadsheetml/2006/main" name="DadosExternos_51" connectionId="305" autoFormatId="16" applyNumberFormats="0" applyBorderFormats="0" applyFontFormats="1" applyPatternFormats="1" applyAlignmentFormats="0" applyWidthHeightFormats="0"/>
</file>

<file path=xl/queryTables/queryTable287.xml><?xml version="1.0" encoding="utf-8"?>
<queryTable xmlns="http://schemas.openxmlformats.org/spreadsheetml/2006/main" name="DadosExternos_61" connectionId="460" autoFormatId="16" applyNumberFormats="0" applyBorderFormats="0" applyFontFormats="1" applyPatternFormats="1" applyAlignmentFormats="0" applyWidthHeightFormats="0"/>
</file>

<file path=xl/queryTables/queryTable288.xml><?xml version="1.0" encoding="utf-8"?>
<queryTable xmlns="http://schemas.openxmlformats.org/spreadsheetml/2006/main" name="DadosExternos_38" connectionId="86" autoFormatId="16" applyNumberFormats="0" applyBorderFormats="0" applyFontFormats="1" applyPatternFormats="1" applyAlignmentFormats="0" applyWidthHeightFormats="0"/>
</file>

<file path=xl/queryTables/queryTable289.xml><?xml version="1.0" encoding="utf-8"?>
<queryTable xmlns="http://schemas.openxmlformats.org/spreadsheetml/2006/main" name="DadosExternos_281" connectionId="384" autoFormatId="16" applyNumberFormats="0" applyBorderFormats="0" applyFontFormats="1" applyPatternFormats="1" applyAlignmentFormats="0" applyWidthHeightFormats="0"/>
</file>

<file path=xl/queryTables/queryTable290.xml><?xml version="1.0" encoding="utf-8"?>
<queryTable xmlns="http://schemas.openxmlformats.org/spreadsheetml/2006/main" name="DadosExternos_63" connectionId="489" autoFormatId="16" applyNumberFormats="0" applyBorderFormats="0" applyFontFormats="1" applyPatternFormats="1" applyAlignmentFormats="0" applyWidthHeightFormats="0"/>
</file>

<file path=xl/queryTables/queryTable291.xml><?xml version="1.0" encoding="utf-8"?>
<queryTable xmlns="http://schemas.openxmlformats.org/spreadsheetml/2006/main" name="DadosExternos_294" connectionId="430" autoFormatId="16" applyNumberFormats="0" applyBorderFormats="0" applyFontFormats="1" applyPatternFormats="1" applyAlignmentFormats="0" applyWidthHeightFormats="0"/>
</file>

<file path=xl/queryTables/queryTable292.xml><?xml version="1.0" encoding="utf-8"?>
<queryTable xmlns="http://schemas.openxmlformats.org/spreadsheetml/2006/main" name="ExternalData_41" connectionId="808" autoFormatId="16" applyNumberFormats="0" applyBorderFormats="0" applyFontFormats="1" applyPatternFormats="1" applyAlignmentFormats="0" applyWidthHeightFormats="0"/>
</file>

<file path=xl/queryTables/queryTable293.xml><?xml version="1.0" encoding="utf-8"?>
<queryTable xmlns="http://schemas.openxmlformats.org/spreadsheetml/2006/main" name="DadosExternos_210" connectionId="150" autoFormatId="16" applyNumberFormats="0" applyBorderFormats="0" applyFontFormats="1" applyPatternFormats="1" applyAlignmentFormats="0" applyWidthHeightFormats="0"/>
</file>

<file path=xl/queryTables/queryTable294.xml><?xml version="1.0" encoding="utf-8"?>
<queryTable xmlns="http://schemas.openxmlformats.org/spreadsheetml/2006/main" name="DadosExternos_217" connectionId="170" autoFormatId="16" applyNumberFormats="0" applyBorderFormats="0" applyFontFormats="1" applyPatternFormats="1" applyAlignmentFormats="0" applyWidthHeightFormats="0"/>
</file>

<file path=xl/queryTables/queryTable295.xml><?xml version="1.0" encoding="utf-8"?>
<queryTable xmlns="http://schemas.openxmlformats.org/spreadsheetml/2006/main" name="DadosExternos_153" connectionId="641" autoFormatId="16" applyNumberFormats="0" applyBorderFormats="0" applyFontFormats="1" applyPatternFormats="1" applyAlignmentFormats="0" applyWidthHeightFormats="0"/>
</file>

<file path=xl/queryTables/queryTable296.xml><?xml version="1.0" encoding="utf-8"?>
<queryTable xmlns="http://schemas.openxmlformats.org/spreadsheetml/2006/main" name="DadosExternos_64" connectionId="507" autoFormatId="16" applyNumberFormats="0" applyBorderFormats="0" applyFontFormats="1" applyPatternFormats="1" applyAlignmentFormats="0" applyWidthHeightFormats="0"/>
</file>

<file path=xl/queryTables/queryTable297.xml><?xml version="1.0" encoding="utf-8"?>
<queryTable xmlns="http://schemas.openxmlformats.org/spreadsheetml/2006/main" name="DadosExternos_246" connectionId="264" autoFormatId="16" applyNumberFormats="0" applyBorderFormats="0" applyFontFormats="1" applyPatternFormats="1" applyAlignmentFormats="0" applyWidthHeightFormats="0"/>
</file>

<file path=xl/queryTables/queryTable298.xml><?xml version="1.0" encoding="utf-8"?>
<queryTable xmlns="http://schemas.openxmlformats.org/spreadsheetml/2006/main" name="DadosExternos_265" connectionId="326" autoFormatId="16" applyNumberFormats="0" applyBorderFormats="0" applyFontFormats="1" applyPatternFormats="1" applyAlignmentFormats="0" applyWidthHeightFormats="0"/>
</file>

<file path=xl/queryTables/queryTable299.xml><?xml version="1.0" encoding="utf-8"?>
<queryTable xmlns="http://schemas.openxmlformats.org/spreadsheetml/2006/main" name="DadosExternos_275" connectionId="356" autoFormatId="16" applyNumberFormats="0" applyBorderFormats="0" applyFontFormats="1" applyPatternFormats="1" applyAlignmentFormats="0" applyWidthHeightFormats="0"/>
</file>

<file path=xl/queryTables/queryTable300.xml><?xml version="1.0" encoding="utf-8"?>
<queryTable xmlns="http://schemas.openxmlformats.org/spreadsheetml/2006/main" name="DadosExternos_145" connectionId="608" autoFormatId="16" applyNumberFormats="0" applyBorderFormats="0" applyFontFormats="1" applyPatternFormats="1" applyAlignmentFormats="0" applyWidthHeightFormats="0"/>
</file>

<file path=xl/queryTables/queryTable301.xml><?xml version="1.0" encoding="utf-8"?>
<queryTable xmlns="http://schemas.openxmlformats.org/spreadsheetml/2006/main" name="DadosExternos_113" connectionId="195" autoFormatId="16" applyNumberFormats="0" applyBorderFormats="0" applyFontFormats="1" applyPatternFormats="1" applyAlignmentFormats="0" applyWidthHeightFormats="0"/>
</file>

<file path=xl/queryTables/queryTable302.xml><?xml version="1.0" encoding="utf-8"?>
<queryTable xmlns="http://schemas.openxmlformats.org/spreadsheetml/2006/main" name="DadosExternos_136" connectionId="554" autoFormatId="16" applyNumberFormats="0" applyBorderFormats="0" applyFontFormats="1" applyPatternFormats="1" applyAlignmentFormats="0" applyWidthHeightFormats="0"/>
</file>

<file path=xl/queryTables/queryTable303.xml><?xml version="1.0" encoding="utf-8"?>
<queryTable xmlns="http://schemas.openxmlformats.org/spreadsheetml/2006/main" name="DadosExternos_342" connectionId="531" autoFormatId="16" applyNumberFormats="0" applyBorderFormats="0" applyFontFormats="1" applyPatternFormats="1" applyAlignmentFormats="0" applyWidthHeightFormats="0"/>
</file>

<file path=xl/queryTables/queryTable304.xml><?xml version="1.0" encoding="utf-8"?>
<queryTable xmlns="http://schemas.openxmlformats.org/spreadsheetml/2006/main" name="ExternalData_18" connectionId="853" autoFormatId="16" applyNumberFormats="0" applyBorderFormats="0" applyFontFormats="1" applyPatternFormats="1" applyAlignmentFormats="0" applyWidthHeightFormats="0"/>
</file>

<file path=xl/queryTables/queryTable305.xml><?xml version="1.0" encoding="utf-8"?>
<queryTable xmlns="http://schemas.openxmlformats.org/spreadsheetml/2006/main" name="DadosExternos_244" connectionId="260" autoFormatId="16" applyNumberFormats="0" applyBorderFormats="0" applyFontFormats="1" applyPatternFormats="1" applyAlignmentFormats="0" applyWidthHeightFormats="0"/>
</file>

<file path=xl/queryTables/queryTable306.xml><?xml version="1.0" encoding="utf-8"?>
<queryTable xmlns="http://schemas.openxmlformats.org/spreadsheetml/2006/main" name="DadosExternos_268" connectionId="330" autoFormatId="16" applyNumberFormats="0" applyBorderFormats="0" applyFontFormats="1" applyPatternFormats="1" applyAlignmentFormats="0" applyWidthHeightFormats="0"/>
</file>

<file path=xl/queryTables/queryTable307.xml><?xml version="1.0" encoding="utf-8"?>
<queryTable xmlns="http://schemas.openxmlformats.org/spreadsheetml/2006/main" name="DadosExternos_112" connectionId="177" autoFormatId="16" applyNumberFormats="0" applyBorderFormats="0" applyFontFormats="1" applyPatternFormats="1" applyAlignmentFormats="0" applyWidthHeightFormats="0"/>
</file>

<file path=xl/queryTables/queryTable308.xml><?xml version="1.0" encoding="utf-8"?>
<queryTable xmlns="http://schemas.openxmlformats.org/spreadsheetml/2006/main" name="DadosExternos_189" connectionId="32" autoFormatId="16" applyNumberFormats="0" applyBorderFormats="0" applyFontFormats="1" applyPatternFormats="1" applyAlignmentFormats="0" applyWidthHeightFormats="0"/>
</file>

<file path=xl/queryTables/queryTable309.xml><?xml version="1.0" encoding="utf-8"?>
<queryTable xmlns="http://schemas.openxmlformats.org/spreadsheetml/2006/main" name="DadosExternos_20" connectionId="788" autoFormatId="16" applyNumberFormats="0" applyBorderFormats="0" applyFontFormats="1" applyPatternFormats="1" applyAlignmentFormats="0" applyWidthHeightFormats="0"/>
</file>

<file path=xl/queryTables/queryTable310.xml><?xml version="1.0" encoding="utf-8"?>
<queryTable xmlns="http://schemas.openxmlformats.org/spreadsheetml/2006/main" name="ExternalData_42" connectionId="1019" autoFormatId="16" applyNumberFormats="0" applyBorderFormats="0" applyFontFormats="1" applyPatternFormats="1" applyAlignmentFormats="0" applyWidthHeightFormats="0"/>
</file>

<file path=xl/queryTables/queryTable311.xml><?xml version="1.0" encoding="utf-8"?>
<queryTable xmlns="http://schemas.openxmlformats.org/spreadsheetml/2006/main" name="DadosExternos_223" connectionId="188" autoFormatId="16" applyNumberFormats="0" applyBorderFormats="0" applyFontFormats="1" applyPatternFormats="1" applyAlignmentFormats="0" applyWidthHeightFormats="0"/>
</file>

<file path=xl/queryTables/queryTable312.xml><?xml version="1.0" encoding="utf-8"?>
<queryTable xmlns="http://schemas.openxmlformats.org/spreadsheetml/2006/main" name="DadosExternos_296" connectionId="435" autoFormatId="16" applyNumberFormats="0" applyBorderFormats="0" applyFontFormats="1" applyPatternFormats="1" applyAlignmentFormats="0" applyWidthHeightFormats="0"/>
</file>

<file path=xl/queryTables/queryTable313.xml><?xml version="1.0" encoding="utf-8"?>
<queryTable xmlns="http://schemas.openxmlformats.org/spreadsheetml/2006/main" name="DadosExternos_138" connectionId="582" autoFormatId="16" applyNumberFormats="0" applyBorderFormats="0" applyFontFormats="1" applyPatternFormats="1" applyAlignmentFormats="0" applyWidthHeightFormats="0"/>
</file>

<file path=xl/queryTables/queryTable314.xml><?xml version="1.0" encoding="utf-8"?>
<queryTable xmlns="http://schemas.openxmlformats.org/spreadsheetml/2006/main" name="DadosExternos_238" connectionId="221" autoFormatId="16" applyNumberFormats="0" applyBorderFormats="0" applyFontFormats="1" applyPatternFormats="1" applyAlignmentFormats="0" applyWidthHeightFormats="0"/>
</file>

<file path=xl/queryTables/queryTable315.xml><?xml version="1.0" encoding="utf-8"?>
<queryTable xmlns="http://schemas.openxmlformats.org/spreadsheetml/2006/main" name="DadosExternos_205" connectionId="135" autoFormatId="16" applyNumberFormats="0" applyBorderFormats="0" applyFontFormats="1" applyPatternFormats="1" applyAlignmentFormats="0" applyWidthHeightFormats="0"/>
</file>

<file path=xl/queryTables/queryTable316.xml><?xml version="1.0" encoding="utf-8"?>
<queryTable xmlns="http://schemas.openxmlformats.org/spreadsheetml/2006/main" name="DadosExternos_48" connectionId="268" autoFormatId="16" applyNumberFormats="0" applyBorderFormats="0" applyFontFormats="1" applyPatternFormats="1" applyAlignmentFormats="0" applyWidthHeightFormats="0"/>
</file>

<file path=xl/queryTables/queryTable317.xml><?xml version="1.0" encoding="utf-8"?>
<queryTable xmlns="http://schemas.openxmlformats.org/spreadsheetml/2006/main" name="DadosExternos_53" connectionId="335" autoFormatId="16" applyNumberFormats="0" applyBorderFormats="0" applyFontFormats="1" applyPatternFormats="1" applyAlignmentFormats="0" applyWidthHeightFormats="0"/>
</file>

<file path=xl/queryTables/queryTable318.xml><?xml version="1.0" encoding="utf-8"?>
<queryTable xmlns="http://schemas.openxmlformats.org/spreadsheetml/2006/main" name="DadosExternos_155" connectionId="649" autoFormatId="16" applyNumberFormats="0" applyBorderFormats="0" applyFontFormats="1" applyPatternFormats="1" applyAlignmentFormats="0" applyWidthHeightFormats="0"/>
</file>

<file path=xl/queryTables/queryTable319.xml><?xml version="1.0" encoding="utf-8"?>
<queryTable xmlns="http://schemas.openxmlformats.org/spreadsheetml/2006/main" name="DadosExternos_163" connectionId="682" autoFormatId="16" applyNumberFormats="0" applyBorderFormats="0" applyFontFormats="1" applyPatternFormats="1" applyAlignmentFormats="0" applyWidthHeightFormats="0"/>
</file>

<file path=xl/queryTables/queryTable320.xml><?xml version="1.0" encoding="utf-8"?>
<queryTable xmlns="http://schemas.openxmlformats.org/spreadsheetml/2006/main" name="DadosExternos_15" connectionId="742" autoFormatId="16" applyNumberFormats="0" applyBorderFormats="0" applyFontFormats="1" applyPatternFormats="1" applyAlignmentFormats="0" applyWidthHeightFormats="0"/>
</file>

<file path=xl/queryTables/queryTable321.xml><?xml version="1.0" encoding="utf-8"?>
<queryTable xmlns="http://schemas.openxmlformats.org/spreadsheetml/2006/main" name="DadosExternos_50" connectionId="292" autoFormatId="16" applyNumberFormats="0" applyBorderFormats="0" applyFontFormats="1" applyPatternFormats="1" applyAlignmentFormats="0" applyWidthHeightFormats="0"/>
</file>

<file path=xl/queryTables/queryTable322.xml><?xml version="1.0" encoding="utf-8"?>
<queryTable xmlns="http://schemas.openxmlformats.org/spreadsheetml/2006/main" name="DadosExternos_293" connectionId="428" autoFormatId="16" applyNumberFormats="0" applyBorderFormats="0" applyFontFormats="1" applyPatternFormats="1" applyAlignmentFormats="0" applyWidthHeightFormats="0"/>
</file>

<file path=xl/queryTables/queryTable323.xml><?xml version="1.0" encoding="utf-8"?>
<queryTable xmlns="http://schemas.openxmlformats.org/spreadsheetml/2006/main" name="ExternalData_32" connectionId="954" autoFormatId="16" applyNumberFormats="0" applyBorderFormats="0" applyFontFormats="1" applyPatternFormats="1" applyAlignmentFormats="0" applyWidthHeightFormats="0"/>
</file>

<file path=xl/queryTables/queryTable324.xml><?xml version="1.0" encoding="utf-8"?>
<queryTable xmlns="http://schemas.openxmlformats.org/spreadsheetml/2006/main" name="DadosExternos_251" connectionId="282" autoFormatId="16" applyNumberFormats="0" applyBorderFormats="0" applyFontFormats="1" applyPatternFormats="1" applyAlignmentFormats="0" applyWidthHeightFormats="0"/>
</file>

<file path=xl/queryTables/queryTable325.xml><?xml version="1.0" encoding="utf-8"?>
<queryTable xmlns="http://schemas.openxmlformats.org/spreadsheetml/2006/main" name="DadosExternos_41" connectionId="142" autoFormatId="16" applyNumberFormats="0" applyBorderFormats="0" applyFontFormats="1" applyPatternFormats="1" applyAlignmentFormats="0" applyWidthHeightFormats="0"/>
</file>

<file path=xl/queryTables/queryTable326.xml><?xml version="1.0" encoding="utf-8"?>
<queryTable xmlns="http://schemas.openxmlformats.org/spreadsheetml/2006/main" name="DadosExternos_46" connectionId="230" autoFormatId="16" applyNumberFormats="0" applyBorderFormats="0" applyFontFormats="1" applyPatternFormats="1" applyAlignmentFormats="0" applyWidthHeightFormats="0"/>
</file>

<file path=xl/queryTables/queryTable327.xml><?xml version="1.0" encoding="utf-8"?>
<queryTable xmlns="http://schemas.openxmlformats.org/spreadsheetml/2006/main" name="ExternalData_5" connectionId="1000" autoFormatId="16" applyNumberFormats="0" applyBorderFormats="0" applyFontFormats="1" applyPatternFormats="1" applyAlignmentFormats="0" applyWidthHeightFormats="0"/>
</file>

<file path=xl/queryTables/queryTable328.xml><?xml version="1.0" encoding="utf-8"?>
<queryTable xmlns="http://schemas.openxmlformats.org/spreadsheetml/2006/main" name="DadosExternos_352" connectionId="558" autoFormatId="16" applyNumberFormats="0" applyBorderFormats="0" applyFontFormats="1" applyPatternFormats="1" applyAlignmentFormats="0" applyWidthHeightFormats="0"/>
</file>

<file path=xl/queryTables/queryTable329.xml><?xml version="1.0" encoding="utf-8"?>
<queryTable xmlns="http://schemas.openxmlformats.org/spreadsheetml/2006/main" name="DadosExternos_376" connectionId="786" autoFormatId="16" applyNumberFormats="0" applyBorderFormats="0" applyFontFormats="1" applyPatternFormats="1" applyAlignmentFormats="0" applyWidthHeightFormats="0"/>
</file>

<file path=xl/queryTables/queryTable330.xml><?xml version="1.0" encoding="utf-8"?>
<queryTable xmlns="http://schemas.openxmlformats.org/spreadsheetml/2006/main" name="DadosExternos_288" connectionId="406" autoFormatId="16" applyNumberFormats="0" applyBorderFormats="0" applyFontFormats="1" applyPatternFormats="1" applyAlignmentFormats="0" applyWidthHeightFormats="0"/>
</file>

<file path=xl/queryTables/queryTable331.xml><?xml version="1.0" encoding="utf-8"?>
<queryTable xmlns="http://schemas.openxmlformats.org/spreadsheetml/2006/main" name="DadosExternos_200" connectionId="113" autoFormatId="16" applyNumberFormats="0" applyBorderFormats="0" applyFontFormats="1" applyPatternFormats="1" applyAlignmentFormats="0" applyWidthHeightFormats="0"/>
</file>

<file path=xl/queryTables/queryTable332.xml><?xml version="1.0" encoding="utf-8"?>
<queryTable xmlns="http://schemas.openxmlformats.org/spreadsheetml/2006/main" name="DadosExternos_241" connectionId="234" autoFormatId="16" applyNumberFormats="0" applyBorderFormats="0" applyFontFormats="1" applyPatternFormats="1" applyAlignmentFormats="0" applyWidthHeightFormats="0"/>
</file>

<file path=xl/queryTables/queryTable333.xml><?xml version="1.0" encoding="utf-8"?>
<queryTable xmlns="http://schemas.openxmlformats.org/spreadsheetml/2006/main" name="ExternalData_14" connectionId="853" autoFormatId="16" applyNumberFormats="0" applyBorderFormats="0" applyFontFormats="1" applyPatternFormats="1" applyAlignmentFormats="0" applyWidthHeightFormats="0"/>
</file>

<file path=xl/queryTables/queryTable334.xml><?xml version="1.0" encoding="utf-8"?>
<queryTable xmlns="http://schemas.openxmlformats.org/spreadsheetml/2006/main" name="ExternalData_10" connectionId="1096" autoFormatId="16" applyNumberFormats="0" applyBorderFormats="0" applyFontFormats="1" applyPatternFormats="1" applyAlignmentFormats="0" applyWidthHeightFormats="0"/>
</file>

<file path=xl/queryTables/queryTable335.xml><?xml version="1.0" encoding="utf-8"?>
<queryTable xmlns="http://schemas.openxmlformats.org/spreadsheetml/2006/main" name="DadosExternos_114" connectionId="215" autoFormatId="16" applyNumberFormats="0" applyBorderFormats="0" applyFontFormats="1" applyPatternFormats="1" applyAlignmentFormats="0" applyWidthHeightFormats="0"/>
</file>

<file path=xl/queryTables/queryTable336.xml><?xml version="1.0" encoding="utf-8"?>
<queryTable xmlns="http://schemas.openxmlformats.org/spreadsheetml/2006/main" name="DadosExternos_304" connectionId="453" autoFormatId="16" applyNumberFormats="0" applyBorderFormats="0" applyFontFormats="1" applyPatternFormats="1" applyAlignmentFormats="0" applyWidthHeightFormats="0"/>
</file>

<file path=xl/queryTables/queryTable337.xml><?xml version="1.0" encoding="utf-8"?>
<queryTable xmlns="http://schemas.openxmlformats.org/spreadsheetml/2006/main" name="DadosExternos_43" connectionId="179" autoFormatId="16" applyNumberFormats="0" applyBorderFormats="0" applyFontFormats="1" applyPatternFormats="1" applyAlignmentFormats="0" applyWidthHeightFormats="0"/>
</file>

<file path=xl/queryTables/queryTable338.xml><?xml version="1.0" encoding="utf-8"?>
<queryTable xmlns="http://schemas.openxmlformats.org/spreadsheetml/2006/main" name="DadosExternos_179" connectionId="753" autoFormatId="16" applyNumberFormats="0" applyBorderFormats="0" applyFontFormats="1" applyPatternFormats="1" applyAlignmentFormats="0" applyWidthHeightFormats="0"/>
</file>

<file path=xl/queryTables/queryTable339.xml><?xml version="1.0" encoding="utf-8"?>
<queryTable xmlns="http://schemas.openxmlformats.org/spreadsheetml/2006/main" name="DadosExternos_90" connectionId="784" autoFormatId="16" applyNumberFormats="0" applyBorderFormats="0" applyFontFormats="1" applyPatternFormats="1" applyAlignmentFormats="0" applyWidthHeightFormats="0"/>
</file>

<file path=xl/queryTables/queryTable340.xml><?xml version="1.0" encoding="utf-8"?>
<queryTable xmlns="http://schemas.openxmlformats.org/spreadsheetml/2006/main" name="DadosExternos_297" connectionId="437" autoFormatId="16" applyNumberFormats="0" applyBorderFormats="0" applyFontFormats="1" applyPatternFormats="1" applyAlignmentFormats="0" applyWidthHeightFormats="0"/>
</file>

<file path=xl/queryTables/queryTable341.xml><?xml version="1.0" encoding="utf-8"?>
<queryTable xmlns="http://schemas.openxmlformats.org/spreadsheetml/2006/main" name="DadosExternos_272" connectionId="353" autoFormatId="16" applyNumberFormats="0" applyBorderFormats="0" applyFontFormats="1" applyPatternFormats="1" applyAlignmentFormats="0" applyWidthHeightFormats="0"/>
</file>

<file path=xl/queryTables/queryTable342.xml><?xml version="1.0" encoding="utf-8"?>
<queryTable xmlns="http://schemas.openxmlformats.org/spreadsheetml/2006/main" name="ExternalData_11" connectionId="1120" autoFormatId="16" applyNumberFormats="0" applyBorderFormats="0" applyFontFormats="1" applyPatternFormats="1" applyAlignmentFormats="0" applyWidthHeightFormats="0"/>
</file>

<file path=xl/queryTables/queryTable343.xml><?xml version="1.0" encoding="utf-8"?>
<queryTable xmlns="http://schemas.openxmlformats.org/spreadsheetml/2006/main" name="ExternalData_20" connectionId="1003" autoFormatId="16" applyNumberFormats="0" applyBorderFormats="0" applyFontFormats="1" applyPatternFormats="1" applyAlignmentFormats="0" applyWidthHeightFormats="0"/>
</file>

<file path=xl/queryTables/queryTable344.xml><?xml version="1.0" encoding="utf-8"?>
<queryTable xmlns="http://schemas.openxmlformats.org/spreadsheetml/2006/main" name="DadosExternos_220" connectionId="181" autoFormatId="16" applyNumberFormats="0" applyBorderFormats="0" applyFontFormats="1" applyPatternFormats="1" applyAlignmentFormats="0" applyWidthHeightFormats="0"/>
</file>

<file path=xl/queryTables/queryTable345.xml><?xml version="1.0" encoding="utf-8"?>
<queryTable xmlns="http://schemas.openxmlformats.org/spreadsheetml/2006/main" name="DadosExternos_369" connectionId="584" autoFormatId="16" applyNumberFormats="0" applyBorderFormats="0" applyFontFormats="1" applyPatternFormats="1" applyAlignmentFormats="0" applyWidthHeightFormats="0"/>
</file>

<file path=xl/queryTables/queryTable346.xml><?xml version="1.0" encoding="utf-8"?>
<queryTable xmlns="http://schemas.openxmlformats.org/spreadsheetml/2006/main" name="DadosExternos_377" connectionId="6" autoFormatId="16" applyNumberFormats="0" applyBorderFormats="0" applyFontFormats="1" applyPatternFormats="1" applyAlignmentFormats="0" applyWidthHeightFormats="0"/>
</file>

<file path=xl/queryTables/queryTable347.xml><?xml version="1.0" encoding="utf-8"?>
<queryTable xmlns="http://schemas.openxmlformats.org/spreadsheetml/2006/main" name="ExternalData_6" connectionId="1024" autoFormatId="16" applyNumberFormats="0" applyBorderFormats="0" applyFontFormats="1" applyPatternFormats="1" applyAlignmentFormats="0" applyWidthHeightFormats="0"/>
</file>

<file path=xl/queryTables/queryTable348.xml><?xml version="1.0" encoding="utf-8"?>
<queryTable xmlns="http://schemas.openxmlformats.org/spreadsheetml/2006/main" name="ExternalData_29" connectionId="930" autoFormatId="16" applyNumberFormats="0" applyBorderFormats="0" applyFontFormats="1" applyPatternFormats="1" applyAlignmentFormats="0" applyWidthHeightFormats="0"/>
</file>

<file path=xl/queryTables/queryTable349.xml><?xml version="1.0" encoding="utf-8"?>
<queryTable xmlns="http://schemas.openxmlformats.org/spreadsheetml/2006/main" name="DadosExternos_291" connectionId="417" autoFormatId="16" applyNumberFormats="0" applyBorderFormats="0" applyFontFormats="1" applyPatternFormats="1" applyAlignmentFormats="0" applyWidthHeightFormats="0"/>
</file>

<file path=xl/queryTables/queryTable350.xml><?xml version="1.0" encoding="utf-8"?>
<queryTable xmlns="http://schemas.openxmlformats.org/spreadsheetml/2006/main" name="DadosExternos_362" connectionId="573" autoFormatId="16" applyNumberFormats="0" applyBorderFormats="0" applyFontFormats="1" applyPatternFormats="1" applyAlignmentFormats="0" applyWidthHeightFormats="0"/>
</file>

<file path=xl/queryTables/queryTable351.xml><?xml version="1.0" encoding="utf-8"?>
<queryTable xmlns="http://schemas.openxmlformats.org/spreadsheetml/2006/main" name="ExternalData_46" connectionId="1071" autoFormatId="16" applyNumberFormats="0" applyBorderFormats="0" applyFontFormats="1" applyPatternFormats="1" applyAlignmentFormats="0" applyWidthHeightFormats="0"/>
</file>

<file path=xl/queryTables/queryTable352.xml><?xml version="1.0" encoding="utf-8"?>
<queryTable xmlns="http://schemas.openxmlformats.org/spreadsheetml/2006/main" name="DadosExternos_302" connectionId="451" autoFormatId="16" applyNumberFormats="0" applyBorderFormats="0" applyFontFormats="1" applyPatternFormats="1" applyAlignmentFormats="0" applyWidthHeightFormats="0"/>
</file>

<file path=xl/queryTables/queryTable353.xml><?xml version="1.0" encoding="utf-8"?>
<queryTable xmlns="http://schemas.openxmlformats.org/spreadsheetml/2006/main" name="DadosExternos_228" connectionId="202" autoFormatId="16" applyNumberFormats="0" applyBorderFormats="0" applyFontFormats="1" applyPatternFormats="1" applyAlignmentFormats="0" applyWidthHeightFormats="0"/>
</file>

<file path=xl/queryTables/queryTable354.xml><?xml version="1.0" encoding="utf-8"?>
<queryTable xmlns="http://schemas.openxmlformats.org/spreadsheetml/2006/main" name="DadosExternos_55" connectionId="363" autoFormatId="16" applyNumberFormats="0" applyBorderFormats="0" applyFontFormats="1" applyPatternFormats="1" applyAlignmentFormats="0" applyWidthHeightFormats="0"/>
</file>

<file path=xl/queryTables/queryTable355.xml><?xml version="1.0" encoding="utf-8"?>
<queryTable xmlns="http://schemas.openxmlformats.org/spreadsheetml/2006/main" name="DadosExternos_126" connectionId="400" autoFormatId="16" applyNumberFormats="0" applyBorderFormats="0" applyFontFormats="1" applyPatternFormats="1" applyAlignmentFormats="0" applyWidthHeightFormats="0"/>
</file>

<file path=xl/queryTables/queryTable356.xml><?xml version="1.0" encoding="utf-8"?>
<queryTable xmlns="http://schemas.openxmlformats.org/spreadsheetml/2006/main" name="DadosExternos_18" connectionId="250" autoFormatId="16" applyNumberFormats="0" applyBorderFormats="0" applyFontFormats="1" applyPatternFormats="1" applyAlignmentFormats="0" applyWidthHeightFormats="0"/>
</file>

<file path=xl/queryTables/queryTable357.xml><?xml version="1.0" encoding="utf-8"?>
<queryTable xmlns="http://schemas.openxmlformats.org/spreadsheetml/2006/main" name="DadosExternos_11" connectionId="797" autoFormatId="16" applyNumberFormats="0" applyBorderFormats="0" applyFontFormats="1" applyPatternFormats="1" applyAlignmentFormats="0" applyWidthHeightFormats="0"/>
</file>

<file path=xl/queryTables/queryTable358.xml><?xml version="1.0" encoding="utf-8"?>
<queryTable xmlns="http://schemas.openxmlformats.org/spreadsheetml/2006/main" name="DadosExternos_199" connectionId="111" autoFormatId="16" applyNumberFormats="0" applyBorderFormats="0" applyFontFormats="1" applyPatternFormats="1" applyAlignmentFormats="0" applyWidthHeightFormats="0"/>
</file>

<file path=xl/queryTables/queryTable359.xml><?xml version="1.0" encoding="utf-8"?>
<queryTable xmlns="http://schemas.openxmlformats.org/spreadsheetml/2006/main" name="DadosExternos_230" connectionId="206" autoFormatId="16" applyNumberFormats="0" applyBorderFormats="0" applyFontFormats="1" applyPatternFormats="1" applyAlignmentFormats="0" applyWidthHeightFormats="0"/>
</file>

<file path=xl/queryTables/queryTable360.xml><?xml version="1.0" encoding="utf-8"?>
<queryTable xmlns="http://schemas.openxmlformats.org/spreadsheetml/2006/main" name="DadosExternos_129" connectionId="445" autoFormatId="16" applyNumberFormats="0" applyBorderFormats="0" applyFontFormats="1" applyPatternFormats="1" applyAlignmentFormats="0" applyWidthHeightFormats="0"/>
</file>

<file path=xl/queryTables/queryTable361.xml><?xml version="1.0" encoding="utf-8"?>
<queryTable xmlns="http://schemas.openxmlformats.org/spreadsheetml/2006/main" name="ExternalData_37" connectionId="989" autoFormatId="16" applyNumberFormats="0" applyBorderFormats="0" applyFontFormats="1" applyPatternFormats="1" applyAlignmentFormats="0" applyWidthHeightFormats="0"/>
</file>

<file path=xl/queryTables/queryTable362.xml><?xml version="1.0" encoding="utf-8"?>
<queryTable xmlns="http://schemas.openxmlformats.org/spreadsheetml/2006/main" name="DadosExternos_165" connectionId="690" autoFormatId="16" applyNumberFormats="0" applyBorderFormats="0" applyFontFormats="1" applyPatternFormats="1" applyAlignmentFormats="0" applyWidthHeightFormats="0"/>
</file>

<file path=xl/queryTables/queryTable363.xml><?xml version="1.0" encoding="utf-8"?>
<queryTable xmlns="http://schemas.openxmlformats.org/spreadsheetml/2006/main" name="DadosExternos_33" connectionId="694" autoFormatId="16" applyNumberFormats="0" applyBorderFormats="0" applyFontFormats="1" applyPatternFormats="1" applyAlignmentFormats="0" applyWidthHeightFormats="0"/>
</file>

<file path=xl/queryTables/queryTable364.xml><?xml version="1.0" encoding="utf-8"?>
<queryTable xmlns="http://schemas.openxmlformats.org/spreadsheetml/2006/main" name="DadosExternos_7" connectionId="655" autoFormatId="16" applyNumberFormats="0" applyBorderFormats="0" applyFontFormats="1" applyPatternFormats="1" applyAlignmentFormats="0" applyWidthHeightFormats="0"/>
</file>

<file path=xl/queryTables/queryTable365.xml><?xml version="1.0" encoding="utf-8"?>
<queryTable xmlns="http://schemas.openxmlformats.org/spreadsheetml/2006/main" name="DadosExternos_67" connectionId="764" autoFormatId="16" applyNumberFormats="0" applyBorderFormats="0" applyFontFormats="1" applyPatternFormats="1" applyAlignmentFormats="0" applyWidthHeightFormats="0"/>
</file>

<file path=xl/queryTables/queryTable366.xml><?xml version="1.0" encoding="utf-8"?>
<queryTable xmlns="http://schemas.openxmlformats.org/spreadsheetml/2006/main" name="ExternalData_15" connectionId="874" autoFormatId="16" applyNumberFormats="0" applyBorderFormats="0" applyFontFormats="1" applyPatternFormats="1" applyAlignmentFormats="0" applyWidthHeightFormats="0"/>
</file>

<file path=xl/queryTables/queryTable367.xml><?xml version="1.0" encoding="utf-8"?>
<queryTable xmlns="http://schemas.openxmlformats.org/spreadsheetml/2006/main" name="DadosExternos_292" connectionId="421" autoFormatId="16" applyNumberFormats="0" applyBorderFormats="0" applyFontFormats="1" applyPatternFormats="1" applyAlignmentFormats="0" applyWidthHeightFormats="0"/>
</file>

<file path=xl/queryTables/queryTable368.xml><?xml version="1.0" encoding="utf-8"?>
<queryTable xmlns="http://schemas.openxmlformats.org/spreadsheetml/2006/main" name="ExternalData_19" connectionId="959" autoFormatId="16" applyNumberFormats="0" applyBorderFormats="0" applyFontFormats="1" applyPatternFormats="1" applyAlignmentFormats="0" applyWidthHeightFormats="0"/>
</file>

<file path=xl/queryTables/queryTable369.xml><?xml version="1.0" encoding="utf-8"?>
<queryTable xmlns="http://schemas.openxmlformats.org/spreadsheetml/2006/main" name="DadosExternos_269" connectionId="333" autoFormatId="16" applyNumberFormats="0" applyBorderFormats="0" applyFontFormats="1" applyPatternFormats="1" applyAlignmentFormats="0" applyWidthHeightFormats="0"/>
</file>

<file path=xl/queryTables/queryTable370.xml><?xml version="1.0" encoding="utf-8"?>
<queryTable xmlns="http://schemas.openxmlformats.org/spreadsheetml/2006/main" name="ExternalData_43" connectionId="1051" autoFormatId="16" applyNumberFormats="0" applyBorderFormats="0" applyFontFormats="1" applyPatternFormats="1" applyAlignmentFormats="0" applyWidthHeightFormats="0"/>
</file>

<file path=xl/queryTables/queryTable371.xml><?xml version="1.0" encoding="utf-8"?>
<queryTable xmlns="http://schemas.openxmlformats.org/spreadsheetml/2006/main" name="DadosExternos_175" connectionId="732" autoFormatId="16" applyNumberFormats="0" applyBorderFormats="0" applyFontFormats="1" applyPatternFormats="1" applyAlignmentFormats="0" applyWidthHeightFormats="0"/>
</file>

<file path=xl/queryTables/queryTable372.xml><?xml version="1.0" encoding="utf-8"?>
<queryTable xmlns="http://schemas.openxmlformats.org/spreadsheetml/2006/main" name="ExternalData_35" connectionId="979" autoFormatId="16" applyNumberFormats="0" applyBorderFormats="0" applyFontFormats="1" applyPatternFormats="1" applyAlignmentFormats="0" applyWidthHeightFormats="0"/>
</file>

<file path=xl/queryTables/queryTable373.xml><?xml version="1.0" encoding="utf-8"?>
<queryTable xmlns="http://schemas.openxmlformats.org/spreadsheetml/2006/main" name="DadosExternos_184" connectionId="4" autoFormatId="16" applyNumberFormats="0" applyBorderFormats="0" applyFontFormats="1" applyPatternFormats="1" applyAlignmentFormats="0" applyWidthHeightFormats="0"/>
</file>

<file path=xl/queryTables/queryTable374.xml><?xml version="1.0" encoding="utf-8"?>
<queryTable xmlns="http://schemas.openxmlformats.org/spreadsheetml/2006/main" name="DadosExternos_249" connectionId="271" autoFormatId="16" applyNumberFormats="0" applyBorderFormats="0" applyFontFormats="1" applyPatternFormats="1" applyAlignmentFormats="0" applyWidthHeightFormats="0"/>
</file>

<file path=xl/queryTables/queryTable375.xml><?xml version="1.0" encoding="utf-8"?>
<queryTable xmlns="http://schemas.openxmlformats.org/spreadsheetml/2006/main" name="ExternalData_33" connectionId="969" autoFormatId="16" applyNumberFormats="0" applyBorderFormats="0" applyFontFormats="1" applyPatternFormats="1" applyAlignmentFormats="0" applyWidthHeightFormats="0"/>
</file>

<file path=xl/queryTables/queryTable376.xml><?xml version="1.0" encoding="utf-8"?>
<queryTable xmlns="http://schemas.openxmlformats.org/spreadsheetml/2006/main" name="DadosExternos_315" connectionId="475" autoFormatId="16" applyNumberFormats="0" applyBorderFormats="0" applyFontFormats="1" applyPatternFormats="1" applyAlignmentFormats="0" applyWidthHeightFormats="0"/>
</file>

<file path=xl/queryTables/queryTable377.xml><?xml version="1.0" encoding="utf-8"?>
<queryTable xmlns="http://schemas.openxmlformats.org/spreadsheetml/2006/main" name="DadosExternos_214" connectionId="159" autoFormatId="16" applyNumberFormats="0" applyBorderFormats="0" applyFontFormats="1" applyPatternFormats="1" applyAlignmentFormats="0" applyWidthHeightFormats="0"/>
</file>

<file path=xl/queryTables/queryTable378.xml><?xml version="1.0" encoding="utf-8"?>
<queryTable xmlns="http://schemas.openxmlformats.org/spreadsheetml/2006/main" name="DadosExternos_164" connectionId="686" autoFormatId="16" applyNumberFormats="0" applyBorderFormats="0" applyFontFormats="1" applyPatternFormats="1" applyAlignmentFormats="0" applyWidthHeightFormats="0"/>
</file>

<file path=xl/queryTables/queryTable379.xml><?xml version="1.0" encoding="utf-8"?>
<queryTable xmlns="http://schemas.openxmlformats.org/spreadsheetml/2006/main" name="DadosExternos_57" connectionId="396" autoFormatId="16" applyNumberFormats="0" applyBorderFormats="0" applyFontFormats="1" applyPatternFormats="1" applyAlignmentFormats="0" applyWidthHeightFormats="0"/>
</file>

<file path=xl/queryTables/queryTable380.xml><?xml version="1.0" encoding="utf-8"?>
<queryTable xmlns="http://schemas.openxmlformats.org/spreadsheetml/2006/main" name="DadosExternos_262" connectionId="315" autoFormatId="16" applyNumberFormats="0" applyBorderFormats="0" applyFontFormats="1" applyPatternFormats="1" applyAlignmentFormats="0" applyWidthHeightFormats="0"/>
</file>

<file path=xl/queryTables/queryTable381.xml><?xml version="1.0" encoding="utf-8"?>
<queryTable xmlns="http://schemas.openxmlformats.org/spreadsheetml/2006/main" name="DadosExternos_34" connectionId="744" autoFormatId="16" applyNumberFormats="0" applyBorderFormats="0" applyFontFormats="1" applyPatternFormats="1" applyAlignmentFormats="0" applyWidthHeightFormats="0"/>
</file>

<file path=xl/queryTables/queryTable382.xml><?xml version="1.0" encoding="utf-8"?>
<queryTable xmlns="http://schemas.openxmlformats.org/spreadsheetml/2006/main" name="DadosExternos_133" connectionId="504" autoFormatId="16" applyNumberFormats="0" applyBorderFormats="0" applyFontFormats="1" applyPatternFormats="1" applyAlignmentFormats="0" applyWidthHeightFormats="0"/>
</file>

<file path=xl/queryTables/queryTable383.xml><?xml version="1.0" encoding="utf-8"?>
<queryTable xmlns="http://schemas.openxmlformats.org/spreadsheetml/2006/main" name="DadosExternos_204" connectionId="132" autoFormatId="16" applyNumberFormats="0" applyBorderFormats="0" applyFontFormats="1" applyPatternFormats="1" applyAlignmentFormats="0" applyWidthHeightFormats="0"/>
</file>

<file path=xl/queryTables/queryTable384.xml><?xml version="1.0" encoding="utf-8"?>
<queryTable xmlns="http://schemas.openxmlformats.org/spreadsheetml/2006/main" name="DadosExternos_221" connectionId="184" autoFormatId="16" applyNumberFormats="0" applyBorderFormats="0" applyFontFormats="1" applyPatternFormats="1" applyAlignmentFormats="0" applyWidthHeightFormats="0"/>
</file>

<file path=xl/queryTables/queryTable385.xml><?xml version="1.0" encoding="utf-8"?>
<queryTable xmlns="http://schemas.openxmlformats.org/spreadsheetml/2006/main" name="DadosExternos_56" connectionId="380" autoFormatId="16" applyNumberFormats="0" applyBorderFormats="0" applyFontFormats="1" applyPatternFormats="1" applyAlignmentFormats="0" applyWidthHeightFormats="0"/>
</file>

<file path=xl/queryTables/queryTable386.xml><?xml version="1.0" encoding="utf-8"?>
<queryTable xmlns="http://schemas.openxmlformats.org/spreadsheetml/2006/main" name="DadosExternos_146" connectionId="613" autoFormatId="16" applyNumberFormats="0" applyBorderFormats="0" applyFontFormats="1" applyPatternFormats="1" applyAlignmentFormats="0" applyWidthHeightFormats="0"/>
</file>

<file path=xl/queryTables/queryTable387.xml><?xml version="1.0" encoding="utf-8"?>
<queryTable xmlns="http://schemas.openxmlformats.org/spreadsheetml/2006/main" name="DadosExternos_193" connectionId="91" autoFormatId="16" applyNumberFormats="0" applyBorderFormats="0" applyFontFormats="1" applyPatternFormats="1" applyAlignmentFormats="0" applyWidthHeightFormats="0"/>
</file>

<file path=xl/queryTables/queryTable388.xml><?xml version="1.0" encoding="utf-8"?>
<queryTable xmlns="http://schemas.openxmlformats.org/spreadsheetml/2006/main" name="DadosExternos_40" connectionId="122" autoFormatId="16" applyNumberFormats="0" applyBorderFormats="0" applyFontFormats="1" applyPatternFormats="1" applyAlignmentFormats="0" applyWidthHeightFormats="0"/>
</file>

<file path=xl/queryTables/queryTable389.xml><?xml version="1.0" encoding="utf-8"?>
<queryTable xmlns="http://schemas.openxmlformats.org/spreadsheetml/2006/main" name="DadosExternos_363" connectionId="575" autoFormatId="16" applyNumberFormats="0" applyBorderFormats="0" applyFontFormats="1" applyPatternFormats="1" applyAlignmentFormats="0" applyWidthHeightFormats="0"/>
</file>

<file path=xl/queryTables/queryTable390.xml><?xml version="1.0" encoding="utf-8"?>
<queryTable xmlns="http://schemas.openxmlformats.org/spreadsheetml/2006/main" name="DadosExternos_319" connectionId="482" autoFormatId="16" applyNumberFormats="0" applyBorderFormats="0" applyFontFormats="1" applyPatternFormats="1" applyAlignmentFormats="0" applyWidthHeightFormats="0"/>
</file>

<file path=xl/queryTables/queryTable391.xml><?xml version="1.0" encoding="utf-8"?>
<queryTable xmlns="http://schemas.openxmlformats.org/spreadsheetml/2006/main" name="DadosExternos_32" connectionId="652" autoFormatId="16" applyNumberFormats="0" applyBorderFormats="0" applyFontFormats="1" applyPatternFormats="1" applyAlignmentFormats="0" applyWidthHeightFormats="0"/>
</file>

<file path=xl/queryTables/queryTable392.xml><?xml version="1.0" encoding="utf-8"?>
<queryTable xmlns="http://schemas.openxmlformats.org/spreadsheetml/2006/main" name="ExternalData_45" connectionId="1066" autoFormatId="16" applyNumberFormats="0" applyBorderFormats="0" applyFontFormats="1" applyPatternFormats="1" applyAlignmentFormats="0" applyWidthHeightFormats="0"/>
</file>

<file path=xl/queryTables/queryTable393.xml><?xml version="1.0" encoding="utf-8"?>
<queryTable xmlns="http://schemas.openxmlformats.org/spreadsheetml/2006/main" name="ExternalData_21" connectionId="1022" autoFormatId="16" applyNumberFormats="0" applyBorderFormats="0" applyFontFormats="1" applyPatternFormats="1" applyAlignmentFormats="0" applyWidthHeightFormats="0"/>
</file>

<file path=xl/queryTables/queryTable394.xml><?xml version="1.0" encoding="utf-8"?>
<queryTable xmlns="http://schemas.openxmlformats.org/spreadsheetml/2006/main" name="DadosExternos_176" connectionId="740" autoFormatId="16" applyNumberFormats="0" applyBorderFormats="0" applyFontFormats="1" applyPatternFormats="1" applyAlignmentFormats="0" applyWidthHeightFormats="0"/>
</file>

<file path=xl/queryTables/queryTable395.xml><?xml version="1.0" encoding="utf-8"?>
<queryTable xmlns="http://schemas.openxmlformats.org/spreadsheetml/2006/main" name="DadosExternos_97" connectionId="256" autoFormatId="16" applyNumberFormats="0" applyBorderFormats="0" applyFontFormats="1" applyPatternFormats="1" applyAlignmentFormats="0" applyWidthHeightFormats="0"/>
</file>

<file path=xl/queryTables/queryTable396.xml><?xml version="1.0" encoding="utf-8"?>
<queryTable xmlns="http://schemas.openxmlformats.org/spreadsheetml/2006/main" name="DadosExternos_338" connectionId="527" autoFormatId="16" applyNumberFormats="0" applyBorderFormats="0" applyFontFormats="1" applyPatternFormats="1" applyAlignmentFormats="0" applyWidthHeightFormats="0"/>
</file>

<file path=xl/queryTables/queryTable397.xml><?xml version="1.0" encoding="utf-8"?>
<queryTable xmlns="http://schemas.openxmlformats.org/spreadsheetml/2006/main" name="DadosExternos_345" connectionId="544" autoFormatId="16" applyNumberFormats="0" applyBorderFormats="0" applyFontFormats="1" applyPatternFormats="1" applyAlignmentFormats="0" applyWidthHeightFormats="0"/>
</file>

<file path=xl/queryTables/queryTable398.xml><?xml version="1.0" encoding="utf-8"?>
<queryTable xmlns="http://schemas.openxmlformats.org/spreadsheetml/2006/main" name="ExternalData_40" connectionId="998" autoFormatId="16" applyNumberFormats="0" applyBorderFormats="0" applyFontFormats="1" applyPatternFormats="1" applyAlignmentFormats="0" applyWidthHeightFormats="0"/>
</file>

<file path=xl/queryTables/queryTable399.xml><?xml version="1.0" encoding="utf-8"?>
<queryTable xmlns="http://schemas.openxmlformats.org/spreadsheetml/2006/main" name="ExternalData_24" connectionId="809" autoFormatId="16" applyNumberFormats="0" applyBorderFormats="0" applyFontFormats="1" applyPatternFormats="1" applyAlignmentFormats="0" applyWidthHeightFormats="0"/>
</file>

<file path=xl/queryTables/queryTable400.xml><?xml version="1.0" encoding="utf-8"?>
<queryTable xmlns="http://schemas.openxmlformats.org/spreadsheetml/2006/main" name="DadosExternos_187" connectionId="22" autoFormatId="16" applyNumberFormats="0" applyBorderFormats="0" applyFontFormats="1" applyPatternFormats="1" applyAlignmentFormats="0" applyWidthHeightFormats="0"/>
</file>

<file path=xl/queryTables/queryTable401.xml><?xml version="1.0" encoding="utf-8"?>
<queryTable xmlns="http://schemas.openxmlformats.org/spreadsheetml/2006/main" name="DadosExternos_169" connectionId="712" autoFormatId="16" applyNumberFormats="0" applyBorderFormats="0" applyFontFormats="1" applyPatternFormats="1" applyAlignmentFormats="0" applyWidthHeightFormats="0"/>
</file>

<file path=xl/queryTables/queryTable402.xml><?xml version="1.0" encoding="utf-8"?>
<queryTable xmlns="http://schemas.openxmlformats.org/spreadsheetml/2006/main" name="ExternalData_48" connectionId="824" autoFormatId="16" applyNumberFormats="0" applyBorderFormats="0" applyFontFormats="1" applyPatternFormats="1" applyAlignmentFormats="0" applyWidthHeightFormats="0"/>
</file>

<file path=xl/queryTables/queryTable403.xml><?xml version="1.0" encoding="utf-8"?>
<queryTable xmlns="http://schemas.openxmlformats.org/spreadsheetml/2006/main" name="DadosExternos_339" connectionId="529" autoFormatId="16" applyNumberFormats="0" applyBorderFormats="0" applyFontFormats="1" applyPatternFormats="1" applyAlignmentFormats="0" applyWidthHeightFormats="0"/>
</file>

<file path=xl/queryTables/queryTable404.xml><?xml version="1.0" encoding="utf-8"?>
<queryTable xmlns="http://schemas.openxmlformats.org/spreadsheetml/2006/main" name="DadosExternos_375" connectionId="731" autoFormatId="16" applyNumberFormats="0" applyBorderFormats="0" applyFontFormats="1" applyPatternFormats="1" applyAlignmentFormats="0" applyWidthHeightFormats="0"/>
</file>

<file path=xl/queryTables/queryTable405.xml><?xml version="1.0" encoding="utf-8"?>
<queryTable xmlns="http://schemas.openxmlformats.org/spreadsheetml/2006/main" name="DadosExternos_142" connectionId="598" autoFormatId="16" applyNumberFormats="0" applyBorderFormats="0" applyFontFormats="1" applyPatternFormats="1" applyAlignmentFormats="0" applyWidthHeightFormats="0"/>
</file>

<file path=xl/queryTables/queryTable406.xml><?xml version="1.0" encoding="utf-8"?>
<queryTable xmlns="http://schemas.openxmlformats.org/spreadsheetml/2006/main" name="DadosExternos_188" connectionId="27" autoFormatId="16" applyNumberFormats="0" applyBorderFormats="0" applyFontFormats="1" applyPatternFormats="1" applyAlignmentFormats="0" applyWidthHeightFormats="0"/>
</file>

<file path=xl/queryTables/queryTable407.xml><?xml version="1.0" encoding="utf-8"?>
<queryTable xmlns="http://schemas.openxmlformats.org/spreadsheetml/2006/main" name="DadosExternos_208" connectionId="146" autoFormatId="16" applyNumberFormats="0" applyBorderFormats="0" applyFontFormats="1" applyPatternFormats="1" applyAlignmentFormats="0" applyWidthHeightFormats="0"/>
</file>

<file path=xl/queryTables/queryTable408.xml><?xml version="1.0" encoding="utf-8"?>
<queryTable xmlns="http://schemas.openxmlformats.org/spreadsheetml/2006/main" name="DadosExternos_116" connectionId="258" autoFormatId="16" applyNumberFormats="0" applyBorderFormats="0" applyFontFormats="1" applyPatternFormats="1" applyAlignmentFormats="0" applyWidthHeightFormats="0"/>
</file>

<file path=xl/queryTables/queryTable409.xml><?xml version="1.0" encoding="utf-8"?>
<queryTable xmlns="http://schemas.openxmlformats.org/spreadsheetml/2006/main" name="DadosExternos_325" connectionId="495" autoFormatId="16" applyNumberFormats="0" applyBorderFormats="0" applyFontFormats="1" applyPatternFormats="1" applyAlignmentFormats="0" applyWidthHeightFormats="0"/>
</file>

<file path=xl/queryTables/queryTable410.xml><?xml version="1.0" encoding="utf-8"?>
<queryTable xmlns="http://schemas.openxmlformats.org/spreadsheetml/2006/main" name="DadosExternos_109" connectionId="124" autoFormatId="16" applyNumberFormats="0" applyBorderFormats="0" applyFontFormats="1" applyPatternFormats="1" applyAlignmentFormats="0" applyWidthHeightFormats="0"/>
</file>

<file path=xl/queryTables/queryTable411.xml><?xml version="1.0" encoding="utf-8"?>
<queryTable xmlns="http://schemas.openxmlformats.org/spreadsheetml/2006/main" name="DadosExternos_253" connectionId="284" autoFormatId="16" applyNumberFormats="0" applyBorderFormats="0" applyFontFormats="1" applyPatternFormats="1" applyAlignmentFormats="0" applyWidthHeightFormats="0"/>
</file>

<file path=xl/queryTables/queryTable412.xml><?xml version="1.0" encoding="utf-8"?>
<queryTable xmlns="http://schemas.openxmlformats.org/spreadsheetml/2006/main" name="DadosExternos_174" connectionId="728" autoFormatId="16" applyNumberFormats="0" applyBorderFormats="0" applyFontFormats="1" applyPatternFormats="1" applyAlignmentFormats="0" applyWidthHeightFormats="0"/>
</file>

<file path=xl/queryTables/queryTable413.xml><?xml version="1.0" encoding="utf-8"?>
<queryTable xmlns="http://schemas.openxmlformats.org/spreadsheetml/2006/main" name="DadosExternos_190" connectionId="37" autoFormatId="16" applyNumberFormats="0" applyBorderFormats="0" applyFontFormats="1" applyPatternFormats="1" applyAlignmentFormats="0" applyWidthHeightFormats="0"/>
</file>

<file path=xl/queryTables/queryTable414.xml><?xml version="1.0" encoding="utf-8"?>
<queryTable xmlns="http://schemas.openxmlformats.org/spreadsheetml/2006/main" name="DadosExternos_162" connectionId="679" autoFormatId="16" applyNumberFormats="0" applyBorderFormats="0" applyFontFormats="1" applyPatternFormats="1" applyAlignmentFormats="0" applyWidthHeightFormats="0"/>
</file>

<file path=xl/queryTables/queryTable415.xml><?xml version="1.0" encoding="utf-8"?>
<queryTable xmlns="http://schemas.openxmlformats.org/spreadsheetml/2006/main" name="DadosExternos_49" connectionId="278" autoFormatId="16" applyNumberFormats="0" applyBorderFormats="0" applyFontFormats="1" applyPatternFormats="1" applyAlignmentFormats="0" applyWidthHeightFormats="0"/>
</file>

<file path=xl/queryTables/queryTable416.xml><?xml version="1.0" encoding="utf-8"?>
<queryTable xmlns="http://schemas.openxmlformats.org/spreadsheetml/2006/main" name="DadosExternos_237" connectionId="219" autoFormatId="16" applyNumberFormats="0" applyBorderFormats="0" applyFontFormats="1" applyPatternFormats="1" applyAlignmentFormats="0" applyWidthHeightFormats="0"/>
</file>

<file path=xl/queryTables/queryTable417.xml><?xml version="1.0" encoding="utf-8"?>
<queryTable xmlns="http://schemas.openxmlformats.org/spreadsheetml/2006/main" name="DadosExternos_137" connectionId="567" autoFormatId="16" applyNumberFormats="0" applyBorderFormats="0" applyFontFormats="1" applyPatternFormats="1" applyAlignmentFormats="0" applyWidthHeightFormats="0"/>
</file>

<file path=xl/queryTables/queryTable418.xml><?xml version="1.0" encoding="utf-8"?>
<queryTable xmlns="http://schemas.openxmlformats.org/spreadsheetml/2006/main" name="DadosExternos_140" connectionId="590" autoFormatId="16" applyNumberFormats="0" applyBorderFormats="0" applyFontFormats="1" applyPatternFormats="1" applyAlignmentFormats="0" applyWidthHeightFormats="0"/>
</file>

<file path=xl/queryTables/queryTable419.xml><?xml version="1.0" encoding="utf-8"?>
<queryTable xmlns="http://schemas.openxmlformats.org/spreadsheetml/2006/main" name="DadosExternos_171" connectionId="719" autoFormatId="16" applyNumberFormats="0" applyBorderFormats="0" applyFontFormats="1" applyPatternFormats="1" applyAlignmentFormats="0" applyWidthHeightFormats="0"/>
</file>

<file path=xl/queryTables/queryTable420.xml><?xml version="1.0" encoding="utf-8"?>
<queryTable xmlns="http://schemas.openxmlformats.org/spreadsheetml/2006/main" name="ExternalData_28" connectionId="916" autoFormatId="16" applyNumberFormats="0" applyBorderFormats="0" applyFontFormats="1" applyPatternFormats="1" applyAlignmentFormats="0" applyWidthHeightFormats="0"/>
</file>

<file path=xl/queryTables/queryTable421.xml><?xml version="1.0" encoding="utf-8"?>
<queryTable xmlns="http://schemas.openxmlformats.org/spreadsheetml/2006/main" name="DadosExternos_330" connectionId="511" autoFormatId="16" applyNumberFormats="0" applyBorderFormats="0" applyFontFormats="1" applyPatternFormats="1" applyAlignmentFormats="0" applyWidthHeightFormats="0"/>
</file>

<file path=xl/queryTables/queryTable422.xml><?xml version="1.0" encoding="utf-8"?>
<queryTable xmlns="http://schemas.openxmlformats.org/spreadsheetml/2006/main" name="DadosExternos_16" connectionId="772" autoFormatId="16" applyNumberFormats="0" applyBorderFormats="0" applyFontFormats="1" applyPatternFormats="1" applyAlignmentFormats="0" applyWidthHeightFormats="0"/>
</file>

<file path=xl/queryTables/queryTable423.xml><?xml version="1.0" encoding="utf-8"?>
<queryTable xmlns="http://schemas.openxmlformats.org/spreadsheetml/2006/main" name="DadosExternos_173" connectionId="725" autoFormatId="16" applyNumberFormats="0" applyBorderFormats="0" applyFontFormats="1" applyPatternFormats="1" applyAlignmentFormats="0" applyWidthHeightFormats="0"/>
</file>

<file path=xl/queryTables/queryTable424.xml><?xml version="1.0" encoding="utf-8"?>
<queryTable xmlns="http://schemas.openxmlformats.org/spreadsheetml/2006/main" name="DadosExternos_219" connectionId="172" autoFormatId="16" applyNumberFormats="0" applyBorderFormats="0" applyFontFormats="1" applyPatternFormats="1" applyAlignmentFormats="0" applyWidthHeightFormats="0"/>
</file>

<file path=xl/queryTables/queryTable425.xml><?xml version="1.0" encoding="utf-8"?>
<queryTable xmlns="http://schemas.openxmlformats.org/spreadsheetml/2006/main" name="ExternalData_26" connectionId="888" autoFormatId="16" applyNumberFormats="0" applyBorderFormats="0" applyFontFormats="1" applyPatternFormats="1" applyAlignmentFormats="0" applyWidthHeightFormats="0"/>
</file>

<file path=xl/queryTables/queryTable426.xml><?xml version="1.0" encoding="utf-8"?>
<queryTable xmlns="http://schemas.openxmlformats.org/spreadsheetml/2006/main" name="DadosExternos_156" connectionId="659" autoFormatId="16" applyNumberFormats="0" applyBorderFormats="0" applyFontFormats="1" applyPatternFormats="1" applyAlignmentFormats="0" applyWidthHeightFormats="0"/>
</file>

<file path=xl/queryTables/queryTable427.xml><?xml version="1.0" encoding="utf-8"?>
<queryTable xmlns="http://schemas.openxmlformats.org/spreadsheetml/2006/main" name="DadosExternos_323" connectionId="491" autoFormatId="16" applyNumberFormats="0" applyBorderFormats="0" applyFontFormats="1" applyPatternFormats="1" applyAlignmentFormats="0" applyWidthHeightFormats="0"/>
</file>

<file path=xl/queryTables/queryTable428.xml><?xml version="1.0" encoding="utf-8"?>
<queryTable xmlns="http://schemas.openxmlformats.org/spreadsheetml/2006/main" name="DadosExternos_132" connectionId="487" autoFormatId="16" applyNumberFormats="0" applyBorderFormats="0" applyFontFormats="1" applyPatternFormats="1" applyAlignmentFormats="0" applyWidthHeightFormats="0"/>
</file>

<file path=xl/queryTables/queryTable429.xml><?xml version="1.0" encoding="utf-8"?>
<queryTable xmlns="http://schemas.openxmlformats.org/spreadsheetml/2006/main" name="ExternalData_47" connectionId="1081" autoFormatId="16" applyNumberFormats="0" applyBorderFormats="0" applyFontFormats="1" applyPatternFormats="1" applyAlignmentFormats="0" applyWidthHeightFormats="0"/>
</file>

<file path=xl/queryTables/queryTable430.xml><?xml version="1.0" encoding="utf-8"?>
<queryTable xmlns="http://schemas.openxmlformats.org/spreadsheetml/2006/main" name="DadosExternos_47" connectionId="252" autoFormatId="16" applyNumberFormats="0" applyBorderFormats="0" applyFontFormats="1" applyPatternFormats="1" applyAlignmentFormats="0" applyWidthHeightFormats="0"/>
</file>

<file path=xl/queryTables/queryTable431.xml><?xml version="1.0" encoding="utf-8"?>
<queryTable xmlns="http://schemas.openxmlformats.org/spreadsheetml/2006/main" name="DadosExternos_122" connectionId="338" autoFormatId="16" applyNumberFormats="0" applyBorderFormats="0" applyFontFormats="1" applyPatternFormats="1" applyAlignmentFormats="0" applyWidthHeightFormats="0"/>
</file>

<file path=xl/queryTables/queryTable432.xml><?xml version="1.0" encoding="utf-8"?>
<queryTable xmlns="http://schemas.openxmlformats.org/spreadsheetml/2006/main" name="DadosExternos_295" connectionId="433" autoFormatId="16" applyNumberFormats="0" applyBorderFormats="0" applyFontFormats="1" applyPatternFormats="1" applyAlignmentFormats="0" applyWidthHeightFormats="0"/>
</file>

<file path=xl/queryTables/queryTable433.xml><?xml version="1.0" encoding="utf-8"?>
<queryTable xmlns="http://schemas.openxmlformats.org/spreadsheetml/2006/main" name="DadosExternos_96" connectionId="80" autoFormatId="16" applyNumberFormats="0" applyBorderFormats="0" applyFontFormats="1" applyPatternFormats="1" applyAlignmentFormats="0" applyWidthHeightFormats="0"/>
</file>

<file path=xl/queryTables/queryTable434.xml><?xml version="1.0" encoding="utf-8"?>
<queryTable xmlns="http://schemas.openxmlformats.org/spreadsheetml/2006/main" name="DadosExternos_277" connectionId="367" autoFormatId="16" applyNumberFormats="0" applyBorderFormats="0" applyFontFormats="1" applyPatternFormats="1" applyAlignmentFormats="0" applyWidthHeightFormats="0"/>
</file>

<file path=xl/queryTables/queryTable435.xml><?xml version="1.0" encoding="utf-8"?>
<queryTable xmlns="http://schemas.openxmlformats.org/spreadsheetml/2006/main" name="DadosExternos_278" connectionId="370" autoFormatId="16" applyNumberFormats="0" applyBorderFormats="0" applyFontFormats="1" applyPatternFormats="1" applyAlignmentFormats="0" applyWidthHeightFormats="0"/>
</file>

<file path=xl/queryTables/queryTable436.xml><?xml version="1.0" encoding="utf-8"?>
<queryTable xmlns="http://schemas.openxmlformats.org/spreadsheetml/2006/main" name="DadosExternos_197" connectionId="99" autoFormatId="16" applyNumberFormats="0" applyBorderFormats="0" applyFontFormats="1" applyPatternFormats="1" applyAlignmentFormats="0" applyWidthHeightFormats="0"/>
</file>

<file path=xl/queryTables/queryTable437.xml><?xml version="1.0" encoding="utf-8"?>
<queryTable xmlns="http://schemas.openxmlformats.org/spreadsheetml/2006/main" name="DadosExternos_360" connectionId="569" autoFormatId="16" applyNumberFormats="0" applyBorderFormats="0" applyFontFormats="1" applyPatternFormats="1" applyAlignmentFormats="0" applyWidthHeightFormats="0"/>
</file>

<file path=xl/queryTables/queryTable438.xml><?xml version="1.0" encoding="utf-8"?>
<queryTable xmlns="http://schemas.openxmlformats.org/spreadsheetml/2006/main" name="DadosExternos_159" connectionId="668" autoFormatId="16" applyNumberFormats="0" applyBorderFormats="0" applyFontFormats="1" applyPatternFormats="1" applyAlignmentFormats="0" applyWidthHeightFormats="0"/>
</file>

<file path=xl/queryTables/queryTable439.xml><?xml version="1.0" encoding="utf-8"?>
<queryTable xmlns="http://schemas.openxmlformats.org/spreadsheetml/2006/main" name="DadosExternos_240" connectionId="228" autoFormatId="16" applyNumberFormats="0" applyBorderFormats="0" applyFontFormats="1" applyPatternFormats="1" applyAlignmentFormats="0" applyWidthHeightFormats="0"/>
</file>

<file path=xl/queryTables/queryTable440.xml><?xml version="1.0" encoding="utf-8"?>
<queryTable xmlns="http://schemas.openxmlformats.org/spreadsheetml/2006/main" name="DadosExternos_58" connectionId="411" autoFormatId="16" applyNumberFormats="0" applyBorderFormats="0" applyFontFormats="1" applyPatternFormats="1" applyAlignmentFormats="0" applyWidthHeightFormats="0"/>
</file>

<file path=xl/queryTables/queryTable441.xml><?xml version="1.0" encoding="utf-8"?>
<queryTable xmlns="http://schemas.openxmlformats.org/spreadsheetml/2006/main" name="DadosExternos_261" connectionId="312" autoFormatId="16" applyNumberFormats="0" applyBorderFormats="0" applyFontFormats="1" applyPatternFormats="1" applyAlignmentFormats="0" applyWidthHeightFormats="0"/>
</file>

<file path=xl/queryTables/queryTable442.xml><?xml version="1.0" encoding="utf-8"?>
<queryTable xmlns="http://schemas.openxmlformats.org/spreadsheetml/2006/main" name="DadosExternos_29" connectionId="402" autoFormatId="16" applyNumberFormats="0" applyBorderFormats="0" applyFontFormats="1" applyPatternFormats="1" applyAlignmentFormats="0" applyWidthHeightFormats="0"/>
</file>

<file path=xl/queryTables/queryTable443.xml><?xml version="1.0" encoding="utf-8"?>
<queryTable xmlns="http://schemas.openxmlformats.org/spreadsheetml/2006/main" name="DadosExternos_17" connectionId="46" autoFormatId="16" applyNumberFormats="0" applyBorderFormats="0" applyFontFormats="1" applyPatternFormats="1" applyAlignmentFormats="0" applyWidthHeightFormats="0"/>
</file>

<file path=xl/queryTables/queryTable444.xml><?xml version="1.0" encoding="utf-8"?>
<queryTable xmlns="http://schemas.openxmlformats.org/spreadsheetml/2006/main" name="DadosExternos_177" connectionId="747" autoFormatId="16" applyNumberFormats="0" applyBorderFormats="0" applyFontFormats="1" applyPatternFormats="1" applyAlignmentFormats="0" applyWidthHeightFormats="0"/>
</file>

<file path=xl/queryTables/queryTable445.xml><?xml version="1.0" encoding="utf-8"?>
<queryTable xmlns="http://schemas.openxmlformats.org/spreadsheetml/2006/main" name="DadosExternos_24" connectionId="51" autoFormatId="16" applyNumberFormats="0" applyBorderFormats="0" applyFontFormats="1" applyPatternFormats="1" applyAlignmentFormats="0" applyWidthHeightFormats="0"/>
</file>

<file path=xl/queryTables/queryTable446.xml><?xml version="1.0" encoding="utf-8"?>
<queryTable xmlns="http://schemas.openxmlformats.org/spreadsheetml/2006/main" name="DadosExternos_37" connectionId="71" autoFormatId="16" applyNumberFormats="0" applyBorderFormats="0" applyFontFormats="1" applyPatternFormats="1" applyAlignmentFormats="0" applyWidthHeightFormats="0"/>
</file>

<file path=xl/queryTables/queryTable447.xml><?xml version="1.0" encoding="utf-8"?>
<queryTable xmlns="http://schemas.openxmlformats.org/spreadsheetml/2006/main" name="DadosExternos_134" connectionId="520" autoFormatId="16" applyNumberFormats="0" applyBorderFormats="0" applyFontFormats="1" applyPatternFormats="1" applyAlignmentFormats="0" applyWidthHeightFormats="0"/>
</file>

<file path=xl/queryTables/queryTable448.xml><?xml version="1.0" encoding="utf-8"?>
<queryTable xmlns="http://schemas.openxmlformats.org/spreadsheetml/2006/main" name="DadosExternos_124" connectionId="365" autoFormatId="16" applyNumberFormats="0" applyBorderFormats="0" applyFontFormats="1" applyPatternFormats="1" applyAlignmentFormats="0" applyWidthHeightFormats="0"/>
</file>

<file path=xl/queryTables/queryTable449.xml><?xml version="1.0" encoding="utf-8"?>
<queryTable xmlns="http://schemas.openxmlformats.org/spreadsheetml/2006/main" name="DadosExternos_54" connectionId="351" autoFormatId="16" applyNumberFormats="0" applyBorderFormats="0" applyFontFormats="1" applyPatternFormats="1" applyAlignmentFormats="0" applyWidthHeightFormats="0"/>
</file>

<file path=xl/queryTables/queryTable450.xml><?xml version="1.0" encoding="utf-8"?>
<queryTable xmlns="http://schemas.openxmlformats.org/spreadsheetml/2006/main" name="DadosExternos_62" connectionId="471" autoFormatId="16" applyNumberFormats="0" applyBorderFormats="0" applyFontFormats="1" applyPatternFormats="1" applyAlignmentFormats="0" applyWidthHeightFormats="0"/>
</file>

<file path=xl/queryTables/queryTable451.xml><?xml version="1.0" encoding="utf-8"?>
<queryTable xmlns="http://schemas.openxmlformats.org/spreadsheetml/2006/main" name="DadosExternos_131" connectionId="473" autoFormatId="16" applyNumberFormats="0" applyBorderFormats="0" applyFontFormats="1" applyPatternFormats="1" applyAlignmentFormats="0" applyWidthHeightFormats="0"/>
</file>

<file path=xl/queryTables/queryTable452.xml><?xml version="1.0" encoding="utf-8"?>
<queryTable xmlns="http://schemas.openxmlformats.org/spreadsheetml/2006/main" name="DadosExternos_45" connectionId="213" autoFormatId="16" applyNumberFormats="0" applyBorderFormats="0" applyFontFormats="1" applyPatternFormats="1" applyAlignmentFormats="0" applyWidthHeightFormats="0"/>
</file>

<file path=xl/queryTables/queryTable453.xml><?xml version="1.0" encoding="utf-8"?>
<queryTable xmlns="http://schemas.openxmlformats.org/spreadsheetml/2006/main" name="DadosExternos_324" connectionId="493" autoFormatId="16" applyNumberFormats="0" applyBorderFormats="0" applyFontFormats="1" applyPatternFormats="1" applyAlignmentFormats="0" applyWidthHeightFormats="0"/>
</file>

<file path=xl/queryTables/queryTable454.xml><?xml version="1.0" encoding="utf-8"?>
<queryTable xmlns="http://schemas.openxmlformats.org/spreadsheetml/2006/main" name="DadosExternos_263" connectionId="318" autoFormatId="16" applyNumberFormats="0" applyBorderFormats="0" applyFontFormats="1" applyPatternFormats="1" applyAlignmentFormats="0" applyWidthHeightFormats="0"/>
</file>

<file path=xl/queryTables/queryTable455.xml><?xml version="1.0" encoding="utf-8"?>
<queryTable xmlns="http://schemas.openxmlformats.org/spreadsheetml/2006/main" name="DadosExternos_180" connectionId="756" autoFormatId="16" applyNumberFormats="0" applyBorderFormats="0" applyFontFormats="1" applyPatternFormats="1" applyAlignmentFormats="0" applyWidthHeightFormats="0"/>
</file>

<file path=xl/queryTables/queryTable456.xml><?xml version="1.0" encoding="utf-8"?>
<queryTable xmlns="http://schemas.openxmlformats.org/spreadsheetml/2006/main" name="DadosExternos_2" connectionId="64" autoFormatId="16" applyNumberFormats="0" applyBorderFormats="0" applyFontFormats="1" applyPatternFormats="1" applyAlignmentFormats="0" applyWidthHeightFormats="0"/>
</file>

<file path=xl/queryTables/queryTable457.xml><?xml version="1.0" encoding="utf-8"?>
<queryTable xmlns="http://schemas.openxmlformats.org/spreadsheetml/2006/main" name="DadosExternos_183" connectionId="805" autoFormatId="16" applyNumberFormats="0" applyBorderFormats="0" applyFontFormats="1" applyPatternFormats="1" applyAlignmentFormats="0" applyWidthHeightFormats="0"/>
</file>

<file path=xl/queryTables/queryTable458.xml><?xml version="1.0" encoding="utf-8"?>
<queryTable xmlns="http://schemas.openxmlformats.org/spreadsheetml/2006/main" name="DadosExternos_168" connectionId="708" autoFormatId="16" applyNumberFormats="0" applyBorderFormats="0" applyFontFormats="1" applyPatternFormats="1" applyAlignmentFormats="0" applyWidthHeightFormats="0"/>
</file>

<file path=xl/queryTables/queryTable459.xml><?xml version="1.0" encoding="utf-8"?>
<queryTable xmlns="http://schemas.openxmlformats.org/spreadsheetml/2006/main" name="DadosExternos_235" connectionId="217" autoFormatId="16" applyNumberFormats="0" applyBorderFormats="0" applyFontFormats="1" applyPatternFormats="1" applyAlignmentFormats="0" applyWidthHeightFormats="0"/>
</file>

<file path=xl/queryTables/queryTable460.xml><?xml version="1.0" encoding="utf-8"?>
<queryTable xmlns="http://schemas.openxmlformats.org/spreadsheetml/2006/main" name="DadosExternos_213" connectionId="156" autoFormatId="16" applyNumberFormats="0" applyBorderFormats="0" applyFontFormats="1" applyPatternFormats="1" applyAlignmentFormats="0" applyWidthHeightFormats="0"/>
</file>

<file path=xl/queryTables/queryTable461.xml><?xml version="1.0" encoding="utf-8"?>
<queryTable xmlns="http://schemas.openxmlformats.org/spreadsheetml/2006/main" name="DadosExternos_250" connectionId="273" autoFormatId="16" applyNumberFormats="0" applyBorderFormats="0" applyFontFormats="1" applyPatternFormats="1" applyAlignmentFormats="0" applyWidthHeightFormats="0"/>
</file>

<file path=xl/queryTables/queryTable462.xml><?xml version="1.0" encoding="utf-8"?>
<queryTable xmlns="http://schemas.openxmlformats.org/spreadsheetml/2006/main" name="DadosExternos_329" connectionId="509" autoFormatId="16" applyNumberFormats="0" applyBorderFormats="0" applyFontFormats="1" applyPatternFormats="1" applyAlignmentFormats="0" applyWidthHeightFormats="0"/>
</file>

<file path=xl/queryTables/queryTable463.xml><?xml version="1.0" encoding="utf-8"?>
<queryTable xmlns="http://schemas.openxmlformats.org/spreadsheetml/2006/main" name="DadosExternos_158" connectionId="665" autoFormatId="16" applyNumberFormats="0" applyBorderFormats="0" applyFontFormats="1" applyPatternFormats="1" applyAlignmentFormats="0" applyWidthHeightFormats="0"/>
</file>

<file path=xl/queryTables/queryTable464.xml><?xml version="1.0" encoding="utf-8"?>
<queryTable xmlns="http://schemas.openxmlformats.org/spreadsheetml/2006/main" name="DadosExternos_73" connectionId="657" autoFormatId="16" applyNumberFormats="0" applyBorderFormats="0" applyFontFormats="1" applyPatternFormats="1" applyAlignmentFormats="0" applyWidthHeightFormats="0"/>
</file>

<file path=xl/queryTables/queryTable465.xml><?xml version="1.0" encoding="utf-8"?>
<queryTable xmlns="http://schemas.openxmlformats.org/spreadsheetml/2006/main" name="ExternalData_49" connectionId="910" autoFormatId="16" applyNumberFormats="0" applyBorderFormats="0" applyFontFormats="1" applyPatternFormats="1" applyAlignmentFormats="0" applyWidthHeightFormats="0"/>
</file>

<file path=xl/queryTables/queryTable466.xml><?xml version="1.0" encoding="utf-8"?>
<queryTable xmlns="http://schemas.openxmlformats.org/spreadsheetml/2006/main" name="DadosExternos_107" connectionId="89" autoFormatId="16" applyNumberFormats="0" applyBorderFormats="0" applyFontFormats="1" applyPatternFormats="1" applyAlignmentFormats="0" applyWidthHeightFormats="0"/>
</file>

<file path=xl/queryTables/queryTable467.xml><?xml version="1.0" encoding="utf-8"?>
<queryTable xmlns="http://schemas.openxmlformats.org/spreadsheetml/2006/main" name="ExternalData_25" connectionId="874" autoFormatId="16" applyNumberFormats="0" applyBorderFormats="0" applyFontFormats="1" applyPatternFormats="1" applyAlignmentFormats="0" applyWidthHeightFormats="0"/>
</file>

<file path=xl/queryTables/queryTable468.xml><?xml version="1.0" encoding="utf-8"?>
<queryTable xmlns="http://schemas.openxmlformats.org/spreadsheetml/2006/main" name="DadosExternos_166" connectionId="699" autoFormatId="16" applyNumberFormats="0" applyBorderFormats="0" applyFontFormats="1" applyPatternFormats="1" applyAlignmentFormats="0" applyWidthHeightFormats="0"/>
</file>

<file path=xl/queryTables/queryTable469.xml><?xml version="1.0" encoding="utf-8"?>
<queryTable xmlns="http://schemas.openxmlformats.org/spreadsheetml/2006/main" name="DadosExternos_198" connectionId="104" autoFormatId="16" applyNumberFormats="0" applyBorderFormats="0" applyFontFormats="1" applyPatternFormats="1" applyAlignmentFormats="0" applyWidthHeightFormats="0"/>
</file>

<file path=xl/queryTables/queryTable470.xml><?xml version="1.0" encoding="utf-8"?>
<queryTable xmlns="http://schemas.openxmlformats.org/spreadsheetml/2006/main" name="DadosExternos_31" connectionId="611" autoFormatId="16" applyNumberFormats="0" applyBorderFormats="0" applyFontFormats="1" applyPatternFormats="1" applyAlignmentFormats="0" applyWidthHeightFormats="0"/>
</file>

<file path=xl/queryTables/queryTable471.xml><?xml version="1.0" encoding="utf-8"?>
<queryTable xmlns="http://schemas.openxmlformats.org/spreadsheetml/2006/main" name="DadosExternos_290" connectionId="414" autoFormatId="16" applyNumberFormats="0" applyBorderFormats="0" applyFontFormats="1" applyPatternFormats="1" applyAlignmentFormats="0" applyWidthHeightFormats="0"/>
</file>

<file path=xl/queryTables/queryTable472.xml><?xml version="1.0" encoding="utf-8"?>
<queryTable xmlns="http://schemas.openxmlformats.org/spreadsheetml/2006/main" name="DadosExternos_379" connectionId="73" autoFormatId="16" applyNumberFormats="0" applyBorderFormats="0" applyFontFormats="1" applyPatternFormats="1" applyAlignmentFormats="0" applyWidthHeightFormats="0"/>
</file>

<file path=xl/queryTables/queryTable473.xml><?xml version="1.0" encoding="utf-8"?>
<queryTable xmlns="http://schemas.openxmlformats.org/spreadsheetml/2006/main" name="DadosExternos_152" connectionId="637" autoFormatId="16" applyNumberFormats="0" applyBorderFormats="0" applyFontFormats="1" applyPatternFormats="1" applyAlignmentFormats="0" applyWidthHeightFormats="0"/>
</file>

<file path=xl/queryTables/queryTable474.xml><?xml version="1.0" encoding="utf-8"?>
<queryTable xmlns="http://schemas.openxmlformats.org/spreadsheetml/2006/main" name="DadosExternos_104" connectionId="776" autoFormatId="16" applyNumberFormats="0" applyBorderFormats="0" applyFontFormats="1" applyPatternFormats="1" applyAlignmentFormats="0" applyWidthHeightFormats="0"/>
</file>

<file path=xl/queryTables/queryTable475.xml><?xml version="1.0" encoding="utf-8"?>
<queryTable xmlns="http://schemas.openxmlformats.org/spreadsheetml/2006/main" name="DadosExternos_207" connectionId="144" autoFormatId="16" applyNumberFormats="0" applyBorderFormats="0" applyFontFormats="1" applyPatternFormats="1" applyAlignmentFormats="0" applyWidthHeightFormats="0"/>
</file>

<file path=xl/queryTables/queryTable476.xml><?xml version="1.0" encoding="utf-8"?>
<queryTable xmlns="http://schemas.openxmlformats.org/spreadsheetml/2006/main" name="DadosExternos_201" connectionId="117" autoFormatId="16" applyNumberFormats="0" applyBorderFormats="0" applyFontFormats="1" applyPatternFormats="1" applyAlignmentFormats="0" applyWidthHeightFormats="0"/>
</file>

<file path=xl/queryTables/queryTable477.xml><?xml version="1.0" encoding="utf-8"?>
<queryTable xmlns="http://schemas.openxmlformats.org/spreadsheetml/2006/main" name="DadosExternos_111" connectionId="163" autoFormatId="16" applyNumberFormats="0" applyBorderFormats="0" applyFontFormats="1" applyPatternFormats="1" applyAlignmentFormats="0" applyWidthHeightFormats="0"/>
</file>

<file path=xl/queryTables/queryTable478.xml><?xml version="1.0" encoding="utf-8"?>
<queryTable xmlns="http://schemas.openxmlformats.org/spreadsheetml/2006/main" name="DadosExternos_4" connectionId="394" autoFormatId="16" applyNumberFormats="0" applyBorderFormats="0" applyFontFormats="1" applyPatternFormats="1" applyAlignmentFormats="0" applyWidthHeightFormats="0"/>
</file>

<file path=xl/queryTables/queryTable479.xml><?xml version="1.0" encoding="utf-8"?>
<queryTable xmlns="http://schemas.openxmlformats.org/spreadsheetml/2006/main" name="DadosExternos_27" connectionId="66" autoFormatId="16" applyNumberFormats="0" applyBorderFormats="0" applyFontFormats="1" applyPatternFormats="1" applyAlignmentFormats="0" applyWidthHeightFormats="0"/>
</file>

<file path=xl/queryTables/queryTable480.xml><?xml version="1.0" encoding="utf-8"?>
<queryTable xmlns="http://schemas.openxmlformats.org/spreadsheetml/2006/main" name="DadosExternos_229" connectionId="204" autoFormatId="16" applyNumberFormats="0" applyBorderFormats="0" applyFontFormats="1" applyPatternFormats="1" applyAlignmentFormats="0" applyWidthHeightFormats="0"/>
</file>

<file path=xl/queryTables/queryTable481.xml><?xml version="1.0" encoding="utf-8"?>
<queryTable xmlns="http://schemas.openxmlformats.org/spreadsheetml/2006/main" name="ExternalData_30" connectionId="943" autoFormatId="16" applyNumberFormats="0" applyBorderFormats="0" applyFontFormats="1" applyPatternFormats="1" applyAlignmentFormats="0" applyWidthHeightFormats="0"/>
</file>

<file path=xl/queryTables/queryTable482.xml><?xml version="1.0" encoding="utf-8"?>
<queryTable xmlns="http://schemas.openxmlformats.org/spreadsheetml/2006/main" name="DadosExternos_211" connectionId="152" autoFormatId="16" applyNumberFormats="0" applyBorderFormats="0" applyFontFormats="1" applyPatternFormats="1" applyAlignmentFormats="0" applyWidthHeightFormats="0"/>
</file>

<file path=xl/queryTables/queryTable483.xml><?xml version="1.0" encoding="utf-8"?>
<queryTable xmlns="http://schemas.openxmlformats.org/spreadsheetml/2006/main" name="DadosExternos_106" connectionId="73" autoFormatId="16" applyNumberFormats="0" applyBorderFormats="0" applyFontFormats="1" applyPatternFormats="1" applyAlignmentFormats="0" applyWidthHeightFormats="0"/>
</file>

<file path=xl/queryTables/queryTable484.xml><?xml version="1.0" encoding="utf-8"?>
<queryTable xmlns="http://schemas.openxmlformats.org/spreadsheetml/2006/main" name="DadosExternos_52" connectionId="322" autoFormatId="16" applyNumberFormats="0" applyBorderFormats="0" applyFontFormats="1" applyPatternFormats="1" applyAlignmentFormats="0" applyWidthHeightFormats="0"/>
</file>

<file path=xl/queryTables/queryTable485.xml><?xml version="1.0" encoding="utf-8"?>
<queryTable xmlns="http://schemas.openxmlformats.org/spreadsheetml/2006/main" name="ExternalData_36" connectionId="984" autoFormatId="16" applyNumberFormats="0" applyBorderFormats="0" applyFontFormats="1" applyPatternFormats="1" applyAlignmentFormats="0" applyWidthHeightFormats="0"/>
</file>

<file path=xl/queryTables/queryTable486.xml><?xml version="1.0" encoding="utf-8"?>
<queryTable xmlns="http://schemas.openxmlformats.org/spreadsheetml/2006/main" name="DadosExternos_320" connectionId="485" autoFormatId="16" applyNumberFormats="0" applyBorderFormats="0" applyFontFormats="1" applyPatternFormats="1" applyAlignmentFormats="0" applyWidthHeightFormats="0"/>
</file>

<file path=xl/queryTables/queryTable487.xml><?xml version="1.0" encoding="utf-8"?>
<queryTable xmlns="http://schemas.openxmlformats.org/spreadsheetml/2006/main" name="DadosExternos_225" connectionId="192" autoFormatId="16" applyNumberFormats="0" applyBorderFormats="0" applyFontFormats="1" applyPatternFormats="1" applyAlignmentFormats="0" applyWidthHeightFormats="0"/>
</file>

<file path=xl/queryTables/queryTable488.xml><?xml version="1.0" encoding="utf-8"?>
<queryTable xmlns="http://schemas.openxmlformats.org/spreadsheetml/2006/main" name="DadosExternos_209" connectionId="148" autoFormatId="16" applyNumberFormats="0" applyBorderFormats="0" applyFontFormats="1" applyPatternFormats="1" applyAlignmentFormats="0" applyWidthHeightFormats="0"/>
</file>

<file path=xl/queryTables/queryTable489.xml><?xml version="1.0" encoding="utf-8"?>
<queryTable xmlns="http://schemas.openxmlformats.org/spreadsheetml/2006/main" name="ExternalData_38" connectionId="992" autoFormatId="16" applyNumberFormats="0" applyBorderFormats="0" applyFontFormats="1" applyPatternFormats="1" applyAlignmentFormats="0" applyWidthHeightFormats="0"/>
</file>

<file path=xl/queryTables/queryTable490.xml><?xml version="1.0" encoding="utf-8"?>
<queryTable xmlns="http://schemas.openxmlformats.org/spreadsheetml/2006/main" name="DadosExternos_234" connectionId="211" autoFormatId="16" applyNumberFormats="0" applyBorderFormats="0" applyFontFormats="1" applyPatternFormats="1" applyAlignmentFormats="0" applyWidthHeightFormats="0"/>
</file>

<file path=xl/queryTables/queryTable491.xml><?xml version="1.0" encoding="utf-8"?>
<queryTable xmlns="http://schemas.openxmlformats.org/spreadsheetml/2006/main" name="DadosExternos_257" connectionId="294" autoFormatId="16" applyNumberFormats="0" applyBorderFormats="0" applyFontFormats="1" applyPatternFormats="1" applyAlignmentFormats="0" applyWidthHeightFormats="0"/>
</file>

<file path=xl/queryTables/queryTable492.xml><?xml version="1.0" encoding="utf-8"?>
<queryTable xmlns="http://schemas.openxmlformats.org/spreadsheetml/2006/main" name="DadosExternos_280" connectionId="375" autoFormatId="16" applyNumberFormats="0" applyBorderFormats="0" applyFontFormats="1" applyPatternFormats="1" applyAlignmentFormats="0" applyWidthHeightFormats="0"/>
</file>

<file path=xl/queryTables/queryTable493.xml><?xml version="1.0" encoding="utf-8"?>
<queryTable xmlns="http://schemas.openxmlformats.org/spreadsheetml/2006/main" name="DadosExternos_227" connectionId="200" autoFormatId="16" applyNumberFormats="0" applyBorderFormats="0" applyFontFormats="1" applyPatternFormats="1" applyAlignmentFormats="0" applyWidthHeightFormats="0"/>
</file>

<file path=xl/queryTables/queryTable494.xml><?xml version="1.0" encoding="utf-8"?>
<queryTable xmlns="http://schemas.openxmlformats.org/spreadsheetml/2006/main" name="DadosExternos_195" connectionId="95" autoFormatId="16" applyNumberFormats="0" applyBorderFormats="0" applyFontFormats="1" applyPatternFormats="1" applyAlignmentFormats="0" applyWidthHeightFormats="0"/>
</file>

<file path=xl/queryTables/queryTable495.xml><?xml version="1.0" encoding="utf-8"?>
<queryTable xmlns="http://schemas.openxmlformats.org/spreadsheetml/2006/main" name="ExternalData_17" connectionId="1041" autoFormatId="16" applyNumberFormats="0" applyBorderFormats="0" applyFontFormats="1" applyPatternFormats="1" applyAlignmentFormats="0" applyWidthHeightFormats="0"/>
</file>

<file path=xl/queryTables/queryTable496.xml><?xml version="1.0" encoding="utf-8"?>
<queryTable xmlns="http://schemas.openxmlformats.org/spreadsheetml/2006/main" name="DadosExternos_28" connectionId="254" autoFormatId="16" applyNumberFormats="0" applyBorderFormats="0" applyFontFormats="1" applyPatternFormats="1" applyAlignmentFormats="0" applyWidthHeightFormats="0"/>
</file>

<file path=xl/queryTables/queryTable497.xml><?xml version="1.0" encoding="utf-8"?>
<queryTable xmlns="http://schemas.openxmlformats.org/spreadsheetml/2006/main" name="ExternalData_50" connectionId="929" autoFormatId="16" applyNumberFormats="0" applyBorderFormats="0" applyFontFormats="1" applyPatternFormats="1" applyAlignmentFormats="0" applyWidthHeightFormats="0"/>
</file>

<file path=xl/queryTables/queryTable498.xml><?xml version="1.0" encoding="utf-8"?>
<queryTable xmlns="http://schemas.openxmlformats.org/spreadsheetml/2006/main" name="ExternalData_22" connectionId="1096" autoFormatId="16" applyNumberFormats="0" applyBorderFormats="0" applyFontFormats="1" applyPatternFormats="1" applyAlignmentFormats="0" applyWidthHeightFormats="0"/>
</file>

<file path=xl/queryTables/queryTable499.xml><?xml version="1.0" encoding="utf-8"?>
<queryTable xmlns="http://schemas.openxmlformats.org/spreadsheetml/2006/main" name="DadosExternos_356" connectionId="562" autoFormatId="16" applyNumberFormats="0" applyBorderFormats="0" applyFontFormats="1" applyPatternFormats="1" applyAlignmentFormats="0" applyWidthHeightFormats="0"/>
</file>

<file path=xl/queryTables/queryTable500.xml><?xml version="1.0" encoding="utf-8"?>
<queryTable xmlns="http://schemas.openxmlformats.org/spreadsheetml/2006/main" name="DadosExternos_328" connectionId="502" autoFormatId="16" applyNumberFormats="0" applyBorderFormats="0" applyFontFormats="1" applyPatternFormats="1" applyAlignmentFormats="0" applyWidthHeightFormats="0"/>
</file>

<file path=xl/queryTables/queryTable501.xml><?xml version="1.0" encoding="utf-8"?>
<queryTable xmlns="http://schemas.openxmlformats.org/spreadsheetml/2006/main" name="DadosExternos_378" connectionId="64" autoFormatId="16" applyNumberFormats="0" applyBorderFormats="0" applyFontFormats="1" applyPatternFormats="1" applyAlignmentFormats="0" applyWidthHeightFormats="0"/>
</file>

<file path=xl/queryTables/queryTable502.xml><?xml version="1.0" encoding="utf-8"?>
<queryTable xmlns="http://schemas.openxmlformats.org/spreadsheetml/2006/main" name="DadosExternos_161" connectionId="676" autoFormatId="16" applyNumberFormats="0" applyBorderFormats="0" applyFontFormats="1" applyPatternFormats="1" applyAlignmentFormats="0" applyWidthHeightFormats="0"/>
</file>

<file path=xl/queryTables/queryTable503.xml><?xml version="1.0" encoding="utf-8"?>
<queryTable xmlns="http://schemas.openxmlformats.org/spreadsheetml/2006/main" name="DadosExternos_39" connectionId="106" autoFormatId="16" applyNumberFormats="0" applyBorderFormats="0" applyFontFormats="1" applyPatternFormats="1" applyAlignmentFormats="0" applyWidthHeightFormats="0"/>
</file>

<file path=xl/queryTables/queryTable504.xml><?xml version="1.0" encoding="utf-8"?>
<queryTable xmlns="http://schemas.openxmlformats.org/spreadsheetml/2006/main" name="DadosExternos_206" connectionId="138" autoFormatId="16" applyNumberFormats="0" applyBorderFormats="0" applyFontFormats="1" applyPatternFormats="1" applyAlignmentFormats="0" applyWidthHeightFormats="0"/>
</file>

<file path=xl/queryTables/queryTable505.xml><?xml version="1.0" encoding="utf-8"?>
<queryTable xmlns="http://schemas.openxmlformats.org/spreadsheetml/2006/main" name="DadosExternos_117" connectionId="266" autoFormatId="16" applyNumberFormats="0" applyBorderFormats="0" applyFontFormats="1" applyPatternFormats="1" applyAlignmentFormats="0" applyWidthHeightFormats="0"/>
</file>

<file path=xl/queryTables/queryTable506.xml><?xml version="1.0" encoding="utf-8"?>
<queryTable xmlns="http://schemas.openxmlformats.org/spreadsheetml/2006/main" name="DadosExternos_144" connectionId="604" autoFormatId="16" applyNumberFormats="0" applyBorderFormats="0" applyFontFormats="1" applyPatternFormats="1" applyAlignmentFormats="0" applyWidthHeightFormats="0"/>
</file>

<file path=xl/queryTables/queryTable507.xml><?xml version="1.0" encoding="utf-8"?>
<queryTable xmlns="http://schemas.openxmlformats.org/spreadsheetml/2006/main" name="DadosExternos_170" connectionId="716" autoFormatId="16" applyNumberFormats="0" applyBorderFormats="0" applyFontFormats="1" applyPatternFormats="1" applyAlignmentFormats="0" applyWidthHeightFormats="0"/>
</file>

<file path=xl/queryTables/queryTable508.xml><?xml version="1.0" encoding="utf-8"?>
<queryTable xmlns="http://schemas.openxmlformats.org/spreadsheetml/2006/main" name="DadosExternos_139" connectionId="587" autoFormatId="16" applyNumberFormats="0" applyBorderFormats="0" applyFontFormats="1" applyPatternFormats="1" applyAlignmentFormats="0" applyWidthHeightFormats="0"/>
</file>

<file path=xl/queryTables/queryTable509.xml><?xml version="1.0" encoding="utf-8"?>
<queryTable xmlns="http://schemas.openxmlformats.org/spreadsheetml/2006/main" name="DadosExternos_300" connectionId="449" autoFormatId="16" applyNumberFormats="0" applyBorderFormats="0" applyFontFormats="1" applyPatternFormats="1" applyAlignmentFormats="0" applyWidthHeightFormats="0"/>
</file>

<file path=xl/queryTables/queryTable510.xml><?xml version="1.0" encoding="utf-8"?>
<queryTable xmlns="http://schemas.openxmlformats.org/spreadsheetml/2006/main" name="ExternalData_9" connectionId="1075" autoFormatId="16" applyNumberFormats="0" applyBorderFormats="0" applyFontFormats="1" applyPatternFormats="1" applyAlignmentFormats="0" applyWidthHeightFormats="0"/>
</file>

<file path=xl/queryTables/queryTable511.xml><?xml version="1.0" encoding="utf-8"?>
<queryTable xmlns="http://schemas.openxmlformats.org/spreadsheetml/2006/main" name="DadosExternos_216" connectionId="167" autoFormatId="16" applyNumberFormats="0" applyBorderFormats="0" applyFontFormats="1" applyPatternFormats="1" applyAlignmentFormats="0" applyWidthHeightFormats="0"/>
</file>

<file path=xl/queryTables/queryTable512.xml><?xml version="1.0" encoding="utf-8"?>
<queryTable xmlns="http://schemas.openxmlformats.org/spreadsheetml/2006/main" name="DadosExternos_371" connectionId="718" autoFormatId="16" applyNumberFormats="0" applyBorderFormats="0" applyFontFormats="1" applyPatternFormats="1" applyAlignmentFormats="0" applyWidthHeightFormats="0"/>
</file>

<file path=xl/queryTables/queryTable513.xml><?xml version="1.0" encoding="utf-8"?>
<queryTable xmlns="http://schemas.openxmlformats.org/spreadsheetml/2006/main" name="DadosExternos_151" connectionId="633" autoFormatId="16" applyNumberFormats="0" applyBorderFormats="0" applyFontFormats="1" applyPatternFormats="1" applyAlignmentFormats="0" applyWidthHeightFormats="0"/>
</file>

<file path=xl/queryTables/queryTable514.xml><?xml version="1.0" encoding="utf-8"?>
<queryTable xmlns="http://schemas.openxmlformats.org/spreadsheetml/2006/main" name="DadosExternos_182" connectionId="762" autoFormatId="16" applyNumberFormats="0" applyBorderFormats="0" applyFontFormats="1" applyPatternFormats="1" applyAlignmentFormats="0" applyWidthHeightFormats="0"/>
</file>

<file path=xl/queryTables/queryTable515.xml><?xml version="1.0" encoding="utf-8"?>
<queryTable xmlns="http://schemas.openxmlformats.org/spreadsheetml/2006/main" name="DadosExternos_361" connectionId="571" autoFormatId="16" applyNumberFormats="0" applyBorderFormats="0" applyFontFormats="1" applyPatternFormats="1" applyAlignmentFormats="0" applyWidthHeightFormats="0"/>
</file>

<file path=xl/queryTables/queryTable516.xml><?xml version="1.0" encoding="utf-8"?>
<queryTable xmlns="http://schemas.openxmlformats.org/spreadsheetml/2006/main" name="ExternalData_34" connectionId="974" autoFormatId="16" applyNumberFormats="0" applyBorderFormats="0" applyFontFormats="1" applyPatternFormats="1" applyAlignmentFormats="0" applyWidthHeightFormats="0"/>
</file>

<file path=xl/queryTables/queryTable517.xml><?xml version="1.0" encoding="utf-8"?>
<queryTable xmlns="http://schemas.openxmlformats.org/spreadsheetml/2006/main" name="DadosExternos_276" connectionId="359" autoFormatId="16" applyNumberFormats="0" applyBorderFormats="0" applyFontFormats="1" applyPatternFormats="1" applyAlignmentFormats="0" applyWidthHeightFormats="0"/>
</file>

<file path=xl/queryTables/queryTable518.xml><?xml version="1.0" encoding="utf-8"?>
<queryTable xmlns="http://schemas.openxmlformats.org/spreadsheetml/2006/main" name="DadosExternos_30" connectionId="551" autoFormatId="16" applyNumberFormats="0" applyBorderFormats="0" applyFontFormats="1" applyPatternFormats="1" applyAlignmentFormats="0" applyWidthHeightFormats="0"/>
</file>

<file path=xl/queryTables/queryTable519.xml><?xml version="1.0" encoding="utf-8"?>
<queryTable xmlns="http://schemas.openxmlformats.org/spreadsheetml/2006/main" name="DadosExternos_299" connectionId="447" autoFormatId="16" applyNumberFormats="0" applyBorderFormats="0" applyFontFormats="1" applyPatternFormats="1" applyAlignmentFormats="0" applyWidthHeightFormats="0"/>
</file>

<file path=xl/queryTables/queryTable520.xml><?xml version="1.0" encoding="utf-8"?>
<queryTable xmlns="http://schemas.openxmlformats.org/spreadsheetml/2006/main" name="ExternalData_23" connectionId="1120" autoFormatId="16" applyNumberFormats="0" applyBorderFormats="0" applyFontFormats="1" applyPatternFormats="1" applyAlignmentFormats="0" applyWidthHeightFormats="0"/>
</file>

<file path=xl/queryTables/queryTable521.xml><?xml version="1.0" encoding="utf-8"?>
<queryTable xmlns="http://schemas.openxmlformats.org/spreadsheetml/2006/main" name="DadosExternos_343" connectionId="533" autoFormatId="16" applyNumberFormats="0" applyBorderFormats="0" applyFontFormats="1" applyPatternFormats="1" applyAlignmentFormats="0" applyWidthHeightFormats="0"/>
</file>

<file path=xl/queryTables/queryTable522.xml><?xml version="1.0" encoding="utf-8"?>
<queryTable xmlns="http://schemas.openxmlformats.org/spreadsheetml/2006/main" name="DadosExternos_130" connectionId="458" autoFormatId="16" applyNumberFormats="0" applyBorderFormats="0" applyFontFormats="1" applyPatternFormats="1" applyAlignmentFormats="0" applyWidthHeightFormats="0"/>
</file>

<file path=xl/queryTables/queryTable523.xml><?xml version="1.0" encoding="utf-8"?>
<queryTable xmlns="http://schemas.openxmlformats.org/spreadsheetml/2006/main" name="DadosExternos_135" connectionId="542" autoFormatId="16" applyNumberFormats="0" applyBorderFormats="0" applyFontFormats="1" applyPatternFormats="1" applyAlignmentFormats="0" applyWidthHeightFormats="0"/>
</file>

<file path=xl/queryTables/queryTable524.xml><?xml version="1.0" encoding="utf-8"?>
<queryTable xmlns="http://schemas.openxmlformats.org/spreadsheetml/2006/main" name="DadosExternos_9" connectionId="737" autoFormatId="16" applyNumberFormats="0" applyBorderFormats="0" applyFontFormats="1" applyPatternFormats="1" applyAlignmentFormats="0" applyWidthHeightFormats="0"/>
</file>

<file path=xl/queryTables/queryTable525.xml><?xml version="1.0" encoding="utf-8"?>
<queryTable xmlns="http://schemas.openxmlformats.org/spreadsheetml/2006/main" name="DadosExternos_167" connectionId="704" autoFormatId="16" applyNumberFormats="0" applyBorderFormats="0" applyFontFormats="1" applyPatternFormats="1" applyAlignmentFormats="0" applyWidthHeightFormats="0"/>
</file>

<file path=xl/queryTables/queryTable526.xml><?xml version="1.0" encoding="utf-8"?>
<queryTable xmlns="http://schemas.openxmlformats.org/spreadsheetml/2006/main" name="DadosExternos_270" connectionId="342" autoFormatId="16" applyNumberFormats="0" applyBorderFormats="0" applyFontFormats="1" applyPatternFormats="1" applyAlignmentFormats="0" applyWidthHeightFormats="0"/>
</file>

<file path=xl/queryTables/queryTable527.xml><?xml version="1.0" encoding="utf-8"?>
<queryTable xmlns="http://schemas.openxmlformats.org/spreadsheetml/2006/main" name="DadosExternos_260" connectionId="309" autoFormatId="16" applyNumberFormats="0" applyBorderFormats="0" applyFontFormats="1" applyPatternFormats="1" applyAlignmentFormats="0" applyWidthHeightFormats="0"/>
</file>

<file path=xl/queryTables/queryTable528.xml><?xml version="1.0" encoding="utf-8"?>
<queryTable xmlns="http://schemas.openxmlformats.org/spreadsheetml/2006/main" name="DadosExternos_108" connectionId="108" autoFormatId="16" applyNumberFormats="0" applyBorderFormats="0" applyFontFormats="1" applyPatternFormats="1" applyAlignmentFormats="0" applyWidthHeightFormats="0"/>
</file>

<file path=xl/queryTables/queryTable529.xml><?xml version="1.0" encoding="utf-8"?>
<queryTable xmlns="http://schemas.openxmlformats.org/spreadsheetml/2006/main" name="ExternalData_51" connectionId="939" autoFormatId="16" applyNumberFormats="0" applyBorderFormats="0" applyFontFormats="1" applyPatternFormats="1" applyAlignmentFormats="0" applyWidthHeightFormats="0"/>
</file>

<file path=xl/queryTables/queryTable530.xml><?xml version="1.0" encoding="utf-8"?>
<queryTable xmlns="http://schemas.openxmlformats.org/spreadsheetml/2006/main" name="DadosExternos_6" connectionId="618" autoFormatId="16" applyNumberFormats="0" applyBorderFormats="0" applyFontFormats="1" applyPatternFormats="1" applyAlignmentFormats="0" applyWidthHeightFormats="0"/>
</file>

<file path=xl/queryTables/queryTable531.xml><?xml version="1.0" encoding="utf-8"?>
<queryTable xmlns="http://schemas.openxmlformats.org/spreadsheetml/2006/main" name="ExternalData_1" connectionId="1075" autoFormatId="16" applyNumberFormats="0" applyBorderFormats="0" applyFontFormats="1" applyPatternFormats="1" applyAlignmentFormats="0" applyWidthHeightFormats="0"/>
</file>

<file path=xl/queryTables/queryTable532.xml><?xml version="1.0" encoding="utf-8"?>
<queryTable xmlns="http://schemas.openxmlformats.org/spreadsheetml/2006/main" name="DadosExternos_222" connectionId="186" autoFormatId="16" applyNumberFormats="0" applyBorderFormats="0" applyFontFormats="1" applyPatternFormats="1" applyAlignmentFormats="0" applyWidthHeightFormats="0"/>
</file>

<file path=xl/queryTables/queryTable533.xml><?xml version="1.0" encoding="utf-8"?>
<queryTable xmlns="http://schemas.openxmlformats.org/spreadsheetml/2006/main" name="DadosExternos_212" connectionId="154" autoFormatId="16" applyNumberFormats="0" applyBorderFormats="0" applyFontFormats="1" applyPatternFormats="1" applyAlignmentFormats="0" applyWidthHeightFormats="0"/>
</file>

<file path=xl/queryTables/queryTable534.xml><?xml version="1.0" encoding="utf-8"?>
<queryTable xmlns="http://schemas.openxmlformats.org/spreadsheetml/2006/main" name="DadosExternos_344" connectionId="537" autoFormatId="16" applyNumberFormats="0" applyBorderFormats="0" applyFontFormats="1" applyPatternFormats="1" applyAlignmentFormats="0" applyWidthHeightFormats="0"/>
</file>

<file path=xl/queryTables/queryTable535.xml><?xml version="1.0" encoding="utf-8"?>
<queryTable xmlns="http://schemas.openxmlformats.org/spreadsheetml/2006/main" name="ExternalData_3" connectionId="830" autoFormatId="16" applyNumberFormats="0" applyBorderFormats="0" applyFontFormats="1" applyPatternFormats="1" applyAlignmentFormats="0" applyWidthHeightFormats="0"/>
</file>

<file path=xl/queryTables/queryTable536.xml><?xml version="1.0" encoding="utf-8"?>
<queryTable xmlns="http://schemas.openxmlformats.org/spreadsheetml/2006/main" name="DadosExternos_121" connectionId="324" autoFormatId="16" applyNumberFormats="0" applyBorderFormats="0" applyFontFormats="1" applyPatternFormats="1" applyAlignmentFormats="0" applyWidthHeightFormats="0"/>
</file>

<file path=xl/queryTables/queryTable537.xml><?xml version="1.0" encoding="utf-8"?>
<queryTable xmlns="http://schemas.openxmlformats.org/spreadsheetml/2006/main" name="DadosExternos_148" connectionId="624" autoFormatId="16" applyNumberFormats="0" applyBorderFormats="0" applyFontFormats="1" applyPatternFormats="1" applyAlignmentFormats="0" applyWidthHeightFormats="0"/>
</file>

<file path=xl/queryTables/queryTable538.xml><?xml version="1.0" encoding="utf-8"?>
<queryTable xmlns="http://schemas.openxmlformats.org/spreadsheetml/2006/main" name="DadosExternos_150" connectionId="630" autoFormatId="16" applyNumberFormats="0" applyBorderFormats="0" applyFontFormats="1" applyPatternFormats="1" applyAlignmentFormats="0" applyWidthHeightFormats="0"/>
</file>

<file path=xl/queryTables/queryTable539.xml><?xml version="1.0" encoding="utf-8"?>
<queryTable xmlns="http://schemas.openxmlformats.org/spreadsheetml/2006/main" name="DadosExternos_308" connectionId="464" autoFormatId="16" applyNumberFormats="0" applyBorderFormats="0" applyFontFormats="1" applyPatternFormats="1" applyAlignmentFormats="0" applyWidthHeightFormats="0"/>
</file>

<file path=xl/queryTables/queryTable540.xml><?xml version="1.0" encoding="utf-8"?>
<queryTable xmlns="http://schemas.openxmlformats.org/spreadsheetml/2006/main" name="DadosExternos_367" connectionId="579" autoFormatId="16" applyNumberFormats="0" applyBorderFormats="0" applyFontFormats="1" applyPatternFormats="1" applyAlignmentFormats="0" applyWidthHeightFormats="0"/>
</file>

<file path=xl/queryTables/queryTable541.xml><?xml version="1.0" encoding="utf-8"?>
<queryTable xmlns="http://schemas.openxmlformats.org/spreadsheetml/2006/main" name="DadosExternos_242" connectionId="238" autoFormatId="16" applyNumberFormats="0" applyBorderFormats="0" applyFontFormats="1" applyPatternFormats="1" applyAlignmentFormats="0" applyWidthHeightFormats="0"/>
</file>

<file path=xl/queryTables/queryTable542.xml><?xml version="1.0" encoding="utf-8"?>
<queryTable xmlns="http://schemas.openxmlformats.org/spreadsheetml/2006/main" name="DadosExternos_353" connectionId="560" autoFormatId="16" applyNumberFormats="0" applyBorderFormats="0" applyFontFormats="1" applyPatternFormats="1" applyAlignmentFormats="0" applyWidthHeightFormats="0"/>
</file>

<file path=xl/queryTables/queryTable543.xml><?xml version="1.0" encoding="utf-8"?>
<queryTable xmlns="http://schemas.openxmlformats.org/spreadsheetml/2006/main" name="DadosExternos_143" connectionId="601" autoFormatId="16" applyNumberFormats="0" applyBorderFormats="0" applyFontFormats="1" applyPatternFormats="1" applyAlignmentFormats="0" applyWidthHeightFormats="0"/>
</file>

<file path=xl/queryTables/queryTable544.xml><?xml version="1.0" encoding="utf-8"?>
<queryTable xmlns="http://schemas.openxmlformats.org/spreadsheetml/2006/main" name="DadosExternos_298" connectionId="440" autoFormatId="16" applyNumberFormats="0" applyBorderFormats="0" applyFontFormats="1" applyPatternFormats="1" applyAlignmentFormats="0" applyWidthHeightFormats="0"/>
</file>

<file path=xl/queryTables/queryTable545.xml><?xml version="1.0" encoding="utf-8"?>
<queryTable xmlns="http://schemas.openxmlformats.org/spreadsheetml/2006/main" name="DadosExternos_350" connectionId="548" autoFormatId="16" applyNumberFormats="0" applyBorderFormats="0" applyFontFormats="1" applyPatternFormats="1" applyAlignmentFormats="0" applyWidthHeightFormats="0"/>
</file>

<file path=xl/queryTables/queryTable546.xml><?xml version="1.0" encoding="utf-8"?>
<queryTable xmlns="http://schemas.openxmlformats.org/spreadsheetml/2006/main" name="DadosExternos_65" connectionId="523" autoFormatId="16" applyNumberFormats="0" applyBorderFormats="0" applyFontFormats="1" applyPatternFormats="1" applyAlignmentFormats="0" applyWidthHeightFormats="0"/>
</file>

<file path=xl/queryTables/queryTable547.xml><?xml version="1.0" encoding="utf-8"?>
<queryTable xmlns="http://schemas.openxmlformats.org/spreadsheetml/2006/main" name="DadosExternos_224" connectionId="190" autoFormatId="16" applyNumberFormats="0" applyBorderFormats="0" applyFontFormats="1" applyPatternFormats="1" applyAlignmentFormats="0" applyWidthHeightFormats="0"/>
</file>

<file path=xl/queryTables/queryTable548.xml><?xml version="1.0" encoding="utf-8"?>
<queryTable xmlns="http://schemas.openxmlformats.org/spreadsheetml/2006/main" name="DadosExternos_110" connectionId="140" autoFormatId="16" applyNumberFormats="0" applyBorderFormats="0" applyFontFormats="1" applyPatternFormats="1" applyAlignmentFormats="0" applyWidthHeightFormats="0"/>
</file>

<file path=xl/queryTables/queryTable549.xml><?xml version="1.0" encoding="utf-8"?>
<queryTable xmlns="http://schemas.openxmlformats.org/spreadsheetml/2006/main" name="DadosExternos_72" connectionId="616" autoFormatId="16" applyNumberFormats="0" applyBorderFormats="0" applyFontFormats="1" applyPatternFormats="1" applyAlignmentFormats="0" applyWidthHeightFormats="0"/>
</file>

<file path=xl/queryTables/queryTable550.xml><?xml version="1.0" encoding="utf-8"?>
<queryTable xmlns="http://schemas.openxmlformats.org/spreadsheetml/2006/main" name="DadosExternos_203" connectionId="129" autoFormatId="16" applyNumberFormats="0" applyBorderFormats="0" applyFontFormats="1" applyPatternFormats="1" applyAlignmentFormats="0" applyWidthHeightFormats="0"/>
</file>

<file path=xl/queryTables/queryTable551.xml><?xml version="1.0" encoding="utf-8"?>
<queryTable xmlns="http://schemas.openxmlformats.org/spreadsheetml/2006/main" name="DadosExternos_60" connectionId="442" autoFormatId="16" applyNumberFormats="0" applyBorderFormats="0" applyFontFormats="1" applyPatternFormats="1" applyAlignmentFormats="0" applyWidthHeightFormats="0"/>
</file>

<file path=xl/queryTables/queryTable552.xml><?xml version="1.0" encoding="utf-8"?>
<queryTable xmlns="http://schemas.openxmlformats.org/spreadsheetml/2006/main" name="DadosExternos_282" connectionId="387" autoFormatId="16" applyNumberFormats="0" applyBorderFormats="0" applyFontFormats="1" applyPatternFormats="1" applyAlignmentFormats="0" applyWidthHeightFormats="0"/>
</file>

<file path=xl/queryTables/queryTable553.xml><?xml version="1.0" encoding="utf-8"?>
<queryTable xmlns="http://schemas.openxmlformats.org/spreadsheetml/2006/main" name="DadosExternos_147" connectionId="621" autoFormatId="16" applyNumberFormats="0" applyBorderFormats="0" applyFontFormats="1" applyPatternFormats="1" applyAlignmentFormats="0" applyWidthHeightFormats="0"/>
</file>

<file path=xl/queryTables/queryTable554.xml><?xml version="1.0" encoding="utf-8"?>
<queryTable xmlns="http://schemas.openxmlformats.org/spreadsheetml/2006/main" name="DadosExternos_69" connectionId="245" autoFormatId="16" applyNumberFormats="0" applyBorderFormats="0" applyFontFormats="1" applyPatternFormats="1" applyAlignmentFormats="0" applyWidthHeightFormats="0"/>
</file>

<file path=xl/queryTables/queryTable555.xml><?xml version="1.0" encoding="utf-8"?>
<queryTable xmlns="http://schemas.openxmlformats.org/spreadsheetml/2006/main" name="ExternalData_8" connectionId="1057" autoFormatId="16" applyNumberFormats="0" applyBorderFormats="0" applyFontFormats="1" applyPatternFormats="1" applyAlignmentFormats="0" applyWidthHeightFormats="0"/>
</file>

<file path=xl/queryTables/queryTable556.xml><?xml version="1.0" encoding="utf-8"?>
<queryTable xmlns="http://schemas.openxmlformats.org/spreadsheetml/2006/main" name="DadosExternos_192" connectionId="83" autoFormatId="16" applyNumberFormats="0" applyBorderFormats="0" applyFontFormats="1" applyPatternFormats="1" applyAlignmentFormats="0" applyWidthHeightFormats="0"/>
</file>

<file path=xl/queryTables/queryTable557.xml><?xml version="1.0" encoding="utf-8"?>
<queryTable xmlns="http://schemas.openxmlformats.org/spreadsheetml/2006/main" name="DadosExternos_157" connectionId="662" autoFormatId="16" applyNumberFormats="0" applyBorderFormats="0" applyFontFormats="1" applyPatternFormats="1" applyAlignmentFormats="0" applyWidthHeightFormats="0"/>
</file>

<file path=xl/queryTables/queryTable558.xml><?xml version="1.0" encoding="utf-8"?>
<queryTable xmlns="http://schemas.openxmlformats.org/spreadsheetml/2006/main" name="ExternalData_27" connectionId="902" autoFormatId="16" applyNumberFormats="0" applyBorderFormats="0" applyFontFormats="1" applyPatternFormats="1" applyAlignmentFormats="0" applyWidthHeightFormats="0"/>
</file>

<file path=xl/queryTables/queryTable559.xml><?xml version="1.0" encoding="utf-8"?>
<queryTable xmlns="http://schemas.openxmlformats.org/spreadsheetml/2006/main" name="DadosExternos_305" connectionId="455" autoFormatId="16" applyNumberFormats="0" applyBorderFormats="0" applyFontFormats="1" applyPatternFormats="1" applyAlignmentFormats="0" applyWidthHeightFormats="0"/>
</file>

<file path=xl/queryTables/queryTable560.xml><?xml version="1.0" encoding="utf-8"?>
<queryTable xmlns="http://schemas.openxmlformats.org/spreadsheetml/2006/main" name="DadosExternos_178" connectionId="750" autoFormatId="16" applyNumberFormats="0" applyBorderFormats="0" applyFontFormats="1" applyPatternFormats="1" applyAlignmentFormats="0" applyWidthHeightFormats="0"/>
</file>

<file path=xl/queryTables/queryTable561.xml><?xml version="1.0" encoding="utf-8"?>
<queryTable xmlns="http://schemas.openxmlformats.org/spreadsheetml/2006/main" name="DadosExternos_149" connectionId="627" autoFormatId="16" applyNumberFormats="0" applyBorderFormats="0" applyFontFormats="1" applyPatternFormats="1" applyAlignmentFormats="0" applyWidthHeightFormats="0"/>
</file>

<file path=xl/queryTables/queryTable562.xml><?xml version="1.0" encoding="utf-8"?>
<queryTable xmlns="http://schemas.openxmlformats.org/spreadsheetml/2006/main" name="DadosExternos_128" connectionId="425" autoFormatId="16" applyNumberFormats="0" applyBorderFormats="0" applyFontFormats="1" applyPatternFormats="1" applyAlignmentFormats="0" applyWidthHeightFormats="0"/>
</file>

<file path=xl/queryTables/queryTable563.xml><?xml version="1.0" encoding="utf-8"?>
<queryTable xmlns="http://schemas.openxmlformats.org/spreadsheetml/2006/main" name="DadosExternos_123" connectionId="349" autoFormatId="16" applyNumberFormats="0" applyBorderFormats="0" applyFontFormats="1" applyPatternFormats="1" applyAlignmentFormats="0" applyWidthHeightFormats="0"/>
</file>

<file path=xl/queryTables/queryTable564.xml><?xml version="1.0" encoding="utf-8"?>
<queryTable xmlns="http://schemas.openxmlformats.org/spreadsheetml/2006/main" name="DadosExternos_370" connectionId="597" autoFormatId="16" applyNumberFormats="0" applyBorderFormats="0" applyFontFormats="1" applyPatternFormats="1" applyAlignmentFormats="0" applyWidthHeightFormats="0"/>
</file>

<file path=xl/queryTables/queryTable565.xml><?xml version="1.0" encoding="utf-8"?>
<queryTable xmlns="http://schemas.openxmlformats.org/spreadsheetml/2006/main" name="DadosExternos_44" connectionId="198" autoFormatId="16" applyNumberFormats="0" applyBorderFormats="0" applyFontFormats="1" applyPatternFormats="1" applyAlignmentFormats="0" applyWidthHeightFormats="0"/>
</file>

<file path=xl/queryTables/queryTable566.xml><?xml version="1.0" encoding="utf-8"?>
<queryTable xmlns="http://schemas.openxmlformats.org/spreadsheetml/2006/main" name="DadosExternos_70" connectionId="398" autoFormatId="16" applyNumberFormats="0" applyBorderFormats="0" applyFontFormats="1" applyPatternFormats="1" applyAlignmentFormats="0" applyWidthHeightFormats="0"/>
</file>

<file path=xl/queryTables/queryTable567.xml><?xml version="1.0" encoding="utf-8"?>
<queryTable xmlns="http://schemas.openxmlformats.org/spreadsheetml/2006/main" name="DadosExternos_258" connectionId="298" autoFormatId="16" applyNumberFormats="0" applyBorderFormats="0" applyFontFormats="1" applyPatternFormats="1" applyAlignmentFormats="0" applyWidthHeightFormats="0"/>
</file>

<file path=xl/queryTables/queryTable568.xml><?xml version="1.0" encoding="utf-8"?>
<queryTable xmlns="http://schemas.openxmlformats.org/spreadsheetml/2006/main" name="DadosExternos_115" connectionId="232" autoFormatId="16" applyNumberFormats="0" applyBorderFormats="0" applyFontFormats="1" applyPatternFormats="1" applyAlignmentFormats="0" applyWidthHeightFormats="0"/>
</file>

<file path=xl/queryTables/queryTable569.xml><?xml version="1.0" encoding="utf-8"?>
<queryTable xmlns="http://schemas.openxmlformats.org/spreadsheetml/2006/main" name="DadosExternos_233" connectionId="208" autoFormatId="16" applyNumberFormats="0" applyBorderFormats="0" applyFontFormats="1" applyPatternFormats="1" applyAlignmentFormats="0" applyWidthHeightFormats="0"/>
</file>

<file path=xl/queryTables/queryTable570.xml><?xml version="1.0" encoding="utf-8"?>
<queryTable xmlns="http://schemas.openxmlformats.org/spreadsheetml/2006/main" name="DadosExternos_287" connectionId="404" autoFormatId="16" applyNumberFormats="0" applyBorderFormats="0" applyFontFormats="1" applyPatternFormats="1" applyAlignmentFormats="0" applyWidthHeightFormats="0"/>
</file>

<file path=xl/queryTables/queryTable571.xml><?xml version="1.0" encoding="utf-8"?>
<queryTable xmlns="http://schemas.openxmlformats.org/spreadsheetml/2006/main" name="ExternalData_13" connectionId="833" autoFormatId="16" applyNumberFormats="0" applyBorderFormats="0" applyFontFormats="1" applyPatternFormats="1" applyAlignmentFormats="0" applyWidthHeightFormats="0"/>
</file>

<file path=xl/queryTables/queryTable572.xml><?xml version="1.0" encoding="utf-8"?>
<queryTable xmlns="http://schemas.openxmlformats.org/spreadsheetml/2006/main" name="DadosExternos_271" connectionId="345" autoFormatId="16" applyNumberFormats="0" applyBorderFormats="0" applyFontFormats="1" applyPatternFormats="1" applyAlignmentFormats="0" applyWidthHeightFormats="0"/>
</file>

<file path=xl/queryTables/queryTable573.xml><?xml version="1.0" encoding="utf-8"?>
<queryTable xmlns="http://schemas.openxmlformats.org/spreadsheetml/2006/main" name="DadosExternos_14" connectionId="701" autoFormatId="16" applyNumberFormats="0" applyBorderFormats="0" applyFontFormats="1" applyPatternFormats="1" applyAlignmentFormats="0" applyWidthHeightFormats="0"/>
</file>

<file path=xl/queryTables/queryTable574.xml><?xml version="1.0" encoding="utf-8"?>
<queryTable xmlns="http://schemas.openxmlformats.org/spreadsheetml/2006/main" name="ExternalData_2" connectionId="1057" autoFormatId="16" applyNumberFormats="0" applyBorderFormats="0" applyFontFormats="1" applyPatternFormats="1" applyAlignmentFormats="0" applyWidthHeightFormats="0"/>
</file>

<file path=xl/queryTables/queryTable575.xml><?xml version="1.0" encoding="utf-8"?>
<queryTable xmlns="http://schemas.openxmlformats.org/spreadsheetml/2006/main" name="DadosExternos_118" connectionId="280" autoFormatId="16" applyNumberFormats="0" applyBorderFormats="0" applyFontFormats="1" applyPatternFormats="1" applyAlignmentFormats="0" applyWidthHeightFormats="0"/>
</file>

<file path=xl/queryTables/queryTable576.xml><?xml version="1.0" encoding="utf-8"?>
<queryTable xmlns="http://schemas.openxmlformats.org/spreadsheetml/2006/main" name="ExternalData_7" connectionId="1044" autoFormatId="16" applyNumberFormats="0" applyBorderFormats="0" applyFontFormats="1" applyPatternFormats="1" applyAlignmentFormats="0" applyWidthHeightFormats="0"/>
</file>

<file path=xl/queryTables/queryTable577.xml><?xml version="1.0" encoding="utf-8"?>
<queryTable xmlns="http://schemas.openxmlformats.org/spreadsheetml/2006/main" name="DadosExternos_181" connectionId="759" autoFormatId="16" applyNumberFormats="0" applyBorderFormats="0" applyFontFormats="1" applyPatternFormats="1" applyAlignmentFormats="0" applyWidthHeightFormats="0"/>
</file>

<file path=xl/queryTables/queryTable578.xml><?xml version="1.0" encoding="utf-8"?>
<queryTable xmlns="http://schemas.openxmlformats.org/spreadsheetml/2006/main" name="DadosExternos_307" connectionId="462" autoFormatId="16" applyNumberFormats="0" applyBorderFormats="0" applyFontFormats="1" applyPatternFormats="1" applyAlignmentFormats="0" applyWidthHeightFormats="0"/>
</file>

<file path=xl/queryTables/queryTable579.xml><?xml version="1.0" encoding="utf-8"?>
<queryTable xmlns="http://schemas.openxmlformats.org/spreadsheetml/2006/main" name="DadosExternos_3" connectionId="248" autoFormatId="16" applyNumberFormats="0" applyBorderFormats="0" applyFontFormats="1" applyPatternFormats="1" applyAlignmentFormats="0" applyWidthHeightFormats="0"/>
</file>

<file path=xl/queryTables/queryTable580.xml><?xml version="1.0" encoding="utf-8"?>
<queryTable xmlns="http://schemas.openxmlformats.org/spreadsheetml/2006/main" name="DadosExternos_98" connectionId="391" autoFormatId="16" applyNumberFormats="0" applyBorderFormats="0" applyFontFormats="1" applyPatternFormats="1" applyAlignmentFormats="0" applyWidthHeightFormats="0"/>
</file>

<file path=xl/queryTables/queryTable581.xml><?xml version="1.0" encoding="utf-8"?>
<queryTable xmlns="http://schemas.openxmlformats.org/spreadsheetml/2006/main" name="DadosExternos_333" connectionId="515" autoFormatId="16" applyNumberFormats="0" applyBorderFormats="0" applyFontFormats="1" applyPatternFormats="1" applyAlignmentFormats="0" applyWidthHeightFormats="0"/>
</file>

<file path=xl/queryTables/queryTable582.xml><?xml version="1.0" encoding="utf-8"?>
<queryTable xmlns="http://schemas.openxmlformats.org/spreadsheetml/2006/main" name="DadosExternos_127" connectionId="409" autoFormatId="16" applyNumberFormats="0" applyBorderFormats="0" applyFontFormats="1" applyPatternFormats="1" applyAlignmentFormats="0" applyWidthHeightFormats="0"/>
</file>

<file path=xl/queryTables/queryTable583.xml><?xml version="1.0" encoding="utf-8"?>
<queryTable xmlns="http://schemas.openxmlformats.org/spreadsheetml/2006/main" name="ExternalData_12" connectionId="809" autoFormatId="16" applyNumberFormats="0" applyBorderFormats="0" applyFontFormats="1" applyPatternFormats="1" applyAlignmentFormats="0" applyWidthHeightFormats="0"/>
</file>

<file path=xl/queryTables/queryTable584.xml><?xml version="1.0" encoding="utf-8"?>
<queryTable xmlns="http://schemas.openxmlformats.org/spreadsheetml/2006/main" name="DadosExternos_318" connectionId="479" autoFormatId="16" applyNumberFormats="0" applyBorderFormats="0" applyFontFormats="1" applyPatternFormats="1" applyAlignmentFormats="0" applyWidthHeightFormats="0"/>
</file>

<file path=xl/queryTables/queryTable585.xml><?xml version="1.0" encoding="utf-8"?>
<queryTable xmlns="http://schemas.openxmlformats.org/spreadsheetml/2006/main" name="DadosExternos_215" connectionId="165" autoFormatId="16" applyNumberFormats="0" applyBorderFormats="0" applyFontFormats="1" applyPatternFormats="1" applyAlignmentFormats="0" applyWidthHeightFormats="0"/>
</file>

<file path=xl/queryTables/queryTable586.xml><?xml version="1.0" encoding="utf-8"?>
<queryTable xmlns="http://schemas.openxmlformats.org/spreadsheetml/2006/main" name="ExternalData_4" connectionId="964" autoFormatId="16" applyNumberFormats="0" applyBorderFormats="0" applyFontFormats="1" applyPatternFormats="1" applyAlignmentFormats="0" applyWidthHeightFormats="0"/>
</file>

<file path=xl/queryTables/queryTable587.xml><?xml version="1.0" encoding="utf-8"?>
<queryTable xmlns="http://schemas.openxmlformats.org/spreadsheetml/2006/main" name="DadosExternos_26" connectionId="766" autoFormatId="16" applyNumberFormats="0" applyBorderFormats="0" applyFontFormats="1" applyPatternFormats="1" applyAlignmentFormats="0" applyWidthHeightFormats="0"/>
</file>

<file path=xl/queryTables/queryTable588.xml><?xml version="1.0" encoding="utf-8"?>
<queryTable xmlns="http://schemas.openxmlformats.org/spreadsheetml/2006/main" name="DadosExternos_71" connectionId="556" autoFormatId="16" applyNumberFormats="0" applyBorderFormats="0" applyFontFormats="1" applyPatternFormats="1" applyAlignmentFormats="0" applyWidthHeightFormats="0"/>
</file>

<file path=xl/queryTables/queryTable589.xml><?xml version="1.0" encoding="utf-8"?>
<queryTable xmlns="http://schemas.openxmlformats.org/spreadsheetml/2006/main" name="DadosExternos_8" connectionId="696" autoFormatId="16" applyNumberFormats="0" applyBorderFormats="0" applyFontFormats="1" applyPatternFormats="1" applyAlignmentFormats="0" applyWidthHeightFormats="0"/>
</file>

<file path=xl/queryTables/queryTable590.xml><?xml version="1.0" encoding="utf-8"?>
<queryTable xmlns="http://schemas.openxmlformats.org/spreadsheetml/2006/main" name="DadosExternos_36" connectionId="6" autoFormatId="16" applyNumberFormats="0" applyBorderFormats="0" applyFontFormats="1" applyPatternFormats="1" applyAlignmentFormats="0" applyWidthHeightFormats="0"/>
</file>

<file path=xl/queryTables/queryTable591.xml><?xml version="1.0" encoding="utf-8"?>
<queryTable xmlns="http://schemas.openxmlformats.org/spreadsheetml/2006/main" name="DadosExternos_42" connectionId="161" autoFormatId="16" applyNumberFormats="0" applyBorderFormats="0" applyFontFormats="1" applyPatternFormats="1" applyAlignmentFormats="0" applyWidthHeightFormats="0"/>
</file>

<file path=xl/queryTables/queryTable592.xml><?xml version="1.0" encoding="utf-8"?>
<queryTable xmlns="http://schemas.openxmlformats.org/spreadsheetml/2006/main" name="DadosExternos_336" connectionId="518" autoFormatId="16" applyNumberFormats="0" applyBorderFormats="0" applyFontFormats="1" applyPatternFormats="1" applyAlignmentFormats="0" applyWidthHeightFormats="0"/>
</file>

<file path=xl/queryTables/queryTable593.xml><?xml version="1.0" encoding="utf-8"?>
<queryTable xmlns="http://schemas.openxmlformats.org/spreadsheetml/2006/main" name="DadosExternos_68" connectionId="58" autoFormatId="16" applyNumberFormats="0" applyBorderFormats="0" applyFontFormats="1" applyPatternFormats="1" applyAlignmentFormats="0" applyWidthHeightFormats="0"/>
</file>

<file path=xl/queryTables/queryTable594.xml><?xml version="1.0" encoding="utf-8"?>
<queryTable xmlns="http://schemas.openxmlformats.org/spreadsheetml/2006/main" name="DadosExternos_154" connectionId="644" autoFormatId="16" applyNumberFormats="0" applyBorderFormats="0" applyFontFormats="1" applyPatternFormats="1" applyAlignmentFormats="0" applyWidthHeightFormats="0"/>
</file>

<file path=xl/queryTables/queryTable595.xml><?xml version="1.0" encoding="utf-8"?>
<queryTable xmlns="http://schemas.openxmlformats.org/spreadsheetml/2006/main" name="DadosExternos_470" connectionId="93" autoFormatId="16" applyNumberFormats="0" applyBorderFormats="0" applyFontFormats="1" applyPatternFormats="1" applyAlignmentFormats="0" applyWidthHeightFormats="0"/>
</file>

<file path=xl/queryTables/queryTable596.xml><?xml version="1.0" encoding="utf-8"?>
<queryTable xmlns="http://schemas.openxmlformats.org/spreadsheetml/2006/main" name="DadosExternos_208" connectionId="147" autoFormatId="16" applyNumberFormats="0" applyBorderFormats="0" applyFontFormats="1" applyPatternFormats="1" applyAlignmentFormats="0" applyWidthHeightFormats="0"/>
</file>

<file path=xl/queryTables/queryTable597.xml><?xml version="1.0" encoding="utf-8"?>
<queryTable xmlns="http://schemas.openxmlformats.org/spreadsheetml/2006/main" name="DadosExternos_73" connectionId="658" autoFormatId="16" applyNumberFormats="0" applyBorderFormats="0" applyFontFormats="1" applyPatternFormats="1" applyAlignmentFormats="0" applyWidthHeightFormats="0"/>
</file>

<file path=xl/queryTables/queryTable598.xml><?xml version="1.0" encoding="utf-8"?>
<queryTable xmlns="http://schemas.openxmlformats.org/spreadsheetml/2006/main" name="DadosExternos_319" connectionId="483" autoFormatId="16" applyNumberFormats="0" applyBorderFormats="0" applyFontFormats="1" applyPatternFormats="1" applyAlignmentFormats="0" applyWidthHeightFormats="0"/>
</file>

<file path=xl/queryTables/queryTable599.xml><?xml version="1.0" encoding="utf-8"?>
<queryTable xmlns="http://schemas.openxmlformats.org/spreadsheetml/2006/main" name="DadosExternos_263" connectionId="319" autoFormatId="16" applyNumberFormats="0" applyBorderFormats="0" applyFontFormats="1" applyPatternFormats="1" applyAlignmentFormats="0" applyWidthHeightFormats="0"/>
</file>

<file path=xl/queryTables/queryTable600.xml><?xml version="1.0" encoding="utf-8"?>
<queryTable xmlns="http://schemas.openxmlformats.org/spreadsheetml/2006/main" name="DadosExternos_223" connectionId="189" autoFormatId="16" applyNumberFormats="0" applyBorderFormats="0" applyFontFormats="1" applyPatternFormats="1" applyAlignmentFormats="0" applyWidthHeightFormats="0"/>
</file>

<file path=xl/queryTables/queryTable601.xml><?xml version="1.0" encoding="utf-8"?>
<queryTable xmlns="http://schemas.openxmlformats.org/spreadsheetml/2006/main" name="DadosExternos_147" connectionId="622" autoFormatId="16" applyNumberFormats="0" applyBorderFormats="0" applyFontFormats="1" applyPatternFormats="1" applyAlignmentFormats="0" applyWidthHeightFormats="0"/>
</file>

<file path=xl/queryTables/queryTable602.xml><?xml version="1.0" encoding="utf-8"?>
<queryTable xmlns="http://schemas.openxmlformats.org/spreadsheetml/2006/main" name="DadosExternos_397" connectionId="332" autoFormatId="16" applyNumberFormats="0" applyBorderFormats="0" applyFontFormats="1" applyPatternFormats="1" applyAlignmentFormats="0" applyWidthHeightFormats="0"/>
</file>

<file path=xl/queryTables/queryTable603.xml><?xml version="1.0" encoding="utf-8"?>
<queryTable xmlns="http://schemas.openxmlformats.org/spreadsheetml/2006/main" name="DadosExternos_362" connectionId="574" autoFormatId="16" applyNumberFormats="0" applyBorderFormats="0" applyFontFormats="1" applyPatternFormats="1" applyAlignmentFormats="0" applyWidthHeightFormats="0"/>
</file>

<file path=xl/queryTables/queryTable604.xml><?xml version="1.0" encoding="utf-8"?>
<queryTable xmlns="http://schemas.openxmlformats.org/spreadsheetml/2006/main" name="DadosExternos_7" connectionId="656" autoFormatId="16" applyNumberFormats="0" applyBorderFormats="0" applyFontFormats="1" applyPatternFormats="1" applyAlignmentFormats="0" applyWidthHeightFormats="0"/>
</file>

<file path=xl/queryTables/queryTable605.xml><?xml version="1.0" encoding="utf-8"?>
<queryTable xmlns="http://schemas.openxmlformats.org/spreadsheetml/2006/main" name="DadosExternos_459" connectionId="17" autoFormatId="16" applyNumberFormats="0" applyBorderFormats="0" applyFontFormats="1" applyPatternFormats="1" applyAlignmentFormats="0" applyWidthHeightFormats="0"/>
</file>

<file path=xl/queryTables/queryTable606.xml><?xml version="1.0" encoding="utf-8"?>
<queryTable xmlns="http://schemas.openxmlformats.org/spreadsheetml/2006/main" name="DadosExternos_194" connectionId="94" autoFormatId="16" applyNumberFormats="0" applyBorderFormats="0" applyFontFormats="1" applyPatternFormats="1" applyAlignmentFormats="0" applyWidthHeightFormats="0"/>
</file>

<file path=xl/queryTables/queryTable607.xml><?xml version="1.0" encoding="utf-8"?>
<queryTable xmlns="http://schemas.openxmlformats.org/spreadsheetml/2006/main" name="DadosExternos_432" connectionId="671" autoFormatId="16" applyNumberFormats="0" applyBorderFormats="0" applyFontFormats="1" applyPatternFormats="1" applyAlignmentFormats="0" applyWidthHeightFormats="0"/>
</file>

<file path=xl/queryTables/queryTable608.xml><?xml version="1.0" encoding="utf-8"?>
<queryTable xmlns="http://schemas.openxmlformats.org/spreadsheetml/2006/main" name="ExternalData_53" connectionId="916" autoFormatId="16" applyNumberFormats="0" applyBorderFormats="0" applyFontFormats="1" applyPatternFormats="1" applyAlignmentFormats="0" applyWidthHeightFormats="0"/>
</file>

<file path=xl/queryTables/queryTable609.xml><?xml version="1.0" encoding="utf-8"?>
<queryTable xmlns="http://schemas.openxmlformats.org/spreadsheetml/2006/main" name="DadosExternos_15" connectionId="743" autoFormatId="16" applyNumberFormats="0" applyBorderFormats="0" applyFontFormats="1" applyPatternFormats="1" applyAlignmentFormats="0" applyWidthHeightFormats="0"/>
</file>

<file path=xl/queryTables/queryTable610.xml><?xml version="1.0" encoding="utf-8"?>
<queryTable xmlns="http://schemas.openxmlformats.org/spreadsheetml/2006/main" name="DadosExternos_416" connectionId="593" autoFormatId="16" applyNumberFormats="0" applyBorderFormats="0" applyFontFormats="1" applyPatternFormats="1" applyAlignmentFormats="0" applyWidthHeightFormats="0"/>
</file>

<file path=xl/queryTables/queryTable611.xml><?xml version="1.0" encoding="utf-8"?>
<queryTable xmlns="http://schemas.openxmlformats.org/spreadsheetml/2006/main" name="ExternalData_61" connectionId="974" autoFormatId="16" applyNumberFormats="0" applyBorderFormats="0" applyFontFormats="1" applyPatternFormats="1" applyAlignmentFormats="0" applyWidthHeightFormats="0"/>
</file>

<file path=xl/queryTables/queryTable612.xml><?xml version="1.0" encoding="utf-8"?>
<queryTable xmlns="http://schemas.openxmlformats.org/spreadsheetml/2006/main" name="DadosExternos_388" connectionId="194" autoFormatId="16" applyNumberFormats="0" applyBorderFormats="0" applyFontFormats="1" applyPatternFormats="1" applyAlignmentFormats="0" applyWidthHeightFormats="0"/>
</file>

<file path=xl/queryTables/queryTable613.xml><?xml version="1.0" encoding="utf-8"?>
<queryTable xmlns="http://schemas.openxmlformats.org/spreadsheetml/2006/main" name="DadosExternos_143" connectionId="602" autoFormatId="16" applyNumberFormats="0" applyBorderFormats="0" applyFontFormats="1" applyPatternFormats="1" applyAlignmentFormats="0" applyWidthHeightFormats="0"/>
</file>

<file path=xl/queryTables/queryTable614.xml><?xml version="1.0" encoding="utf-8"?>
<queryTable xmlns="http://schemas.openxmlformats.org/spreadsheetml/2006/main" name="DadosExternos_309" connectionId="467" autoFormatId="16" applyNumberFormats="0" applyBorderFormats="0" applyFontFormats="1" applyPatternFormats="1" applyAlignmentFormats="0" applyWidthHeightFormats="0"/>
</file>

<file path=xl/queryTables/queryTable615.xml><?xml version="1.0" encoding="utf-8"?>
<queryTable xmlns="http://schemas.openxmlformats.org/spreadsheetml/2006/main" name="DadosExternos_47" connectionId="253" autoFormatId="16" applyNumberFormats="0" applyBorderFormats="0" applyFontFormats="1" applyPatternFormats="1" applyAlignmentFormats="0" applyWidthHeightFormats="0"/>
</file>

<file path=xl/queryTables/queryTable616.xml><?xml version="1.0" encoding="utf-8"?>
<queryTable xmlns="http://schemas.openxmlformats.org/spreadsheetml/2006/main" name="DadosExternos_67" connectionId="765" autoFormatId="16" applyNumberFormats="0" applyBorderFormats="0" applyFontFormats="1" applyPatternFormats="1" applyAlignmentFormats="0" applyWidthHeightFormats="0"/>
</file>

<file path=xl/queryTables/queryTable617.xml><?xml version="1.0" encoding="utf-8"?>
<queryTable xmlns="http://schemas.openxmlformats.org/spreadsheetml/2006/main" name="DadosExternos_146" connectionId="614" autoFormatId="16" applyNumberFormats="0" applyBorderFormats="0" applyFontFormats="1" applyPatternFormats="1" applyAlignmentFormats="0" applyWidthHeightFormats="0"/>
</file>

<file path=xl/queryTables/queryTable618.xml><?xml version="1.0" encoding="utf-8"?>
<queryTable xmlns="http://schemas.openxmlformats.org/spreadsheetml/2006/main" name="DadosExternos_344" connectionId="538" autoFormatId="16" applyNumberFormats="0" applyBorderFormats="0" applyFontFormats="1" applyPatternFormats="1" applyAlignmentFormats="0" applyWidthHeightFormats="0"/>
</file>

<file path=xl/queryTables/queryTable619.xml><?xml version="1.0" encoding="utf-8"?>
<queryTable xmlns="http://schemas.openxmlformats.org/spreadsheetml/2006/main" name="ExternalData_2" connectionId="1064" autoFormatId="16" applyNumberFormats="0" applyBorderFormats="0" applyFontFormats="1" applyPatternFormats="1" applyAlignmentFormats="0" applyWidthHeightFormats="0"/>
</file>

<file path=xl/queryTables/queryTable620.xml><?xml version="1.0" encoding="utf-8"?>
<queryTable xmlns="http://schemas.openxmlformats.org/spreadsheetml/2006/main" name="DadosExternos_227" connectionId="201" autoFormatId="16" applyNumberFormats="0" applyBorderFormats="0" applyFontFormats="1" applyPatternFormats="1" applyAlignmentFormats="0" applyWidthHeightFormats="0"/>
</file>

<file path=xl/queryTables/queryTable621.xml><?xml version="1.0" encoding="utf-8"?>
<queryTable xmlns="http://schemas.openxmlformats.org/spreadsheetml/2006/main" name="DadosExternos_179" connectionId="754" autoFormatId="16" applyNumberFormats="0" applyBorderFormats="0" applyFontFormats="1" applyPatternFormats="1" applyAlignmentFormats="0" applyWidthHeightFormats="0"/>
</file>

<file path=xl/queryTables/queryTable622.xml><?xml version="1.0" encoding="utf-8"?>
<queryTable xmlns="http://schemas.openxmlformats.org/spreadsheetml/2006/main" name="DadosExternos_141" connectionId="595" autoFormatId="16" applyNumberFormats="0" applyBorderFormats="0" applyFontFormats="1" applyPatternFormats="1" applyAlignmentFormats="0" applyWidthHeightFormats="0"/>
</file>

<file path=xl/queryTables/queryTable623.xml><?xml version="1.0" encoding="utf-8"?>
<queryTable xmlns="http://schemas.openxmlformats.org/spreadsheetml/2006/main" name="DadosExternos_176" connectionId="741" autoFormatId="16" applyNumberFormats="0" applyBorderFormats="0" applyFontFormats="1" applyPatternFormats="1" applyAlignmentFormats="0" applyWidthHeightFormats="0"/>
</file>

<file path=xl/queryTables/queryTable624.xml><?xml version="1.0" encoding="utf-8"?>
<queryTable xmlns="http://schemas.openxmlformats.org/spreadsheetml/2006/main" name="ExternalData_10" connectionId="1103" autoFormatId="16" applyNumberFormats="0" applyBorderFormats="0" applyFontFormats="1" applyPatternFormats="1" applyAlignmentFormats="0" applyWidthHeightFormats="0"/>
</file>

<file path=xl/queryTables/queryTable625.xml><?xml version="1.0" encoding="utf-8"?>
<queryTable xmlns="http://schemas.openxmlformats.org/spreadsheetml/2006/main" name="DadosExternos_138" connectionId="583" autoFormatId="16" applyNumberFormats="0" applyBorderFormats="0" applyFontFormats="1" applyPatternFormats="1" applyAlignmentFormats="0" applyWidthHeightFormats="0"/>
</file>

<file path=xl/queryTables/queryTable626.xml><?xml version="1.0" encoding="utf-8"?>
<queryTable xmlns="http://schemas.openxmlformats.org/spreadsheetml/2006/main" name="DadosExternos_350" connectionId="549" autoFormatId="16" applyNumberFormats="0" applyBorderFormats="0" applyFontFormats="1" applyPatternFormats="1" applyAlignmentFormats="0" applyWidthHeightFormats="0"/>
</file>

<file path=xl/queryTables/queryTable627.xml><?xml version="1.0" encoding="utf-8"?>
<queryTable xmlns="http://schemas.openxmlformats.org/spreadsheetml/2006/main" name="DadosExternos_389" connectionId="210" autoFormatId="16" applyNumberFormats="0" applyBorderFormats="0" applyFontFormats="1" applyPatternFormats="1" applyAlignmentFormats="0" applyWidthHeightFormats="0"/>
</file>

<file path=xl/queryTables/queryTable628.xml><?xml version="1.0" encoding="utf-8"?>
<queryTable xmlns="http://schemas.openxmlformats.org/spreadsheetml/2006/main" name="DadosExternos_353" connectionId="561" autoFormatId="16" applyNumberFormats="0" applyBorderFormats="0" applyFontFormats="1" applyPatternFormats="1" applyAlignmentFormats="0" applyWidthHeightFormats="0"/>
</file>

<file path=xl/queryTables/queryTable629.xml><?xml version="1.0" encoding="utf-8"?>
<queryTable xmlns="http://schemas.openxmlformats.org/spreadsheetml/2006/main" name="DadosExternos_203" connectionId="130" autoFormatId="16" applyNumberFormats="0" applyBorderFormats="0" applyFontFormats="1" applyPatternFormats="1" applyAlignmentFormats="0" applyWidthHeightFormats="0"/>
</file>

<file path=xl/queryTables/queryTable630.xml><?xml version="1.0" encoding="utf-8"?>
<queryTable xmlns="http://schemas.openxmlformats.org/spreadsheetml/2006/main" name="DadosExternos_17" connectionId="47" autoFormatId="16" applyNumberFormats="0" applyBorderFormats="0" applyFontFormats="1" applyPatternFormats="1" applyAlignmentFormats="0" applyWidthHeightFormats="0"/>
</file>

<file path=xl/queryTables/queryTable631.xml><?xml version="1.0" encoding="utf-8"?>
<queryTable xmlns="http://schemas.openxmlformats.org/spreadsheetml/2006/main" name="DadosExternos_165" connectionId="691" autoFormatId="16" applyNumberFormats="0" applyBorderFormats="0" applyFontFormats="1" applyPatternFormats="1" applyAlignmentFormats="0" applyWidthHeightFormats="0"/>
</file>

<file path=xl/queryTables/queryTable632.xml><?xml version="1.0" encoding="utf-8"?>
<queryTable xmlns="http://schemas.openxmlformats.org/spreadsheetml/2006/main" name="DadosExternos_196" connectionId="98" autoFormatId="16" applyNumberFormats="0" applyBorderFormats="0" applyFontFormats="1" applyPatternFormats="1" applyAlignmentFormats="0" applyWidthHeightFormats="0"/>
</file>

<file path=xl/queryTables/queryTable633.xml><?xml version="1.0" encoding="utf-8"?>
<queryTable xmlns="http://schemas.openxmlformats.org/spreadsheetml/2006/main" name="DadosExternos_66" connectionId="540" autoFormatId="16" applyNumberFormats="0" applyBorderFormats="0" applyFontFormats="1" applyPatternFormats="1" applyAlignmentFormats="0" applyWidthHeightFormats="0"/>
</file>

<file path=xl/queryTables/queryTable634.xml><?xml version="1.0" encoding="utf-8"?>
<queryTable xmlns="http://schemas.openxmlformats.org/spreadsheetml/2006/main" name="DadosExternos_277" connectionId="368" autoFormatId="16" applyNumberFormats="0" applyBorderFormats="0" applyFontFormats="1" applyPatternFormats="1" applyAlignmentFormats="0" applyWidthHeightFormats="0"/>
</file>

<file path=xl/queryTables/queryTable635.xml><?xml version="1.0" encoding="utf-8"?>
<queryTable xmlns="http://schemas.openxmlformats.org/spreadsheetml/2006/main" name="DadosExternos_280" connectionId="376" autoFormatId="16" applyNumberFormats="0" applyBorderFormats="0" applyFontFormats="1" applyPatternFormats="1" applyAlignmentFormats="0" applyWidthHeightFormats="0"/>
</file>

<file path=xl/queryTables/queryTable636.xml><?xml version="1.0" encoding="utf-8"?>
<queryTable xmlns="http://schemas.openxmlformats.org/spreadsheetml/2006/main" name="DadosExternos_204" connectionId="133" autoFormatId="16" applyNumberFormats="0" applyBorderFormats="0" applyFontFormats="1" applyPatternFormats="1" applyAlignmentFormats="0" applyWidthHeightFormats="0"/>
</file>

<file path=xl/queryTables/queryTable637.xml><?xml version="1.0" encoding="utf-8"?>
<queryTable xmlns="http://schemas.openxmlformats.org/spreadsheetml/2006/main" name="DadosExternos_154" connectionId="645" autoFormatId="16" applyNumberFormats="0" applyBorderFormats="0" applyFontFormats="1" applyPatternFormats="1" applyAlignmentFormats="0" applyWidthHeightFormats="0"/>
</file>

<file path=xl/queryTables/queryTable638.xml><?xml version="1.0" encoding="utf-8"?>
<queryTable xmlns="http://schemas.openxmlformats.org/spreadsheetml/2006/main" name="DadosExternos_162" connectionId="680" autoFormatId="16" applyNumberFormats="0" applyBorderFormats="0" applyFontFormats="1" applyPatternFormats="1" applyAlignmentFormats="0" applyWidthHeightFormats="0"/>
</file>

<file path=xl/queryTables/queryTable639.xml><?xml version="1.0" encoding="utf-8"?>
<queryTable xmlns="http://schemas.openxmlformats.org/spreadsheetml/2006/main" name="ExternalData_16" connectionId="894" autoFormatId="16" applyNumberFormats="0" applyBorderFormats="0" applyFontFormats="1" applyPatternFormats="1" applyAlignmentFormats="0" applyWidthHeightFormats="0"/>
</file>

<file path=xl/queryTables/queryTable640.xml><?xml version="1.0" encoding="utf-8"?>
<queryTable xmlns="http://schemas.openxmlformats.org/spreadsheetml/2006/main" name="DadosExternos_164" connectionId="687" autoFormatId="16" applyNumberFormats="0" applyBorderFormats="0" applyFontFormats="1" applyPatternFormats="1" applyAlignmentFormats="0" applyWidthHeightFormats="0"/>
</file>

<file path=xl/queryTables/queryTable641.xml><?xml version="1.0" encoding="utf-8"?>
<queryTable xmlns="http://schemas.openxmlformats.org/spreadsheetml/2006/main" name="DadosExternos_132" connectionId="488" autoFormatId="16" applyNumberFormats="0" applyBorderFormats="0" applyFontFormats="1" applyPatternFormats="1" applyAlignmentFormats="0" applyWidthHeightFormats="0"/>
</file>

<file path=xl/queryTables/queryTable642.xml><?xml version="1.0" encoding="utf-8"?>
<queryTable xmlns="http://schemas.openxmlformats.org/spreadsheetml/2006/main" name="DadosExternos_446" connectionId="755" autoFormatId="16" applyNumberFormats="0" applyBorderFormats="0" applyFontFormats="1" applyPatternFormats="1" applyAlignmentFormats="0" applyWidthHeightFormats="0"/>
</file>

<file path=xl/queryTables/queryTable643.xml><?xml version="1.0" encoding="utf-8"?>
<queryTable xmlns="http://schemas.openxmlformats.org/spreadsheetml/2006/main" name="DadosExternos_343" connectionId="534" autoFormatId="16" applyNumberFormats="0" applyBorderFormats="0" applyFontFormats="1" applyPatternFormats="1" applyAlignmentFormats="0" applyWidthHeightFormats="0"/>
</file>

<file path=xl/queryTables/queryTable644.xml><?xml version="1.0" encoding="utf-8"?>
<queryTable xmlns="http://schemas.openxmlformats.org/spreadsheetml/2006/main" name="ExternalData_28" connectionId="918" autoFormatId="16" applyNumberFormats="0" applyBorderFormats="0" applyFontFormats="1" applyPatternFormats="1" applyAlignmentFormats="0" applyWidthHeightFormats="0"/>
</file>

<file path=xl/queryTables/queryTable645.xml><?xml version="1.0" encoding="utf-8"?>
<queryTable xmlns="http://schemas.openxmlformats.org/spreadsheetml/2006/main" name="DadosExternos_110" connectionId="141" autoFormatId="16" applyNumberFormats="0" applyBorderFormats="0" applyFontFormats="1" applyPatternFormats="1" applyAlignmentFormats="0" applyWidthHeightFormats="0"/>
</file>

<file path=xl/queryTables/queryTable646.xml><?xml version="1.0" encoding="utf-8"?>
<queryTable xmlns="http://schemas.openxmlformats.org/spreadsheetml/2006/main" name="DadosExternos_191" connectionId="42" autoFormatId="16" applyNumberFormats="0" applyBorderFormats="0" applyFontFormats="1" applyPatternFormats="1" applyAlignmentFormats="0" applyWidthHeightFormats="0"/>
</file>

<file path=xl/queryTables/queryTable647.xml><?xml version="1.0" encoding="utf-8"?>
<queryTable xmlns="http://schemas.openxmlformats.org/spreadsheetml/2006/main" name="DadosExternos_431" connectionId="667" autoFormatId="16" applyNumberFormats="0" applyBorderFormats="0" applyFontFormats="1" applyPatternFormats="1" applyAlignmentFormats="0" applyWidthHeightFormats="0"/>
</file>

<file path=xl/queryTables/queryTable648.xml><?xml version="1.0" encoding="utf-8"?>
<queryTable xmlns="http://schemas.openxmlformats.org/spreadsheetml/2006/main" name="ExternalData_3" connectionId="836" autoFormatId="16" applyNumberFormats="0" applyBorderFormats="0" applyFontFormats="1" applyPatternFormats="1" applyAlignmentFormats="0" applyWidthHeightFormats="0"/>
</file>

<file path=xl/queryTables/queryTable649.xml><?xml version="1.0" encoding="utf-8"?>
<queryTable xmlns="http://schemas.openxmlformats.org/spreadsheetml/2006/main" name="DadosExternos_302" connectionId="452" autoFormatId="16" applyNumberFormats="0" applyBorderFormats="0" applyFontFormats="1" applyPatternFormats="1" applyAlignmentFormats="0" applyWidthHeightFormats="0"/>
</file>

<file path=xl/queryTables/queryTable650.xml><?xml version="1.0" encoding="utf-8"?>
<queryTable xmlns="http://schemas.openxmlformats.org/spreadsheetml/2006/main" name="DadosExternos_182" connectionId="763" autoFormatId="16" applyNumberFormats="0" applyBorderFormats="0" applyFontFormats="1" applyPatternFormats="1" applyAlignmentFormats="0" applyWidthHeightFormats="0"/>
</file>

<file path=xl/queryTables/queryTable651.xml><?xml version="1.0" encoding="utf-8"?>
<queryTable xmlns="http://schemas.openxmlformats.org/spreadsheetml/2006/main" name="DadosExternos_272" connectionId="354" autoFormatId="16" applyNumberFormats="0" applyBorderFormats="0" applyFontFormats="1" applyPatternFormats="1" applyAlignmentFormats="0" applyWidthHeightFormats="0"/>
</file>

<file path=xl/queryTables/queryTable652.xml><?xml version="1.0" encoding="utf-8"?>
<queryTable xmlns="http://schemas.openxmlformats.org/spreadsheetml/2006/main" name="DadosExternos_457" connectionId="10" autoFormatId="16" applyNumberFormats="0" applyBorderFormats="0" applyFontFormats="1" applyPatternFormats="1" applyAlignmentFormats="0" applyWidthHeightFormats="0"/>
</file>

<file path=xl/queryTables/queryTable653.xml><?xml version="1.0" encoding="utf-8"?>
<queryTable xmlns="http://schemas.openxmlformats.org/spreadsheetml/2006/main" name="DadosExternos_337" connectionId="526" autoFormatId="16" applyNumberFormats="0" applyBorderFormats="0" applyFontFormats="1" applyPatternFormats="1" applyAlignmentFormats="0" applyWidthHeightFormats="0"/>
</file>

<file path=xl/queryTables/queryTable654.xml><?xml version="1.0" encoding="utf-8"?>
<queryTable xmlns="http://schemas.openxmlformats.org/spreadsheetml/2006/main" name="DadosExternos_35" connectionId="783" autoFormatId="16" applyNumberFormats="0" applyBorderFormats="0" applyFontFormats="1" applyPatternFormats="1" applyAlignmentFormats="0" applyWidthHeightFormats="0"/>
</file>

<file path=xl/queryTables/queryTable655.xml><?xml version="1.0" encoding="utf-8"?>
<queryTable xmlns="http://schemas.openxmlformats.org/spreadsheetml/2006/main" name="DadosExternos_42" connectionId="162" autoFormatId="16" applyNumberFormats="0" applyBorderFormats="0" applyFontFormats="1" applyPatternFormats="1" applyAlignmentFormats="0" applyWidthHeightFormats="0"/>
</file>

<file path=xl/queryTables/queryTable656.xml><?xml version="1.0" encoding="utf-8"?>
<queryTable xmlns="http://schemas.openxmlformats.org/spreadsheetml/2006/main" name="DadosExternos_361" connectionId="572" autoFormatId="16" applyNumberFormats="0" applyBorderFormats="0" applyFontFormats="1" applyPatternFormats="1" applyAlignmentFormats="0" applyWidthHeightFormats="0"/>
</file>

<file path=xl/queryTables/queryTable657.xml><?xml version="1.0" encoding="utf-8"?>
<queryTable xmlns="http://schemas.openxmlformats.org/spreadsheetml/2006/main" name="DadosExternos_111" connectionId="164" autoFormatId="16" applyNumberFormats="0" applyBorderFormats="0" applyFontFormats="1" applyPatternFormats="1" applyAlignmentFormats="0" applyWidthHeightFormats="0"/>
</file>

<file path=xl/queryTables/queryTable658.xml><?xml version="1.0" encoding="utf-8"?>
<queryTable xmlns="http://schemas.openxmlformats.org/spreadsheetml/2006/main" name="DadosExternos_465" connectionId="46" autoFormatId="16" applyNumberFormats="0" applyBorderFormats="0" applyFontFormats="1" applyPatternFormats="1" applyAlignmentFormats="0" applyWidthHeightFormats="0"/>
</file>

<file path=xl/queryTables/queryTable659.xml><?xml version="1.0" encoding="utf-8"?>
<queryTable xmlns="http://schemas.openxmlformats.org/spreadsheetml/2006/main" name="DadosExternos_294" connectionId="431" autoFormatId="16" applyNumberFormats="0" applyBorderFormats="0" applyFontFormats="1" applyPatternFormats="1" applyAlignmentFormats="0" applyWidthHeightFormats="0"/>
</file>

<file path=xl/queryTables/queryTable660.xml><?xml version="1.0" encoding="utf-8"?>
<queryTable xmlns="http://schemas.openxmlformats.org/spreadsheetml/2006/main" name="DadosExternos_37" connectionId="72" autoFormatId="16" applyNumberFormats="0" applyBorderFormats="0" applyFontFormats="1" applyPatternFormats="1" applyAlignmentFormats="0" applyWidthHeightFormats="0"/>
</file>

<file path=xl/queryTables/queryTable661.xml><?xml version="1.0" encoding="utf-8"?>
<queryTable xmlns="http://schemas.openxmlformats.org/spreadsheetml/2006/main" name="DadosExternos_377" connectionId="688" autoFormatId="16" applyNumberFormats="0" applyBorderFormats="0" applyFontFormats="1" applyPatternFormats="1" applyAlignmentFormats="0" applyWidthHeightFormats="0"/>
</file>

<file path=xl/queryTables/queryTable662.xml><?xml version="1.0" encoding="utf-8"?>
<queryTable xmlns="http://schemas.openxmlformats.org/spreadsheetml/2006/main" name="DadosExternos_52" connectionId="323" autoFormatId="16" applyNumberFormats="0" applyBorderFormats="0" applyFontFormats="1" applyPatternFormats="1" applyAlignmentFormats="0" applyWidthHeightFormats="0"/>
</file>

<file path=xl/queryTables/queryTable663.xml><?xml version="1.0" encoding="utf-8"?>
<queryTable xmlns="http://schemas.openxmlformats.org/spreadsheetml/2006/main" name="DadosExternos_275" connectionId="357" autoFormatId="16" applyNumberFormats="0" applyBorderFormats="0" applyFontFormats="1" applyPatternFormats="1" applyAlignmentFormats="0" applyWidthHeightFormats="0"/>
</file>

<file path=xl/queryTables/queryTable664.xml><?xml version="1.0" encoding="utf-8"?>
<queryTable xmlns="http://schemas.openxmlformats.org/spreadsheetml/2006/main" name="DadosExternos_117" connectionId="267" autoFormatId="16" applyNumberFormats="0" applyBorderFormats="0" applyFontFormats="1" applyPatternFormats="1" applyAlignmentFormats="0" applyWidthHeightFormats="0"/>
</file>

<file path=xl/queryTables/queryTable665.xml><?xml version="1.0" encoding="utf-8"?>
<queryTable xmlns="http://schemas.openxmlformats.org/spreadsheetml/2006/main" name="DadosExternos_249" connectionId="272" autoFormatId="16" applyNumberFormats="0" applyBorderFormats="0" applyFontFormats="1" applyPatternFormats="1" applyAlignmentFormats="0" applyWidthHeightFormats="0"/>
</file>

<file path=xl/queryTables/queryTable666.xml><?xml version="1.0" encoding="utf-8"?>
<queryTable xmlns="http://schemas.openxmlformats.org/spreadsheetml/2006/main" name="ExternalData_59" connectionId="964" autoFormatId="16" applyNumberFormats="0" applyBorderFormats="0" applyFontFormats="1" applyPatternFormats="1" applyAlignmentFormats="0" applyWidthHeightFormats="0"/>
</file>

<file path=xl/queryTables/queryTable667.xml><?xml version="1.0" encoding="utf-8"?>
<queryTable xmlns="http://schemas.openxmlformats.org/spreadsheetml/2006/main" name="DadosExternos_90" connectionId="785" autoFormatId="16" applyNumberFormats="0" applyBorderFormats="0" applyFontFormats="1" applyPatternFormats="1" applyAlignmentFormats="0" applyWidthHeightFormats="0"/>
</file>

<file path=xl/queryTables/queryTable668.xml><?xml version="1.0" encoding="utf-8"?>
<queryTable xmlns="http://schemas.openxmlformats.org/spreadsheetml/2006/main" name="DadosExternos_27" connectionId="67" autoFormatId="16" applyNumberFormats="0" applyBorderFormats="0" applyFontFormats="1" applyPatternFormats="1" applyAlignmentFormats="0" applyWidthHeightFormats="0"/>
</file>

<file path=xl/queryTables/queryTable669.xml><?xml version="1.0" encoding="utf-8"?>
<queryTable xmlns="http://schemas.openxmlformats.org/spreadsheetml/2006/main" name="ExternalData_33" connectionId="970" autoFormatId="16" applyNumberFormats="0" applyBorderFormats="0" applyFontFormats="1" applyPatternFormats="1" applyAlignmentFormats="0" applyWidthHeightFormats="0"/>
</file>

<file path=xl/queryTables/queryTable670.xml><?xml version="1.0" encoding="utf-8"?>
<queryTable xmlns="http://schemas.openxmlformats.org/spreadsheetml/2006/main" name="DadosExternos_454" connectionId="793" autoFormatId="16" applyNumberFormats="0" applyBorderFormats="0" applyFontFormats="1" applyPatternFormats="1" applyAlignmentFormats="0" applyWidthHeightFormats="0"/>
</file>

<file path=xl/queryTables/queryTable671.xml><?xml version="1.0" encoding="utf-8"?>
<queryTable xmlns="http://schemas.openxmlformats.org/spreadsheetml/2006/main" name="DadosExternos_229" connectionId="205" autoFormatId="16" applyNumberFormats="0" applyBorderFormats="0" applyFontFormats="1" applyPatternFormats="1" applyAlignmentFormats="0" applyWidthHeightFormats="0"/>
</file>

<file path=xl/queryTables/queryTable672.xml><?xml version="1.0" encoding="utf-8"?>
<queryTable xmlns="http://schemas.openxmlformats.org/spreadsheetml/2006/main" name="DadosExternos_158" connectionId="666" autoFormatId="16" applyNumberFormats="0" applyBorderFormats="0" applyFontFormats="1" applyPatternFormats="1" applyAlignmentFormats="0" applyWidthHeightFormats="0"/>
</file>

<file path=xl/queryTables/queryTable673.xml><?xml version="1.0" encoding="utf-8"?>
<queryTable xmlns="http://schemas.openxmlformats.org/spreadsheetml/2006/main" name="DadosExternos_114" connectionId="216" autoFormatId="16" applyNumberFormats="0" applyBorderFormats="0" applyFontFormats="1" applyPatternFormats="1" applyAlignmentFormats="0" applyWidthHeightFormats="0"/>
</file>

<file path=xl/queryTables/queryTable674.xml><?xml version="1.0" encoding="utf-8"?>
<queryTable xmlns="http://schemas.openxmlformats.org/spreadsheetml/2006/main" name="DadosExternos_121" connectionId="325" autoFormatId="16" applyNumberFormats="0" applyBorderFormats="0" applyFontFormats="1" applyPatternFormats="1" applyAlignmentFormats="0" applyWidthHeightFormats="0"/>
</file>

<file path=xl/queryTables/queryTable675.xml><?xml version="1.0" encoding="utf-8"?>
<queryTable xmlns="http://schemas.openxmlformats.org/spreadsheetml/2006/main" name="DadosExternos_31" connectionId="612" autoFormatId="16" applyNumberFormats="0" applyBorderFormats="0" applyFontFormats="1" applyPatternFormats="1" applyAlignmentFormats="0" applyWidthHeightFormats="0"/>
</file>

<file path=xl/queryTables/queryTable676.xml><?xml version="1.0" encoding="utf-8"?>
<queryTable xmlns="http://schemas.openxmlformats.org/spreadsheetml/2006/main" name="DadosExternos_107" connectionId="90" autoFormatId="16" applyNumberFormats="0" applyBorderFormats="0" applyFontFormats="1" applyPatternFormats="1" applyAlignmentFormats="0" applyWidthHeightFormats="0"/>
</file>

<file path=xl/queryTables/queryTable677.xml><?xml version="1.0" encoding="utf-8"?>
<queryTable xmlns="http://schemas.openxmlformats.org/spreadsheetml/2006/main" name="DadosExternos_108" connectionId="109" autoFormatId="16" applyNumberFormats="0" applyBorderFormats="0" applyFontFormats="1" applyPatternFormats="1" applyAlignmentFormats="0" applyWidthHeightFormats="0"/>
</file>

<file path=xl/queryTables/queryTable678.xml><?xml version="1.0" encoding="utf-8"?>
<queryTable xmlns="http://schemas.openxmlformats.org/spreadsheetml/2006/main" name="DadosExternos_33" connectionId="695" autoFormatId="16" applyNumberFormats="0" applyBorderFormats="0" applyFontFormats="1" applyPatternFormats="1" applyAlignmentFormats="0" applyWidthHeightFormats="0"/>
</file>

<file path=xl/queryTables/queryTable679.xml><?xml version="1.0" encoding="utf-8"?>
<queryTable xmlns="http://schemas.openxmlformats.org/spreadsheetml/2006/main" name="DadosExternos_137" connectionId="568" autoFormatId="16" applyNumberFormats="0" applyBorderFormats="0" applyFontFormats="1" applyPatternFormats="1" applyAlignmentFormats="0" applyWidthHeightFormats="0"/>
</file>

<file path=xl/queryTables/queryTable680.xml><?xml version="1.0" encoding="utf-8"?>
<queryTable xmlns="http://schemas.openxmlformats.org/spreadsheetml/2006/main" name="DadosExternos_4" connectionId="395" autoFormatId="16" applyNumberFormats="0" applyBorderFormats="0" applyFontFormats="1" applyPatternFormats="1" applyAlignmentFormats="0" applyWidthHeightFormats="0"/>
</file>

<file path=xl/queryTables/queryTable681.xml><?xml version="1.0" encoding="utf-8"?>
<queryTable xmlns="http://schemas.openxmlformats.org/spreadsheetml/2006/main" name="DadosExternos_59" connectionId="424" autoFormatId="16" applyNumberFormats="0" applyBorderFormats="0" applyFontFormats="1" applyPatternFormats="1" applyAlignmentFormats="0" applyWidthHeightFormats="0"/>
</file>

<file path=xl/queryTables/queryTable682.xml><?xml version="1.0" encoding="utf-8"?>
<queryTable xmlns="http://schemas.openxmlformats.org/spreadsheetml/2006/main" name="DadosExternos_320" connectionId="486" autoFormatId="16" applyNumberFormats="0" applyBorderFormats="0" applyFontFormats="1" applyPatternFormats="1" applyAlignmentFormats="0" applyWidthHeightFormats="0"/>
</file>

<file path=xl/queryTables/queryTable683.xml><?xml version="1.0" encoding="utf-8"?>
<queryTable xmlns="http://schemas.openxmlformats.org/spreadsheetml/2006/main" name="ExternalData_38" connectionId="993" autoFormatId="16" applyNumberFormats="0" applyBorderFormats="0" applyFontFormats="1" applyPatternFormats="1" applyAlignmentFormats="0" applyWidthHeightFormats="0"/>
</file>

<file path=xl/queryTables/queryTable684.xml><?xml version="1.0" encoding="utf-8"?>
<queryTable xmlns="http://schemas.openxmlformats.org/spreadsheetml/2006/main" name="DadosExternos_278" connectionId="371" autoFormatId="16" applyNumberFormats="0" applyBorderFormats="0" applyFontFormats="1" applyPatternFormats="1" applyAlignmentFormats="0" applyWidthHeightFormats="0"/>
</file>

<file path=xl/queryTables/queryTable685.xml><?xml version="1.0" encoding="utf-8"?>
<queryTable xmlns="http://schemas.openxmlformats.org/spreadsheetml/2006/main" name="DadosExternos_437" connectionId="689" autoFormatId="16" applyNumberFormats="0" applyBorderFormats="0" applyFontFormats="1" applyPatternFormats="1" applyAlignmentFormats="0" applyWidthHeightFormats="0"/>
</file>

<file path=xl/queryTables/queryTable686.xml><?xml version="1.0" encoding="utf-8"?>
<queryTable xmlns="http://schemas.openxmlformats.org/spreadsheetml/2006/main" name="DadosExternos_428" connectionId="651" autoFormatId="16" applyNumberFormats="0" applyBorderFormats="0" applyFontFormats="1" applyPatternFormats="1" applyAlignmentFormats="0" applyWidthHeightFormats="0"/>
</file>

<file path=xl/queryTables/queryTable687.xml><?xml version="1.0" encoding="utf-8"?>
<queryTable xmlns="http://schemas.openxmlformats.org/spreadsheetml/2006/main" name="DadosExternos_260" connectionId="310" autoFormatId="16" applyNumberFormats="0" applyBorderFormats="0" applyFontFormats="1" applyPatternFormats="1" applyAlignmentFormats="0" applyWidthHeightFormats="0"/>
</file>

<file path=xl/queryTables/queryTable688.xml><?xml version="1.0" encoding="utf-8"?>
<queryTable xmlns="http://schemas.openxmlformats.org/spreadsheetml/2006/main" name="DadosExternos_400" connectionId="378" autoFormatId="16" applyNumberFormats="0" applyBorderFormats="0" applyFontFormats="1" applyPatternFormats="1" applyAlignmentFormats="0" applyWidthHeightFormats="0"/>
</file>

<file path=xl/queryTables/queryTable689.xml><?xml version="1.0" encoding="utf-8"?>
<queryTable xmlns="http://schemas.openxmlformats.org/spreadsheetml/2006/main" name="DadosExternos_39" connectionId="107" autoFormatId="16" applyNumberFormats="0" applyBorderFormats="0" applyFontFormats="1" applyPatternFormats="1" applyAlignmentFormats="0" applyWidthHeightFormats="0"/>
</file>

<file path=xl/queryTables/queryTable690.xml><?xml version="1.0" encoding="utf-8"?>
<queryTable xmlns="http://schemas.openxmlformats.org/spreadsheetml/2006/main" name="ExternalData_35" connectionId="980" autoFormatId="16" applyNumberFormats="0" applyBorderFormats="0" applyFontFormats="1" applyPatternFormats="1" applyAlignmentFormats="0" applyWidthHeightFormats="0"/>
</file>

<file path=xl/queryTables/queryTable691.xml><?xml version="1.0" encoding="utf-8"?>
<queryTable xmlns="http://schemas.openxmlformats.org/spreadsheetml/2006/main" name="DadosExternos_221" connectionId="185" autoFormatId="16" applyNumberFormats="0" applyBorderFormats="0" applyFontFormats="1" applyPatternFormats="1" applyAlignmentFormats="0" applyWidthHeightFormats="0"/>
</file>

<file path=xl/queryTables/queryTable692.xml><?xml version="1.0" encoding="utf-8"?>
<queryTable xmlns="http://schemas.openxmlformats.org/spreadsheetml/2006/main" name="DadosExternos_178" connectionId="751" autoFormatId="16" applyNumberFormats="0" applyBorderFormats="0" applyFontFormats="1" applyPatternFormats="1" applyAlignmentFormats="0" applyWidthHeightFormats="0"/>
</file>

<file path=xl/queryTables/queryTable693.xml><?xml version="1.0" encoding="utf-8"?>
<queryTable xmlns="http://schemas.openxmlformats.org/spreadsheetml/2006/main" name="DadosExternos_98" connectionId="392" autoFormatId="16" applyNumberFormats="0" applyBorderFormats="0" applyFontFormats="1" applyPatternFormats="1" applyAlignmentFormats="0" applyWidthHeightFormats="0"/>
</file>

<file path=xl/queryTables/queryTable694.xml><?xml version="1.0" encoding="utf-8"?>
<queryTable xmlns="http://schemas.openxmlformats.org/spreadsheetml/2006/main" name="DadosExternos_369" connectionId="585" autoFormatId="16" applyNumberFormats="0" applyBorderFormats="0" applyFontFormats="1" applyPatternFormats="1" applyAlignmentFormats="0" applyWidthHeightFormats="0"/>
</file>

<file path=xl/queryTables/queryTable695.xml><?xml version="1.0" encoding="utf-8"?>
<queryTable xmlns="http://schemas.openxmlformats.org/spreadsheetml/2006/main" name="DadosExternos_166" connectionId="700" autoFormatId="16" applyNumberFormats="0" applyBorderFormats="0" applyFontFormats="1" applyPatternFormats="1" applyAlignmentFormats="0" applyWidthHeightFormats="0"/>
</file>

<file path=xl/queryTables/queryTable696.xml><?xml version="1.0" encoding="utf-8"?>
<queryTable xmlns="http://schemas.openxmlformats.org/spreadsheetml/2006/main" name="DadosExternos_222" connectionId="187" autoFormatId="16" applyNumberFormats="0" applyBorderFormats="0" applyFontFormats="1" applyPatternFormats="1" applyAlignmentFormats="0" applyWidthHeightFormats="0"/>
</file>

<file path=xl/queryTables/queryTable697.xml><?xml version="1.0" encoding="utf-8"?>
<queryTable xmlns="http://schemas.openxmlformats.org/spreadsheetml/2006/main" name="DadosExternos_460" connectionId="22" autoFormatId="16" applyNumberFormats="0" applyBorderFormats="0" applyFontFormats="1" applyPatternFormats="1" applyAlignmentFormats="0" applyWidthHeightFormats="0"/>
</file>

<file path=xl/queryTables/queryTable698.xml><?xml version="1.0" encoding="utf-8"?>
<queryTable xmlns="http://schemas.openxmlformats.org/spreadsheetml/2006/main" name="DadosExternos_372" connectionId="226" autoFormatId="16" applyNumberFormats="0" applyBorderFormats="0" applyFontFormats="1" applyPatternFormats="1" applyAlignmentFormats="0" applyWidthHeightFormats="0"/>
</file>

<file path=xl/queryTables/queryTable699.xml><?xml version="1.0" encoding="utf-8"?>
<queryTable xmlns="http://schemas.openxmlformats.org/spreadsheetml/2006/main" name="DadosExternos_444" connectionId="749" autoFormatId="16" applyNumberFormats="0" applyBorderFormats="0" applyFontFormats="1" applyPatternFormats="1" applyAlignmentFormats="0" applyWidthHeightFormats="0"/>
</file>

<file path=xl/queryTables/queryTable700.xml><?xml version="1.0" encoding="utf-8"?>
<queryTable xmlns="http://schemas.openxmlformats.org/spreadsheetml/2006/main" name="DadosExternos_438" connectionId="693" autoFormatId="16" applyNumberFormats="0" applyBorderFormats="0" applyFontFormats="1" applyPatternFormats="1" applyAlignmentFormats="0" applyWidthHeightFormats="0"/>
</file>

<file path=xl/queryTables/queryTable701.xml><?xml version="1.0" encoding="utf-8"?>
<queryTable xmlns="http://schemas.openxmlformats.org/spreadsheetml/2006/main" name="DadosExternos_173" connectionId="726" autoFormatId="16" applyNumberFormats="0" applyBorderFormats="0" applyFontFormats="1" applyPatternFormats="1" applyAlignmentFormats="0" applyWidthHeightFormats="0"/>
</file>

<file path=xl/queryTables/queryTable702.xml><?xml version="1.0" encoding="utf-8"?>
<queryTable xmlns="http://schemas.openxmlformats.org/spreadsheetml/2006/main" name="DadosExternos_345" connectionId="545" autoFormatId="16" applyNumberFormats="0" applyBorderFormats="0" applyFontFormats="1" applyPatternFormats="1" applyAlignmentFormats="0" applyWidthHeightFormats="0"/>
</file>

<file path=xl/queryTables/queryTable703.xml><?xml version="1.0" encoding="utf-8"?>
<queryTable xmlns="http://schemas.openxmlformats.org/spreadsheetml/2006/main" name="DadosExternos_40" connectionId="123" autoFormatId="16" applyNumberFormats="0" applyBorderFormats="0" applyFontFormats="1" applyPatternFormats="1" applyAlignmentFormats="0" applyWidthHeightFormats="0"/>
</file>

<file path=xl/queryTables/queryTable704.xml><?xml version="1.0" encoding="utf-8"?>
<queryTable xmlns="http://schemas.openxmlformats.org/spreadsheetml/2006/main" name="DadosExternos_120" connectionId="308" autoFormatId="16" applyNumberFormats="0" applyBorderFormats="0" applyFontFormats="1" applyPatternFormats="1" applyAlignmentFormats="0" applyWidthHeightFormats="0"/>
</file>

<file path=xl/queryTables/queryTable705.xml><?xml version="1.0" encoding="utf-8"?>
<queryTable xmlns="http://schemas.openxmlformats.org/spreadsheetml/2006/main" name="DadosExternos_55" connectionId="364" autoFormatId="16" applyNumberFormats="0" applyBorderFormats="0" applyFontFormats="1" applyPatternFormats="1" applyAlignmentFormats="0" applyWidthHeightFormats="0"/>
</file>

<file path=xl/queryTables/queryTable706.xml><?xml version="1.0" encoding="utf-8"?>
<queryTable xmlns="http://schemas.openxmlformats.org/spreadsheetml/2006/main" name="DadosExternos_244" connectionId="261" autoFormatId="16" applyNumberFormats="0" applyBorderFormats="0" applyFontFormats="1" applyPatternFormats="1" applyAlignmentFormats="0" applyWidthHeightFormats="0"/>
</file>

<file path=xl/queryTables/queryTable707.xml><?xml version="1.0" encoding="utf-8"?>
<queryTable xmlns="http://schemas.openxmlformats.org/spreadsheetml/2006/main" name="DadosExternos_287" connectionId="405" autoFormatId="16" applyNumberFormats="0" applyBorderFormats="0" applyFontFormats="1" applyPatternFormats="1" applyAlignmentFormats="0" applyWidthHeightFormats="0"/>
</file>

<file path=xl/queryTables/queryTable708.xml><?xml version="1.0" encoding="utf-8"?>
<queryTable xmlns="http://schemas.openxmlformats.org/spreadsheetml/2006/main" name="DadosExternos_339" connectionId="530" autoFormatId="16" applyNumberFormats="0" applyBorderFormats="0" applyFontFormats="1" applyPatternFormats="1" applyAlignmentFormats="0" applyWidthHeightFormats="0"/>
</file>

<file path=xl/queryTables/queryTable709.xml><?xml version="1.0" encoding="utf-8"?>
<queryTable xmlns="http://schemas.openxmlformats.org/spreadsheetml/2006/main" name="DadosExternos_467" connectionId="58" autoFormatId="16" applyNumberFormats="0" applyBorderFormats="0" applyFontFormats="1" applyPatternFormats="1" applyAlignmentFormats="0" applyWidthHeightFormats="0"/>
</file>

<file path=xl/queryTables/queryTable710.xml><?xml version="1.0" encoding="utf-8"?>
<queryTable xmlns="http://schemas.openxmlformats.org/spreadsheetml/2006/main" name="DadosExternos_370" connectionId="1" autoFormatId="16" applyNumberFormats="0" applyBorderFormats="0" applyFontFormats="1" applyPatternFormats="1" applyAlignmentFormats="0" applyWidthHeightFormats="0"/>
</file>

<file path=xl/queryTables/queryTable711.xml><?xml version="1.0" encoding="utf-8"?>
<queryTable xmlns="http://schemas.openxmlformats.org/spreadsheetml/2006/main" name="DadosExternos_324" connectionId="494" autoFormatId="16" applyNumberFormats="0" applyBorderFormats="0" applyFontFormats="1" applyPatternFormats="1" applyAlignmentFormats="0" applyWidthHeightFormats="0"/>
</file>

<file path=xl/queryTables/queryTable712.xml><?xml version="1.0" encoding="utf-8"?>
<queryTable xmlns="http://schemas.openxmlformats.org/spreadsheetml/2006/main" name="DadosExternos_235" connectionId="218" autoFormatId="16" applyNumberFormats="0" applyBorderFormats="0" applyFontFormats="1" applyPatternFormats="1" applyAlignmentFormats="0" applyWidthHeightFormats="0"/>
</file>

<file path=xl/queryTables/queryTable713.xml><?xml version="1.0" encoding="utf-8"?>
<queryTable xmlns="http://schemas.openxmlformats.org/spreadsheetml/2006/main" name="DadosExternos_462" connectionId="32" autoFormatId="16" applyNumberFormats="0" applyBorderFormats="0" applyFontFormats="1" applyPatternFormats="1" applyAlignmentFormats="0" applyWidthHeightFormats="0"/>
</file>

<file path=xl/queryTables/queryTable714.xml><?xml version="1.0" encoding="utf-8"?>
<queryTable xmlns="http://schemas.openxmlformats.org/spreadsheetml/2006/main" name="DadosExternos_426" connectionId="643" autoFormatId="16" applyNumberFormats="0" applyBorderFormats="0" applyFontFormats="1" applyPatternFormats="1" applyAlignmentFormats="0" applyWidthHeightFormats="0"/>
</file>

<file path=xl/queryTables/queryTable715.xml><?xml version="1.0" encoding="utf-8"?>
<queryTable xmlns="http://schemas.openxmlformats.org/spreadsheetml/2006/main" name="DadosExternos_455" connectionId="797" autoFormatId="16" applyNumberFormats="0" applyBorderFormats="0" applyFontFormats="1" applyPatternFormats="1" applyAlignmentFormats="0" applyWidthHeightFormats="0"/>
</file>

<file path=xl/queryTables/queryTable716.xml><?xml version="1.0" encoding="utf-8"?>
<queryTable xmlns="http://schemas.openxmlformats.org/spreadsheetml/2006/main" name="ExternalData_36" connectionId="985" autoFormatId="16" applyNumberFormats="0" applyBorderFormats="0" applyFontFormats="1" applyPatternFormats="1" applyAlignmentFormats="0" applyWidthHeightFormats="0"/>
</file>

<file path=xl/queryTables/queryTable717.xml><?xml version="1.0" encoding="utf-8"?>
<queryTable xmlns="http://schemas.openxmlformats.org/spreadsheetml/2006/main" name="DadosExternos_216" connectionId="168" autoFormatId="16" applyNumberFormats="0" applyBorderFormats="0" applyFontFormats="1" applyPatternFormats="1" applyAlignmentFormats="0" applyWidthHeightFormats="0"/>
</file>

<file path=xl/queryTables/queryTable718.xml><?xml version="1.0" encoding="utf-8"?>
<queryTable xmlns="http://schemas.openxmlformats.org/spreadsheetml/2006/main" name="DadosExternos_295" connectionId="434" autoFormatId="16" applyNumberFormats="0" applyBorderFormats="0" applyFontFormats="1" applyPatternFormats="1" applyAlignmentFormats="0" applyWidthHeightFormats="0"/>
</file>

<file path=xl/queryTables/queryTable719.xml><?xml version="1.0" encoding="utf-8"?>
<queryTable xmlns="http://schemas.openxmlformats.org/spreadsheetml/2006/main" name="DadosExternos_408" connectionId="501" autoFormatId="16" applyNumberFormats="0" applyBorderFormats="0" applyFontFormats="1" applyPatternFormats="1" applyAlignmentFormats="0" applyWidthHeightFormats="0"/>
</file>

<file path=xl/queryTables/queryTable720.xml><?xml version="1.0" encoding="utf-8"?>
<queryTable xmlns="http://schemas.openxmlformats.org/spreadsheetml/2006/main" name="DadosExternos_184" connectionId="5" autoFormatId="16" applyNumberFormats="0" applyBorderFormats="0" applyFontFormats="1" applyPatternFormats="1" applyAlignmentFormats="0" applyWidthHeightFormats="0"/>
</file>

<file path=xl/queryTables/queryTable721.xml><?xml version="1.0" encoding="utf-8"?>
<queryTable xmlns="http://schemas.openxmlformats.org/spreadsheetml/2006/main" name="DadosExternos_256" connectionId="287" autoFormatId="16" applyNumberFormats="0" applyBorderFormats="0" applyFontFormats="1" applyPatternFormats="1" applyAlignmentFormats="0" applyWidthHeightFormats="0"/>
</file>

<file path=xl/queryTables/queryTable722.xml><?xml version="1.0" encoding="utf-8"?>
<queryTable xmlns="http://schemas.openxmlformats.org/spreadsheetml/2006/main" name="DadosExternos_50" connectionId="293" autoFormatId="16" applyNumberFormats="0" applyBorderFormats="0" applyFontFormats="1" applyPatternFormats="1" applyAlignmentFormats="0" applyWidthHeightFormats="0"/>
</file>

<file path=xl/queryTables/queryTable723.xml><?xml version="1.0" encoding="utf-8"?>
<queryTable xmlns="http://schemas.openxmlformats.org/spreadsheetml/2006/main" name="DadosExternos_97" connectionId="257" autoFormatId="16" applyNumberFormats="0" applyBorderFormats="0" applyFontFormats="1" applyPatternFormats="1" applyAlignmentFormats="0" applyWidthHeightFormats="0"/>
</file>

<file path=xl/queryTables/queryTable724.xml><?xml version="1.0" encoding="utf-8"?>
<queryTable xmlns="http://schemas.openxmlformats.org/spreadsheetml/2006/main" name="ExternalData_66" connectionId="1067" autoFormatId="16" applyNumberFormats="0" applyBorderFormats="0" applyFontFormats="1" applyPatternFormats="1" applyAlignmentFormats="0" applyWidthHeightFormats="0"/>
</file>

<file path=xl/queryTables/queryTable725.xml><?xml version="1.0" encoding="utf-8"?>
<queryTable xmlns="http://schemas.openxmlformats.org/spreadsheetml/2006/main" name="DadosExternos_424" connectionId="636" autoFormatId="16" applyNumberFormats="0" applyBorderFormats="0" applyFontFormats="1" applyPatternFormats="1" applyAlignmentFormats="0" applyWidthHeightFormats="0"/>
</file>

<file path=xl/queryTables/queryTable726.xml><?xml version="1.0" encoding="utf-8"?>
<queryTable xmlns="http://schemas.openxmlformats.org/spreadsheetml/2006/main" name="DadosExternos_130" connectionId="459" autoFormatId="16" applyNumberFormats="0" applyBorderFormats="0" applyFontFormats="1" applyPatternFormats="1" applyAlignmentFormats="0" applyWidthHeightFormats="0"/>
</file>

<file path=xl/queryTables/queryTable727.xml><?xml version="1.0" encoding="utf-8"?>
<queryTable xmlns="http://schemas.openxmlformats.org/spreadsheetml/2006/main" name="ExternalData_58" connectionId="959" autoFormatId="16" applyNumberFormats="0" applyBorderFormats="0" applyFontFormats="1" applyPatternFormats="1" applyAlignmentFormats="0" applyWidthHeightFormats="0"/>
</file>

<file path=xl/queryTables/queryTable728.xml><?xml version="1.0" encoding="utf-8"?>
<queryTable xmlns="http://schemas.openxmlformats.org/spreadsheetml/2006/main" name="DadosExternos_205" connectionId="136" autoFormatId="16" applyNumberFormats="0" applyBorderFormats="0" applyFontFormats="1" applyPatternFormats="1" applyAlignmentFormats="0" applyWidthHeightFormats="0"/>
</file>

<file path=xl/queryTables/queryTable729.xml><?xml version="1.0" encoding="utf-8"?>
<queryTable xmlns="http://schemas.openxmlformats.org/spreadsheetml/2006/main" name="ExternalData_23" connectionId="1127" autoFormatId="16" applyNumberFormats="0" applyBorderFormats="0" applyFontFormats="1" applyPatternFormats="1" applyAlignmentFormats="0" applyWidthHeightFormats="0"/>
</file>

<file path=xl/queryTables/queryTable730.xml><?xml version="1.0" encoding="utf-8"?>
<queryTable xmlns="http://schemas.openxmlformats.org/spreadsheetml/2006/main" name="DadosExternos_127" connectionId="410" autoFormatId="16" applyNumberFormats="0" applyBorderFormats="0" applyFontFormats="1" applyPatternFormats="1" applyAlignmentFormats="0" applyWidthHeightFormats="0"/>
</file>

<file path=xl/queryTables/queryTable731.xml><?xml version="1.0" encoding="utf-8"?>
<queryTable xmlns="http://schemas.openxmlformats.org/spreadsheetml/2006/main" name="DadosExternos_9" connectionId="738" autoFormatId="16" applyNumberFormats="0" applyBorderFormats="0" applyFontFormats="1" applyPatternFormats="1" applyAlignmentFormats="0" applyWidthHeightFormats="0"/>
</file>

<file path=xl/queryTables/queryTable732.xml><?xml version="1.0" encoding="utf-8"?>
<queryTable xmlns="http://schemas.openxmlformats.org/spreadsheetml/2006/main" name="DadosExternos_251" connectionId="283" autoFormatId="16" applyNumberFormats="0" applyBorderFormats="0" applyFontFormats="1" applyPatternFormats="1" applyAlignmentFormats="0" applyWidthHeightFormats="0"/>
</file>

<file path=xl/queryTables/queryTable733.xml><?xml version="1.0" encoding="utf-8"?>
<queryTable xmlns="http://schemas.openxmlformats.org/spreadsheetml/2006/main" name="DadosExternos_112" connectionId="178" autoFormatId="16" applyNumberFormats="0" applyBorderFormats="0" applyFontFormats="1" applyPatternFormats="1" applyAlignmentFormats="0" applyWidthHeightFormats="0"/>
</file>

<file path=xl/queryTables/queryTable734.xml><?xml version="1.0" encoding="utf-8"?>
<queryTable xmlns="http://schemas.openxmlformats.org/spreadsheetml/2006/main" name="DadosExternos_186" connectionId="18" autoFormatId="16" applyNumberFormats="0" applyBorderFormats="0" applyFontFormats="1" applyPatternFormats="1" applyAlignmentFormats="0" applyWidthHeightFormats="0"/>
</file>

<file path=xl/queryTables/queryTable735.xml><?xml version="1.0" encoding="utf-8"?>
<queryTable xmlns="http://schemas.openxmlformats.org/spreadsheetml/2006/main" name="ExternalData_46" connectionId="1120" autoFormatId="16" applyNumberFormats="0" applyBorderFormats="0" applyFontFormats="1" applyPatternFormats="1" applyAlignmentFormats="0" applyWidthHeightFormats="0"/>
</file>

<file path=xl/queryTables/queryTable736.xml><?xml version="1.0" encoding="utf-8"?>
<queryTable xmlns="http://schemas.openxmlformats.org/spreadsheetml/2006/main" name="DadosExternos_425" connectionId="640" autoFormatId="16" applyNumberFormats="0" applyBorderFormats="0" applyFontFormats="1" applyPatternFormats="1" applyAlignmentFormats="0" applyWidthHeightFormats="0"/>
</file>

<file path=xl/queryTables/queryTable737.xml><?xml version="1.0" encoding="utf-8"?>
<queryTable xmlns="http://schemas.openxmlformats.org/spreadsheetml/2006/main" name="DadosExternos_358" connectionId="565" autoFormatId="16" applyNumberFormats="0" applyBorderFormats="0" applyFontFormats="1" applyPatternFormats="1" applyAlignmentFormats="0" applyWidthHeightFormats="0"/>
</file>

<file path=xl/queryTables/queryTable738.xml><?xml version="1.0" encoding="utf-8"?>
<queryTable xmlns="http://schemas.openxmlformats.org/spreadsheetml/2006/main" name="ExternalData_25" connectionId="880" autoFormatId="16" applyNumberFormats="0" applyBorderFormats="0" applyFontFormats="1" applyPatternFormats="1" applyAlignmentFormats="0" applyWidthHeightFormats="0"/>
</file>

<file path=xl/queryTables/queryTable739.xml><?xml version="1.0" encoding="utf-8"?>
<queryTable xmlns="http://schemas.openxmlformats.org/spreadsheetml/2006/main" name="DadosExternos_296" connectionId="436" autoFormatId="16" applyNumberFormats="0" applyBorderFormats="0" applyFontFormats="1" applyPatternFormats="1" applyAlignmentFormats="0" applyWidthHeightFormats="0"/>
</file>

<file path=xl/queryTables/queryTable740.xml><?xml version="1.0" encoding="utf-8"?>
<queryTable xmlns="http://schemas.openxmlformats.org/spreadsheetml/2006/main" name="DadosExternos_155" connectionId="650" autoFormatId="16" applyNumberFormats="0" applyBorderFormats="0" applyFontFormats="1" applyPatternFormats="1" applyAlignmentFormats="0" applyWidthHeightFormats="0"/>
</file>

<file path=xl/queryTables/queryTable741.xml><?xml version="1.0" encoding="utf-8"?>
<queryTable xmlns="http://schemas.openxmlformats.org/spreadsheetml/2006/main" name="DadosExternos_363" connectionId="576" autoFormatId="16" applyNumberFormats="0" applyBorderFormats="0" applyFontFormats="1" applyPatternFormats="1" applyAlignmentFormats="0" applyWidthHeightFormats="0"/>
</file>

<file path=xl/queryTables/queryTable742.xml><?xml version="1.0" encoding="utf-8"?>
<queryTable xmlns="http://schemas.openxmlformats.org/spreadsheetml/2006/main" name="DadosExternos_16" connectionId="773" autoFormatId="16" applyNumberFormats="0" applyBorderFormats="0" applyFontFormats="1" applyPatternFormats="1" applyAlignmentFormats="0" applyWidthHeightFormats="0"/>
</file>

<file path=xl/queryTables/queryTable743.xml><?xml version="1.0" encoding="utf-8"?>
<queryTable xmlns="http://schemas.openxmlformats.org/spreadsheetml/2006/main" name="DadosExternos_193" connectionId="92" autoFormatId="16" applyNumberFormats="0" applyBorderFormats="0" applyFontFormats="1" applyPatternFormats="1" applyAlignmentFormats="0" applyWidthHeightFormats="0"/>
</file>

<file path=xl/queryTables/queryTable744.xml><?xml version="1.0" encoding="utf-8"?>
<queryTable xmlns="http://schemas.openxmlformats.org/spreadsheetml/2006/main" name="DadosExternos_403" connectionId="420" autoFormatId="16" applyNumberFormats="0" applyBorderFormats="0" applyFontFormats="1" applyPatternFormats="1" applyAlignmentFormats="0" applyWidthHeightFormats="0"/>
</file>

<file path=xl/queryTables/queryTable745.xml><?xml version="1.0" encoding="utf-8"?>
<queryTable xmlns="http://schemas.openxmlformats.org/spreadsheetml/2006/main" name="ExternalData_20" connectionId="1004" autoFormatId="16" applyNumberFormats="0" applyBorderFormats="0" applyFontFormats="1" applyPatternFormats="1" applyAlignmentFormats="0" applyWidthHeightFormats="0"/>
</file>

<file path=xl/queryTables/queryTable746.xml><?xml version="1.0" encoding="utf-8"?>
<queryTable xmlns="http://schemas.openxmlformats.org/spreadsheetml/2006/main" name="DadosExternos_464" connectionId="41" autoFormatId="16" applyNumberFormats="0" applyBorderFormats="0" applyFontFormats="1" applyPatternFormats="1" applyAlignmentFormats="0" applyWidthHeightFormats="0"/>
</file>

<file path=xl/queryTables/queryTable747.xml><?xml version="1.0" encoding="utf-8"?>
<queryTable xmlns="http://schemas.openxmlformats.org/spreadsheetml/2006/main" name="DadosExternos_291" connectionId="418" autoFormatId="16" applyNumberFormats="0" applyBorderFormats="0" applyFontFormats="1" applyPatternFormats="1" applyAlignmentFormats="0" applyWidthHeightFormats="0"/>
</file>

<file path=xl/queryTables/queryTable748.xml><?xml version="1.0" encoding="utf-8"?>
<queryTable xmlns="http://schemas.openxmlformats.org/spreadsheetml/2006/main" name="DadosExternos_185" connectionId="14" autoFormatId="16" applyNumberFormats="0" applyBorderFormats="0" applyFontFormats="1" applyPatternFormats="1" applyAlignmentFormats="0" applyWidthHeightFormats="0"/>
</file>

<file path=xl/queryTables/queryTable749.xml><?xml version="1.0" encoding="utf-8"?>
<queryTable xmlns="http://schemas.openxmlformats.org/spreadsheetml/2006/main" name="DadosExternos_140" connectionId="591" autoFormatId="16" applyNumberFormats="0" applyBorderFormats="0" applyFontFormats="1" applyPatternFormats="1" applyAlignmentFormats="0" applyWidthHeightFormats="0"/>
</file>

<file path=xl/queryTables/queryTable750.xml><?xml version="1.0" encoding="utf-8"?>
<queryTable xmlns="http://schemas.openxmlformats.org/spreadsheetml/2006/main" name="DadosExternos_379" connectionId="771" autoFormatId="16" applyNumberFormats="0" applyBorderFormats="0" applyFontFormats="1" applyPatternFormats="1" applyAlignmentFormats="0" applyWidthHeightFormats="0"/>
</file>

<file path=xl/queryTables/queryTable751.xml><?xml version="1.0" encoding="utf-8"?>
<queryTable xmlns="http://schemas.openxmlformats.org/spreadsheetml/2006/main" name="DadosExternos_43" connectionId="180" autoFormatId="16" applyNumberFormats="0" applyBorderFormats="0" applyFontFormats="1" applyPatternFormats="1" applyAlignmentFormats="0" applyWidthHeightFormats="0"/>
</file>

<file path=xl/queryTables/queryTable752.xml><?xml version="1.0" encoding="utf-8"?>
<queryTable xmlns="http://schemas.openxmlformats.org/spreadsheetml/2006/main" name="DadosExternos_118" connectionId="281" autoFormatId="16" applyNumberFormats="0" applyBorderFormats="0" applyFontFormats="1" applyPatternFormats="1" applyAlignmentFormats="0" applyWidthHeightFormats="0"/>
</file>

<file path=xl/queryTables/queryTable753.xml><?xml version="1.0" encoding="utf-8"?>
<queryTable xmlns="http://schemas.openxmlformats.org/spreadsheetml/2006/main" name="ExternalData_21" connectionId="1023" autoFormatId="16" applyNumberFormats="0" applyBorderFormats="0" applyFontFormats="1" applyPatternFormats="1" applyAlignmentFormats="0" applyWidthHeightFormats="0"/>
</file>

<file path=xl/queryTables/queryTable754.xml><?xml version="1.0" encoding="utf-8"?>
<queryTable xmlns="http://schemas.openxmlformats.org/spreadsheetml/2006/main" name="DadosExternos_219" connectionId="173" autoFormatId="16" applyNumberFormats="0" applyBorderFormats="0" applyFontFormats="1" applyPatternFormats="1" applyAlignmentFormats="0" applyWidthHeightFormats="0"/>
</file>

<file path=xl/queryTables/queryTable755.xml><?xml version="1.0" encoding="utf-8"?>
<queryTable xmlns="http://schemas.openxmlformats.org/spreadsheetml/2006/main" name="DadosExternos_150" connectionId="631" autoFormatId="16" applyNumberFormats="0" applyBorderFormats="0" applyFontFormats="1" applyPatternFormats="1" applyAlignmentFormats="0" applyWidthHeightFormats="0"/>
</file>

<file path=xl/queryTables/queryTable756.xml><?xml version="1.0" encoding="utf-8"?>
<queryTable xmlns="http://schemas.openxmlformats.org/spreadsheetml/2006/main" name="DadosExternos_54" connectionId="352" autoFormatId="16" applyNumberFormats="0" applyBorderFormats="0" applyFontFormats="1" applyPatternFormats="1" applyAlignmentFormats="0" applyWidthHeightFormats="0"/>
</file>

<file path=xl/queryTables/queryTable757.xml><?xml version="1.0" encoding="utf-8"?>
<queryTable xmlns="http://schemas.openxmlformats.org/spreadsheetml/2006/main" name="DadosExternos_440" connectionId="707" autoFormatId="16" applyNumberFormats="0" applyBorderFormats="0" applyFontFormats="1" applyPatternFormats="1" applyAlignmentFormats="0" applyWidthHeightFormats="0"/>
</file>

<file path=xl/queryTables/queryTable758.xml><?xml version="1.0" encoding="utf-8"?>
<queryTable xmlns="http://schemas.openxmlformats.org/spreadsheetml/2006/main" name="ExternalData_27" connectionId="904" autoFormatId="16" applyNumberFormats="0" applyBorderFormats="0" applyFontFormats="1" applyPatternFormats="1" applyAlignmentFormats="0" applyWidthHeightFormats="0"/>
</file>

<file path=xl/queryTables/queryTable759.xml><?xml version="1.0" encoding="utf-8"?>
<queryTable xmlns="http://schemas.openxmlformats.org/spreadsheetml/2006/main" name="DadosExternos_189" connectionId="33" autoFormatId="16" applyNumberFormats="0" applyBorderFormats="0" applyFontFormats="1" applyPatternFormats="1" applyAlignmentFormats="0" applyWidthHeightFormats="0"/>
</file>

<file path=xl/queryTables/queryTable760.xml><?xml version="1.0" encoding="utf-8"?>
<queryTable xmlns="http://schemas.openxmlformats.org/spreadsheetml/2006/main" name="DadosExternos_328" connectionId="503" autoFormatId="16" applyNumberFormats="0" applyBorderFormats="0" applyFontFormats="1" applyPatternFormats="1" applyAlignmentFormats="0" applyWidthHeightFormats="0"/>
</file>

<file path=xl/queryTables/queryTable761.xml><?xml version="1.0" encoding="utf-8"?>
<queryTable xmlns="http://schemas.openxmlformats.org/spreadsheetml/2006/main" name="DadosExternos_202" connectionId="127" autoFormatId="16" applyNumberFormats="0" applyBorderFormats="0" applyFontFormats="1" applyPatternFormats="1" applyAlignmentFormats="0" applyWidthHeightFormats="0"/>
</file>

<file path=xl/queryTables/queryTable762.xml><?xml version="1.0" encoding="utf-8"?>
<queryTable xmlns="http://schemas.openxmlformats.org/spreadsheetml/2006/main" name="DadosExternos_253" connectionId="285" autoFormatId="16" applyNumberFormats="0" applyBorderFormats="0" applyFontFormats="1" applyPatternFormats="1" applyAlignmentFormats="0" applyWidthHeightFormats="0"/>
</file>

<file path=xl/queryTables/queryTable763.xml><?xml version="1.0" encoding="utf-8"?>
<queryTable xmlns="http://schemas.openxmlformats.org/spreadsheetml/2006/main" name="ExternalData_13" connectionId="834" autoFormatId="16" applyNumberFormats="0" applyBorderFormats="0" applyFontFormats="1" applyPatternFormats="1" applyAlignmentFormats="0" applyWidthHeightFormats="0"/>
</file>

<file path=xl/queryTables/queryTable764.xml><?xml version="1.0" encoding="utf-8"?>
<queryTable xmlns="http://schemas.openxmlformats.org/spreadsheetml/2006/main" name="DadosExternos_3" connectionId="249" autoFormatId="16" applyNumberFormats="0" applyBorderFormats="0" applyFontFormats="1" applyPatternFormats="1" applyAlignmentFormats="0" applyWidthHeightFormats="0"/>
</file>

<file path=xl/queryTables/queryTable765.xml><?xml version="1.0" encoding="utf-8"?>
<queryTable xmlns="http://schemas.openxmlformats.org/spreadsheetml/2006/main" name="DadosExternos_57" connectionId="397" autoFormatId="16" applyNumberFormats="0" applyBorderFormats="0" applyFontFormats="1" applyPatternFormats="1" applyAlignmentFormats="0" applyWidthHeightFormats="0"/>
</file>

<file path=xl/queryTables/queryTable766.xml><?xml version="1.0" encoding="utf-8"?>
<queryTable xmlns="http://schemas.openxmlformats.org/spreadsheetml/2006/main" name="DadosExternos_261" connectionId="313" autoFormatId="16" applyNumberFormats="0" applyBorderFormats="0" applyFontFormats="1" applyPatternFormats="1" applyAlignmentFormats="0" applyWidthHeightFormats="0"/>
</file>

<file path=xl/queryTables/queryTable767.xml><?xml version="1.0" encoding="utf-8"?>
<queryTable xmlns="http://schemas.openxmlformats.org/spreadsheetml/2006/main" name="DadosExternos_450" connectionId="766" autoFormatId="16" applyNumberFormats="0" applyBorderFormats="0" applyFontFormats="1" applyPatternFormats="1" applyAlignmentFormats="0" applyWidthHeightFormats="0"/>
</file>

<file path=xl/queryTables/queryTable768.xml><?xml version="1.0" encoding="utf-8"?>
<queryTable xmlns="http://schemas.openxmlformats.org/spreadsheetml/2006/main" name="DadosExternos_433" connectionId="675" autoFormatId="16" applyNumberFormats="0" applyBorderFormats="0" applyFontFormats="1" applyPatternFormats="1" applyAlignmentFormats="0" applyWidthHeightFormats="0"/>
</file>

<file path=xl/queryTables/queryTable769.xml><?xml version="1.0" encoding="utf-8"?>
<queryTable xmlns="http://schemas.openxmlformats.org/spreadsheetml/2006/main" name="DadosExternos_352" connectionId="559" autoFormatId="16" applyNumberFormats="0" applyBorderFormats="0" applyFontFormats="1" applyPatternFormats="1" applyAlignmentFormats="0" applyWidthHeightFormats="0"/>
</file>

<file path=xl/queryTables/queryTable770.xml><?xml version="1.0" encoding="utf-8"?>
<queryTable xmlns="http://schemas.openxmlformats.org/spreadsheetml/2006/main" name="DadosExternos_225" connectionId="193" autoFormatId="16" applyNumberFormats="0" applyBorderFormats="0" applyFontFormats="1" applyPatternFormats="1" applyAlignmentFormats="0" applyWidthHeightFormats="0"/>
</file>

<file path=xl/queryTables/queryTable771.xml><?xml version="1.0" encoding="utf-8"?>
<queryTable xmlns="http://schemas.openxmlformats.org/spreadsheetml/2006/main" name="DadosExternos_214" connectionId="160" autoFormatId="16" applyNumberFormats="0" applyBorderFormats="0" applyFontFormats="1" applyPatternFormats="1" applyAlignmentFormats="0" applyWidthHeightFormats="0"/>
</file>

<file path=xl/queryTables/queryTable772.xml><?xml version="1.0" encoding="utf-8"?>
<queryTable xmlns="http://schemas.openxmlformats.org/spreadsheetml/2006/main" name="DadosExternos_336" connectionId="519" autoFormatId="16" applyNumberFormats="0" applyBorderFormats="0" applyFontFormats="1" applyPatternFormats="1" applyAlignmentFormats="0" applyWidthHeightFormats="0"/>
</file>

<file path=xl/queryTables/queryTable773.xml><?xml version="1.0" encoding="utf-8"?>
<queryTable xmlns="http://schemas.openxmlformats.org/spreadsheetml/2006/main" name="DadosExternos_269" connectionId="334" autoFormatId="16" applyNumberFormats="0" applyBorderFormats="0" applyFontFormats="1" applyPatternFormats="1" applyAlignmentFormats="0" applyWidthHeightFormats="0"/>
</file>

<file path=xl/queryTables/queryTable774.xml><?xml version="1.0" encoding="utf-8"?>
<queryTable xmlns="http://schemas.openxmlformats.org/spreadsheetml/2006/main" name="ExternalData_54" connectionId="930" autoFormatId="16" applyNumberFormats="0" applyBorderFormats="0" applyFontFormats="1" applyPatternFormats="1" applyAlignmentFormats="0" applyWidthHeightFormats="0"/>
</file>

<file path=xl/queryTables/queryTable775.xml><?xml version="1.0" encoding="utf-8"?>
<queryTable xmlns="http://schemas.openxmlformats.org/spreadsheetml/2006/main" name="DadosExternos_409" connectionId="517" autoFormatId="16" applyNumberFormats="0" applyBorderFormats="0" applyFontFormats="1" applyPatternFormats="1" applyAlignmentFormats="0" applyWidthHeightFormats="0"/>
</file>

<file path=xl/queryTables/queryTable776.xml><?xml version="1.0" encoding="utf-8"?>
<queryTable xmlns="http://schemas.openxmlformats.org/spreadsheetml/2006/main" name="DadosExternos_381" connectionId="45" autoFormatId="16" applyNumberFormats="0" applyBorderFormats="0" applyFontFormats="1" applyPatternFormats="1" applyAlignmentFormats="0" applyWidthHeightFormats="0"/>
</file>

<file path=xl/queryTables/queryTable777.xml><?xml version="1.0" encoding="utf-8"?>
<queryTable xmlns="http://schemas.openxmlformats.org/spreadsheetml/2006/main" name="DadosExternos_106" connectionId="74" autoFormatId="16" applyNumberFormats="0" applyBorderFormats="0" applyFontFormats="1" applyPatternFormats="1" applyAlignmentFormats="0" applyWidthHeightFormats="0"/>
</file>

<file path=xl/queryTables/queryTable778.xml><?xml version="1.0" encoding="utf-8"?>
<queryTable xmlns="http://schemas.openxmlformats.org/spreadsheetml/2006/main" name="DadosExternos_167" connectionId="705" autoFormatId="16" applyNumberFormats="0" applyBorderFormats="0" applyFontFormats="1" applyPatternFormats="1" applyAlignmentFormats="0" applyWidthHeightFormats="0"/>
</file>

<file path=xl/queryTables/queryTable779.xml><?xml version="1.0" encoding="utf-8"?>
<queryTable xmlns="http://schemas.openxmlformats.org/spreadsheetml/2006/main" name="ExternalData_51" connectionId="888" autoFormatId="16" applyNumberFormats="0" applyBorderFormats="0" applyFontFormats="1" applyPatternFormats="1" applyAlignmentFormats="0" applyWidthHeightFormats="0"/>
</file>

<file path=xl/queryTables/queryTable780.xml><?xml version="1.0" encoding="utf-8"?>
<queryTable xmlns="http://schemas.openxmlformats.org/spreadsheetml/2006/main" name="DadosExternos_145" connectionId="609" autoFormatId="16" applyNumberFormats="0" applyBorderFormats="0" applyFontFormats="1" applyPatternFormats="1" applyAlignmentFormats="0" applyWidthHeightFormats="0"/>
</file>

<file path=xl/queryTables/queryTable781.xml><?xml version="1.0" encoding="utf-8"?>
<queryTable xmlns="http://schemas.openxmlformats.org/spreadsheetml/2006/main" name="DadosExternos_311" connectionId="469" autoFormatId="16" applyNumberFormats="0" applyBorderFormats="0" applyFontFormats="1" applyPatternFormats="1" applyAlignmentFormats="0" applyWidthHeightFormats="0"/>
</file>

<file path=xl/queryTables/queryTable782.xml><?xml version="1.0" encoding="utf-8"?>
<queryTable xmlns="http://schemas.openxmlformats.org/spreadsheetml/2006/main" name="ExternalData_62" connectionId="979" autoFormatId="16" applyNumberFormats="0" applyBorderFormats="0" applyFontFormats="1" applyPatternFormats="1" applyAlignmentFormats="0" applyWidthHeightFormats="0"/>
</file>

<file path=xl/queryTables/queryTable783.xml><?xml version="1.0" encoding="utf-8"?>
<queryTable xmlns="http://schemas.openxmlformats.org/spreadsheetml/2006/main" name="ExternalData_8" connectionId="1060" autoFormatId="16" applyNumberFormats="0" applyBorderFormats="0" applyFontFormats="1" applyPatternFormats="1" applyAlignmentFormats="0" applyWidthHeightFormats="0"/>
</file>

<file path=xl/queryTables/queryTable784.xml><?xml version="1.0" encoding="utf-8"?>
<queryTable xmlns="http://schemas.openxmlformats.org/spreadsheetml/2006/main" name="DadosExternos_224" connectionId="191" autoFormatId="16" applyNumberFormats="0" applyBorderFormats="0" applyFontFormats="1" applyPatternFormats="1" applyAlignmentFormats="0" applyWidthHeightFormats="0"/>
</file>

<file path=xl/queryTables/queryTable785.xml><?xml version="1.0" encoding="utf-8"?>
<queryTable xmlns="http://schemas.openxmlformats.org/spreadsheetml/2006/main" name="DadosExternos_418" connectionId="610" autoFormatId="16" applyNumberFormats="0" applyBorderFormats="0" applyFontFormats="1" applyPatternFormats="1" applyAlignmentFormats="0" applyWidthHeightFormats="0"/>
</file>

<file path=xl/queryTables/queryTable786.xml><?xml version="1.0" encoding="utf-8"?>
<queryTable xmlns="http://schemas.openxmlformats.org/spreadsheetml/2006/main" name="DadosExternos_469" connectionId="75" autoFormatId="16" applyNumberFormats="0" applyBorderFormats="0" applyFontFormats="1" applyPatternFormats="1" applyAlignmentFormats="0" applyWidthHeightFormats="0"/>
</file>

<file path=xl/queryTables/queryTable787.xml><?xml version="1.0" encoding="utf-8"?>
<queryTable xmlns="http://schemas.openxmlformats.org/spreadsheetml/2006/main" name="DadosExternos_378" connectionId="730" autoFormatId="16" applyNumberFormats="0" applyBorderFormats="0" applyFontFormats="1" applyPatternFormats="1" applyAlignmentFormats="0" applyWidthHeightFormats="0"/>
</file>

<file path=xl/queryTables/queryTable788.xml><?xml version="1.0" encoding="utf-8"?>
<queryTable xmlns="http://schemas.openxmlformats.org/spreadsheetml/2006/main" name="DadosExternos_238" connectionId="222" autoFormatId="16" applyNumberFormats="0" applyBorderFormats="0" applyFontFormats="1" applyPatternFormats="1" applyAlignmentFormats="0" applyWidthHeightFormats="0"/>
</file>

<file path=xl/queryTables/queryTable789.xml><?xml version="1.0" encoding="utf-8"?>
<queryTable xmlns="http://schemas.openxmlformats.org/spreadsheetml/2006/main" name="DadosExternos_183" connectionId="806" autoFormatId="16" applyNumberFormats="0" applyBorderFormats="0" applyFontFormats="1" applyPatternFormats="1" applyAlignmentFormats="0" applyWidthHeightFormats="0"/>
</file>

<file path=xl/queryTables/queryTable790.xml><?xml version="1.0" encoding="utf-8"?>
<queryTable xmlns="http://schemas.openxmlformats.org/spreadsheetml/2006/main" name="ExternalData_32" connectionId="955" autoFormatId="16" applyNumberFormats="0" applyBorderFormats="0" applyFontFormats="1" applyPatternFormats="1" applyAlignmentFormats="0" applyWidthHeightFormats="0"/>
</file>

<file path=xl/queryTables/queryTable791.xml><?xml version="1.0" encoding="utf-8"?>
<queryTable xmlns="http://schemas.openxmlformats.org/spreadsheetml/2006/main" name="DadosExternos_233" connectionId="209" autoFormatId="16" applyNumberFormats="0" applyBorderFormats="0" applyFontFormats="1" applyPatternFormats="1" applyAlignmentFormats="0" applyWidthHeightFormats="0"/>
</file>

<file path=xl/queryTables/queryTable792.xml><?xml version="1.0" encoding="utf-8"?>
<queryTable xmlns="http://schemas.openxmlformats.org/spreadsheetml/2006/main" name="ExternalData_29" connectionId="932" autoFormatId="16" applyNumberFormats="0" applyBorderFormats="0" applyFontFormats="1" applyPatternFormats="1" applyAlignmentFormats="0" applyWidthHeightFormats="0"/>
</file>

<file path=xl/queryTables/queryTable793.xml><?xml version="1.0" encoding="utf-8"?>
<queryTable xmlns="http://schemas.openxmlformats.org/spreadsheetml/2006/main" name="DadosExternos_331" connectionId="514" autoFormatId="16" applyNumberFormats="0" applyBorderFormats="0" applyFontFormats="1" applyPatternFormats="1" applyAlignmentFormats="0" applyWidthHeightFormats="0"/>
</file>

<file path=xl/queryTables/queryTable794.xml><?xml version="1.0" encoding="utf-8"?>
<queryTable xmlns="http://schemas.openxmlformats.org/spreadsheetml/2006/main" name="DadosExternos_135" connectionId="543" autoFormatId="16" applyNumberFormats="0" applyBorderFormats="0" applyFontFormats="1" applyPatternFormats="1" applyAlignmentFormats="0" applyWidthHeightFormats="0"/>
</file>

<file path=xl/queryTables/queryTable795.xml><?xml version="1.0" encoding="utf-8"?>
<queryTable xmlns="http://schemas.openxmlformats.org/spreadsheetml/2006/main" name="DadosExternos_51" connectionId="306" autoFormatId="16" applyNumberFormats="0" applyBorderFormats="0" applyFontFormats="1" applyPatternFormats="1" applyAlignmentFormats="0" applyWidthHeightFormats="0"/>
</file>

<file path=xl/queryTables/queryTable796.xml><?xml version="1.0" encoding="utf-8"?>
<queryTable xmlns="http://schemas.openxmlformats.org/spreadsheetml/2006/main" name="DadosExternos_142" connectionId="599" autoFormatId="16" applyNumberFormats="0" applyBorderFormats="0" applyFontFormats="1" applyPatternFormats="1" applyAlignmentFormats="0" applyWidthHeightFormats="0"/>
</file>

<file path=xl/queryTables/queryTable797.xml><?xml version="1.0" encoding="utf-8"?>
<queryTable xmlns="http://schemas.openxmlformats.org/spreadsheetml/2006/main" name="DadosExternos_198" connectionId="105" autoFormatId="16" applyNumberFormats="0" applyBorderFormats="0" applyFontFormats="1" applyPatternFormats="1" applyAlignmentFormats="0" applyWidthHeightFormats="0"/>
</file>

<file path=xl/queryTables/queryTable798.xml><?xml version="1.0" encoding="utf-8"?>
<queryTable xmlns="http://schemas.openxmlformats.org/spreadsheetml/2006/main" name="DadosExternos_115" connectionId="233" autoFormatId="16" applyNumberFormats="0" applyBorderFormats="0" applyFontFormats="1" applyPatternFormats="1" applyAlignmentFormats="0" applyWidthHeightFormats="0"/>
</file>

<file path=xl/queryTables/queryTable799.xml><?xml version="1.0" encoding="utf-8"?>
<queryTable xmlns="http://schemas.openxmlformats.org/spreadsheetml/2006/main" name="ExternalData_48" connectionId="830" autoFormatId="16" applyNumberFormats="0" applyBorderFormats="0" applyFontFormats="1" applyPatternFormats="1" applyAlignmentFormats="0" applyWidthHeightFormats="0"/>
</file>

<file path=xl/queryTables/queryTable800.xml><?xml version="1.0" encoding="utf-8"?>
<queryTable xmlns="http://schemas.openxmlformats.org/spreadsheetml/2006/main" name="DadosExternos_394" connectionId="288" autoFormatId="16" applyNumberFormats="0" applyBorderFormats="0" applyFontFormats="1" applyPatternFormats="1" applyAlignmentFormats="0" applyWidthHeightFormats="0"/>
</file>

<file path=xl/queryTables/queryTable801.xml><?xml version="1.0" encoding="utf-8"?>
<queryTable xmlns="http://schemas.openxmlformats.org/spreadsheetml/2006/main" name="DadosExternos_445" connectionId="752" autoFormatId="16" applyNumberFormats="0" applyBorderFormats="0" applyFontFormats="1" applyPatternFormats="1" applyAlignmentFormats="0" applyWidthHeightFormats="0"/>
</file>

<file path=xl/queryTables/queryTable802.xml><?xml version="1.0" encoding="utf-8"?>
<queryTable xmlns="http://schemas.openxmlformats.org/spreadsheetml/2006/main" name="DadosExternos_58" connectionId="412" autoFormatId="16" applyNumberFormats="0" applyBorderFormats="0" applyFontFormats="1" applyPatternFormats="1" applyAlignmentFormats="0" applyWidthHeightFormats="0"/>
</file>

<file path=xl/queryTables/queryTable803.xml><?xml version="1.0" encoding="utf-8"?>
<queryTable xmlns="http://schemas.openxmlformats.org/spreadsheetml/2006/main" name="DadosExternos_61" connectionId="461" autoFormatId="16" applyNumberFormats="0" applyBorderFormats="0" applyFontFormats="1" applyPatternFormats="1" applyAlignmentFormats="0" applyWidthHeightFormats="0"/>
</file>

<file path=xl/queryTables/queryTable804.xml><?xml version="1.0" encoding="utf-8"?>
<queryTable xmlns="http://schemas.openxmlformats.org/spreadsheetml/2006/main" name="DadosExternos_200" connectionId="114" autoFormatId="16" applyNumberFormats="0" applyBorderFormats="0" applyFontFormats="1" applyPatternFormats="1" applyAlignmentFormats="0" applyWidthHeightFormats="0"/>
</file>

<file path=xl/queryTables/queryTable805.xml><?xml version="1.0" encoding="utf-8"?>
<queryTable xmlns="http://schemas.openxmlformats.org/spreadsheetml/2006/main" name="DadosExternos_125" connectionId="383" autoFormatId="16" applyNumberFormats="0" applyBorderFormats="0" applyFontFormats="1" applyPatternFormats="1" applyAlignmentFormats="0" applyWidthHeightFormats="0"/>
</file>

<file path=xl/queryTables/queryTable806.xml><?xml version="1.0" encoding="utf-8"?>
<queryTable xmlns="http://schemas.openxmlformats.org/spreadsheetml/2006/main" name="DadosExternos_434" connectionId="678" autoFormatId="16" applyNumberFormats="0" applyBorderFormats="0" applyFontFormats="1" applyPatternFormats="1" applyAlignmentFormats="0" applyWidthHeightFormats="0"/>
</file>

<file path=xl/queryTables/queryTable807.xml><?xml version="1.0" encoding="utf-8"?>
<queryTable xmlns="http://schemas.openxmlformats.org/spreadsheetml/2006/main" name="DadosExternos_20" connectionId="789" autoFormatId="16" applyNumberFormats="0" applyBorderFormats="0" applyFontFormats="1" applyPatternFormats="1" applyAlignmentFormats="0" applyWidthHeightFormats="0"/>
</file>

<file path=xl/queryTables/queryTable808.xml><?xml version="1.0" encoding="utf-8"?>
<queryTable xmlns="http://schemas.openxmlformats.org/spreadsheetml/2006/main" name="DadosExternos_10" connectionId="794" autoFormatId="16" applyNumberFormats="0" applyBorderFormats="0" applyFontFormats="1" applyPatternFormats="1" applyAlignmentFormats="0" applyWidthHeightFormats="0"/>
</file>

<file path=xl/queryTables/queryTable809.xml><?xml version="1.0" encoding="utf-8"?>
<queryTable xmlns="http://schemas.openxmlformats.org/spreadsheetml/2006/main" name="ExternalData_52" connectionId="902" autoFormatId="16" applyNumberFormats="0" applyBorderFormats="0" applyFontFormats="1" applyPatternFormats="1" applyAlignmentFormats="0" applyWidthHeightFormats="0"/>
</file>

<file path=xl/queryTables/queryTable810.xml><?xml version="1.0" encoding="utf-8"?>
<queryTable xmlns="http://schemas.openxmlformats.org/spreadsheetml/2006/main" name="DadosExternos_391" connectionId="244" autoFormatId="16" applyNumberFormats="0" applyBorderFormats="0" applyFontFormats="1" applyPatternFormats="1" applyAlignmentFormats="0" applyWidthHeightFormats="0"/>
</file>

<file path=xl/queryTables/queryTable811.xml><?xml version="1.0" encoding="utf-8"?>
<queryTable xmlns="http://schemas.openxmlformats.org/spreadsheetml/2006/main" name="ExternalData_1" connectionId="1081" autoFormatId="16" applyNumberFormats="0" applyBorderFormats="0" applyFontFormats="1" applyPatternFormats="1" applyAlignmentFormats="0" applyWidthHeightFormats="0"/>
</file>

<file path=xl/queryTables/queryTable812.xml><?xml version="1.0" encoding="utf-8"?>
<queryTable xmlns="http://schemas.openxmlformats.org/spreadsheetml/2006/main" name="DadosExternos_423" connectionId="632" autoFormatId="16" applyNumberFormats="0" applyBorderFormats="0" applyFontFormats="1" applyPatternFormats="1" applyAlignmentFormats="0" applyWidthHeightFormats="0"/>
</file>

<file path=xl/queryTables/queryTable813.xml><?xml version="1.0" encoding="utf-8"?>
<queryTable xmlns="http://schemas.openxmlformats.org/spreadsheetml/2006/main" name="DadosExternos_327" connectionId="500" autoFormatId="16" applyNumberFormats="0" applyBorderFormats="0" applyFontFormats="1" applyPatternFormats="1" applyAlignmentFormats="0" applyWidthHeightFormats="0"/>
</file>

<file path=xl/queryTables/queryTable814.xml><?xml version="1.0" encoding="utf-8"?>
<queryTable xmlns="http://schemas.openxmlformats.org/spreadsheetml/2006/main" name="DadosExternos_131" connectionId="474" autoFormatId="16" applyNumberFormats="0" applyBorderFormats="0" applyFontFormats="1" applyPatternFormats="1" applyAlignmentFormats="0" applyWidthHeightFormats="0"/>
</file>

<file path=xl/queryTables/queryTable815.xml><?xml version="1.0" encoding="utf-8"?>
<queryTable xmlns="http://schemas.openxmlformats.org/spreadsheetml/2006/main" name="DadosExternos_6" connectionId="619" autoFormatId="16" applyNumberFormats="0" applyBorderFormats="0" applyFontFormats="1" applyPatternFormats="1" applyAlignmentFormats="0" applyWidthHeightFormats="0"/>
</file>

<file path=xl/queryTables/queryTable816.xml><?xml version="1.0" encoding="utf-8"?>
<queryTable xmlns="http://schemas.openxmlformats.org/spreadsheetml/2006/main" name="DadosExternos_133" connectionId="505" autoFormatId="16" applyNumberFormats="0" applyBorderFormats="0" applyFontFormats="1" applyPatternFormats="1" applyAlignmentFormats="0" applyWidthHeightFormats="0"/>
</file>

<file path=xl/queryTables/queryTable817.xml><?xml version="1.0" encoding="utf-8"?>
<queryTable xmlns="http://schemas.openxmlformats.org/spreadsheetml/2006/main" name="DadosExternos_234" connectionId="212" autoFormatId="16" applyNumberFormats="0" applyBorderFormats="0" applyFontFormats="1" applyPatternFormats="1" applyAlignmentFormats="0" applyWidthHeightFormats="0"/>
</file>

<file path=xl/queryTables/queryTable818.xml><?xml version="1.0" encoding="utf-8"?>
<queryTable xmlns="http://schemas.openxmlformats.org/spreadsheetml/2006/main" name="DadosExternos_356" connectionId="563" autoFormatId="16" applyNumberFormats="0" applyBorderFormats="0" applyFontFormats="1" applyPatternFormats="1" applyAlignmentFormats="0" applyWidthHeightFormats="0"/>
</file>

<file path=xl/queryTables/queryTable819.xml><?xml version="1.0" encoding="utf-8"?>
<queryTable xmlns="http://schemas.openxmlformats.org/spreadsheetml/2006/main" name="DadosExternos_371" connectionId="2" autoFormatId="16" applyNumberFormats="0" applyBorderFormats="0" applyFontFormats="1" applyPatternFormats="1" applyAlignmentFormats="0" applyWidthHeightFormats="0"/>
</file>

<file path=xl/queryTables/queryTable820.xml><?xml version="1.0" encoding="utf-8"?>
<queryTable xmlns="http://schemas.openxmlformats.org/spreadsheetml/2006/main" name="DadosExternos_279" connectionId="374" autoFormatId="16" applyNumberFormats="0" applyBorderFormats="0" applyFontFormats="1" applyPatternFormats="1" applyAlignmentFormats="0" applyWidthHeightFormats="0"/>
</file>

<file path=xl/queryTables/queryTable821.xml><?xml version="1.0" encoding="utf-8"?>
<queryTable xmlns="http://schemas.openxmlformats.org/spreadsheetml/2006/main" name="DadosExternos_228" connectionId="203" autoFormatId="16" applyNumberFormats="0" applyBorderFormats="0" applyFontFormats="1" applyPatternFormats="1" applyAlignmentFormats="0" applyWidthHeightFormats="0"/>
</file>

<file path=xl/queryTables/queryTable822.xml><?xml version="1.0" encoding="utf-8"?>
<queryTable xmlns="http://schemas.openxmlformats.org/spreadsheetml/2006/main" name="DadosExternos_276" connectionId="360" autoFormatId="16" applyNumberFormats="0" applyBorderFormats="0" applyFontFormats="1" applyPatternFormats="1" applyAlignmentFormats="0" applyWidthHeightFormats="0"/>
</file>

<file path=xl/queryTables/queryTable823.xml><?xml version="1.0" encoding="utf-8"?>
<queryTable xmlns="http://schemas.openxmlformats.org/spreadsheetml/2006/main" name="DadosExternos_123" connectionId="350" autoFormatId="16" applyNumberFormats="0" applyBorderFormats="0" applyFontFormats="1" applyPatternFormats="1" applyAlignmentFormats="0" applyWidthHeightFormats="0"/>
</file>

<file path=xl/queryTables/queryTable824.xml><?xml version="1.0" encoding="utf-8"?>
<queryTable xmlns="http://schemas.openxmlformats.org/spreadsheetml/2006/main" name="ExternalData_47" connectionId="809" autoFormatId="16" applyNumberFormats="0" applyBorderFormats="0" applyFontFormats="1" applyPatternFormats="1" applyAlignmentFormats="0" applyWidthHeightFormats="0"/>
</file>

<file path=xl/queryTables/queryTable825.xml><?xml version="1.0" encoding="utf-8"?>
<queryTable xmlns="http://schemas.openxmlformats.org/spreadsheetml/2006/main" name="DadosExternos_126" connectionId="401" autoFormatId="16" applyNumberFormats="0" applyBorderFormats="0" applyFontFormats="1" applyPatternFormats="1" applyAlignmentFormats="0" applyWidthHeightFormats="0"/>
</file>

<file path=xl/queryTables/queryTable826.xml><?xml version="1.0" encoding="utf-8"?>
<queryTable xmlns="http://schemas.openxmlformats.org/spreadsheetml/2006/main" name="ExternalData_7" connectionId="1045" autoFormatId="16" applyNumberFormats="0" applyBorderFormats="0" applyFontFormats="1" applyPatternFormats="1" applyAlignmentFormats="0" applyWidthHeightFormats="0"/>
</file>

<file path=xl/queryTables/queryTable827.xml><?xml version="1.0" encoding="utf-8"?>
<queryTable xmlns="http://schemas.openxmlformats.org/spreadsheetml/2006/main" name="ExternalData_17" connectionId="1047" autoFormatId="16" applyNumberFormats="0" applyBorderFormats="0" applyFontFormats="1" applyPatternFormats="1" applyAlignmentFormats="0" applyWidthHeightFormats="0"/>
</file>

<file path=xl/queryTables/queryTable828.xml><?xml version="1.0" encoding="utf-8"?>
<queryTable xmlns="http://schemas.openxmlformats.org/spreadsheetml/2006/main" name="DadosExternos_96" connectionId="81" autoFormatId="16" applyNumberFormats="0" applyBorderFormats="0" applyFontFormats="1" applyPatternFormats="1" applyAlignmentFormats="0" applyWidthHeightFormats="0"/>
</file>

<file path=xl/queryTables/queryTable829.xml><?xml version="1.0" encoding="utf-8"?>
<queryTable xmlns="http://schemas.openxmlformats.org/spreadsheetml/2006/main" name="ExternalData_43" connectionId="1057" autoFormatId="16" applyNumberFormats="0" applyBorderFormats="0" applyFontFormats="1" applyPatternFormats="1" applyAlignmentFormats="0" applyWidthHeightFormats="0"/>
</file>

<file path=xl/queryTables/queryTable830.xml><?xml version="1.0" encoding="utf-8"?>
<queryTable xmlns="http://schemas.openxmlformats.org/spreadsheetml/2006/main" name="DadosExternos_392" connectionId="263" autoFormatId="16" applyNumberFormats="0" applyBorderFormats="0" applyFontFormats="1" applyPatternFormats="1" applyAlignmentFormats="0" applyWidthHeightFormats="0"/>
</file>

<file path=xl/queryTables/queryTable831.xml><?xml version="1.0" encoding="utf-8"?>
<queryTable xmlns="http://schemas.openxmlformats.org/spreadsheetml/2006/main" name="DadosExternos_103" connectionId="736" autoFormatId="16" applyNumberFormats="0" applyBorderFormats="0" applyFontFormats="1" applyPatternFormats="1" applyAlignmentFormats="0" applyWidthHeightFormats="0"/>
</file>

<file path=xl/queryTables/queryTable832.xml><?xml version="1.0" encoding="utf-8"?>
<queryTable xmlns="http://schemas.openxmlformats.org/spreadsheetml/2006/main" name="DadosExternos_414" connectionId="586" autoFormatId="16" applyNumberFormats="0" applyBorderFormats="0" applyFontFormats="1" applyPatternFormats="1" applyAlignmentFormats="0" applyWidthHeightFormats="0"/>
</file>

<file path=xl/queryTables/queryTable833.xml><?xml version="1.0" encoding="utf-8"?>
<queryTable xmlns="http://schemas.openxmlformats.org/spreadsheetml/2006/main" name="DadosExternos_24" connectionId="54" autoFormatId="16" applyNumberFormats="0" applyBorderFormats="0" applyFontFormats="1" applyPatternFormats="1" applyAlignmentFormats="0" applyWidthHeightFormats="0"/>
</file>

<file path=xl/queryTables/queryTable834.xml><?xml version="1.0" encoding="utf-8"?>
<queryTable xmlns="http://schemas.openxmlformats.org/spreadsheetml/2006/main" name="ExternalData_4" connectionId="965" autoFormatId="16" applyNumberFormats="0" applyBorderFormats="0" applyFontFormats="1" applyPatternFormats="1" applyAlignmentFormats="0" applyWidthHeightFormats="0"/>
</file>

<file path=xl/queryTables/queryTable835.xml><?xml version="1.0" encoding="utf-8"?>
<queryTable xmlns="http://schemas.openxmlformats.org/spreadsheetml/2006/main" name="DadosExternos_161" connectionId="677" autoFormatId="16" applyNumberFormats="0" applyBorderFormats="0" applyFontFormats="1" applyPatternFormats="1" applyAlignmentFormats="0" applyWidthHeightFormats="0"/>
</file>

<file path=xl/queryTables/queryTable836.xml><?xml version="1.0" encoding="utf-8"?>
<queryTable xmlns="http://schemas.openxmlformats.org/spreadsheetml/2006/main" name="ExternalData_40" connectionId="999" autoFormatId="16" applyNumberFormats="0" applyBorderFormats="0" applyFontFormats="1" applyPatternFormats="1" applyAlignmentFormats="0" applyWidthHeightFormats="0"/>
</file>

<file path=xl/queryTables/queryTable837.xml><?xml version="1.0" encoding="utf-8"?>
<queryTable xmlns="http://schemas.openxmlformats.org/spreadsheetml/2006/main" name="DadosExternos_299" connectionId="448" autoFormatId="16" applyNumberFormats="0" applyBorderFormats="0" applyFontFormats="1" applyPatternFormats="1" applyAlignmentFormats="0" applyWidthHeightFormats="0"/>
</file>

<file path=xl/queryTables/queryTable838.xml><?xml version="1.0" encoding="utf-8"?>
<queryTable xmlns="http://schemas.openxmlformats.org/spreadsheetml/2006/main" name="DadosExternos_458" connectionId="13" autoFormatId="16" applyNumberFormats="0" applyBorderFormats="0" applyFontFormats="1" applyPatternFormats="1" applyAlignmentFormats="0" applyWidthHeightFormats="0"/>
</file>

<file path=xl/queryTables/queryTable839.xml><?xml version="1.0" encoding="utf-8"?>
<queryTable xmlns="http://schemas.openxmlformats.org/spreadsheetml/2006/main" name="DadosExternos_380" connectionId="3" autoFormatId="16" applyNumberFormats="0" applyBorderFormats="0" applyFontFormats="1" applyPatternFormats="1" applyAlignmentFormats="0" applyWidthHeightFormats="0"/>
</file>

<file path=xl/queryTables/queryTable840.xml><?xml version="1.0" encoding="utf-8"?>
<queryTable xmlns="http://schemas.openxmlformats.org/spreadsheetml/2006/main" name="DadosExternos_257" connectionId="295" autoFormatId="16" applyNumberFormats="0" applyBorderFormats="0" applyFontFormats="1" applyPatternFormats="1" applyAlignmentFormats="0" applyWidthHeightFormats="0"/>
</file>

<file path=xl/queryTables/queryTable841.xml><?xml version="1.0" encoding="utf-8"?>
<queryTable xmlns="http://schemas.openxmlformats.org/spreadsheetml/2006/main" name="DadosExternos_376" connectionId="647" autoFormatId="16" applyNumberFormats="0" applyBorderFormats="0" applyFontFormats="1" applyPatternFormats="1" applyAlignmentFormats="0" applyWidthHeightFormats="0"/>
</file>

<file path=xl/queryTables/queryTable842.xml><?xml version="1.0" encoding="utf-8"?>
<queryTable xmlns="http://schemas.openxmlformats.org/spreadsheetml/2006/main" name="DadosExternos_250" connectionId="274" autoFormatId="16" applyNumberFormats="0" applyBorderFormats="0" applyFontFormats="1" applyPatternFormats="1" applyAlignmentFormats="0" applyWidthHeightFormats="0"/>
</file>

<file path=xl/queryTables/queryTable843.xml><?xml version="1.0" encoding="utf-8"?>
<queryTable xmlns="http://schemas.openxmlformats.org/spreadsheetml/2006/main" name="DadosExternos_14" connectionId="702" autoFormatId="16" applyNumberFormats="0" applyBorderFormats="0" applyFontFormats="1" applyPatternFormats="1" applyAlignmentFormats="0" applyWidthHeightFormats="0"/>
</file>

<file path=xl/queryTables/queryTable844.xml><?xml version="1.0" encoding="utf-8"?>
<queryTable xmlns="http://schemas.openxmlformats.org/spreadsheetml/2006/main" name="ExternalData_19" connectionId="960" autoFormatId="16" applyNumberFormats="0" applyBorderFormats="0" applyFontFormats="1" applyPatternFormats="1" applyAlignmentFormats="0" applyWidthHeightFormats="0"/>
</file>

<file path=xl/queryTables/queryTable845.xml><?xml version="1.0" encoding="utf-8"?>
<queryTable xmlns="http://schemas.openxmlformats.org/spreadsheetml/2006/main" name="DadosExternos_113" connectionId="196" autoFormatId="16" applyNumberFormats="0" applyBorderFormats="0" applyFontFormats="1" applyPatternFormats="1" applyAlignmentFormats="0" applyWidthHeightFormats="0"/>
</file>

<file path=xl/queryTables/queryTable846.xml><?xml version="1.0" encoding="utf-8"?>
<queryTable xmlns="http://schemas.openxmlformats.org/spreadsheetml/2006/main" name="DadosExternos_210" connectionId="151" autoFormatId="16" applyNumberFormats="0" applyBorderFormats="0" applyFontFormats="1" applyPatternFormats="1" applyAlignmentFormats="0" applyWidthHeightFormats="0"/>
</file>

<file path=xl/queryTables/queryTable847.xml><?xml version="1.0" encoding="utf-8"?>
<queryTable xmlns="http://schemas.openxmlformats.org/spreadsheetml/2006/main" name="ExternalData_14" connectionId="860" autoFormatId="16" applyNumberFormats="0" applyBorderFormats="0" applyFontFormats="1" applyPatternFormats="1" applyAlignmentFormats="0" applyWidthHeightFormats="0"/>
</file>

<file path=xl/queryTables/queryTable848.xml><?xml version="1.0" encoding="utf-8"?>
<queryTable xmlns="http://schemas.openxmlformats.org/spreadsheetml/2006/main" name="DadosExternos_69" connectionId="246" autoFormatId="16" applyNumberFormats="0" applyBorderFormats="0" applyFontFormats="1" applyPatternFormats="1" applyAlignmentFormats="0" applyWidthHeightFormats="0"/>
</file>

<file path=xl/queryTables/queryTable849.xml><?xml version="1.0" encoding="utf-8"?>
<queryTable xmlns="http://schemas.openxmlformats.org/spreadsheetml/2006/main" name="DadosExternos_151" connectionId="634" autoFormatId="16" applyNumberFormats="0" applyBorderFormats="0" applyFontFormats="1" applyPatternFormats="1" applyAlignmentFormats="0" applyWidthHeightFormats="0"/>
</file>

<file path=xl/queryTables/queryTable850.xml><?xml version="1.0" encoding="utf-8"?>
<queryTable xmlns="http://schemas.openxmlformats.org/spreadsheetml/2006/main" name="DadosExternos_213" connectionId="157" autoFormatId="16" applyNumberFormats="0" applyBorderFormats="0" applyFontFormats="1" applyPatternFormats="1" applyAlignmentFormats="0" applyWidthHeightFormats="0"/>
</file>

<file path=xl/queryTables/queryTable851.xml><?xml version="1.0" encoding="utf-8"?>
<queryTable xmlns="http://schemas.openxmlformats.org/spreadsheetml/2006/main" name="ExternalData_69" connectionId="825" autoFormatId="16" applyNumberFormats="0" applyBorderFormats="0" applyFontFormats="1" applyPatternFormats="1" applyAlignmentFormats="0" applyWidthHeightFormats="0"/>
</file>

<file path=xl/queryTables/queryTable852.xml><?xml version="1.0" encoding="utf-8"?>
<queryTable xmlns="http://schemas.openxmlformats.org/spreadsheetml/2006/main" name="DadosExternos_349" connectionId="547" autoFormatId="16" applyNumberFormats="0" applyBorderFormats="0" applyFontFormats="1" applyPatternFormats="1" applyAlignmentFormats="0" applyWidthHeightFormats="0"/>
</file>

<file path=xl/queryTables/queryTable853.xml><?xml version="1.0" encoding="utf-8"?>
<queryTable xmlns="http://schemas.openxmlformats.org/spreadsheetml/2006/main" name="ExternalData_26" connectionId="890" autoFormatId="16" applyNumberFormats="0" applyBorderFormats="0" applyFontFormats="1" applyPatternFormats="1" applyAlignmentFormats="0" applyWidthHeightFormats="0"/>
</file>

<file path=xl/queryTables/queryTable854.xml><?xml version="1.0" encoding="utf-8"?>
<queryTable xmlns="http://schemas.openxmlformats.org/spreadsheetml/2006/main" name="DadosExternos_398" connectionId="347" autoFormatId="16" applyNumberFormats="0" applyBorderFormats="0" applyFontFormats="1" applyPatternFormats="1" applyAlignmentFormats="0" applyWidthHeightFormats="0"/>
</file>

<file path=xl/queryTables/queryTable855.xml><?xml version="1.0" encoding="utf-8"?>
<queryTable xmlns="http://schemas.openxmlformats.org/spreadsheetml/2006/main" name="ExternalData_50" connectionId="874" autoFormatId="16" applyNumberFormats="0" applyBorderFormats="0" applyFontFormats="1" applyPatternFormats="1" applyAlignmentFormats="0" applyWidthHeightFormats="0"/>
</file>

<file path=xl/queryTables/queryTable856.xml><?xml version="1.0" encoding="utf-8"?>
<queryTable xmlns="http://schemas.openxmlformats.org/spreadsheetml/2006/main" name="DadosExternos_18" connectionId="251" autoFormatId="16" applyNumberFormats="0" applyBorderFormats="0" applyFontFormats="1" applyPatternFormats="1" applyAlignmentFormats="0" applyWidthHeightFormats="0"/>
</file>

<file path=xl/queryTables/queryTable857.xml><?xml version="1.0" encoding="utf-8"?>
<queryTable xmlns="http://schemas.openxmlformats.org/spreadsheetml/2006/main" name="DadosExternos_265" connectionId="327" autoFormatId="16" applyNumberFormats="0" applyBorderFormats="0" applyFontFormats="1" applyPatternFormats="1" applyAlignmentFormats="0" applyWidthHeightFormats="0"/>
</file>

<file path=xl/queryTables/queryTable858.xml><?xml version="1.0" encoding="utf-8"?>
<queryTable xmlns="http://schemas.openxmlformats.org/spreadsheetml/2006/main" name="ExternalData_5" connectionId="1001" autoFormatId="16" applyNumberFormats="0" applyBorderFormats="0" applyFontFormats="1" applyPatternFormats="1" applyAlignmentFormats="0" applyWidthHeightFormats="0"/>
</file>

<file path=xl/queryTables/queryTable859.xml><?xml version="1.0" encoding="utf-8"?>
<queryTable xmlns="http://schemas.openxmlformats.org/spreadsheetml/2006/main" name="DadosExternos_290" connectionId="415" autoFormatId="16" applyNumberFormats="0" applyBorderFormats="0" applyFontFormats="1" applyPatternFormats="1" applyAlignmentFormats="0" applyWidthHeightFormats="0"/>
</file>

<file path=xl/queryTables/queryTable860.xml><?xml version="1.0" encoding="utf-8"?>
<queryTable xmlns="http://schemas.openxmlformats.org/spreadsheetml/2006/main" name="ExternalData_11" connectionId="1123" autoFormatId="16" applyNumberFormats="0" applyBorderFormats="0" applyFontFormats="1" applyPatternFormats="1" applyAlignmentFormats="0" applyWidthHeightFormats="0"/>
</file>

<file path=xl/queryTables/queryTable861.xml><?xml version="1.0" encoding="utf-8"?>
<queryTable xmlns="http://schemas.openxmlformats.org/spreadsheetml/2006/main" name="DadosExternos_129" connectionId="446" autoFormatId="16" applyNumberFormats="0" applyBorderFormats="0" applyFontFormats="1" applyPatternFormats="1" applyAlignmentFormats="0" applyWidthHeightFormats="0"/>
</file>

<file path=xl/queryTables/queryTable862.xml><?xml version="1.0" encoding="utf-8"?>
<queryTable xmlns="http://schemas.openxmlformats.org/spreadsheetml/2006/main" name="DadosExternos_329" connectionId="510" autoFormatId="16" applyNumberFormats="0" applyBorderFormats="0" applyFontFormats="1" applyPatternFormats="1" applyAlignmentFormats="0" applyWidthHeightFormats="0"/>
</file>

<file path=xl/queryTables/queryTable863.xml><?xml version="1.0" encoding="utf-8"?>
<queryTable xmlns="http://schemas.openxmlformats.org/spreadsheetml/2006/main" name="DadosExternos_452" connectionId="776" autoFormatId="16" applyNumberFormats="0" applyBorderFormats="0" applyFontFormats="1" applyPatternFormats="1" applyAlignmentFormats="0" applyWidthHeightFormats="0"/>
</file>

<file path=xl/queryTables/queryTable864.xml><?xml version="1.0" encoding="utf-8"?>
<queryTable xmlns="http://schemas.openxmlformats.org/spreadsheetml/2006/main" name="DadosExternos_237" connectionId="220" autoFormatId="16" applyNumberFormats="0" applyBorderFormats="0" applyFontFormats="1" applyPatternFormats="1" applyAlignmentFormats="0" applyWidthHeightFormats="0"/>
</file>

<file path=xl/queryTables/queryTable865.xml><?xml version="1.0" encoding="utf-8"?>
<queryTable xmlns="http://schemas.openxmlformats.org/spreadsheetml/2006/main" name="DadosExternos_144" connectionId="605" autoFormatId="16" applyNumberFormats="0" applyBorderFormats="0" applyFontFormats="1" applyPatternFormats="1" applyAlignmentFormats="0" applyWidthHeightFormats="0"/>
</file>

<file path=xl/queryTables/queryTable866.xml><?xml version="1.0" encoding="utf-8"?>
<queryTable xmlns="http://schemas.openxmlformats.org/spreadsheetml/2006/main" name="DadosExternos_463" connectionId="37" autoFormatId="16" applyNumberFormats="0" applyBorderFormats="0" applyFontFormats="1" applyPatternFormats="1" applyAlignmentFormats="0" applyWidthHeightFormats="0"/>
</file>

<file path=xl/queryTables/queryTable867.xml><?xml version="1.0" encoding="utf-8"?>
<queryTable xmlns="http://schemas.openxmlformats.org/spreadsheetml/2006/main" name="DadosExternos_60" connectionId="443" autoFormatId="16" applyNumberFormats="0" applyBorderFormats="0" applyFontFormats="1" applyPatternFormats="1" applyAlignmentFormats="0" applyWidthHeightFormats="0"/>
</file>

<file path=xl/queryTables/queryTable868.xml><?xml version="1.0" encoding="utf-8"?>
<queryTable xmlns="http://schemas.openxmlformats.org/spreadsheetml/2006/main" name="DadosExternos_447" connectionId="758" autoFormatId="16" applyNumberFormats="0" applyBorderFormats="0" applyFontFormats="1" applyPatternFormats="1" applyAlignmentFormats="0" applyWidthHeightFormats="0"/>
</file>

<file path=xl/queryTables/queryTable869.xml><?xml version="1.0" encoding="utf-8"?>
<queryTable xmlns="http://schemas.openxmlformats.org/spreadsheetml/2006/main" name="ExternalData_41" connectionId="953" autoFormatId="16" applyNumberFormats="0" applyBorderFormats="0" applyFontFormats="1" applyPatternFormats="1" applyAlignmentFormats="0" applyWidthHeightFormats="0"/>
</file>

<file path=xl/queryTables/queryTable870.xml><?xml version="1.0" encoding="utf-8"?>
<queryTable xmlns="http://schemas.openxmlformats.org/spreadsheetml/2006/main" name="DadosExternos_32" connectionId="653" autoFormatId="16" applyNumberFormats="0" applyBorderFormats="0" applyFontFormats="1" applyPatternFormats="1" applyAlignmentFormats="0" applyWidthHeightFormats="0"/>
</file>

<file path=xl/queryTables/queryTable871.xml><?xml version="1.0" encoding="utf-8"?>
<queryTable xmlns="http://schemas.openxmlformats.org/spreadsheetml/2006/main" name="DadosExternos_122" connectionId="339" autoFormatId="16" applyNumberFormats="0" applyBorderFormats="0" applyFontFormats="1" applyPatternFormats="1" applyAlignmentFormats="0" applyWidthHeightFormats="0"/>
</file>

<file path=xl/queryTables/queryTable872.xml><?xml version="1.0" encoding="utf-8"?>
<queryTable xmlns="http://schemas.openxmlformats.org/spreadsheetml/2006/main" name="DadosExternos_8" connectionId="697" autoFormatId="16" applyNumberFormats="0" applyBorderFormats="0" applyFontFormats="1" applyPatternFormats="1" applyAlignmentFormats="0" applyWidthHeightFormats="0"/>
</file>

<file path=xl/queryTables/queryTable873.xml><?xml version="1.0" encoding="utf-8"?>
<queryTable xmlns="http://schemas.openxmlformats.org/spreadsheetml/2006/main" name="DadosExternos_374" connectionId="535" autoFormatId="16" applyNumberFormats="0" applyBorderFormats="0" applyFontFormats="1" applyPatternFormats="1" applyAlignmentFormats="0" applyWidthHeightFormats="0"/>
</file>

<file path=xl/queryTables/queryTable874.xml><?xml version="1.0" encoding="utf-8"?>
<queryTable xmlns="http://schemas.openxmlformats.org/spreadsheetml/2006/main" name="DadosExternos_134" connectionId="521" autoFormatId="16" applyNumberFormats="0" applyBorderFormats="0" applyFontFormats="1" applyPatternFormats="1" applyAlignmentFormats="0" applyWidthHeightFormats="0"/>
</file>

<file path=xl/queryTables/queryTable875.xml><?xml version="1.0" encoding="utf-8"?>
<queryTable xmlns="http://schemas.openxmlformats.org/spreadsheetml/2006/main" name="DadosExternos_342" connectionId="532" autoFormatId="16" applyNumberFormats="0" applyBorderFormats="0" applyFontFormats="1" applyPatternFormats="1" applyAlignmentFormats="0" applyWidthHeightFormats="0"/>
</file>

<file path=xl/queryTables/queryTable876.xml><?xml version="1.0" encoding="utf-8"?>
<queryTable xmlns="http://schemas.openxmlformats.org/spreadsheetml/2006/main" name="DadosExternos_2" connectionId="65" autoFormatId="16" applyNumberFormats="0" applyBorderFormats="0" applyFontFormats="1" applyPatternFormats="1" applyAlignmentFormats="0" applyWidthHeightFormats="0"/>
</file>

<file path=xl/queryTables/queryTable877.xml><?xml version="1.0" encoding="utf-8"?>
<queryTable xmlns="http://schemas.openxmlformats.org/spreadsheetml/2006/main" name="DadosExternos_240" connectionId="229" autoFormatId="16" applyNumberFormats="0" applyBorderFormats="0" applyFontFormats="1" applyPatternFormats="1" applyAlignmentFormats="0" applyWidthHeightFormats="0"/>
</file>

<file path=xl/queryTables/queryTable878.xml><?xml version="1.0" encoding="utf-8"?>
<queryTable xmlns="http://schemas.openxmlformats.org/spreadsheetml/2006/main" name="DadosExternos_212" connectionId="155" autoFormatId="16" applyNumberFormats="0" applyBorderFormats="0" applyFontFormats="1" applyPatternFormats="1" applyAlignmentFormats="0" applyWidthHeightFormats="0"/>
</file>

<file path=xl/queryTables/queryTable879.xml><?xml version="1.0" encoding="utf-8"?>
<queryTable xmlns="http://schemas.openxmlformats.org/spreadsheetml/2006/main" name="DadosExternos_156" connectionId="660" autoFormatId="16" applyNumberFormats="0" applyBorderFormats="0" applyFontFormats="1" applyPatternFormats="1" applyAlignmentFormats="0" applyWidthHeightFormats="0"/>
</file>

<file path=xl/queryTables/queryTable880.xml><?xml version="1.0" encoding="utf-8"?>
<queryTable xmlns="http://schemas.openxmlformats.org/spreadsheetml/2006/main" name="DadosExternos_258" connectionId="299" autoFormatId="16" applyNumberFormats="0" applyBorderFormats="0" applyFontFormats="1" applyPatternFormats="1" applyAlignmentFormats="0" applyWidthHeightFormats="0"/>
</file>

<file path=xl/queryTables/queryTable881.xml><?xml version="1.0" encoding="utf-8"?>
<queryTable xmlns="http://schemas.openxmlformats.org/spreadsheetml/2006/main" name="DadosExternos_401" connectionId="390" autoFormatId="16" applyNumberFormats="0" applyBorderFormats="0" applyFontFormats="1" applyPatternFormats="1" applyAlignmentFormats="0" applyWidthHeightFormats="0"/>
</file>

<file path=xl/queryTables/queryTable882.xml><?xml version="1.0" encoding="utf-8"?>
<queryTable xmlns="http://schemas.openxmlformats.org/spreadsheetml/2006/main" name="DadosExternos_30" connectionId="552" autoFormatId="16" applyNumberFormats="0" applyBorderFormats="0" applyFontFormats="1" applyPatternFormats="1" applyAlignmentFormats="0" applyWidthHeightFormats="0"/>
</file>

<file path=xl/queryTables/queryTable883.xml><?xml version="1.0" encoding="utf-8"?>
<queryTable xmlns="http://schemas.openxmlformats.org/spreadsheetml/2006/main" name="ExternalData_45" connectionId="1096" autoFormatId="16" applyNumberFormats="0" applyBorderFormats="0" applyFontFormats="1" applyPatternFormats="1" applyAlignmentFormats="0" applyWidthHeightFormats="0"/>
</file>

<file path=xl/queryTables/queryTable884.xml><?xml version="1.0" encoding="utf-8"?>
<queryTable xmlns="http://schemas.openxmlformats.org/spreadsheetml/2006/main" name="DadosExternos_292" connectionId="422" autoFormatId="16" applyNumberFormats="0" applyBorderFormats="0" applyFontFormats="1" applyPatternFormats="1" applyAlignmentFormats="0" applyWidthHeightFormats="0"/>
</file>

<file path=xl/queryTables/queryTable885.xml><?xml version="1.0" encoding="utf-8"?>
<queryTable xmlns="http://schemas.openxmlformats.org/spreadsheetml/2006/main" name="ExternalData_42" connectionId="1041" autoFormatId="16" applyNumberFormats="0" applyBorderFormats="0" applyFontFormats="1" applyPatternFormats="1" applyAlignmentFormats="0" applyWidthHeightFormats="0"/>
</file>

<file path=xl/queryTables/queryTable886.xml><?xml version="1.0" encoding="utf-8"?>
<queryTable xmlns="http://schemas.openxmlformats.org/spreadsheetml/2006/main" name="DadosExternos_243" connectionId="242" autoFormatId="16" applyNumberFormats="0" applyBorderFormats="0" applyFontFormats="1" applyPatternFormats="1" applyAlignmentFormats="0" applyWidthHeightFormats="0"/>
</file>

<file path=xl/queryTables/queryTable887.xml><?xml version="1.0" encoding="utf-8"?>
<queryTable xmlns="http://schemas.openxmlformats.org/spreadsheetml/2006/main" name="DadosExternos_268" connectionId="331" autoFormatId="16" applyNumberFormats="0" applyBorderFormats="0" applyFontFormats="1" applyPatternFormats="1" applyAlignmentFormats="0" applyWidthHeightFormats="0"/>
</file>

<file path=xl/queryTables/queryTable888.xml><?xml version="1.0" encoding="utf-8"?>
<queryTable xmlns="http://schemas.openxmlformats.org/spreadsheetml/2006/main" name="DadosExternos_187" connectionId="23" autoFormatId="16" applyNumberFormats="0" applyBorderFormats="0" applyFontFormats="1" applyPatternFormats="1" applyAlignmentFormats="0" applyWidthHeightFormats="0"/>
</file>

<file path=xl/queryTables/queryTable889.xml><?xml version="1.0" encoding="utf-8"?>
<queryTable xmlns="http://schemas.openxmlformats.org/spreadsheetml/2006/main" name="DadosExternos_63" connectionId="490" autoFormatId="16" applyNumberFormats="0" applyBorderFormats="0" applyFontFormats="1" applyPatternFormats="1" applyAlignmentFormats="0" applyWidthHeightFormats="0"/>
</file>

<file path=xl/queryTables/queryTable890.xml><?xml version="1.0" encoding="utf-8"?>
<queryTable xmlns="http://schemas.openxmlformats.org/spreadsheetml/2006/main" name="DadosExternos_315" connectionId="476" autoFormatId="16" applyNumberFormats="0" applyBorderFormats="0" applyFontFormats="1" applyPatternFormats="1" applyAlignmentFormats="0" applyWidthHeightFormats="0"/>
</file>

<file path=xl/queryTables/queryTable891.xml><?xml version="1.0" encoding="utf-8"?>
<queryTable xmlns="http://schemas.openxmlformats.org/spreadsheetml/2006/main" name="DadosExternos_172" connectionId="723" autoFormatId="16" applyNumberFormats="0" applyBorderFormats="0" applyFontFormats="1" applyPatternFormats="1" applyAlignmentFormats="0" applyWidthHeightFormats="0"/>
</file>

<file path=xl/queryTables/queryTable892.xml><?xml version="1.0" encoding="utf-8"?>
<queryTable xmlns="http://schemas.openxmlformats.org/spreadsheetml/2006/main" name="DadosExternos_201" connectionId="118" autoFormatId="16" applyNumberFormats="0" applyBorderFormats="0" applyFontFormats="1" applyPatternFormats="1" applyAlignmentFormats="0" applyWidthHeightFormats="0"/>
</file>

<file path=xl/queryTables/queryTable893.xml><?xml version="1.0" encoding="utf-8"?>
<queryTable xmlns="http://schemas.openxmlformats.org/spreadsheetml/2006/main" name="DadosExternos_124" connectionId="366" autoFormatId="16" applyNumberFormats="0" applyBorderFormats="0" applyFontFormats="1" applyPatternFormats="1" applyAlignmentFormats="0" applyWidthHeightFormats="0"/>
</file>

<file path=xl/queryTables/queryTable894.xml><?xml version="1.0" encoding="utf-8"?>
<queryTable xmlns="http://schemas.openxmlformats.org/spreadsheetml/2006/main" name="DadosExternos_360" connectionId="570" autoFormatId="16" applyNumberFormats="0" applyBorderFormats="0" applyFontFormats="1" applyPatternFormats="1" applyAlignmentFormats="0" applyWidthHeightFormats="0"/>
</file>

<file path=xl/queryTables/queryTable895.xml><?xml version="1.0" encoding="utf-8"?>
<queryTable xmlns="http://schemas.openxmlformats.org/spreadsheetml/2006/main" name="DadosExternos_367" connectionId="580" autoFormatId="16" applyNumberFormats="0" applyBorderFormats="0" applyFontFormats="1" applyPatternFormats="1" applyAlignmentFormats="0" applyWidthHeightFormats="0"/>
</file>

<file path=xl/queryTables/queryTable896.xml><?xml version="1.0" encoding="utf-8"?>
<queryTable xmlns="http://schemas.openxmlformats.org/spreadsheetml/2006/main" name="DadosExternos_415" connectionId="589" autoFormatId="16" applyNumberFormats="0" applyBorderFormats="0" applyFontFormats="1" applyPatternFormats="1" applyAlignmentFormats="0" applyWidthHeightFormats="0"/>
</file>

<file path=xl/queryTables/queryTable897.xml><?xml version="1.0" encoding="utf-8"?>
<queryTable xmlns="http://schemas.openxmlformats.org/spreadsheetml/2006/main" name="DadosExternos_170" connectionId="717" autoFormatId="16" applyNumberFormats="0" applyBorderFormats="0" applyFontFormats="1" applyPatternFormats="1" applyAlignmentFormats="0" applyWidthHeightFormats="0"/>
</file>

<file path=xl/queryTables/queryTable898.xml><?xml version="1.0" encoding="utf-8"?>
<queryTable xmlns="http://schemas.openxmlformats.org/spreadsheetml/2006/main" name="ExternalData_6" connectionId="1025" autoFormatId="16" applyNumberFormats="0" applyBorderFormats="0" applyFontFormats="1" applyPatternFormats="1" applyAlignmentFormats="0" applyWidthHeightFormats="0"/>
</file>

<file path=xl/queryTables/queryTable899.xml><?xml version="1.0" encoding="utf-8"?>
<queryTable xmlns="http://schemas.openxmlformats.org/spreadsheetml/2006/main" name="DadosExternos_192" connectionId="84" autoFormatId="16" applyNumberFormats="0" applyBorderFormats="0" applyFontFormats="1" applyPatternFormats="1" applyAlignmentFormats="0" applyWidthHeightFormats="0"/>
</file>

<file path=xl/queryTables/queryTable900.xml><?xml version="1.0" encoding="utf-8"?>
<queryTable xmlns="http://schemas.openxmlformats.org/spreadsheetml/2006/main" name="DadosExternos_181" connectionId="760" autoFormatId="16" applyNumberFormats="0" applyBorderFormats="0" applyFontFormats="1" applyPatternFormats="1" applyAlignmentFormats="0" applyWidthHeightFormats="0"/>
</file>

<file path=xl/queryTables/queryTable901.xml><?xml version="1.0" encoding="utf-8"?>
<queryTable xmlns="http://schemas.openxmlformats.org/spreadsheetml/2006/main" name="DadosExternos_330" connectionId="512" autoFormatId="16" applyNumberFormats="0" applyBorderFormats="0" applyFontFormats="1" applyPatternFormats="1" applyAlignmentFormats="0" applyWidthHeightFormats="0"/>
</file>

<file path=xl/queryTables/queryTable902.xml><?xml version="1.0" encoding="utf-8"?>
<queryTable xmlns="http://schemas.openxmlformats.org/spreadsheetml/2006/main" name="ExternalData_70" connectionId="911" autoFormatId="16" applyNumberFormats="0" applyBorderFormats="0" applyFontFormats="1" applyPatternFormats="1" applyAlignmentFormats="0" applyWidthHeightFormats="0"/>
</file>

<file path=xl/queryTables/queryTable903.xml><?xml version="1.0" encoding="utf-8"?>
<queryTable xmlns="http://schemas.openxmlformats.org/spreadsheetml/2006/main" name="DadosExternos_318" connectionId="480" autoFormatId="16" applyNumberFormats="0" applyBorderFormats="0" applyFontFormats="1" applyPatternFormats="1" applyAlignmentFormats="0" applyWidthHeightFormats="0"/>
</file>

<file path=xl/queryTables/queryTable904.xml><?xml version="1.0" encoding="utf-8"?>
<queryTable xmlns="http://schemas.openxmlformats.org/spreadsheetml/2006/main" name="DadosExternos_453" connectionId="788" autoFormatId="16" applyNumberFormats="0" applyBorderFormats="0" applyFontFormats="1" applyPatternFormats="1" applyAlignmentFormats="0" applyWidthHeightFormats="0"/>
</file>

<file path=xl/queryTables/queryTable905.xml><?xml version="1.0" encoding="utf-8"?>
<queryTable xmlns="http://schemas.openxmlformats.org/spreadsheetml/2006/main" name="ExternalData_57" connectionId="954" autoFormatId="16" applyNumberFormats="0" applyBorderFormats="0" applyFontFormats="1" applyPatternFormats="1" applyAlignmentFormats="0" applyWidthHeightFormats="0"/>
</file>

<file path=xl/queryTables/queryTable906.xml><?xml version="1.0" encoding="utf-8"?>
<queryTable xmlns="http://schemas.openxmlformats.org/spreadsheetml/2006/main" name="DadosExternos_70" connectionId="399" autoFormatId="16" applyNumberFormats="0" applyBorderFormats="0" applyFontFormats="1" applyPatternFormats="1" applyAlignmentFormats="0" applyWidthHeightFormats="0"/>
</file>

<file path=xl/queryTables/queryTable907.xml><?xml version="1.0" encoding="utf-8"?>
<queryTable xmlns="http://schemas.openxmlformats.org/spreadsheetml/2006/main" name="DadosExternos_317" connectionId="478" autoFormatId="16" applyNumberFormats="0" applyBorderFormats="0" applyFontFormats="1" applyPatternFormats="1" applyAlignmentFormats="0" applyWidthHeightFormats="0"/>
</file>

<file path=xl/queryTables/queryTable908.xml><?xml version="1.0" encoding="utf-8"?>
<queryTable xmlns="http://schemas.openxmlformats.org/spreadsheetml/2006/main" name="DadosExternos_373" connectionId="377" autoFormatId="16" applyNumberFormats="0" applyBorderFormats="0" applyFontFormats="1" applyPatternFormats="1" applyAlignmentFormats="0" applyWidthHeightFormats="0"/>
</file>

<file path=xl/queryTables/queryTable909.xml><?xml version="1.0" encoding="utf-8"?>
<queryTable xmlns="http://schemas.openxmlformats.org/spreadsheetml/2006/main" name="DadosExternos_44" connectionId="199" autoFormatId="16" applyNumberFormats="0" applyBorderFormats="0" applyFontFormats="1" applyPatternFormats="1" applyAlignmentFormats="0" applyWidthHeightFormats="0"/>
</file>

<file path=xl/queryTables/queryTable910.xml><?xml version="1.0" encoding="utf-8"?>
<queryTable xmlns="http://schemas.openxmlformats.org/spreadsheetml/2006/main" name="DadosExternos_49" connectionId="279" autoFormatId="16" applyNumberFormats="0" applyBorderFormats="0" applyFontFormats="1" applyPatternFormats="1" applyAlignmentFormats="0" applyWidthHeightFormats="0"/>
</file>

<file path=xl/queryTables/queryTable911.xml><?xml version="1.0" encoding="utf-8"?>
<queryTable xmlns="http://schemas.openxmlformats.org/spreadsheetml/2006/main" name="ExternalData_31" connectionId="949" autoFormatId="16" applyNumberFormats="0" applyBorderFormats="0" applyFontFormats="1" applyPatternFormats="1" applyAlignmentFormats="0" applyWidthHeightFormats="0"/>
</file>

<file path=xl/queryTables/queryTable912.xml><?xml version="1.0" encoding="utf-8"?>
<queryTable xmlns="http://schemas.openxmlformats.org/spreadsheetml/2006/main" name="DadosExternos_326" connectionId="498" autoFormatId="16" applyNumberFormats="0" applyBorderFormats="0" applyFontFormats="1" applyPatternFormats="1" applyAlignmentFormats="0" applyWidthHeightFormats="0"/>
</file>

<file path=xl/queryTables/queryTable913.xml><?xml version="1.0" encoding="utf-8"?>
<queryTable xmlns="http://schemas.openxmlformats.org/spreadsheetml/2006/main" name="ExternalData_44" connectionId="1075" autoFormatId="16" applyNumberFormats="0" applyBorderFormats="0" applyFontFormats="1" applyPatternFormats="1" applyAlignmentFormats="0" applyWidthHeightFormats="0"/>
</file>

<file path=xl/queryTables/queryTable914.xml><?xml version="1.0" encoding="utf-8"?>
<queryTable xmlns="http://schemas.openxmlformats.org/spreadsheetml/2006/main" name="ExternalData_37" connectionId="990" autoFormatId="16" applyNumberFormats="0" applyBorderFormats="0" applyFontFormats="1" applyPatternFormats="1" applyAlignmentFormats="0" applyWidthHeightFormats="0"/>
</file>

<file path=xl/queryTables/queryTable915.xml><?xml version="1.0" encoding="utf-8"?>
<queryTable xmlns="http://schemas.openxmlformats.org/spreadsheetml/2006/main" name="ExternalData_34" connectionId="975" autoFormatId="16" applyNumberFormats="0" applyBorderFormats="0" applyFontFormats="1" applyPatternFormats="1" applyAlignmentFormats="0" applyWidthHeightFormats="0"/>
</file>

<file path=xl/queryTables/queryTable916.xml><?xml version="1.0" encoding="utf-8"?>
<queryTable xmlns="http://schemas.openxmlformats.org/spreadsheetml/2006/main" name="ExternalData_12" connectionId="816" autoFormatId="16" applyNumberFormats="0" applyBorderFormats="0" applyFontFormats="1" applyPatternFormats="1" applyAlignmentFormats="0" applyWidthHeightFormats="0"/>
</file>

<file path=xl/queryTables/queryTable917.xml><?xml version="1.0" encoding="utf-8"?>
<queryTable xmlns="http://schemas.openxmlformats.org/spreadsheetml/2006/main" name="DadosExternos_109" connectionId="125" autoFormatId="16" applyNumberFormats="0" applyBorderFormats="0" applyFontFormats="1" applyPatternFormats="1" applyAlignmentFormats="0" applyWidthHeightFormats="0"/>
</file>

<file path=xl/queryTables/queryTable918.xml><?xml version="1.0" encoding="utf-8"?>
<queryTable xmlns="http://schemas.openxmlformats.org/spreadsheetml/2006/main" name="DadosExternos_190" connectionId="38" autoFormatId="16" applyNumberFormats="0" applyBorderFormats="0" applyFontFormats="1" applyPatternFormats="1" applyAlignmentFormats="0" applyWidthHeightFormats="0"/>
</file>

<file path=xl/queryTables/queryTable919.xml><?xml version="1.0" encoding="utf-8"?>
<queryTable xmlns="http://schemas.openxmlformats.org/spreadsheetml/2006/main" name="DadosExternos_139" connectionId="588" autoFormatId="16" applyNumberFormats="0" applyBorderFormats="0" applyFontFormats="1" applyPatternFormats="1" applyAlignmentFormats="0" applyWidthHeightFormats="0"/>
</file>

<file path=xl/queryTables/queryTable920.xml><?xml version="1.0" encoding="utf-8"?>
<queryTable xmlns="http://schemas.openxmlformats.org/spreadsheetml/2006/main" name="DadosExternos_242" connectionId="239" autoFormatId="16" applyNumberFormats="0" applyBorderFormats="0" applyFontFormats="1" applyPatternFormats="1" applyAlignmentFormats="0" applyWidthHeightFormats="0"/>
</file>

<file path=xl/queryTables/queryTable921.xml><?xml version="1.0" encoding="utf-8"?>
<queryTable xmlns="http://schemas.openxmlformats.org/spreadsheetml/2006/main" name="DadosExternos_199" connectionId="112" autoFormatId="16" applyNumberFormats="0" applyBorderFormats="0" applyFontFormats="1" applyPatternFormats="1" applyAlignmentFormats="0" applyWidthHeightFormats="0"/>
</file>

<file path=xl/queryTables/queryTable922.xml><?xml version="1.0" encoding="utf-8"?>
<queryTable xmlns="http://schemas.openxmlformats.org/spreadsheetml/2006/main" name="DadosExternos_159" connectionId="669" autoFormatId="16" applyNumberFormats="0" applyBorderFormats="0" applyFontFormats="1" applyPatternFormats="1" applyAlignmentFormats="0" applyWidthHeightFormats="0"/>
</file>

<file path=xl/queryTables/queryTable923.xml><?xml version="1.0" encoding="utf-8"?>
<queryTable xmlns="http://schemas.openxmlformats.org/spreadsheetml/2006/main" name="ExternalData_39" connectionId="995" autoFormatId="16" applyNumberFormats="0" applyBorderFormats="0" applyFontFormats="1" applyPatternFormats="1" applyAlignmentFormats="0" applyWidthHeightFormats="0"/>
</file>

<file path=xl/queryTables/queryTable924.xml><?xml version="1.0" encoding="utf-8"?>
<queryTable xmlns="http://schemas.openxmlformats.org/spreadsheetml/2006/main" name="DadosExternos_72" connectionId="617" autoFormatId="16" applyNumberFormats="0" applyBorderFormats="0" applyFontFormats="1" applyPatternFormats="1" applyAlignmentFormats="0" applyWidthHeightFormats="0"/>
</file>

<file path=xl/queryTables/queryTable925.xml><?xml version="1.0" encoding="utf-8"?>
<queryTable xmlns="http://schemas.openxmlformats.org/spreadsheetml/2006/main" name="DadosExternos_435" connectionId="681" autoFormatId="16" applyNumberFormats="0" applyBorderFormats="0" applyFontFormats="1" applyPatternFormats="1" applyAlignmentFormats="0" applyWidthHeightFormats="0"/>
</file>

<file path=xl/queryTables/queryTable926.xml><?xml version="1.0" encoding="utf-8"?>
<queryTable xmlns="http://schemas.openxmlformats.org/spreadsheetml/2006/main" name="ExternalData_67" connectionId="1072" autoFormatId="16" applyNumberFormats="0" applyBorderFormats="0" applyFontFormats="1" applyPatternFormats="1" applyAlignmentFormats="0" applyWidthHeightFormats="0"/>
</file>

<file path=xl/queryTables/queryTable927.xml><?xml version="1.0" encoding="utf-8"?>
<queryTable xmlns="http://schemas.openxmlformats.org/spreadsheetml/2006/main" name="ExternalData_15" connectionId="876" autoFormatId="16" applyNumberFormats="0" applyBorderFormats="0" applyFontFormats="1" applyPatternFormats="1" applyAlignmentFormats="0" applyWidthHeightFormats="0"/>
</file>

<file path=xl/queryTables/queryTable928.xml><?xml version="1.0" encoding="utf-8"?>
<queryTable xmlns="http://schemas.openxmlformats.org/spreadsheetml/2006/main" name="DadosExternos_404" connectionId="439" autoFormatId="16" applyNumberFormats="0" applyBorderFormats="0" applyFontFormats="1" applyPatternFormats="1" applyAlignmentFormats="0" applyWidthHeightFormats="0"/>
</file>

<file path=xl/queryTables/queryTable929.xml><?xml version="1.0" encoding="utf-8"?>
<queryTable xmlns="http://schemas.openxmlformats.org/spreadsheetml/2006/main" name="DadosExternos_177" connectionId="748" autoFormatId="16" applyNumberFormats="0" applyBorderFormats="0" applyFontFormats="1" applyPatternFormats="1" applyAlignmentFormats="0" applyWidthHeightFormats="0"/>
</file>

<file path=xl/queryTables/queryTable930.xml><?xml version="1.0" encoding="utf-8"?>
<queryTable xmlns="http://schemas.openxmlformats.org/spreadsheetml/2006/main" name="DadosExternos_168" connectionId="709" autoFormatId="16" applyNumberFormats="0" applyBorderFormats="0" applyFontFormats="1" applyPatternFormats="1" applyAlignmentFormats="0" applyWidthHeightFormats="0"/>
</file>

<file path=xl/queryTables/queryTable931.xml><?xml version="1.0" encoding="utf-8"?>
<queryTable xmlns="http://schemas.openxmlformats.org/spreadsheetml/2006/main" name="DadosExternos_270" connectionId="343" autoFormatId="16" applyNumberFormats="0" applyBorderFormats="0" applyFontFormats="1" applyPatternFormats="1" applyAlignmentFormats="0" applyWidthHeightFormats="0"/>
</file>

<file path=xl/queryTables/queryTable932.xml><?xml version="1.0" encoding="utf-8"?>
<queryTable xmlns="http://schemas.openxmlformats.org/spreadsheetml/2006/main" name="DadosExternos_323" connectionId="492" autoFormatId="16" applyNumberFormats="0" applyBorderFormats="0" applyFontFormats="1" applyPatternFormats="1" applyAlignmentFormats="0" applyWidthHeightFormats="0"/>
</file>

<file path=xl/queryTables/queryTable933.xml><?xml version="1.0" encoding="utf-8"?>
<queryTable xmlns="http://schemas.openxmlformats.org/spreadsheetml/2006/main" name="DadosExternos_207" connectionId="145" autoFormatId="16" applyNumberFormats="0" applyBorderFormats="0" applyFontFormats="1" applyPatternFormats="1" applyAlignmentFormats="0" applyWidthHeightFormats="0"/>
</file>

<file path=xl/queryTables/queryTable934.xml><?xml version="1.0" encoding="utf-8"?>
<queryTable xmlns="http://schemas.openxmlformats.org/spreadsheetml/2006/main" name="DadosExternos_220" connectionId="182" autoFormatId="16" applyNumberFormats="0" applyBorderFormats="0" applyFontFormats="1" applyPatternFormats="1" applyAlignmentFormats="0" applyWidthHeightFormats="0"/>
</file>

<file path=xl/queryTables/queryTable935.xml><?xml version="1.0" encoding="utf-8"?>
<queryTable xmlns="http://schemas.openxmlformats.org/spreadsheetml/2006/main" name="DadosExternos_62" connectionId="472" autoFormatId="16" applyNumberFormats="0" applyBorderFormats="0" applyFontFormats="1" applyPatternFormats="1" applyAlignmentFormats="0" applyWidthHeightFormats="0"/>
</file>

<file path=xl/queryTables/queryTable936.xml><?xml version="1.0" encoding="utf-8"?>
<queryTable xmlns="http://schemas.openxmlformats.org/spreadsheetml/2006/main" name="DadosExternos_338" connectionId="528" autoFormatId="16" applyNumberFormats="0" applyBorderFormats="0" applyFontFormats="1" applyPatternFormats="1" applyAlignmentFormats="0" applyWidthHeightFormats="0"/>
</file>

<file path=xl/queryTables/queryTable937.xml><?xml version="1.0" encoding="utf-8"?>
<queryTable xmlns="http://schemas.openxmlformats.org/spreadsheetml/2006/main" name="DadosExternos_308" connectionId="465" autoFormatId="16" applyNumberFormats="0" applyBorderFormats="0" applyFontFormats="1" applyPatternFormats="1" applyAlignmentFormats="0" applyWidthHeightFormats="0"/>
</file>

<file path=xl/queryTables/queryTable938.xml><?xml version="1.0" encoding="utf-8"?>
<queryTable xmlns="http://schemas.openxmlformats.org/spreadsheetml/2006/main" name="DadosExternos_48" connectionId="269" autoFormatId="16" applyNumberFormats="0" applyBorderFormats="0" applyFontFormats="1" applyPatternFormats="1" applyAlignmentFormats="0" applyWidthHeightFormats="0"/>
</file>

<file path=xl/queryTables/queryTable939.xml><?xml version="1.0" encoding="utf-8"?>
<queryTable xmlns="http://schemas.openxmlformats.org/spreadsheetml/2006/main" name="DadosExternos_325" connectionId="496" autoFormatId="16" applyNumberFormats="0" applyBorderFormats="0" applyFontFormats="1" applyPatternFormats="1" applyAlignmentFormats="0" applyWidthHeightFormats="0"/>
</file>

<file path=xl/queryTables/queryTable940.xml><?xml version="1.0" encoding="utf-8"?>
<queryTable xmlns="http://schemas.openxmlformats.org/spreadsheetml/2006/main" name="DadosExternos_461" connectionId="27" autoFormatId="16" applyNumberFormats="0" applyBorderFormats="0" applyFontFormats="1" applyPatternFormats="1" applyAlignmentFormats="0" applyWidthHeightFormats="0"/>
</file>

<file path=xl/queryTables/queryTable941.xml><?xml version="1.0" encoding="utf-8"?>
<queryTable xmlns="http://schemas.openxmlformats.org/spreadsheetml/2006/main" name="DadosExternos_300" connectionId="450" autoFormatId="16" applyNumberFormats="0" applyBorderFormats="0" applyFontFormats="1" applyPatternFormats="1" applyAlignmentFormats="0" applyWidthHeightFormats="0"/>
</file>

<file path=xl/queryTables/queryTable942.xml><?xml version="1.0" encoding="utf-8"?>
<queryTable xmlns="http://schemas.openxmlformats.org/spreadsheetml/2006/main" name="ExternalData_71" connectionId="931" autoFormatId="16" applyNumberFormats="0" applyBorderFormats="0" applyFontFormats="1" applyPatternFormats="1" applyAlignmentFormats="0" applyWidthHeightFormats="0"/>
</file>

<file path=xl/queryTables/queryTable943.xml><?xml version="1.0" encoding="utf-8"?>
<queryTable xmlns="http://schemas.openxmlformats.org/spreadsheetml/2006/main" name="DadosExternos_282" connectionId="388" autoFormatId="16" applyNumberFormats="0" applyBorderFormats="0" applyFontFormats="1" applyPatternFormats="1" applyAlignmentFormats="0" applyWidthHeightFormats="0"/>
</file>

<file path=xl/queryTables/queryTable944.xml><?xml version="1.0" encoding="utf-8"?>
<queryTable xmlns="http://schemas.openxmlformats.org/spreadsheetml/2006/main" name="DadosExternos_259" connectionId="302" autoFormatId="16" applyNumberFormats="0" applyBorderFormats="0" applyFontFormats="1" applyPatternFormats="1" applyAlignmentFormats="0" applyWidthHeightFormats="0"/>
</file>

<file path=xl/queryTables/queryTable945.xml><?xml version="1.0" encoding="utf-8"?>
<queryTable xmlns="http://schemas.openxmlformats.org/spreadsheetml/2006/main" name="DadosExternos_288" connectionId="407" autoFormatId="16" applyNumberFormats="0" applyBorderFormats="0" applyFontFormats="1" applyPatternFormats="1" applyAlignmentFormats="0" applyWidthHeightFormats="0"/>
</file>

<file path=xl/queryTables/queryTable946.xml><?xml version="1.0" encoding="utf-8"?>
<queryTable xmlns="http://schemas.openxmlformats.org/spreadsheetml/2006/main" name="DadosExternos_56" connectionId="381" autoFormatId="16" applyNumberFormats="0" applyBorderFormats="0" applyFontFormats="1" applyPatternFormats="1" applyAlignmentFormats="0" applyWidthHeightFormats="0"/>
</file>

<file path=xl/queryTables/queryTable947.xml><?xml version="1.0" encoding="utf-8"?>
<queryTable xmlns="http://schemas.openxmlformats.org/spreadsheetml/2006/main" name="DadosExternos_382" connectionId="82" autoFormatId="16" applyNumberFormats="0" applyBorderFormats="0" applyFontFormats="1" applyPatternFormats="1" applyAlignmentFormats="0" applyWidthHeightFormats="0"/>
</file>

<file path=xl/queryTables/queryTable948.xml><?xml version="1.0" encoding="utf-8"?>
<queryTable xmlns="http://schemas.openxmlformats.org/spreadsheetml/2006/main" name="ExternalData_9" connectionId="1077" autoFormatId="16" applyNumberFormats="0" applyBorderFormats="0" applyFontFormats="1" applyPatternFormats="1" applyAlignmentFormats="0" applyWidthHeightFormats="0"/>
</file>

<file path=xl/queryTables/queryTable949.xml><?xml version="1.0" encoding="utf-8"?>
<queryTable xmlns="http://schemas.openxmlformats.org/spreadsheetml/2006/main" name="DadosExternos_46" connectionId="231" autoFormatId="16" applyNumberFormats="0" applyBorderFormats="0" applyFontFormats="1" applyPatternFormats="1" applyAlignmentFormats="0" applyWidthHeightFormats="0"/>
</file>

<file path=xl/queryTables/queryTable950.xml><?xml version="1.0" encoding="utf-8"?>
<queryTable xmlns="http://schemas.openxmlformats.org/spreadsheetml/2006/main" name="DadosExternos_411" connectionId="550" autoFormatId="16" applyNumberFormats="0" applyBorderFormats="0" applyFontFormats="1" applyPatternFormats="1" applyAlignmentFormats="0" applyWidthHeightFormats="0"/>
</file>

<file path=xl/queryTables/queryTable951.xml><?xml version="1.0" encoding="utf-8"?>
<queryTable xmlns="http://schemas.openxmlformats.org/spreadsheetml/2006/main" name="DadosExternos_36" connectionId="9" autoFormatId="16" applyNumberFormats="0" applyBorderFormats="0" applyFontFormats="1" applyPatternFormats="1" applyAlignmentFormats="0" applyWidthHeightFormats="0"/>
</file>

<file path=xl/queryTables/queryTable952.xml><?xml version="1.0" encoding="utf-8"?>
<queryTable xmlns="http://schemas.openxmlformats.org/spreadsheetml/2006/main" name="ExternalData_55" connectionId="943" autoFormatId="16" applyNumberFormats="0" applyBorderFormats="0" applyFontFormats="1" applyPatternFormats="1" applyAlignmentFormats="0" applyWidthHeightFormats="0"/>
</file>

<file path=xl/queryTables/queryTable953.xml><?xml version="1.0" encoding="utf-8"?>
<queryTable xmlns="http://schemas.openxmlformats.org/spreadsheetml/2006/main" name="DadosExternos_45" connectionId="214" autoFormatId="16" applyNumberFormats="0" applyBorderFormats="0" applyFontFormats="1" applyPatternFormats="1" applyAlignmentFormats="0" applyWidthHeightFormats="0"/>
</file>

<file path=xl/queryTables/queryTable954.xml><?xml version="1.0" encoding="utf-8"?>
<queryTable xmlns="http://schemas.openxmlformats.org/spreadsheetml/2006/main" name="DadosExternos_442" connectionId="734" autoFormatId="16" applyNumberFormats="0" applyBorderFormats="0" applyFontFormats="1" applyPatternFormats="1" applyAlignmentFormats="0" applyWidthHeightFormats="0"/>
</file>

<file path=xl/queryTables/queryTable955.xml><?xml version="1.0" encoding="utf-8"?>
<queryTable xmlns="http://schemas.openxmlformats.org/spreadsheetml/2006/main" name="DadosExternos_163" connectionId="683" autoFormatId="16" applyNumberFormats="0" applyBorderFormats="0" applyFontFormats="1" applyPatternFormats="1" applyAlignmentFormats="0" applyWidthHeightFormats="0"/>
</file>

<file path=xl/queryTables/queryTable956.xml><?xml version="1.0" encoding="utf-8"?>
<queryTable xmlns="http://schemas.openxmlformats.org/spreadsheetml/2006/main" name="ExternalData_24" connectionId="812" autoFormatId="16" applyNumberFormats="0" applyBorderFormats="0" applyFontFormats="1" applyPatternFormats="1" applyAlignmentFormats="0" applyWidthHeightFormats="0"/>
</file>

<file path=xl/queryTables/queryTable957.xml><?xml version="1.0" encoding="utf-8"?>
<queryTable xmlns="http://schemas.openxmlformats.org/spreadsheetml/2006/main" name="ExternalData_65" connectionId="1056" autoFormatId="16" applyNumberFormats="0" applyBorderFormats="0" applyFontFormats="1" applyPatternFormats="1" applyAlignmentFormats="0" applyWidthHeightFormats="0"/>
</file>

<file path=xl/queryTables/queryTable958.xml><?xml version="1.0" encoding="utf-8"?>
<queryTable xmlns="http://schemas.openxmlformats.org/spreadsheetml/2006/main" name="DadosExternos_180" connectionId="757" autoFormatId="16" applyNumberFormats="0" applyBorderFormats="0" applyFontFormats="1" applyPatternFormats="1" applyAlignmentFormats="0" applyWidthHeightFormats="0"/>
</file>

<file path=xl/queryTables/queryTable959.xml><?xml version="1.0" encoding="utf-8"?>
<queryTable xmlns="http://schemas.openxmlformats.org/spreadsheetml/2006/main" name="DadosExternos_304" connectionId="454" autoFormatId="16" applyNumberFormats="0" applyBorderFormats="0" applyFontFormats="1" applyPatternFormats="1" applyAlignmentFormats="0" applyWidthHeightFormats="0"/>
</file>

<file path=xl/queryTables/queryTable960.xml><?xml version="1.0" encoding="utf-8"?>
<queryTable xmlns="http://schemas.openxmlformats.org/spreadsheetml/2006/main" name="DadosExternos_188" connectionId="28" autoFormatId="16" applyNumberFormats="0" applyBorderFormats="0" applyFontFormats="1" applyPatternFormats="1" applyAlignmentFormats="0" applyWidthHeightFormats="0"/>
</file>

<file path=xl/queryTables/queryTable961.xml><?xml version="1.0" encoding="utf-8"?>
<queryTable xmlns="http://schemas.openxmlformats.org/spreadsheetml/2006/main" name="DadosExternos_1" connectionId="787" autoFormatId="16" applyNumberFormats="0" applyBorderFormats="0" applyFontFormats="1" applyPatternFormats="1" applyAlignmentFormats="0" applyWidthHeightFormats="0"/>
</file>

<file path=xl/queryTables/queryTable962.xml><?xml version="1.0" encoding="utf-8"?>
<queryTable xmlns="http://schemas.openxmlformats.org/spreadsheetml/2006/main" name="DadosExternos_271" connectionId="346" autoFormatId="16" applyNumberFormats="0" applyBorderFormats="0" applyFontFormats="1" applyPatternFormats="1" applyAlignmentFormats="0" applyWidthHeightFormats="0"/>
</file>

<file path=xl/queryTables/queryTable963.xml><?xml version="1.0" encoding="utf-8"?>
<queryTable xmlns="http://schemas.openxmlformats.org/spreadsheetml/2006/main" name="DadosExternos_262" connectionId="316" autoFormatId="16" applyNumberFormats="0" applyBorderFormats="0" applyFontFormats="1" applyPatternFormats="1" applyAlignmentFormats="0" applyWidthHeightFormats="0"/>
</file>

<file path=xl/queryTables/queryTable964.xml><?xml version="1.0" encoding="utf-8"?>
<queryTable xmlns="http://schemas.openxmlformats.org/spreadsheetml/2006/main" name="ExternalData_68" connectionId="1083" autoFormatId="16" applyNumberFormats="0" applyBorderFormats="0" applyFontFormats="1" applyPatternFormats="1" applyAlignmentFormats="0" applyWidthHeightFormats="0"/>
</file>

<file path=xl/queryTables/queryTable965.xml><?xml version="1.0" encoding="utf-8"?>
<queryTable xmlns="http://schemas.openxmlformats.org/spreadsheetml/2006/main" name="DadosExternos_26" connectionId="767" autoFormatId="16" applyNumberFormats="0" applyBorderFormats="0" applyFontFormats="1" applyPatternFormats="1" applyAlignmentFormats="0" applyWidthHeightFormats="0"/>
</file>

<file path=xl/queryTables/queryTable966.xml><?xml version="1.0" encoding="utf-8"?>
<queryTable xmlns="http://schemas.openxmlformats.org/spreadsheetml/2006/main" name="DadosExternos_34" connectionId="745" autoFormatId="16" applyNumberFormats="0" applyBorderFormats="0" applyFontFormats="1" applyPatternFormats="1" applyAlignmentFormats="0" applyWidthHeightFormats="0"/>
</file>

<file path=xl/queryTables/queryTable967.xml><?xml version="1.0" encoding="utf-8"?>
<queryTable xmlns="http://schemas.openxmlformats.org/spreadsheetml/2006/main" name="DadosExternos_65" connectionId="524" autoFormatId="16" applyNumberFormats="0" applyBorderFormats="0" applyFontFormats="1" applyPatternFormats="1" applyAlignmentFormats="0" applyWidthHeightFormats="0"/>
</file>

<file path=xl/queryTables/queryTable968.xml><?xml version="1.0" encoding="utf-8"?>
<queryTable xmlns="http://schemas.openxmlformats.org/spreadsheetml/2006/main" name="DadosExternos_441" connectionId="711" autoFormatId="16" applyNumberFormats="0" applyBorderFormats="0" applyFontFormats="1" applyPatternFormats="1" applyAlignmentFormats="0" applyWidthHeightFormats="0"/>
</file>

<file path=xl/queryTables/queryTable969.xml><?xml version="1.0" encoding="utf-8"?>
<queryTable xmlns="http://schemas.openxmlformats.org/spreadsheetml/2006/main" name="DadosExternos_149" connectionId="628" autoFormatId="16" applyNumberFormats="0" applyBorderFormats="0" applyFontFormats="1" applyPatternFormats="1" applyAlignmentFormats="0" applyWidthHeightFormats="0"/>
</file>

<file path=xl/queryTables/queryTable970.xml><?xml version="1.0" encoding="utf-8"?>
<queryTable xmlns="http://schemas.openxmlformats.org/spreadsheetml/2006/main" name="DadosExternos_64" connectionId="508" autoFormatId="16" applyNumberFormats="0" applyBorderFormats="0" applyFontFormats="1" applyPatternFormats="1" applyAlignmentFormats="0" applyWidthHeightFormats="0"/>
</file>

<file path=xl/queryTables/queryTable971.xml><?xml version="1.0" encoding="utf-8"?>
<queryTable xmlns="http://schemas.openxmlformats.org/spreadsheetml/2006/main" name="DadosExternos_171" connectionId="720" autoFormatId="16" applyNumberFormats="0" applyBorderFormats="0" applyFontFormats="1" applyPatternFormats="1" applyAlignmentFormats="0" applyWidthHeightFormats="0"/>
</file>

<file path=xl/queryTables/queryTable972.xml><?xml version="1.0" encoding="utf-8"?>
<queryTable xmlns="http://schemas.openxmlformats.org/spreadsheetml/2006/main" name="DadosExternos_410" connectionId="536" autoFormatId="16" applyNumberFormats="0" applyBorderFormats="0" applyFontFormats="1" applyPatternFormats="1" applyAlignmentFormats="0" applyWidthHeightFormats="0"/>
</file>

<file path=xl/queryTables/queryTable973.xml><?xml version="1.0" encoding="utf-8"?>
<queryTable xmlns="http://schemas.openxmlformats.org/spreadsheetml/2006/main" name="DadosExternos_119" connectionId="291" autoFormatId="16" applyNumberFormats="0" applyBorderFormats="0" applyFontFormats="1" applyPatternFormats="1" applyAlignmentFormats="0" applyWidthHeightFormats="0"/>
</file>

<file path=xl/queryTables/queryTable974.xml><?xml version="1.0" encoding="utf-8"?>
<queryTable xmlns="http://schemas.openxmlformats.org/spreadsheetml/2006/main" name="DadosExternos_468" connectionId="66" autoFormatId="16" applyNumberFormats="0" applyBorderFormats="0" applyFontFormats="1" applyPatternFormats="1" applyAlignmentFormats="0" applyWidthHeightFormats="0"/>
</file>

<file path=xl/queryTables/queryTable975.xml><?xml version="1.0" encoding="utf-8"?>
<queryTable xmlns="http://schemas.openxmlformats.org/spreadsheetml/2006/main" name="DadosExternos_148" connectionId="625" autoFormatId="16" applyNumberFormats="0" applyBorderFormats="0" applyFontFormats="1" applyPatternFormats="1" applyAlignmentFormats="0" applyWidthHeightFormats="0"/>
</file>

<file path=xl/queryTables/queryTable976.xml><?xml version="1.0" encoding="utf-8"?>
<queryTable xmlns="http://schemas.openxmlformats.org/spreadsheetml/2006/main" name="DadosExternos_305" connectionId="456" autoFormatId="16" applyNumberFormats="0" applyBorderFormats="0" applyFontFormats="1" applyPatternFormats="1" applyAlignmentFormats="0" applyWidthHeightFormats="0"/>
</file>

<file path=xl/queryTables/queryTable977.xml><?xml version="1.0" encoding="utf-8"?>
<queryTable xmlns="http://schemas.openxmlformats.org/spreadsheetml/2006/main" name="DadosExternos_211" connectionId="153" autoFormatId="16" applyNumberFormats="0" applyBorderFormats="0" applyFontFormats="1" applyPatternFormats="1" applyAlignmentFormats="0" applyWidthHeightFormats="0"/>
</file>

<file path=xl/queryTables/queryTable978.xml><?xml version="1.0" encoding="utf-8"?>
<queryTable xmlns="http://schemas.openxmlformats.org/spreadsheetml/2006/main" name="DadosExternos_116" connectionId="259" autoFormatId="16" applyNumberFormats="0" applyBorderFormats="0" applyFontFormats="1" applyPatternFormats="1" applyAlignmentFormats="0" applyWidthHeightFormats="0"/>
</file>

<file path=xl/queryTables/queryTable979.xml><?xml version="1.0" encoding="utf-8"?>
<queryTable xmlns="http://schemas.openxmlformats.org/spreadsheetml/2006/main" name="DadosExternos_333" connectionId="516" autoFormatId="16" applyNumberFormats="0" applyBorderFormats="0" applyFontFormats="1" applyPatternFormats="1" applyAlignmentFormats="0" applyWidthHeightFormats="0"/>
</file>

<file path=xl/queryTables/queryTable980.xml><?xml version="1.0" encoding="utf-8"?>
<queryTable xmlns="http://schemas.openxmlformats.org/spreadsheetml/2006/main" name="DadosExternos_153" connectionId="642" autoFormatId="16" applyNumberFormats="0" applyBorderFormats="0" applyFontFormats="1" applyPatternFormats="1" applyAlignmentFormats="0" applyWidthHeightFormats="0"/>
</file>

<file path=xl/queryTables/queryTable981.xml><?xml version="1.0" encoding="utf-8"?>
<queryTable xmlns="http://schemas.openxmlformats.org/spreadsheetml/2006/main" name="ExternalData_72" connectionId="940" autoFormatId="16" applyNumberFormats="0" applyBorderFormats="0" applyFontFormats="1" applyPatternFormats="1" applyAlignmentFormats="0" applyWidthHeightFormats="0"/>
</file>

<file path=xl/queryTables/queryTable982.xml><?xml version="1.0" encoding="utf-8"?>
<queryTable xmlns="http://schemas.openxmlformats.org/spreadsheetml/2006/main" name="DadosExternos_157" connectionId="663" autoFormatId="16" applyNumberFormats="0" applyBorderFormats="0" applyFontFormats="1" applyPatternFormats="1" applyAlignmentFormats="0" applyWidthHeightFormats="0"/>
</file>

<file path=xl/queryTables/queryTable983.xml><?xml version="1.0" encoding="utf-8"?>
<queryTable xmlns="http://schemas.openxmlformats.org/spreadsheetml/2006/main" name="DadosExternos_175" connectionId="733" autoFormatId="16" applyNumberFormats="0" applyBorderFormats="0" applyFontFormats="1" applyPatternFormats="1" applyAlignmentFormats="0" applyWidthHeightFormats="0"/>
</file>

<file path=xl/queryTables/queryTable984.xml><?xml version="1.0" encoding="utf-8"?>
<queryTable xmlns="http://schemas.openxmlformats.org/spreadsheetml/2006/main" name="DadosExternos_209" connectionId="149" autoFormatId="16" applyNumberFormats="0" applyBorderFormats="0" applyFontFormats="1" applyPatternFormats="1" applyAlignmentFormats="0" applyWidthHeightFormats="0"/>
</file>

<file path=xl/queryTables/queryTable985.xml><?xml version="1.0" encoding="utf-8"?>
<queryTable xmlns="http://schemas.openxmlformats.org/spreadsheetml/2006/main" name="DadosExternos_215" connectionId="166" autoFormatId="16" applyNumberFormats="0" applyBorderFormats="0" applyFontFormats="1" applyPatternFormats="1" applyAlignmentFormats="0" applyWidthHeightFormats="0"/>
</file>

<file path=xl/queryTables/queryTable986.xml><?xml version="1.0" encoding="utf-8"?>
<queryTable xmlns="http://schemas.openxmlformats.org/spreadsheetml/2006/main" name="ExternalData_30" connectionId="944" autoFormatId="16" applyNumberFormats="0" applyBorderFormats="0" applyFontFormats="1" applyPatternFormats="1" applyAlignmentFormats="0" applyWidthHeightFormats="0"/>
</file>

<file path=xl/queryTables/queryTable987.xml><?xml version="1.0" encoding="utf-8"?>
<queryTable xmlns="http://schemas.openxmlformats.org/spreadsheetml/2006/main" name="DadosExternos_246" connectionId="265" autoFormatId="16" applyNumberFormats="0" applyBorderFormats="0" applyFontFormats="1" applyPatternFormats="1" applyAlignmentFormats="0" applyWidthHeightFormats="0"/>
</file>

<file path=xl/queryTables/queryTable988.xml><?xml version="1.0" encoding="utf-8"?>
<queryTable xmlns="http://schemas.openxmlformats.org/spreadsheetml/2006/main" name="DadosExternos_29" connectionId="403" autoFormatId="16" applyNumberFormats="0" applyBorderFormats="0" applyFontFormats="1" applyPatternFormats="1" applyAlignmentFormats="0" applyWidthHeightFormats="0"/>
</file>

<file path=xl/queryTables/queryTable989.xml><?xml version="1.0" encoding="utf-8"?>
<queryTable xmlns="http://schemas.openxmlformats.org/spreadsheetml/2006/main" name="ExternalData_49" connectionId="853" autoFormatId="16" applyNumberFormats="0" applyBorderFormats="0" applyFontFormats="1" applyPatternFormats="1" applyAlignmentFormats="0" applyWidthHeightFormats="0"/>
</file>

<file path=xl/queryTables/queryTable990.xml><?xml version="1.0" encoding="utf-8"?>
<queryTable xmlns="http://schemas.openxmlformats.org/spreadsheetml/2006/main" name="DadosExternos_402" connectionId="408" autoFormatId="16" applyNumberFormats="0" applyBorderFormats="0" applyFontFormats="1" applyPatternFormats="1" applyAlignmentFormats="0" applyWidthHeightFormats="0"/>
</file>

<file path=xl/queryTables/queryTable991.xml><?xml version="1.0" encoding="utf-8"?>
<queryTable xmlns="http://schemas.openxmlformats.org/spreadsheetml/2006/main" name="ExternalData_18" connectionId="856" autoFormatId="16" applyNumberFormats="0" applyBorderFormats="0" applyFontFormats="1" applyPatternFormats="1" applyAlignmentFormats="0" applyWidthHeightFormats="0"/>
</file>

<file path=xl/queryTables/queryTable992.xml><?xml version="1.0" encoding="utf-8"?>
<queryTable xmlns="http://schemas.openxmlformats.org/spreadsheetml/2006/main" name="ExternalData_56" connectionId="948" autoFormatId="16" applyNumberFormats="0" applyBorderFormats="0" applyFontFormats="1" applyPatternFormats="1" applyAlignmentFormats="0" applyWidthHeightFormats="0"/>
</file>

<file path=xl/queryTables/queryTable993.xml><?xml version="1.0" encoding="utf-8"?>
<queryTable xmlns="http://schemas.openxmlformats.org/spreadsheetml/2006/main" name="DadosExternos_174" connectionId="729" autoFormatId="16" applyNumberFormats="0" applyBorderFormats="0" applyFontFormats="1" applyPatternFormats="1" applyAlignmentFormats="0" applyWidthHeightFormats="0"/>
</file>

<file path=xl/queryTables/queryTable994.xml><?xml version="1.0" encoding="utf-8"?>
<queryTable xmlns="http://schemas.openxmlformats.org/spreadsheetml/2006/main" name="DadosExternos_128" connectionId="426" autoFormatId="16" applyNumberFormats="0" applyBorderFormats="0" applyFontFormats="1" applyPatternFormats="1" applyAlignmentFormats="0" applyWidthHeightFormats="0"/>
</file>

<file path=xl/queryTables/queryTable995.xml><?xml version="1.0" encoding="utf-8"?>
<queryTable xmlns="http://schemas.openxmlformats.org/spreadsheetml/2006/main" name="DadosExternos_160" connectionId="673" autoFormatId="16" applyNumberFormats="0" applyBorderFormats="0" applyFontFormats="1" applyPatternFormats="1" applyAlignmentFormats="0" applyWidthHeightFormats="0"/>
</file>

<file path=xl/queryTables/queryTable996.xml><?xml version="1.0" encoding="utf-8"?>
<queryTable xmlns="http://schemas.openxmlformats.org/spreadsheetml/2006/main" name="DadosExternos_169" connectionId="713" autoFormatId="16" applyNumberFormats="0" applyBorderFormats="0" applyFontFormats="1" applyPatternFormats="1" applyAlignmentFormats="0" applyWidthHeightFormats="0"/>
</file>

<file path=xl/queryTables/queryTable997.xml><?xml version="1.0" encoding="utf-8"?>
<queryTable xmlns="http://schemas.openxmlformats.org/spreadsheetml/2006/main" name="DadosExternos_41" connectionId="143" autoFormatId="16" applyNumberFormats="0" applyBorderFormats="0" applyFontFormats="1" applyPatternFormats="1" applyAlignmentFormats="0" applyWidthHeightFormats="0"/>
</file>

<file path=xl/queryTables/queryTable998.xml><?xml version="1.0" encoding="utf-8"?>
<queryTable xmlns="http://schemas.openxmlformats.org/spreadsheetml/2006/main" name="DadosExternos_365" connectionId="578" autoFormatId="16" applyNumberFormats="0" applyBorderFormats="0" applyFontFormats="1" applyPatternFormats="1" applyAlignmentFormats="0" applyWidthHeightFormats="0"/>
</file>

<file path=xl/queryTables/queryTable999.xml><?xml version="1.0" encoding="utf-8"?>
<queryTable xmlns="http://schemas.openxmlformats.org/spreadsheetml/2006/main" name="DadosExternos_71" connectionId="557" autoFormatId="16" applyNumberFormats="0" applyBorderFormats="0" applyFontFormats="1" applyPatternFormats="1" applyAlignmentFormats="0" applyWidthHeightFormats="0"/>
</file>

<file path=xl/queryTables/queryTable1000.xml><?xml version="1.0" encoding="utf-8"?>
<queryTable xmlns="http://schemas.openxmlformats.org/spreadsheetml/2006/main" name="DadosExternos_293" connectionId="429" autoFormatId="16" applyNumberFormats="0" applyBorderFormats="0" applyFontFormats="1" applyPatternFormats="1" applyAlignmentFormats="0" applyWidthHeightFormats="0"/>
</file>

<file path=xl/queryTables/queryTable1001.xml><?xml version="1.0" encoding="utf-8"?>
<queryTable xmlns="http://schemas.openxmlformats.org/spreadsheetml/2006/main" name="DadosExternos_421" connectionId="626" autoFormatId="16" applyNumberFormats="0" applyBorderFormats="0" applyFontFormats="1" applyPatternFormats="1" applyAlignmentFormats="0" applyWidthHeightFormats="0"/>
</file>

<file path=xl/queryTables/queryTable1002.xml><?xml version="1.0" encoding="utf-8"?>
<queryTable xmlns="http://schemas.openxmlformats.org/spreadsheetml/2006/main" name="DadosExternos_68" connectionId="59" autoFormatId="16" applyNumberFormats="0" applyBorderFormats="0" applyFontFormats="1" applyPatternFormats="1" applyAlignmentFormats="0" applyWidthHeightFormats="0"/>
</file>

<file path=xl/queryTables/queryTable1003.xml><?xml version="1.0" encoding="utf-8"?>
<queryTable xmlns="http://schemas.openxmlformats.org/spreadsheetml/2006/main" name="ExternalData_22" connectionId="1099" autoFormatId="16" applyNumberFormats="0" applyBorderFormats="0" applyFontFormats="1" applyPatternFormats="1" applyAlignmentFormats="0" applyWidthHeightFormats="0"/>
</file>

<file path=xl/queryTables/queryTable1004.xml><?xml version="1.0" encoding="utf-8"?>
<queryTable xmlns="http://schemas.openxmlformats.org/spreadsheetml/2006/main" name="DadosExternos_239" connectionId="224" autoFormatId="16" applyNumberFormats="0" applyBorderFormats="0" applyFontFormats="1" applyPatternFormats="1" applyAlignmentFormats="0" applyWidthHeightFormats="0"/>
</file>

<file path=xl/queryTables/queryTable1005.xml><?xml version="1.0" encoding="utf-8"?>
<queryTable xmlns="http://schemas.openxmlformats.org/spreadsheetml/2006/main" name="DadosExternos_53" connectionId="336" autoFormatId="16" applyNumberFormats="0" applyBorderFormats="0" applyFontFormats="1" applyPatternFormats="1" applyAlignmentFormats="0" applyWidthHeightFormats="0"/>
</file>

<file path=xl/queryTables/queryTable1006.xml><?xml version="1.0" encoding="utf-8"?>
<queryTable xmlns="http://schemas.openxmlformats.org/spreadsheetml/2006/main" name="DadosExternos_217" connectionId="171" autoFormatId="16" applyNumberFormats="0" applyBorderFormats="0" applyFontFormats="1" applyPatternFormats="1" applyAlignmentFormats="0" applyWidthHeightFormats="0"/>
</file>

<file path=xl/queryTables/queryTable1007.xml><?xml version="1.0" encoding="utf-8"?>
<queryTable xmlns="http://schemas.openxmlformats.org/spreadsheetml/2006/main" name="DadosExternos_390" connectionId="227" autoFormatId="16" applyNumberFormats="0" applyBorderFormats="0" applyFontFormats="1" applyPatternFormats="1" applyAlignmentFormats="0" applyWidthHeightFormats="0"/>
</file>

<file path=xl/queryTables/queryTable1008.xml><?xml version="1.0" encoding="utf-8"?>
<queryTable xmlns="http://schemas.openxmlformats.org/spreadsheetml/2006/main" name="DadosExternos_104" connectionId="779" autoFormatId="16" applyNumberFormats="0" applyBorderFormats="0" applyFontFormats="1" applyPatternFormats="1" applyAlignmentFormats="0" applyWidthHeightFormats="0"/>
</file>

<file path=xl/queryTables/queryTable1009.xml><?xml version="1.0" encoding="utf-8"?>
<queryTable xmlns="http://schemas.openxmlformats.org/spreadsheetml/2006/main" name="DadosExternos_206" connectionId="139" autoFormatId="16" applyNumberFormats="0" applyBorderFormats="0" applyFontFormats="1" applyPatternFormats="1" applyAlignmentFormats="0" applyWidthHeightFormats="0"/>
</file>

<file path=xl/queryTables/queryTable1010.xml><?xml version="1.0" encoding="utf-8"?>
<queryTable xmlns="http://schemas.openxmlformats.org/spreadsheetml/2006/main" name="DadosExternos_12" connectionId="76" autoFormatId="16" applyNumberFormats="0" applyBorderFormats="0" applyFontFormats="1" applyPatternFormats="1" applyAlignmentFormats="0" applyWidthHeightFormats="0"/>
</file>

<file path=xl/queryTables/queryTable1011.xml><?xml version="1.0" encoding="utf-8"?>
<queryTable xmlns="http://schemas.openxmlformats.org/spreadsheetml/2006/main" name="DadosExternos_197" connectionId="100" autoFormatId="16" applyNumberFormats="0" applyBorderFormats="0" applyFontFormats="1" applyPatternFormats="1" applyAlignmentFormats="0" applyWidthHeightFormats="0"/>
</file>

<file path=xl/queryTables/queryTable1012.xml><?xml version="1.0" encoding="utf-8"?>
<queryTable xmlns="http://schemas.openxmlformats.org/spreadsheetml/2006/main" name="DadosExternos_152" connectionId="638" autoFormatId="16" applyNumberFormats="0" applyBorderFormats="0" applyFontFormats="1" applyPatternFormats="1" applyAlignmentFormats="0" applyWidthHeightFormats="0"/>
</file>

<file path=xl/queryTables/queryTable1013.xml><?xml version="1.0" encoding="utf-8"?>
<queryTable xmlns="http://schemas.openxmlformats.org/spreadsheetml/2006/main" name="DadosExternos_466" connectionId="51" autoFormatId="16" applyNumberFormats="0" applyBorderFormats="0" applyFontFormats="1" applyPatternFormats="1" applyAlignmentFormats="0" applyWidthHeightFormats="0"/>
</file>

<file path=xl/queryTables/queryTable1014.xml><?xml version="1.0" encoding="utf-8"?>
<queryTable xmlns="http://schemas.openxmlformats.org/spreadsheetml/2006/main" name="DadosExternos_21" connectionId="63" autoFormatId="16" applyNumberFormats="0" applyBorderFormats="0" applyFontFormats="1" applyPatternFormats="1" applyAlignmentFormats="0" applyWidthHeightFormats="0"/>
</file>

<file path=xl/queryTables/queryTable1015.xml><?xml version="1.0" encoding="utf-8"?>
<queryTable xmlns="http://schemas.openxmlformats.org/spreadsheetml/2006/main" name="ExternalData_64" connectionId="1052" autoFormatId="16" applyNumberFormats="0" applyBorderFormats="0" applyFontFormats="1" applyPatternFormats="1" applyAlignmentFormats="0" applyWidthHeightFormats="0"/>
</file>

<file path=xl/queryTables/queryTable1016.xml><?xml version="1.0" encoding="utf-8"?>
<queryTable xmlns="http://schemas.openxmlformats.org/spreadsheetml/2006/main" name="DadosExternos_136" connectionId="555" autoFormatId="16" applyNumberFormats="0" applyBorderFormats="0" applyFontFormats="1" applyPatternFormats="1" applyAlignmentFormats="0" applyWidthHeightFormats="0"/>
</file>

<file path=xl/queryTables/queryTable1017.xml><?xml version="1.0" encoding="utf-8"?>
<queryTable xmlns="http://schemas.openxmlformats.org/spreadsheetml/2006/main" name="DadosExternos_28" connectionId="255" autoFormatId="16" applyNumberFormats="0" applyBorderFormats="0" applyFontFormats="1" applyPatternFormats="1" applyAlignmentFormats="0" applyWidthHeightFormats="0"/>
</file>

<file path=xl/queryTables/queryTable1018.xml><?xml version="1.0" encoding="utf-8"?>
<queryTable xmlns="http://schemas.openxmlformats.org/spreadsheetml/2006/main" name="DadosExternos_297" connectionId="438" autoFormatId="16" applyNumberFormats="0" applyBorderFormats="0" applyFontFormats="1" applyPatternFormats="1" applyAlignmentFormats="0" applyWidthHeightFormats="0"/>
</file>

<file path=xl/queryTables/queryTable1019.xml><?xml version="1.0" encoding="utf-8"?>
<queryTable xmlns="http://schemas.openxmlformats.org/spreadsheetml/2006/main" name="ExternalData_60" connectionId="969" autoFormatId="16" applyNumberFormats="0" applyBorderFormats="0" applyFontFormats="1" applyPatternFormats="1" applyAlignmentFormats="0" applyWidthHeightFormats="0"/>
</file>

<file path=xl/queryTables/queryTable1020.xml><?xml version="1.0" encoding="utf-8"?>
<queryTable xmlns="http://schemas.openxmlformats.org/spreadsheetml/2006/main" name="ExternalData_63" connectionId="984" autoFormatId="16" applyNumberFormats="0" applyBorderFormats="0" applyFontFormats="1" applyPatternFormats="1" applyAlignmentFormats="0" applyWidthHeightFormats="0"/>
</file>

<file path=xl/queryTables/queryTable1021.xml><?xml version="1.0" encoding="utf-8"?>
<queryTable xmlns="http://schemas.openxmlformats.org/spreadsheetml/2006/main" name="DadosExternos_451" connectionId="772" autoFormatId="16" applyNumberFormats="0" applyBorderFormats="0" applyFontFormats="1" applyPatternFormats="1" applyAlignmentFormats="0" applyWidthHeightFormats="0"/>
</file>

<file path=xl/queryTables/queryTable1022.xml><?xml version="1.0" encoding="utf-8"?>
<queryTable xmlns="http://schemas.openxmlformats.org/spreadsheetml/2006/main" name="DadosExternos_456" connectionId="802" autoFormatId="16" applyNumberFormats="0" applyBorderFormats="0" applyFontFormats="1" applyPatternFormats="1" applyAlignmentFormats="0" applyWidthHeightFormats="0"/>
</file>

<file path=xl/queryTables/queryTable1023.xml><?xml version="1.0" encoding="utf-8"?>
<queryTable xmlns="http://schemas.openxmlformats.org/spreadsheetml/2006/main" name="DadosExternos_307" connectionId="463" autoFormatId="16" applyNumberFormats="0" applyBorderFormats="0" applyFontFormats="1" applyPatternFormats="1" applyAlignmentFormats="0" applyWidthHeightFormats="0"/>
</file>

<file path=xl/queryTables/queryTable1024.xml><?xml version="1.0" encoding="utf-8"?>
<queryTable xmlns="http://schemas.openxmlformats.org/spreadsheetml/2006/main" name="DadosExternos_230" connectionId="207" autoFormatId="16" applyNumberFormats="0" applyBorderFormats="0" applyFontFormats="1" applyPatternFormats="1" applyAlignmentFormats="0" applyWidthHeightFormats="0"/>
</file>

<file path=xl/queryTables/queryTable1025.xml><?xml version="1.0" encoding="utf-8"?>
<queryTable xmlns="http://schemas.openxmlformats.org/spreadsheetml/2006/main" name="DadosExternos_281" connectionId="385" autoFormatId="16" applyNumberFormats="0" applyBorderFormats="0" applyFontFormats="1" applyPatternFormats="1" applyAlignmentFormats="0" applyWidthHeightFormats="0"/>
</file>

<file path=xl/queryTables/queryTable1026.xml><?xml version="1.0" encoding="utf-8"?>
<queryTable xmlns="http://schemas.openxmlformats.org/spreadsheetml/2006/main" name="DadosExternos_11" connectionId="798" autoFormatId="16" applyNumberFormats="0" applyBorderFormats="0" applyFontFormats="1" applyPatternFormats="1" applyAlignmentFormats="0" applyWidthHeightFormats="0"/>
</file>

<file path=xl/queryTables/queryTable1027.xml><?xml version="1.0" encoding="utf-8"?>
<queryTable xmlns="http://schemas.openxmlformats.org/spreadsheetml/2006/main" name="DadosExternos_38" connectionId="87" autoFormatId="16" applyNumberFormats="0" applyBorderFormats="0" applyFontFormats="1" applyPatternFormats="1" applyAlignmentFormats="0" applyWidthHeightFormats="0"/>
</file>

<file path=xl/queryTables/queryTable1028.xml><?xml version="1.0" encoding="utf-8"?>
<queryTable xmlns="http://schemas.openxmlformats.org/spreadsheetml/2006/main" name="DadosExternos_298" connectionId="441" autoFormatId="16" applyNumberFormats="0" applyBorderFormats="0" applyFontFormats="1" applyPatternFormats="1" applyAlignmentFormats="0" applyWidthHeightFormats="0"/>
</file>

<file path=xl/queryTables/queryTable1029.xml><?xml version="1.0" encoding="utf-8"?>
<queryTable xmlns="http://schemas.openxmlformats.org/spreadsheetml/2006/main" name="DadosExternos_439" connectionId="703" autoFormatId="16" applyNumberFormats="0" applyBorderFormats="0" applyFontFormats="1" applyPatternFormats="1" applyAlignmentFormats="0" applyWidthHeightFormats="0"/>
</file>

<file path=xl/queryTables/queryTable1030.xml><?xml version="1.0" encoding="utf-8"?>
<queryTable xmlns="http://schemas.openxmlformats.org/spreadsheetml/2006/main" name="DadosExternos_241" connectionId="235" autoFormatId="16" applyNumberFormats="0" applyBorderFormats="0" applyFontFormats="1" applyPatternFormats="1" applyAlignmentFormats="0" applyWidthHeightFormats="0"/>
</file>

<file path=xl/queryTables/queryTable1031.xml><?xml version="1.0" encoding="utf-8"?>
<queryTable xmlns="http://schemas.openxmlformats.org/spreadsheetml/2006/main" name="DadosExternos_195" connectionId="96" autoFormatId="16" applyNumberFormats="0" applyBorderFormats="0" applyFontFormats="1" applyPatternFormats="1" applyAlignmentFormats="0" applyWidthHeightFormats="0"/>
</file>

<file path=xl/queryTables/queryTable1032.xml><?xml version="1.0" encoding="utf-8"?>
<queryTable xmlns="http://schemas.openxmlformats.org/spreadsheetml/2006/main" name="DadosExternos_470" connectionId="95" autoFormatId="16" applyNumberFormats="0" applyBorderFormats="0" applyFontFormats="1" applyPatternFormats="1" applyAlignmentFormats="0" applyWidthHeightFormats="0"/>
</file>

<file path=xl/queryTables/queryTable1033.xml><?xml version="1.0" encoding="utf-8"?>
<queryTable xmlns="http://schemas.openxmlformats.org/spreadsheetml/2006/main" name="ExternalData_41" connectionId="989" autoFormatId="16" applyNumberFormats="0" applyBorderFormats="0" applyFontFormats="1" applyPatternFormats="1" applyAlignmentFormats="0" applyWidthHeightFormats="0"/>
</file>

<file path=xl/queryTables/queryTable1034.xml><?xml version="1.0" encoding="utf-8"?>
<queryTable xmlns="http://schemas.openxmlformats.org/spreadsheetml/2006/main" name="ExternalData_25" connectionId="880" autoFormatId="16" applyNumberFormats="0" applyBorderFormats="0" applyFontFormats="1" applyPatternFormats="1" applyAlignmentFormats="0" applyWidthHeightFormats="0"/>
</file>

<file path=xl/queryTables/queryTable1035.xml><?xml version="1.0" encoding="utf-8"?>
<queryTable xmlns="http://schemas.openxmlformats.org/spreadsheetml/2006/main" name="ExternalData_35" connectionId="981" autoFormatId="16" applyNumberFormats="0" applyBorderFormats="0" applyFontFormats="1" applyPatternFormats="1" applyAlignmentFormats="0" applyWidthHeightFormats="0"/>
</file>

<file path=xl/queryTables/queryTable1036.xml><?xml version="1.0" encoding="utf-8"?>
<queryTable xmlns="http://schemas.openxmlformats.org/spreadsheetml/2006/main" name="DadosExternos_230" connectionId="207" autoFormatId="16" applyNumberFormats="0" applyBorderFormats="0" applyFontFormats="1" applyPatternFormats="1" applyAlignmentFormats="0" applyWidthHeightFormats="0"/>
</file>

<file path=xl/queryTables/queryTable1037.xml><?xml version="1.0" encoding="utf-8"?>
<queryTable xmlns="http://schemas.openxmlformats.org/spreadsheetml/2006/main" name="ExternalData_122" connectionId="836" autoFormatId="16" applyNumberFormats="0" applyBorderFormats="0" applyFontFormats="1" applyPatternFormats="1" applyAlignmentFormats="0" applyWidthHeightFormats="0"/>
</file>

<file path=xl/queryTables/queryTable1038.xml><?xml version="1.0" encoding="utf-8"?>
<queryTable xmlns="http://schemas.openxmlformats.org/spreadsheetml/2006/main" name="DadosExternos_182" connectionId="763" autoFormatId="16" applyNumberFormats="0" applyBorderFormats="0" applyFontFormats="1" applyPatternFormats="1" applyAlignmentFormats="0" applyWidthHeightFormats="0"/>
</file>

<file path=xl/queryTables/queryTable1039.xml><?xml version="1.0" encoding="utf-8"?>
<queryTable xmlns="http://schemas.openxmlformats.org/spreadsheetml/2006/main" name="DadosExternos_342" connectionId="532" autoFormatId="16" applyNumberFormats="0" applyBorderFormats="0" applyFontFormats="1" applyPatternFormats="1" applyAlignmentFormats="0" applyWidthHeightFormats="0"/>
</file>

<file path=xl/queryTables/queryTable1040.xml><?xml version="1.0" encoding="utf-8"?>
<queryTable xmlns="http://schemas.openxmlformats.org/spreadsheetml/2006/main" name="DadosExternos_404" connectionId="442" autoFormatId="16" applyNumberFormats="0" applyBorderFormats="0" applyFontFormats="1" applyPatternFormats="1" applyAlignmentFormats="0" applyWidthHeightFormats="0"/>
</file>

<file path=xl/queryTables/queryTable1041.xml><?xml version="1.0" encoding="utf-8"?>
<queryTable xmlns="http://schemas.openxmlformats.org/spreadsheetml/2006/main" name="DadosExternos_276" connectionId="360" autoFormatId="16" applyNumberFormats="0" applyBorderFormats="0" applyFontFormats="1" applyPatternFormats="1" applyAlignmentFormats="0" applyWidthHeightFormats="0"/>
</file>

<file path=xl/queryTables/queryTable1042.xml><?xml version="1.0" encoding="utf-8"?>
<queryTable xmlns="http://schemas.openxmlformats.org/spreadsheetml/2006/main" name="DadosExternos_149" connectionId="628" autoFormatId="16" applyNumberFormats="0" applyBorderFormats="0" applyFontFormats="1" applyPatternFormats="1" applyAlignmentFormats="0" applyWidthHeightFormats="0"/>
</file>

<file path=xl/queryTables/queryTable1043.xml><?xml version="1.0" encoding="utf-8"?>
<queryTable xmlns="http://schemas.openxmlformats.org/spreadsheetml/2006/main" name="DadosExternos_10" connectionId="794" autoFormatId="16" applyNumberFormats="0" applyBorderFormats="0" applyFontFormats="1" applyPatternFormats="1" applyAlignmentFormats="0" applyWidthHeightFormats="0"/>
</file>

<file path=xl/queryTables/queryTable1044.xml><?xml version="1.0" encoding="utf-8"?>
<queryTable xmlns="http://schemas.openxmlformats.org/spreadsheetml/2006/main" name="DadosExternos_50" connectionId="293" autoFormatId="16" applyNumberFormats="0" applyBorderFormats="0" applyFontFormats="1" applyPatternFormats="1" applyAlignmentFormats="0" applyWidthHeightFormats="0"/>
</file>

<file path=xl/queryTables/queryTable1045.xml><?xml version="1.0" encoding="utf-8"?>
<queryTable xmlns="http://schemas.openxmlformats.org/spreadsheetml/2006/main" name="DadosExternos_307" connectionId="463" autoFormatId="16" applyNumberFormats="0" applyBorderFormats="0" applyFontFormats="1" applyPatternFormats="1" applyAlignmentFormats="0" applyWidthHeightFormats="0"/>
</file>

<file path=xl/queryTables/queryTable1046.xml><?xml version="1.0" encoding="utf-8"?>
<queryTable xmlns="http://schemas.openxmlformats.org/spreadsheetml/2006/main" name="DadosExternos_201" connectionId="118" autoFormatId="16" applyNumberFormats="0" applyBorderFormats="0" applyFontFormats="1" applyPatternFormats="1" applyAlignmentFormats="0" applyWidthHeightFormats="0"/>
</file>

<file path=xl/queryTables/queryTable1047.xml><?xml version="1.0" encoding="utf-8"?>
<queryTable xmlns="http://schemas.openxmlformats.org/spreadsheetml/2006/main" name="ExternalData_108" connectionId="1130" autoFormatId="16" applyNumberFormats="0" applyBorderFormats="0" applyFontFormats="1" applyPatternFormats="1" applyAlignmentFormats="0" applyWidthHeightFormats="0"/>
</file>

<file path=xl/queryTables/queryTable1048.xml><?xml version="1.0" encoding="utf-8"?>
<queryTable xmlns="http://schemas.openxmlformats.org/spreadsheetml/2006/main" name="DadosExternos_209" connectionId="149" autoFormatId="16" applyNumberFormats="0" applyBorderFormats="0" applyFontFormats="1" applyPatternFormats="1" applyAlignmentFormats="0" applyWidthHeightFormats="0"/>
</file>

<file path=xl/queryTables/queryTable1049.xml><?xml version="1.0" encoding="utf-8"?>
<queryTable xmlns="http://schemas.openxmlformats.org/spreadsheetml/2006/main" name="DadosExternos_469" connectionId="76" autoFormatId="16" applyNumberFormats="0" applyBorderFormats="0" applyFontFormats="1" applyPatternFormats="1" applyAlignmentFormats="0" applyWidthHeightFormats="0"/>
</file>

<file path=xl/queryTables/queryTable1050.xml><?xml version="1.0" encoding="utf-8"?>
<queryTable xmlns="http://schemas.openxmlformats.org/spreadsheetml/2006/main" name="ExternalData_133" connectionId="865" autoFormatId="16" applyNumberFormats="0" applyBorderFormats="0" applyFontFormats="1" applyPatternFormats="1" applyAlignmentFormats="0" applyWidthHeightFormats="0"/>
</file>

<file path=xl/queryTables/queryTable1051.xml><?xml version="1.0" encoding="utf-8"?>
<queryTable xmlns="http://schemas.openxmlformats.org/spreadsheetml/2006/main" name="DadosExternos_425" connectionId="641" autoFormatId="16" applyNumberFormats="0" applyBorderFormats="0" applyFontFormats="1" applyPatternFormats="1" applyAlignmentFormats="0" applyWidthHeightFormats="0"/>
</file>

<file path=xl/queryTables/queryTable1052.xml><?xml version="1.0" encoding="utf-8"?>
<queryTable xmlns="http://schemas.openxmlformats.org/spreadsheetml/2006/main" name="ExternalData_39" connectionId="995" autoFormatId="16" applyNumberFormats="0" applyBorderFormats="0" applyFontFormats="1" applyPatternFormats="1" applyAlignmentFormats="0" applyWidthHeightFormats="0"/>
</file>

<file path=xl/queryTables/queryTable1053.xml><?xml version="1.0" encoding="utf-8"?>
<queryTable xmlns="http://schemas.openxmlformats.org/spreadsheetml/2006/main" name="DadosExternos_142" connectionId="599" autoFormatId="16" applyNumberFormats="0" applyBorderFormats="0" applyFontFormats="1" applyPatternFormats="1" applyAlignmentFormats="0" applyWidthHeightFormats="0"/>
</file>

<file path=xl/queryTables/queryTable1054.xml><?xml version="1.0" encoding="utf-8"?>
<queryTable xmlns="http://schemas.openxmlformats.org/spreadsheetml/2006/main" name="DadosExternos_126" connectionId="401" autoFormatId="16" applyNumberFormats="0" applyBorderFormats="0" applyFontFormats="1" applyPatternFormats="1" applyAlignmentFormats="0" applyWidthHeightFormats="0"/>
</file>

<file path=xl/queryTables/queryTable1055.xml><?xml version="1.0" encoding="utf-8"?>
<queryTable xmlns="http://schemas.openxmlformats.org/spreadsheetml/2006/main" name="ExternalData_89" connectionId="1068" autoFormatId="16" applyNumberFormats="0" applyBorderFormats="0" applyFontFormats="1" applyPatternFormats="1" applyAlignmentFormats="0" applyWidthHeightFormats="0"/>
</file>

<file path=xl/queryTables/queryTable1056.xml><?xml version="1.0" encoding="utf-8"?>
<queryTable xmlns="http://schemas.openxmlformats.org/spreadsheetml/2006/main" name="ExternalData_74" connectionId="1015" autoFormatId="16" applyNumberFormats="0" applyBorderFormats="0" applyFontFormats="1" applyPatternFormats="1" applyAlignmentFormats="0" applyWidthHeightFormats="0"/>
</file>

<file path=xl/queryTables/queryTable1057.xml><?xml version="1.0" encoding="utf-8"?>
<queryTable xmlns="http://schemas.openxmlformats.org/spreadsheetml/2006/main" name="DadosExternos_9" connectionId="738" autoFormatId="16" applyNumberFormats="0" applyBorderFormats="0" applyFontFormats="1" applyPatternFormats="1" applyAlignmentFormats="0" applyWidthHeightFormats="0"/>
</file>

<file path=xl/queryTables/queryTable1058.xml><?xml version="1.0" encoding="utf-8"?>
<queryTable xmlns="http://schemas.openxmlformats.org/spreadsheetml/2006/main" name="ExternalData_78" connectionId="1024" autoFormatId="16" applyNumberFormats="0" applyBorderFormats="0" applyFontFormats="1" applyPatternFormats="1" applyAlignmentFormats="0" applyWidthHeightFormats="0"/>
</file>

<file path=xl/queryTables/queryTable1059.xml><?xml version="1.0" encoding="utf-8"?>
<queryTable xmlns="http://schemas.openxmlformats.org/spreadsheetml/2006/main" name="ExternalData_27" connectionId="905" autoFormatId="16" applyNumberFormats="0" applyBorderFormats="0" applyFontFormats="1" applyPatternFormats="1" applyAlignmentFormats="0" applyWidthHeightFormats="0"/>
</file>

<file path=xl/queryTables/queryTable1060.xml><?xml version="1.0" encoding="utf-8"?>
<queryTable xmlns="http://schemas.openxmlformats.org/spreadsheetml/2006/main" name="ExternalData_57" connectionId="955" autoFormatId="16" applyNumberFormats="0" applyBorderFormats="0" applyFontFormats="1" applyPatternFormats="1" applyAlignmentFormats="0" applyWidthHeightFormats="0"/>
</file>

<file path=xl/queryTables/queryTable1061.xml><?xml version="1.0" encoding="utf-8"?>
<queryTable xmlns="http://schemas.openxmlformats.org/spreadsheetml/2006/main" name="DadosExternos_320" connectionId="486" autoFormatId="16" applyNumberFormats="0" applyBorderFormats="0" applyFontFormats="1" applyPatternFormats="1" applyAlignmentFormats="0" applyWidthHeightFormats="0"/>
</file>

<file path=xl/queryTables/queryTable1062.xml><?xml version="1.0" encoding="utf-8"?>
<queryTable xmlns="http://schemas.openxmlformats.org/spreadsheetml/2006/main" name="DadosExternos_414" connectionId="587" autoFormatId="16" applyNumberFormats="0" applyBorderFormats="0" applyFontFormats="1" applyPatternFormats="1" applyAlignmentFormats="0" applyWidthHeightFormats="0"/>
</file>

<file path=xl/queryTables/queryTable1063.xml><?xml version="1.0" encoding="utf-8"?>
<queryTable xmlns="http://schemas.openxmlformats.org/spreadsheetml/2006/main" name="DadosExternos_365" connectionId="578" autoFormatId="16" applyNumberFormats="0" applyBorderFormats="0" applyFontFormats="1" applyPatternFormats="1" applyAlignmentFormats="0" applyWidthHeightFormats="0"/>
</file>

<file path=xl/queryTables/queryTable1064.xml><?xml version="1.0" encoding="utf-8"?>
<queryTable xmlns="http://schemas.openxmlformats.org/spreadsheetml/2006/main" name="DadosExternos_41" connectionId="143" autoFormatId="16" applyNumberFormats="0" applyBorderFormats="0" applyFontFormats="1" applyPatternFormats="1" applyAlignmentFormats="0" applyWidthHeightFormats="0"/>
</file>

<file path=xl/queryTables/queryTable1065.xml><?xml version="1.0" encoding="utf-8"?>
<queryTable xmlns="http://schemas.openxmlformats.org/spreadsheetml/2006/main" name="DadosExternos_133" connectionId="505" autoFormatId="16" applyNumberFormats="0" applyBorderFormats="0" applyFontFormats="1" applyPatternFormats="1" applyAlignmentFormats="0" applyWidthHeightFormats="0"/>
</file>

<file path=xl/queryTables/queryTable1066.xml><?xml version="1.0" encoding="utf-8"?>
<queryTable xmlns="http://schemas.openxmlformats.org/spreadsheetml/2006/main" name="DadosExternos_237" connectionId="220" autoFormatId="16" applyNumberFormats="0" applyBorderFormats="0" applyFontFormats="1" applyPatternFormats="1" applyAlignmentFormats="0" applyWidthHeightFormats="0"/>
</file>

<file path=xl/queryTables/queryTable1067.xml><?xml version="1.0" encoding="utf-8"?>
<queryTable xmlns="http://schemas.openxmlformats.org/spreadsheetml/2006/main" name="ExternalData_140" connectionId="941" autoFormatId="16" applyNumberFormats="0" applyBorderFormats="0" applyFontFormats="1" applyPatternFormats="1" applyAlignmentFormats="0" applyWidthHeightFormats="0"/>
</file>

<file path=xl/queryTables/queryTable1068.xml><?xml version="1.0" encoding="utf-8"?>
<queryTable xmlns="http://schemas.openxmlformats.org/spreadsheetml/2006/main" name="DadosExternos_434" connectionId="679" autoFormatId="16" applyNumberFormats="0" applyBorderFormats="0" applyFontFormats="1" applyPatternFormats="1" applyAlignmentFormats="0" applyWidthHeightFormats="0"/>
</file>

<file path=xl/queryTables/queryTable1069.xml><?xml version="1.0" encoding="utf-8"?>
<queryTable xmlns="http://schemas.openxmlformats.org/spreadsheetml/2006/main" name="DadosExternos_181" connectionId="760" autoFormatId="16" applyNumberFormats="0" applyBorderFormats="0" applyFontFormats="1" applyPatternFormats="1" applyAlignmentFormats="0" applyWidthHeightFormats="0"/>
</file>

<file path=xl/queryTables/queryTable1070.xml><?xml version="1.0" encoding="utf-8"?>
<queryTable xmlns="http://schemas.openxmlformats.org/spreadsheetml/2006/main" name="DadosExternos_437" connectionId="690" autoFormatId="16" applyNumberFormats="0" applyBorderFormats="0" applyFontFormats="1" applyPatternFormats="1" applyAlignmentFormats="0" applyWidthHeightFormats="0"/>
</file>

<file path=xl/queryTables/queryTable1071.xml><?xml version="1.0" encoding="utf-8"?>
<queryTable xmlns="http://schemas.openxmlformats.org/spreadsheetml/2006/main" name="ExternalData_12" connectionId="816" autoFormatId="16" applyNumberFormats="0" applyBorderFormats="0" applyFontFormats="1" applyPatternFormats="1" applyAlignmentFormats="0" applyWidthHeightFormats="0"/>
</file>

<file path=xl/queryTables/queryTable1072.xml><?xml version="1.0" encoding="utf-8"?>
<queryTable xmlns="http://schemas.openxmlformats.org/spreadsheetml/2006/main" name="DadosExternos_108" connectionId="109" autoFormatId="16" applyNumberFormats="0" applyBorderFormats="0" applyFontFormats="1" applyPatternFormats="1" applyAlignmentFormats="0" applyWidthHeightFormats="0"/>
</file>

<file path=xl/queryTables/queryTable1073.xml><?xml version="1.0" encoding="utf-8"?>
<queryTable xmlns="http://schemas.openxmlformats.org/spreadsheetml/2006/main" name="ExternalData_69" connectionId="1005" autoFormatId="16" applyNumberFormats="0" applyBorderFormats="0" applyFontFormats="1" applyPatternFormats="1" applyAlignmentFormats="0" applyWidthHeightFormats="0"/>
</file>

<file path=xl/queryTables/queryTable1074.xml><?xml version="1.0" encoding="utf-8"?>
<queryTable xmlns="http://schemas.openxmlformats.org/spreadsheetml/2006/main" name="ExternalData_71" connectionId="1009" autoFormatId="16" applyNumberFormats="0" applyBorderFormats="0" applyFontFormats="1" applyPatternFormats="1" applyAlignmentFormats="0" applyWidthHeightFormats="0"/>
</file>

<file path=xl/queryTables/queryTable1075.xml><?xml version="1.0" encoding="utf-8"?>
<queryTable xmlns="http://schemas.openxmlformats.org/spreadsheetml/2006/main" name="DadosExternos_275" connectionId="357" autoFormatId="16" applyNumberFormats="0" applyBorderFormats="0" applyFontFormats="1" applyPatternFormats="1" applyAlignmentFormats="0" applyWidthHeightFormats="0"/>
</file>

<file path=xl/queryTables/queryTable1076.xml><?xml version="1.0" encoding="utf-8"?>
<queryTable xmlns="http://schemas.openxmlformats.org/spreadsheetml/2006/main" name="DadosExternos_24" connectionId="55" autoFormatId="16" applyNumberFormats="0" applyBorderFormats="0" applyFontFormats="1" applyPatternFormats="1" applyAlignmentFormats="0" applyWidthHeightFormats="0"/>
</file>

<file path=xl/queryTables/queryTable1077.xml><?xml version="1.0" encoding="utf-8"?>
<queryTable xmlns="http://schemas.openxmlformats.org/spreadsheetml/2006/main" name="DadosExternos_464" connectionId="42" autoFormatId="16" applyNumberFormats="0" applyBorderFormats="0" applyFontFormats="1" applyPatternFormats="1" applyAlignmentFormats="0" applyWidthHeightFormats="0"/>
</file>

<file path=xl/queryTables/queryTable1078.xml><?xml version="1.0" encoding="utf-8"?>
<queryTable xmlns="http://schemas.openxmlformats.org/spreadsheetml/2006/main" name="DadosExternos_2" connectionId="65" autoFormatId="16" applyNumberFormats="0" applyBorderFormats="0" applyFontFormats="1" applyPatternFormats="1" applyAlignmentFormats="0" applyWidthHeightFormats="0"/>
</file>

<file path=xl/queryTables/queryTable1079.xml><?xml version="1.0" encoding="utf-8"?>
<queryTable xmlns="http://schemas.openxmlformats.org/spreadsheetml/2006/main" name="DadosExternos_152" connectionId="638" autoFormatId="16" applyNumberFormats="0" applyBorderFormats="0" applyFontFormats="1" applyPatternFormats="1" applyAlignmentFormats="0" applyWidthHeightFormats="0"/>
</file>

<file path=xl/queryTables/queryTable1080.xml><?xml version="1.0" encoding="utf-8"?>
<queryTable xmlns="http://schemas.openxmlformats.org/spreadsheetml/2006/main" name="DadosExternos_296" connectionId="436" autoFormatId="16" applyNumberFormats="0" applyBorderFormats="0" applyFontFormats="1" applyPatternFormats="1" applyAlignmentFormats="0" applyWidthHeightFormats="0"/>
</file>

<file path=xl/queryTables/queryTable1081.xml><?xml version="1.0" encoding="utf-8"?>
<queryTable xmlns="http://schemas.openxmlformats.org/spreadsheetml/2006/main" name="ExternalData_28" connectionId="919" autoFormatId="16" applyNumberFormats="0" applyBorderFormats="0" applyFontFormats="1" applyPatternFormats="1" applyAlignmentFormats="0" applyWidthHeightFormats="0"/>
</file>

<file path=xl/queryTables/queryTable1082.xml><?xml version="1.0" encoding="utf-8"?>
<queryTable xmlns="http://schemas.openxmlformats.org/spreadsheetml/2006/main" name="DadosExternos_198" connectionId="105" autoFormatId="16" applyNumberFormats="0" applyBorderFormats="0" applyFontFormats="1" applyPatternFormats="1" applyAlignmentFormats="0" applyWidthHeightFormats="0"/>
</file>

<file path=xl/queryTables/queryTable1083.xml><?xml version="1.0" encoding="utf-8"?>
<queryTable xmlns="http://schemas.openxmlformats.org/spreadsheetml/2006/main" name="DadosExternos_458" connectionId="14" autoFormatId="16" applyNumberFormats="0" applyBorderFormats="0" applyFontFormats="1" applyPatternFormats="1" applyAlignmentFormats="0" applyWidthHeightFormats="0"/>
</file>

<file path=xl/queryTables/queryTable1084.xml><?xml version="1.0" encoding="utf-8"?>
<queryTable xmlns="http://schemas.openxmlformats.org/spreadsheetml/2006/main" name="DadosExternos_48" connectionId="269" autoFormatId="16" applyNumberFormats="0" applyBorderFormats="0" applyFontFormats="1" applyPatternFormats="1" applyAlignmentFormats="0" applyWidthHeightFormats="0"/>
</file>

<file path=xl/queryTables/queryTable1085.xml><?xml version="1.0" encoding="utf-8"?>
<queryTable xmlns="http://schemas.openxmlformats.org/spreadsheetml/2006/main" name="DadosExternos_280" connectionId="376" autoFormatId="16" applyNumberFormats="0" applyBorderFormats="0" applyFontFormats="1" applyPatternFormats="1" applyAlignmentFormats="0" applyWidthHeightFormats="0"/>
</file>

<file path=xl/queryTables/queryTable1086.xml><?xml version="1.0" encoding="utf-8"?>
<queryTable xmlns="http://schemas.openxmlformats.org/spreadsheetml/2006/main" name="ExternalData_86" connectionId="1042" autoFormatId="16" applyNumberFormats="0" applyBorderFormats="0" applyFontFormats="1" applyPatternFormats="1" applyAlignmentFormats="0" applyWidthHeightFormats="0"/>
</file>

<file path=xl/queryTables/queryTable1087.xml><?xml version="1.0" encoding="utf-8"?>
<queryTable xmlns="http://schemas.openxmlformats.org/spreadsheetml/2006/main" name="ExternalData_124" connectionId="841" autoFormatId="16" applyNumberFormats="0" applyBorderFormats="0" applyFontFormats="1" applyPatternFormats="1" applyAlignmentFormats="0" applyWidthHeightFormats="0"/>
</file>

<file path=xl/queryTables/queryTable1088.xml><?xml version="1.0" encoding="utf-8"?>
<queryTable xmlns="http://schemas.openxmlformats.org/spreadsheetml/2006/main" name="DadosExternos_462" connectionId="33" autoFormatId="16" applyNumberFormats="0" applyBorderFormats="0" applyFontFormats="1" applyPatternFormats="1" applyAlignmentFormats="0" applyWidthHeightFormats="0"/>
</file>

<file path=xl/queryTables/queryTable1089.xml><?xml version="1.0" encoding="utf-8"?>
<queryTable xmlns="http://schemas.openxmlformats.org/spreadsheetml/2006/main" name="DadosExternos_135" connectionId="543" autoFormatId="16" applyNumberFormats="0" applyBorderFormats="0" applyFontFormats="1" applyPatternFormats="1" applyAlignmentFormats="0" applyWidthHeightFormats="0"/>
</file>

<file path=xl/queryTables/queryTable1090.xml><?xml version="1.0" encoding="utf-8"?>
<queryTable xmlns="http://schemas.openxmlformats.org/spreadsheetml/2006/main" name="ExternalData_62" connectionId="980" autoFormatId="16" applyNumberFormats="0" applyBorderFormats="0" applyFontFormats="1" applyPatternFormats="1" applyAlignmentFormats="0" applyWidthHeightFormats="0"/>
</file>

<file path=xl/queryTables/queryTable1091.xml><?xml version="1.0" encoding="utf-8"?>
<queryTable xmlns="http://schemas.openxmlformats.org/spreadsheetml/2006/main" name="DadosExternos_116" connectionId="259" autoFormatId="16" applyNumberFormats="0" applyBorderFormats="0" applyFontFormats="1" applyPatternFormats="1" applyAlignmentFormats="0" applyWidthHeightFormats="0"/>
</file>

<file path=xl/queryTables/queryTable1092.xml><?xml version="1.0" encoding="utf-8"?>
<queryTable xmlns="http://schemas.openxmlformats.org/spreadsheetml/2006/main" name="DadosExternos_113" connectionId="196" autoFormatId="16" applyNumberFormats="0" applyBorderFormats="0" applyFontFormats="1" applyPatternFormats="1" applyAlignmentFormats="0" applyWidthHeightFormats="0"/>
</file>

<file path=xl/queryTables/queryTable1093.xml><?xml version="1.0" encoding="utf-8"?>
<queryTable xmlns="http://schemas.openxmlformats.org/spreadsheetml/2006/main" name="DadosExternos_282" connectionId="388" autoFormatId="16" applyNumberFormats="0" applyBorderFormats="0" applyFontFormats="1" applyPatternFormats="1" applyAlignmentFormats="0" applyWidthHeightFormats="0"/>
</file>

<file path=xl/queryTables/queryTable1094.xml><?xml version="1.0" encoding="utf-8"?>
<queryTable xmlns="http://schemas.openxmlformats.org/spreadsheetml/2006/main" name="DadosExternos_72" connectionId="617" autoFormatId="16" applyNumberFormats="0" applyBorderFormats="0" applyFontFormats="1" applyPatternFormats="1" applyAlignmentFormats="0" applyWidthHeightFormats="0"/>
</file>

<file path=xl/queryTables/queryTable1095.xml><?xml version="1.0" encoding="utf-8"?>
<queryTable xmlns="http://schemas.openxmlformats.org/spreadsheetml/2006/main" name="DadosExternos_402" connectionId="409" autoFormatId="16" applyNumberFormats="0" applyBorderFormats="0" applyFontFormats="1" applyPatternFormats="1" applyAlignmentFormats="0" applyWidthHeightFormats="0"/>
</file>

<file path=xl/queryTables/queryTable1096.xml><?xml version="1.0" encoding="utf-8"?>
<queryTable xmlns="http://schemas.openxmlformats.org/spreadsheetml/2006/main" name="DadosExternos_65" connectionId="524" autoFormatId="16" applyNumberFormats="0" applyBorderFormats="0" applyFontFormats="1" applyPatternFormats="1" applyAlignmentFormats="0" applyWidthHeightFormats="0"/>
</file>

<file path=xl/queryTables/queryTable1097.xml><?xml version="1.0" encoding="utf-8"?>
<queryTable xmlns="http://schemas.openxmlformats.org/spreadsheetml/2006/main" name="DadosExternos_45" connectionId="214" autoFormatId="16" applyNumberFormats="0" applyBorderFormats="0" applyFontFormats="1" applyPatternFormats="1" applyAlignmentFormats="0" applyWidthHeightFormats="0"/>
</file>

<file path=xl/queryTables/queryTable1098.xml><?xml version="1.0" encoding="utf-8"?>
<queryTable xmlns="http://schemas.openxmlformats.org/spreadsheetml/2006/main" name="ExternalData_40" connectionId="999" autoFormatId="16" applyNumberFormats="0" applyBorderFormats="0" applyFontFormats="1" applyPatternFormats="1" applyAlignmentFormats="0" applyWidthHeightFormats="0"/>
</file>

<file path=xl/queryTables/queryTable1099.xml><?xml version="1.0" encoding="utf-8"?>
<queryTable xmlns="http://schemas.openxmlformats.org/spreadsheetml/2006/main" name="ExternalData_135" connectionId="869" autoFormatId="16" applyNumberFormats="0" applyBorderFormats="0" applyFontFormats="1" applyPatternFormats="1" applyAlignmentFormats="0" applyWidthHeightFormats="0"/>
</file>

<file path=xl/queryTables/queryTable1100.xml><?xml version="1.0" encoding="utf-8"?>
<queryTable xmlns="http://schemas.openxmlformats.org/spreadsheetml/2006/main" name="ExternalData_15" connectionId="877" autoFormatId="16" applyNumberFormats="0" applyBorderFormats="0" applyFontFormats="1" applyPatternFormats="1" applyAlignmentFormats="0" applyWidthHeightFormats="0"/>
</file>

<file path=xl/queryTables/queryTable1101.xml><?xml version="1.0" encoding="utf-8"?>
<queryTable xmlns="http://schemas.openxmlformats.org/spreadsheetml/2006/main" name="DadosExternos_323" connectionId="492" autoFormatId="16" applyNumberFormats="0" applyBorderFormats="0" applyFontFormats="1" applyPatternFormats="1" applyAlignmentFormats="0" applyWidthHeightFormats="0"/>
</file>

<file path=xl/queryTables/queryTable1102.xml><?xml version="1.0" encoding="utf-8"?>
<queryTable xmlns="http://schemas.openxmlformats.org/spreadsheetml/2006/main" name="DadosExternos_40" connectionId="123" autoFormatId="16" applyNumberFormats="0" applyBorderFormats="0" applyFontFormats="1" applyPatternFormats="1" applyAlignmentFormats="0" applyWidthHeightFormats="0"/>
</file>

<file path=xl/queryTables/queryTable1103.xml><?xml version="1.0" encoding="utf-8"?>
<queryTable xmlns="http://schemas.openxmlformats.org/spreadsheetml/2006/main" name="DadosExternos_63" connectionId="490" autoFormatId="16" applyNumberFormats="0" applyBorderFormats="0" applyFontFormats="1" applyPatternFormats="1" applyAlignmentFormats="0" applyWidthHeightFormats="0"/>
</file>

<file path=xl/queryTables/queryTable1104.xml><?xml version="1.0" encoding="utf-8"?>
<queryTable xmlns="http://schemas.openxmlformats.org/spreadsheetml/2006/main" name="DadosExternos_190" connectionId="38" autoFormatId="16" applyNumberFormats="0" applyBorderFormats="0" applyFontFormats="1" applyPatternFormats="1" applyAlignmentFormats="0" applyWidthHeightFormats="0"/>
</file>

<file path=xl/queryTables/queryTable1105.xml><?xml version="1.0" encoding="utf-8"?>
<queryTable xmlns="http://schemas.openxmlformats.org/spreadsheetml/2006/main" name="DadosExternos_270" connectionId="343" autoFormatId="16" applyNumberFormats="0" applyBorderFormats="0" applyFontFormats="1" applyPatternFormats="1" applyAlignmentFormats="0" applyWidthHeightFormats="0"/>
</file>

<file path=xl/queryTables/queryTable1106.xml><?xml version="1.0" encoding="utf-8"?>
<queryTable xmlns="http://schemas.openxmlformats.org/spreadsheetml/2006/main" name="DadosExternos_350" connectionId="549" autoFormatId="16" applyNumberFormats="0" applyBorderFormats="0" applyFontFormats="1" applyPatternFormats="1" applyAlignmentFormats="0" applyWidthHeightFormats="0"/>
</file>

<file path=xl/queryTables/queryTable1107.xml><?xml version="1.0" encoding="utf-8"?>
<queryTable xmlns="http://schemas.openxmlformats.org/spreadsheetml/2006/main" name="DadosExternos_171" connectionId="720" autoFormatId="16" applyNumberFormats="0" applyBorderFormats="0" applyFontFormats="1" applyPatternFormats="1" applyAlignmentFormats="0" applyWidthHeightFormats="0"/>
</file>

<file path=xl/queryTables/queryTable1108.xml><?xml version="1.0" encoding="utf-8"?>
<queryTable xmlns="http://schemas.openxmlformats.org/spreadsheetml/2006/main" name="DadosExternos_131" connectionId="474" autoFormatId="16" applyNumberFormats="0" applyBorderFormats="0" applyFontFormats="1" applyPatternFormats="1" applyAlignmentFormats="0" applyWidthHeightFormats="0"/>
</file>

<file path=xl/queryTables/queryTable1109.xml><?xml version="1.0" encoding="utf-8"?>
<queryTable xmlns="http://schemas.openxmlformats.org/spreadsheetml/2006/main" name="ExternalData_115" connectionId="810" autoFormatId="16" applyNumberFormats="0" applyBorderFormats="0" applyFontFormats="1" applyPatternFormats="1" applyAlignmentFormats="0" applyWidthHeightFormats="0"/>
</file>

<file path=xl/queryTables/queryTable1110.xml><?xml version="1.0" encoding="utf-8"?>
<queryTable xmlns="http://schemas.openxmlformats.org/spreadsheetml/2006/main" name="DadosExternos_68" connectionId="59" autoFormatId="16" applyNumberFormats="0" applyBorderFormats="0" applyFontFormats="1" applyPatternFormats="1" applyAlignmentFormats="0" applyWidthHeightFormats="0"/>
</file>

<file path=xl/queryTables/queryTable1111.xml><?xml version="1.0" encoding="utf-8"?>
<queryTable xmlns="http://schemas.openxmlformats.org/spreadsheetml/2006/main" name="ExternalData_83" connectionId="1035" autoFormatId="16" applyNumberFormats="0" applyBorderFormats="0" applyFontFormats="1" applyPatternFormats="1" applyAlignmentFormats="0" applyWidthHeightFormats="0"/>
</file>

<file path=xl/queryTables/queryTable1112.xml><?xml version="1.0" encoding="utf-8"?>
<queryTable xmlns="http://schemas.openxmlformats.org/spreadsheetml/2006/main" name="DadosExternos_71" connectionId="557" autoFormatId="16" applyNumberFormats="0" applyBorderFormats="0" applyFontFormats="1" applyPatternFormats="1" applyAlignmentFormats="0" applyWidthHeightFormats="0"/>
</file>

<file path=xl/queryTables/queryTable1113.xml><?xml version="1.0" encoding="utf-8"?>
<queryTable xmlns="http://schemas.openxmlformats.org/spreadsheetml/2006/main" name="DadosExternos_319" connectionId="483" autoFormatId="16" applyNumberFormats="0" applyBorderFormats="0" applyFontFormats="1" applyPatternFormats="1" applyAlignmentFormats="0" applyWidthHeightFormats="0"/>
</file>

<file path=xl/queryTables/queryTable1114.xml><?xml version="1.0" encoding="utf-8"?>
<queryTable xmlns="http://schemas.openxmlformats.org/spreadsheetml/2006/main" name="DadosExternos_1" connectionId="787" autoFormatId="16" applyNumberFormats="0" applyBorderFormats="0" applyFontFormats="1" applyPatternFormats="1" applyAlignmentFormats="0" applyWidthHeightFormats="0"/>
</file>

<file path=xl/queryTables/queryTable1115.xml><?xml version="1.0" encoding="utf-8"?>
<queryTable xmlns="http://schemas.openxmlformats.org/spreadsheetml/2006/main" name="DadosExternos_159" connectionId="669" autoFormatId="16" applyNumberFormats="0" applyBorderFormats="0" applyFontFormats="1" applyPatternFormats="1" applyAlignmentFormats="0" applyWidthHeightFormats="0"/>
</file>

<file path=xl/queryTables/queryTable1116.xml><?xml version="1.0" encoding="utf-8"?>
<queryTable xmlns="http://schemas.openxmlformats.org/spreadsheetml/2006/main" name="ExternalData_45" connectionId="1099" autoFormatId="16" applyNumberFormats="0" applyBorderFormats="0" applyFontFormats="1" applyPatternFormats="1" applyAlignmentFormats="0" applyWidthHeightFormats="0"/>
</file>

<file path=xl/queryTables/queryTable1117.xml><?xml version="1.0" encoding="utf-8"?>
<queryTable xmlns="http://schemas.openxmlformats.org/spreadsheetml/2006/main" name="DadosExternos_262" connectionId="316" autoFormatId="16" applyNumberFormats="0" applyBorderFormats="0" applyFontFormats="1" applyPatternFormats="1" applyAlignmentFormats="0" applyWidthHeightFormats="0"/>
</file>

<file path=xl/queryTables/queryTable1118.xml><?xml version="1.0" encoding="utf-8"?>
<queryTable xmlns="http://schemas.openxmlformats.org/spreadsheetml/2006/main" name="ExternalData_20" connectionId="1004" autoFormatId="16" applyNumberFormats="0" applyBorderFormats="0" applyFontFormats="1" applyPatternFormats="1" applyAlignmentFormats="0" applyWidthHeightFormats="0"/>
</file>

<file path=xl/queryTables/queryTable1119.xml><?xml version="1.0" encoding="utf-8"?>
<queryTable xmlns="http://schemas.openxmlformats.org/spreadsheetml/2006/main" name="DadosExternos_308" connectionId="465" autoFormatId="16" applyNumberFormats="0" applyBorderFormats="0" applyFontFormats="1" applyPatternFormats="1" applyAlignmentFormats="0" applyWidthHeightFormats="0"/>
</file>

<file path=xl/queryTables/queryTable1120.xml><?xml version="1.0" encoding="utf-8"?>
<queryTable xmlns="http://schemas.openxmlformats.org/spreadsheetml/2006/main" name="DadosExternos_460" connectionId="23" autoFormatId="16" applyNumberFormats="0" applyBorderFormats="0" applyFontFormats="1" applyPatternFormats="1" applyAlignmentFormats="0" applyWidthHeightFormats="0"/>
</file>

<file path=xl/queryTables/queryTable1121.xml><?xml version="1.0" encoding="utf-8"?>
<queryTable xmlns="http://schemas.openxmlformats.org/spreadsheetml/2006/main" name="DadosExternos_151" connectionId="634" autoFormatId="16" applyNumberFormats="0" applyBorderFormats="0" applyFontFormats="1" applyPatternFormats="1" applyAlignmentFormats="0" applyWidthHeightFormats="0"/>
</file>

<file path=xl/queryTables/queryTable1122.xml><?xml version="1.0" encoding="utf-8"?>
<queryTable xmlns="http://schemas.openxmlformats.org/spreadsheetml/2006/main" name="DadosExternos_423" connectionId="633" autoFormatId="16" applyNumberFormats="0" applyBorderFormats="0" applyFontFormats="1" applyPatternFormats="1" applyAlignmentFormats="0" applyWidthHeightFormats="0"/>
</file>

<file path=xl/queryTables/queryTable1123.xml><?xml version="1.0" encoding="utf-8"?>
<queryTable xmlns="http://schemas.openxmlformats.org/spreadsheetml/2006/main" name="DadosExternos_446" connectionId="756" autoFormatId="16" applyNumberFormats="0" applyBorderFormats="0" applyFontFormats="1" applyPatternFormats="1" applyAlignmentFormats="0" applyWidthHeightFormats="0"/>
</file>

<file path=xl/queryTables/queryTable1124.xml><?xml version="1.0" encoding="utf-8"?>
<queryTable xmlns="http://schemas.openxmlformats.org/spreadsheetml/2006/main" name="DadosExternos_445" connectionId="753" autoFormatId="16" applyNumberFormats="0" applyBorderFormats="0" applyFontFormats="1" applyPatternFormats="1" applyAlignmentFormats="0" applyWidthHeightFormats="0"/>
</file>

<file path=xl/queryTables/queryTable1125.xml><?xml version="1.0" encoding="utf-8"?>
<queryTable xmlns="http://schemas.openxmlformats.org/spreadsheetml/2006/main" name="DadosExternos_400" connectionId="380" autoFormatId="16" applyNumberFormats="0" applyBorderFormats="0" applyFontFormats="1" applyPatternFormats="1" applyAlignmentFormats="0" applyWidthHeightFormats="0"/>
</file>

<file path=xl/queryTables/queryTable1126.xml><?xml version="1.0" encoding="utf-8"?>
<queryTable xmlns="http://schemas.openxmlformats.org/spreadsheetml/2006/main" name="DadosExternos_442" connectionId="737" autoFormatId="16" applyNumberFormats="0" applyBorderFormats="0" applyFontFormats="1" applyPatternFormats="1" applyAlignmentFormats="0" applyWidthHeightFormats="0"/>
</file>

<file path=xl/queryTables/queryTable1127.xml><?xml version="1.0" encoding="utf-8"?>
<queryTable xmlns="http://schemas.openxmlformats.org/spreadsheetml/2006/main" name="DadosExternos_155" connectionId="650" autoFormatId="16" applyNumberFormats="0" applyBorderFormats="0" applyFontFormats="1" applyPatternFormats="1" applyAlignmentFormats="0" applyWidthHeightFormats="0"/>
</file>

<file path=xl/queryTables/queryTable1128.xml><?xml version="1.0" encoding="utf-8"?>
<queryTable xmlns="http://schemas.openxmlformats.org/spreadsheetml/2006/main" name="DadosExternos_242" connectionId="239" autoFormatId="16" applyNumberFormats="0" applyBorderFormats="0" applyFontFormats="1" applyPatternFormats="1" applyAlignmentFormats="0" applyWidthHeightFormats="0"/>
</file>

<file path=xl/queryTables/queryTable1129.xml><?xml version="1.0" encoding="utf-8"?>
<queryTable xmlns="http://schemas.openxmlformats.org/spreadsheetml/2006/main" name="DadosExternos_148" connectionId="625" autoFormatId="16" applyNumberFormats="0" applyBorderFormats="0" applyFontFormats="1" applyPatternFormats="1" applyAlignmentFormats="0" applyWidthHeightFormats="0"/>
</file>

<file path=xl/queryTables/queryTable1130.xml><?xml version="1.0" encoding="utf-8"?>
<queryTable xmlns="http://schemas.openxmlformats.org/spreadsheetml/2006/main" name="DadosExternos_180" connectionId="757" autoFormatId="16" applyNumberFormats="0" applyBorderFormats="0" applyFontFormats="1" applyPatternFormats="1" applyAlignmentFormats="0" applyWidthHeightFormats="0"/>
</file>

<file path=xl/queryTables/queryTable1131.xml><?xml version="1.0" encoding="utf-8"?>
<queryTable xmlns="http://schemas.openxmlformats.org/spreadsheetml/2006/main" name="DadosExternos_409" connectionId="520" autoFormatId="16" applyNumberFormats="0" applyBorderFormats="0" applyFontFormats="1" applyPatternFormats="1" applyAlignmentFormats="0" applyWidthHeightFormats="0"/>
</file>

<file path=xl/queryTables/queryTable1132.xml><?xml version="1.0" encoding="utf-8"?>
<queryTable xmlns="http://schemas.openxmlformats.org/spreadsheetml/2006/main" name="DadosExternos_166" connectionId="700" autoFormatId="16" applyNumberFormats="0" applyBorderFormats="0" applyFontFormats="1" applyPatternFormats="1" applyAlignmentFormats="0" applyWidthHeightFormats="0"/>
</file>

<file path=xl/queryTables/queryTable1133.xml><?xml version="1.0" encoding="utf-8"?>
<queryTable xmlns="http://schemas.openxmlformats.org/spreadsheetml/2006/main" name="DadosExternos_309" connectionId="467" autoFormatId="16" applyNumberFormats="0" applyBorderFormats="0" applyFontFormats="1" applyPatternFormats="1" applyAlignmentFormats="0" applyWidthHeightFormats="0"/>
</file>

<file path=xl/queryTables/queryTable1134.xml><?xml version="1.0" encoding="utf-8"?>
<queryTable xmlns="http://schemas.openxmlformats.org/spreadsheetml/2006/main" name="ExternalData_136" connectionId="871" autoFormatId="16" applyNumberFormats="0" applyBorderFormats="0" applyFontFormats="1" applyPatternFormats="1" applyAlignmentFormats="0" applyWidthHeightFormats="0"/>
</file>

<file path=xl/queryTables/queryTable1135.xml><?xml version="1.0" encoding="utf-8"?>
<queryTable xmlns="http://schemas.openxmlformats.org/spreadsheetml/2006/main" name="DadosExternos_287" connectionId="405" autoFormatId="16" applyNumberFormats="0" applyBorderFormats="0" applyFontFormats="1" applyPatternFormats="1" applyAlignmentFormats="0" applyWidthHeightFormats="0"/>
</file>

<file path=xl/queryTables/queryTable1136.xml><?xml version="1.0" encoding="utf-8"?>
<queryTable xmlns="http://schemas.openxmlformats.org/spreadsheetml/2006/main" name="DadosExternos_279" connectionId="374" autoFormatId="16" applyNumberFormats="0" applyBorderFormats="0" applyFontFormats="1" applyPatternFormats="1" applyAlignmentFormats="0" applyWidthHeightFormats="0"/>
</file>

<file path=xl/queryTables/queryTable1137.xml><?xml version="1.0" encoding="utf-8"?>
<queryTable xmlns="http://schemas.openxmlformats.org/spreadsheetml/2006/main" name="DadosExternos_185" connectionId="14" autoFormatId="16" applyNumberFormats="0" applyBorderFormats="0" applyFontFormats="1" applyPatternFormats="1" applyAlignmentFormats="0" applyWidthHeightFormats="0"/>
</file>

<file path=xl/queryTables/queryTable1138.xml><?xml version="1.0" encoding="utf-8"?>
<queryTable xmlns="http://schemas.openxmlformats.org/spreadsheetml/2006/main" name="ExternalData_50" connectionId="876" autoFormatId="16" applyNumberFormats="0" applyBorderFormats="0" applyFontFormats="1" applyPatternFormats="1" applyAlignmentFormats="0" applyWidthHeightFormats="0"/>
</file>

<file path=xl/queryTables/queryTable1139.xml><?xml version="1.0" encoding="utf-8"?>
<queryTable xmlns="http://schemas.openxmlformats.org/spreadsheetml/2006/main" name="DadosExternos_38" connectionId="87" autoFormatId="16" applyNumberFormats="0" applyBorderFormats="0" applyFontFormats="1" applyPatternFormats="1" applyAlignmentFormats="0" applyWidthHeightFormats="0"/>
</file>

<file path=xl/queryTables/queryTable1140.xml><?xml version="1.0" encoding="utf-8"?>
<queryTable xmlns="http://schemas.openxmlformats.org/spreadsheetml/2006/main" name="DadosExternos_352" connectionId="559" autoFormatId="16" applyNumberFormats="0" applyBorderFormats="0" applyFontFormats="1" applyPatternFormats="1" applyAlignmentFormats="0" applyWidthHeightFormats="0"/>
</file>

<file path=xl/queryTables/queryTable1141.xml><?xml version="1.0" encoding="utf-8"?>
<queryTable xmlns="http://schemas.openxmlformats.org/spreadsheetml/2006/main" name="ExternalData_8" connectionId="1061" autoFormatId="16" applyNumberFormats="0" applyBorderFormats="0" applyFontFormats="1" applyPatternFormats="1" applyAlignmentFormats="0" applyWidthHeightFormats="0"/>
</file>

<file path=xl/queryTables/queryTable1142.xml><?xml version="1.0" encoding="utf-8"?>
<queryTable xmlns="http://schemas.openxmlformats.org/spreadsheetml/2006/main" name="DadosExternos_257" connectionId="295" autoFormatId="16" applyNumberFormats="0" applyBorderFormats="0" applyFontFormats="1" applyPatternFormats="1" applyAlignmentFormats="0" applyWidthHeightFormats="0"/>
</file>

<file path=xl/queryTables/queryTable1143.xml><?xml version="1.0" encoding="utf-8"?>
<queryTable xmlns="http://schemas.openxmlformats.org/spreadsheetml/2006/main" name="DadosExternos_447" connectionId="759" autoFormatId="16" applyNumberFormats="0" applyBorderFormats="0" applyFontFormats="1" applyPatternFormats="1" applyAlignmentFormats="0" applyWidthHeightFormats="0"/>
</file>

<file path=xl/queryTables/queryTable1144.xml><?xml version="1.0" encoding="utf-8"?>
<queryTable xmlns="http://schemas.openxmlformats.org/spreadsheetml/2006/main" name="ExternalData_44" connectionId="1077" autoFormatId="16" applyNumberFormats="0" applyBorderFormats="0" applyFontFormats="1" applyPatternFormats="1" applyAlignmentFormats="0" applyWidthHeightFormats="0"/>
</file>

<file path=xl/queryTables/queryTable1145.xml><?xml version="1.0" encoding="utf-8"?>
<queryTable xmlns="http://schemas.openxmlformats.org/spreadsheetml/2006/main" name="ExternalData_18" connectionId="857" autoFormatId="16" applyNumberFormats="0" applyBorderFormats="0" applyFontFormats="1" applyPatternFormats="1" applyAlignmentFormats="0" applyWidthHeightFormats="0"/>
</file>

<file path=xl/queryTables/queryTable1146.xml><?xml version="1.0" encoding="utf-8"?>
<queryTable xmlns="http://schemas.openxmlformats.org/spreadsheetml/2006/main" name="DadosExternos_336" connectionId="519" autoFormatId="16" applyNumberFormats="0" applyBorderFormats="0" applyFontFormats="1" applyPatternFormats="1" applyAlignmentFormats="0" applyWidthHeightFormats="0"/>
</file>

<file path=xl/queryTables/queryTable1147.xml><?xml version="1.0" encoding="utf-8"?>
<queryTable xmlns="http://schemas.openxmlformats.org/spreadsheetml/2006/main" name="DadosExternos_305" connectionId="456" autoFormatId="16" applyNumberFormats="0" applyBorderFormats="0" applyFontFormats="1" applyPatternFormats="1" applyAlignmentFormats="0" applyWidthHeightFormats="0"/>
</file>

<file path=xl/queryTables/queryTable1148.xml><?xml version="1.0" encoding="utf-8"?>
<queryTable xmlns="http://schemas.openxmlformats.org/spreadsheetml/2006/main" name="DadosExternos_139" connectionId="588" autoFormatId="16" applyNumberFormats="0" applyBorderFormats="0" applyFontFormats="1" applyPatternFormats="1" applyAlignmentFormats="0" applyWidthHeightFormats="0"/>
</file>

<file path=xl/queryTables/queryTable1149.xml><?xml version="1.0" encoding="utf-8"?>
<queryTable xmlns="http://schemas.openxmlformats.org/spreadsheetml/2006/main" name="DadosExternos_315" connectionId="476" autoFormatId="16" applyNumberFormats="0" applyBorderFormats="0" applyFontFormats="1" applyPatternFormats="1" applyAlignmentFormats="0" applyWidthHeightFormats="0"/>
</file>

<file path=xl/queryTables/queryTable1150.xml><?xml version="1.0" encoding="utf-8"?>
<queryTable xmlns="http://schemas.openxmlformats.org/spreadsheetml/2006/main" name="DadosExternos_392" connectionId="266" autoFormatId="16" applyNumberFormats="0" applyBorderFormats="0" applyFontFormats="1" applyPatternFormats="1" applyAlignmentFormats="0" applyWidthHeightFormats="0"/>
</file>

<file path=xl/queryTables/queryTable1151.xml><?xml version="1.0" encoding="utf-8"?>
<queryTable xmlns="http://schemas.openxmlformats.org/spreadsheetml/2006/main" name="DadosExternos_115" connectionId="233" autoFormatId="16" applyNumberFormats="0" applyBorderFormats="0" applyFontFormats="1" applyPatternFormats="1" applyAlignmentFormats="0" applyWidthHeightFormats="0"/>
</file>

<file path=xl/queryTables/queryTable1152.xml><?xml version="1.0" encoding="utf-8"?>
<queryTable xmlns="http://schemas.openxmlformats.org/spreadsheetml/2006/main" name="DadosExternos_225" connectionId="193" autoFormatId="16" applyNumberFormats="0" applyBorderFormats="0" applyFontFormats="1" applyPatternFormats="1" applyAlignmentFormats="0" applyWidthHeightFormats="0"/>
</file>

<file path=xl/queryTables/queryTable1153.xml><?xml version="1.0" encoding="utf-8"?>
<queryTable xmlns="http://schemas.openxmlformats.org/spreadsheetml/2006/main" name="DadosExternos_7" connectionId="656" autoFormatId="16" applyNumberFormats="0" applyBorderFormats="0" applyFontFormats="1" applyPatternFormats="1" applyAlignmentFormats="0" applyWidthHeightFormats="0"/>
</file>

<file path=xl/queryTables/queryTable1154.xml><?xml version="1.0" encoding="utf-8"?>
<queryTable xmlns="http://schemas.openxmlformats.org/spreadsheetml/2006/main" name="ExternalData_65" connectionId="994" autoFormatId="16" applyNumberFormats="0" applyBorderFormats="0" applyFontFormats="1" applyPatternFormats="1" applyAlignmentFormats="0" applyWidthHeightFormats="0"/>
</file>

<file path=xl/queryTables/queryTable1155.xml><?xml version="1.0" encoding="utf-8"?>
<queryTable xmlns="http://schemas.openxmlformats.org/spreadsheetml/2006/main" name="DadosExternos_233" connectionId="209" autoFormatId="16" applyNumberFormats="0" applyBorderFormats="0" applyFontFormats="1" applyPatternFormats="1" applyAlignmentFormats="0" applyWidthHeightFormats="0"/>
</file>

<file path=xl/queryTables/queryTable1156.xml><?xml version="1.0" encoding="utf-8"?>
<queryTable xmlns="http://schemas.openxmlformats.org/spreadsheetml/2006/main" name="ExternalData_126" connectionId="845" autoFormatId="16" applyNumberFormats="0" applyBorderFormats="0" applyFontFormats="1" applyPatternFormats="1" applyAlignmentFormats="0" applyWidthHeightFormats="0"/>
</file>

<file path=xl/queryTables/queryTable1157.xml><?xml version="1.0" encoding="utf-8"?>
<queryTable xmlns="http://schemas.openxmlformats.org/spreadsheetml/2006/main" name="DadosExternos_456" connectionId="803" autoFormatId="16" applyNumberFormats="0" applyBorderFormats="0" applyFontFormats="1" applyPatternFormats="1" applyAlignmentFormats="0" applyWidthHeightFormats="0"/>
</file>

<file path=xl/queryTables/queryTable1158.xml><?xml version="1.0" encoding="utf-8"?>
<queryTable xmlns="http://schemas.openxmlformats.org/spreadsheetml/2006/main" name="DadosExternos_3" connectionId="249" autoFormatId="16" applyNumberFormats="0" applyBorderFormats="0" applyFontFormats="1" applyPatternFormats="1" applyAlignmentFormats="0" applyWidthHeightFormats="0"/>
</file>

<file path=xl/queryTables/queryTable1159.xml><?xml version="1.0" encoding="utf-8"?>
<queryTable xmlns="http://schemas.openxmlformats.org/spreadsheetml/2006/main" name="DadosExternos_367" connectionId="580" autoFormatId="16" applyNumberFormats="0" applyBorderFormats="0" applyFontFormats="1" applyPatternFormats="1" applyAlignmentFormats="0" applyWidthHeightFormats="0"/>
</file>

<file path=xl/queryTables/queryTable1160.xml><?xml version="1.0" encoding="utf-8"?>
<queryTable xmlns="http://schemas.openxmlformats.org/spreadsheetml/2006/main" name="ExternalData_61" connectionId="975" autoFormatId="16" applyNumberFormats="0" applyBorderFormats="0" applyFontFormats="1" applyPatternFormats="1" applyAlignmentFormats="0" applyWidthHeightFormats="0"/>
</file>

<file path=xl/queryTables/queryTable1161.xml><?xml version="1.0" encoding="utf-8"?>
<queryTable xmlns="http://schemas.openxmlformats.org/spreadsheetml/2006/main" name="DadosExternos_455" connectionId="798" autoFormatId="16" applyNumberFormats="0" applyBorderFormats="0" applyFontFormats="1" applyPatternFormats="1" applyAlignmentFormats="0" applyWidthHeightFormats="0"/>
</file>

<file path=xl/queryTables/queryTable1162.xml><?xml version="1.0" encoding="utf-8"?>
<queryTable xmlns="http://schemas.openxmlformats.org/spreadsheetml/2006/main" name="ExternalData_114" connectionId="1142" autoFormatId="16" applyNumberFormats="0" applyBorderFormats="0" applyFontFormats="1" applyPatternFormats="1" applyAlignmentFormats="0" applyWidthHeightFormats="0"/>
</file>

<file path=xl/queryTables/queryTable1163.xml><?xml version="1.0" encoding="utf-8"?>
<queryTable xmlns="http://schemas.openxmlformats.org/spreadsheetml/2006/main" name="DadosExternos_333" connectionId="516" autoFormatId="16" applyNumberFormats="0" applyBorderFormats="0" applyFontFormats="1" applyPatternFormats="1" applyAlignmentFormats="0" applyWidthHeightFormats="0"/>
</file>

<file path=xl/queryTables/queryTable1164.xml><?xml version="1.0" encoding="utf-8"?>
<queryTable xmlns="http://schemas.openxmlformats.org/spreadsheetml/2006/main" name="ExternalData_80" connectionId="1029" autoFormatId="16" applyNumberFormats="0" applyBorderFormats="0" applyFontFormats="1" applyPatternFormats="1" applyAlignmentFormats="0" applyWidthHeightFormats="0"/>
</file>

<file path=xl/queryTables/queryTable1165.xml><?xml version="1.0" encoding="utf-8"?>
<queryTable xmlns="http://schemas.openxmlformats.org/spreadsheetml/2006/main" name="ExternalData_68" connectionId="1003" autoFormatId="16" applyNumberFormats="0" applyBorderFormats="0" applyFontFormats="1" applyPatternFormats="1" applyAlignmentFormats="0" applyWidthHeightFormats="0"/>
</file>

<file path=xl/queryTables/queryTable1166.xml><?xml version="1.0" encoding="utf-8"?>
<queryTable xmlns="http://schemas.openxmlformats.org/spreadsheetml/2006/main" name="DadosExternos_216" connectionId="168" autoFormatId="16" applyNumberFormats="0" applyBorderFormats="0" applyFontFormats="1" applyPatternFormats="1" applyAlignmentFormats="0" applyWidthHeightFormats="0"/>
</file>

<file path=xl/queryTables/queryTable1167.xml><?xml version="1.0" encoding="utf-8"?>
<queryTable xmlns="http://schemas.openxmlformats.org/spreadsheetml/2006/main" name="ExternalData_116" connectionId="816" autoFormatId="16" applyNumberFormats="0" applyBorderFormats="0" applyFontFormats="1" applyPatternFormats="1" applyAlignmentFormats="0" applyWidthHeightFormats="0"/>
</file>

<file path=xl/queryTables/queryTable1168.xml><?xml version="1.0" encoding="utf-8"?>
<queryTable xmlns="http://schemas.openxmlformats.org/spreadsheetml/2006/main" name="DadosExternos_114" connectionId="216" autoFormatId="16" applyNumberFormats="0" applyBorderFormats="0" applyFontFormats="1" applyPatternFormats="1" applyAlignmentFormats="0" applyWidthHeightFormats="0"/>
</file>

<file path=xl/queryTables/queryTable1169.xml><?xml version="1.0" encoding="utf-8"?>
<queryTable xmlns="http://schemas.openxmlformats.org/spreadsheetml/2006/main" name="DadosExternos_128" connectionId="426" autoFormatId="16" applyNumberFormats="0" applyBorderFormats="0" applyFontFormats="1" applyPatternFormats="1" applyAlignmentFormats="0" applyWidthHeightFormats="0"/>
</file>

<file path=xl/queryTables/queryTable1170.xml><?xml version="1.0" encoding="utf-8"?>
<queryTable xmlns="http://schemas.openxmlformats.org/spreadsheetml/2006/main" name="DadosExternos_73" connectionId="658" autoFormatId="16" applyNumberFormats="0" applyBorderFormats="0" applyFontFormats="1" applyPatternFormats="1" applyAlignmentFormats="0" applyWidthHeightFormats="0"/>
</file>

<file path=xl/queryTables/queryTable1171.xml><?xml version="1.0" encoding="utf-8"?>
<queryTable xmlns="http://schemas.openxmlformats.org/spreadsheetml/2006/main" name="DadosExternos_211" connectionId="153" autoFormatId="16" applyNumberFormats="0" applyBorderFormats="0" applyFontFormats="1" applyPatternFormats="1" applyAlignmentFormats="0" applyWidthHeightFormats="0"/>
</file>

<file path=xl/queryTables/queryTable1172.xml><?xml version="1.0" encoding="utf-8"?>
<queryTable xmlns="http://schemas.openxmlformats.org/spreadsheetml/2006/main" name="DadosExternos_47" connectionId="253" autoFormatId="16" applyNumberFormats="0" applyBorderFormats="0" applyFontFormats="1" applyPatternFormats="1" applyAlignmentFormats="0" applyWidthHeightFormats="0"/>
</file>

<file path=xl/queryTables/queryTable1173.xml><?xml version="1.0" encoding="utf-8"?>
<queryTable xmlns="http://schemas.openxmlformats.org/spreadsheetml/2006/main" name="DadosExternos_244" connectionId="261" autoFormatId="16" applyNumberFormats="0" applyBorderFormats="0" applyFontFormats="1" applyPatternFormats="1" applyAlignmentFormats="0" applyWidthHeightFormats="0"/>
</file>

<file path=xl/queryTables/queryTable1174.xml><?xml version="1.0" encoding="utf-8"?>
<queryTable xmlns="http://schemas.openxmlformats.org/spreadsheetml/2006/main" name="DadosExternos_288" connectionId="407" autoFormatId="16" applyNumberFormats="0" applyBorderFormats="0" applyFontFormats="1" applyPatternFormats="1" applyAlignmentFormats="0" applyWidthHeightFormats="0"/>
</file>

<file path=xl/queryTables/queryTable1175.xml><?xml version="1.0" encoding="utf-8"?>
<queryTable xmlns="http://schemas.openxmlformats.org/spreadsheetml/2006/main" name="DadosExternos_197" connectionId="100" autoFormatId="16" applyNumberFormats="0" applyBorderFormats="0" applyFontFormats="1" applyPatternFormats="1" applyAlignmentFormats="0" applyWidthHeightFormats="0"/>
</file>

<file path=xl/queryTables/queryTable1176.xml><?xml version="1.0" encoding="utf-8"?>
<queryTable xmlns="http://schemas.openxmlformats.org/spreadsheetml/2006/main" name="DadosExternos_224" connectionId="191" autoFormatId="16" applyNumberFormats="0" applyBorderFormats="0" applyFontFormats="1" applyPatternFormats="1" applyAlignmentFormats="0" applyWidthHeightFormats="0"/>
</file>

<file path=xl/queryTables/queryTable1177.xml><?xml version="1.0" encoding="utf-8"?>
<queryTable xmlns="http://schemas.openxmlformats.org/spreadsheetml/2006/main" name="DadosExternos_104" connectionId="779" autoFormatId="16" applyNumberFormats="0" applyBorderFormats="0" applyFontFormats="1" applyPatternFormats="1" applyAlignmentFormats="0" applyWidthHeightFormats="0"/>
</file>

<file path=xl/queryTables/queryTable1178.xml><?xml version="1.0" encoding="utf-8"?>
<queryTable xmlns="http://schemas.openxmlformats.org/spreadsheetml/2006/main" name="ExternalData_118" connectionId="821" autoFormatId="16" applyNumberFormats="0" applyBorderFormats="0" applyFontFormats="1" applyPatternFormats="1" applyAlignmentFormats="0" applyWidthHeightFormats="0"/>
</file>

<file path=xl/queryTables/queryTable1179.xml><?xml version="1.0" encoding="utf-8"?>
<queryTable xmlns="http://schemas.openxmlformats.org/spreadsheetml/2006/main" name="ExternalData_48" connectionId="833" autoFormatId="16" applyNumberFormats="0" applyBorderFormats="0" applyFontFormats="1" applyPatternFormats="1" applyAlignmentFormats="0" applyWidthHeightFormats="0"/>
</file>

<file path=xl/queryTables/queryTable1180.xml><?xml version="1.0" encoding="utf-8"?>
<queryTable xmlns="http://schemas.openxmlformats.org/spreadsheetml/2006/main" name="DadosExternos_452" connectionId="779" autoFormatId="16" applyNumberFormats="0" applyBorderFormats="0" applyFontFormats="1" applyPatternFormats="1" applyAlignmentFormats="0" applyWidthHeightFormats="0"/>
</file>

<file path=xl/queryTables/queryTable1181.xml><?xml version="1.0" encoding="utf-8"?>
<queryTable xmlns="http://schemas.openxmlformats.org/spreadsheetml/2006/main" name="DadosExternos_421" connectionId="627" autoFormatId="16" applyNumberFormats="0" applyBorderFormats="0" applyFontFormats="1" applyPatternFormats="1" applyAlignmentFormats="0" applyWidthHeightFormats="0"/>
</file>

<file path=xl/queryTables/queryTable1182.xml><?xml version="1.0" encoding="utf-8"?>
<queryTable xmlns="http://schemas.openxmlformats.org/spreadsheetml/2006/main" name="DadosExternos_189" connectionId="34" autoFormatId="16" applyNumberFormats="0" applyBorderFormats="0" applyFontFormats="1" applyPatternFormats="1" applyAlignmentFormats="0" applyWidthHeightFormats="0"/>
</file>

<file path=xl/queryTables/queryTable1183.xml><?xml version="1.0" encoding="utf-8"?>
<queryTable xmlns="http://schemas.openxmlformats.org/spreadsheetml/2006/main" name="DadosExternos_343" connectionId="534" autoFormatId="16" applyNumberFormats="0" applyBorderFormats="0" applyFontFormats="1" applyPatternFormats="1" applyAlignmentFormats="0" applyWidthHeightFormats="0"/>
</file>

<file path=xl/queryTables/queryTable1184.xml><?xml version="1.0" encoding="utf-8"?>
<queryTable xmlns="http://schemas.openxmlformats.org/spreadsheetml/2006/main" name="DadosExternos_34" connectionId="745" autoFormatId="16" applyNumberFormats="0" applyBorderFormats="0" applyFontFormats="1" applyPatternFormats="1" applyAlignmentFormats="0" applyWidthHeightFormats="0"/>
</file>

<file path=xl/queryTables/queryTable1185.xml><?xml version="1.0" encoding="utf-8"?>
<queryTable xmlns="http://schemas.openxmlformats.org/spreadsheetml/2006/main" name="DadosExternos_183" connectionId="806" autoFormatId="16" applyNumberFormats="0" applyBorderFormats="0" applyFontFormats="1" applyPatternFormats="1" applyAlignmentFormats="0" applyWidthHeightFormats="0"/>
</file>

<file path=xl/queryTables/queryTable1186.xml><?xml version="1.0" encoding="utf-8"?>
<queryTable xmlns="http://schemas.openxmlformats.org/spreadsheetml/2006/main" name="ExternalData_36" connectionId="986" autoFormatId="16" applyNumberFormats="0" applyBorderFormats="0" applyFontFormats="1" applyPatternFormats="1" applyAlignmentFormats="0" applyWidthHeightFormats="0"/>
</file>

<file path=xl/queryTables/queryTable1187.xml><?xml version="1.0" encoding="utf-8"?>
<queryTable xmlns="http://schemas.openxmlformats.org/spreadsheetml/2006/main" name="DadosExternos_193" connectionId="92" autoFormatId="16" applyNumberFormats="0" applyBorderFormats="0" applyFontFormats="1" applyPatternFormats="1" applyAlignmentFormats="0" applyWidthHeightFormats="0"/>
</file>

<file path=xl/queryTables/queryTable1188.xml><?xml version="1.0" encoding="utf-8"?>
<queryTable xmlns="http://schemas.openxmlformats.org/spreadsheetml/2006/main" name="DadosExternos_53" connectionId="336" autoFormatId="16" applyNumberFormats="0" applyBorderFormats="0" applyFontFormats="1" applyPatternFormats="1" applyAlignmentFormats="0" applyWidthHeightFormats="0"/>
</file>

<file path=xl/queryTables/queryTable1189.xml><?xml version="1.0" encoding="utf-8"?>
<queryTable xmlns="http://schemas.openxmlformats.org/spreadsheetml/2006/main" name="ExternalData_112" connectionId="1138" autoFormatId="16" applyNumberFormats="0" applyBorderFormats="0" applyFontFormats="1" applyPatternFormats="1" applyAlignmentFormats="0" applyWidthHeightFormats="0"/>
</file>

<file path=xl/queryTables/queryTable1190.xml><?xml version="1.0" encoding="utf-8"?>
<queryTable xmlns="http://schemas.openxmlformats.org/spreadsheetml/2006/main" name="DadosExternos_317" connectionId="478" autoFormatId="16" applyNumberFormats="0" applyBorderFormats="0" applyFontFormats="1" applyPatternFormats="1" applyAlignmentFormats="0" applyWidthHeightFormats="0"/>
</file>

<file path=xl/queryTables/queryTable1191.xml><?xml version="1.0" encoding="utf-8"?>
<queryTable xmlns="http://schemas.openxmlformats.org/spreadsheetml/2006/main" name="DadosExternos_170" connectionId="717" autoFormatId="16" applyNumberFormats="0" applyBorderFormats="0" applyFontFormats="1" applyPatternFormats="1" applyAlignmentFormats="0" applyWidthHeightFormats="0"/>
</file>

<file path=xl/queryTables/queryTable1192.xml><?xml version="1.0" encoding="utf-8"?>
<queryTable xmlns="http://schemas.openxmlformats.org/spreadsheetml/2006/main" name="ExternalData_60" connectionId="970" autoFormatId="16" applyNumberFormats="0" applyBorderFormats="0" applyFontFormats="1" applyPatternFormats="1" applyAlignmentFormats="0" applyWidthHeightFormats="0"/>
</file>

<file path=xl/queryTables/queryTable1193.xml><?xml version="1.0" encoding="utf-8"?>
<queryTable xmlns="http://schemas.openxmlformats.org/spreadsheetml/2006/main" name="DadosExternos_461" connectionId="28" autoFormatId="16" applyNumberFormats="0" applyBorderFormats="0" applyFontFormats="1" applyPatternFormats="1" applyAlignmentFormats="0" applyWidthHeightFormats="0"/>
</file>

<file path=xl/queryTables/queryTable1194.xml><?xml version="1.0" encoding="utf-8"?>
<queryTable xmlns="http://schemas.openxmlformats.org/spreadsheetml/2006/main" name="DadosExternos_109" connectionId="125" autoFormatId="16" applyNumberFormats="0" applyBorderFormats="0" applyFontFormats="1" applyPatternFormats="1" applyAlignmentFormats="0" applyWidthHeightFormats="0"/>
</file>

<file path=xl/queryTables/queryTable1195.xml><?xml version="1.0" encoding="utf-8"?>
<queryTable xmlns="http://schemas.openxmlformats.org/spreadsheetml/2006/main" name="DadosExternos_240" connectionId="229" autoFormatId="16" applyNumberFormats="0" applyBorderFormats="0" applyFontFormats="1" applyPatternFormats="1" applyAlignmentFormats="0" applyWidthHeightFormats="0"/>
</file>

<file path=xl/queryTables/queryTable1196.xml><?xml version="1.0" encoding="utf-8"?>
<queryTable xmlns="http://schemas.openxmlformats.org/spreadsheetml/2006/main" name="DadosExternos_374" connectionId="551" autoFormatId="16" applyNumberFormats="0" applyBorderFormats="0" applyFontFormats="1" applyPatternFormats="1" applyAlignmentFormats="0" applyWidthHeightFormats="0"/>
</file>

<file path=xl/queryTables/queryTable1197.xml><?xml version="1.0" encoding="utf-8"?>
<queryTable xmlns="http://schemas.openxmlformats.org/spreadsheetml/2006/main" name="ExternalData_127" connectionId="847" autoFormatId="16" applyNumberFormats="0" applyBorderFormats="0" applyFontFormats="1" applyPatternFormats="1" applyAlignmentFormats="0" applyWidthHeightFormats="0"/>
</file>

<file path=xl/queryTables/queryTable1198.xml><?xml version="1.0" encoding="utf-8"?>
<queryTable xmlns="http://schemas.openxmlformats.org/spreadsheetml/2006/main" name="ExternalData_99" connectionId="1106" autoFormatId="16" applyNumberFormats="0" applyBorderFormats="0" applyFontFormats="1" applyPatternFormats="1" applyAlignmentFormats="0" applyWidthHeightFormats="0"/>
</file>

<file path=xl/queryTables/queryTable1199.xml><?xml version="1.0" encoding="utf-8"?>
<queryTable xmlns="http://schemas.openxmlformats.org/spreadsheetml/2006/main" name="ExternalData_84" connectionId="1037" autoFormatId="16" applyNumberFormats="0" applyBorderFormats="0" applyFontFormats="1" applyPatternFormats="1" applyAlignmentFormats="0" applyWidthHeightFormats="0"/>
</file>

<file path=xl/queryTables/queryTable1200.xml><?xml version="1.0" encoding="utf-8"?>
<queryTable xmlns="http://schemas.openxmlformats.org/spreadsheetml/2006/main" name="DadosExternos_54" connectionId="352" autoFormatId="16" applyNumberFormats="0" applyBorderFormats="0" applyFontFormats="1" applyPatternFormats="1" applyAlignmentFormats="0" applyWidthHeightFormats="0"/>
</file>

<file path=xl/queryTables/queryTable1201.xml><?xml version="1.0" encoding="utf-8"?>
<queryTable xmlns="http://schemas.openxmlformats.org/spreadsheetml/2006/main" name="ExternalData_113" connectionId="1140" autoFormatId="16" applyNumberFormats="0" applyBorderFormats="0" applyFontFormats="1" applyPatternFormats="1" applyAlignmentFormats="0" applyWidthHeightFormats="0"/>
</file>

<file path=xl/queryTables/queryTable1202.xml><?xml version="1.0" encoding="utf-8"?>
<queryTable xmlns="http://schemas.openxmlformats.org/spreadsheetml/2006/main" name="DadosExternos_294" connectionId="431" autoFormatId="16" applyNumberFormats="0" applyBorderFormats="0" applyFontFormats="1" applyPatternFormats="1" applyAlignmentFormats="0" applyWidthHeightFormats="0"/>
</file>

<file path=xl/queryTables/queryTable1203.xml><?xml version="1.0" encoding="utf-8"?>
<queryTable xmlns="http://schemas.openxmlformats.org/spreadsheetml/2006/main" name="DadosExternos_30" connectionId="552" autoFormatId="16" applyNumberFormats="0" applyBorderFormats="0" applyFontFormats="1" applyPatternFormats="1" applyAlignmentFormats="0" applyWidthHeightFormats="0"/>
</file>

<file path=xl/queryTables/queryTable1204.xml><?xml version="1.0" encoding="utf-8"?>
<queryTable xmlns="http://schemas.openxmlformats.org/spreadsheetml/2006/main" name="DadosExternos_103" connectionId="736" autoFormatId="16" applyNumberFormats="0" applyBorderFormats="0" applyFontFormats="1" applyPatternFormats="1" applyAlignmentFormats="0" applyWidthHeightFormats="0"/>
</file>

<file path=xl/queryTables/queryTable1205.xml><?xml version="1.0" encoding="utf-8"?>
<queryTable xmlns="http://schemas.openxmlformats.org/spreadsheetml/2006/main" name="DadosExternos_150" connectionId="631" autoFormatId="16" applyNumberFormats="0" applyBorderFormats="0" applyFontFormats="1" applyPatternFormats="1" applyAlignmentFormats="0" applyWidthHeightFormats="0"/>
</file>

<file path=xl/queryTables/queryTable1206.xml><?xml version="1.0" encoding="utf-8"?>
<queryTable xmlns="http://schemas.openxmlformats.org/spreadsheetml/2006/main" name="ExternalData_79" connectionId="1027" autoFormatId="16" applyNumberFormats="0" applyBorderFormats="0" applyFontFormats="1" applyPatternFormats="1" applyAlignmentFormats="0" applyWidthHeightFormats="0"/>
</file>

<file path=xl/queryTables/queryTable1207.xml><?xml version="1.0" encoding="utf-8"?>
<queryTable xmlns="http://schemas.openxmlformats.org/spreadsheetml/2006/main" name="ExternalData_6" connectionId="1025" autoFormatId="16" applyNumberFormats="0" applyBorderFormats="0" applyFontFormats="1" applyPatternFormats="1" applyAlignmentFormats="0" applyWidthHeightFormats="0"/>
</file>

<file path=xl/queryTables/queryTable1208.xml><?xml version="1.0" encoding="utf-8"?>
<queryTable xmlns="http://schemas.openxmlformats.org/spreadsheetml/2006/main" name="DadosExternos_176" connectionId="741" autoFormatId="16" applyNumberFormats="0" applyBorderFormats="0" applyFontFormats="1" applyPatternFormats="1" applyAlignmentFormats="0" applyWidthHeightFormats="0"/>
</file>

<file path=xl/queryTables/queryTable1209.xml><?xml version="1.0" encoding="utf-8"?>
<queryTable xmlns="http://schemas.openxmlformats.org/spreadsheetml/2006/main" name="ExternalData_104" connectionId="1116" autoFormatId="16" applyNumberFormats="0" applyBorderFormats="0" applyFontFormats="1" applyPatternFormats="1" applyAlignmentFormats="0" applyWidthHeightFormats="0"/>
</file>

<file path=xl/queryTables/queryTable1210.xml><?xml version="1.0" encoding="utf-8"?>
<queryTable xmlns="http://schemas.openxmlformats.org/spreadsheetml/2006/main" name="ExternalData_93" connectionId="1088" autoFormatId="16" applyNumberFormats="0" applyBorderFormats="0" applyFontFormats="1" applyPatternFormats="1" applyAlignmentFormats="0" applyWidthHeightFormats="0"/>
</file>

<file path=xl/queryTables/queryTable1211.xml><?xml version="1.0" encoding="utf-8"?>
<queryTable xmlns="http://schemas.openxmlformats.org/spreadsheetml/2006/main" name="DadosExternos_28" connectionId="255" autoFormatId="16" applyNumberFormats="0" applyBorderFormats="0" applyFontFormats="1" applyPatternFormats="1" applyAlignmentFormats="0" applyWidthHeightFormats="0"/>
</file>

<file path=xl/queryTables/queryTable1212.xml><?xml version="1.0" encoding="utf-8"?>
<queryTable xmlns="http://schemas.openxmlformats.org/spreadsheetml/2006/main" name="DadosExternos_263" connectionId="319" autoFormatId="16" applyNumberFormats="0" applyBorderFormats="0" applyFontFormats="1" applyPatternFormats="1" applyAlignmentFormats="0" applyWidthHeightFormats="0"/>
</file>

<file path=xl/queryTables/queryTable1213.xml><?xml version="1.0" encoding="utf-8"?>
<queryTable xmlns="http://schemas.openxmlformats.org/spreadsheetml/2006/main" name="DadosExternos_453" connectionId="789" autoFormatId="16" applyNumberFormats="0" applyBorderFormats="0" applyFontFormats="1" applyPatternFormats="1" applyAlignmentFormats="0" applyWidthHeightFormats="0"/>
</file>

<file path=xl/queryTables/queryTable1214.xml><?xml version="1.0" encoding="utf-8"?>
<queryTable xmlns="http://schemas.openxmlformats.org/spreadsheetml/2006/main" name="DadosExternos_60" connectionId="443" autoFormatId="16" applyNumberFormats="0" applyBorderFormats="0" applyFontFormats="1" applyPatternFormats="1" applyAlignmentFormats="0" applyWidthHeightFormats="0"/>
</file>

<file path=xl/queryTables/queryTable1215.xml><?xml version="1.0" encoding="utf-8"?>
<queryTable xmlns="http://schemas.openxmlformats.org/spreadsheetml/2006/main" name="ExternalData_47" connectionId="812" autoFormatId="16" applyNumberFormats="0" applyBorderFormats="0" applyFontFormats="1" applyPatternFormats="1" applyAlignmentFormats="0" applyWidthHeightFormats="0"/>
</file>

<file path=xl/queryTables/queryTable1216.xml><?xml version="1.0" encoding="utf-8"?>
<queryTable xmlns="http://schemas.openxmlformats.org/spreadsheetml/2006/main" name="DadosExternos_58" connectionId="412" autoFormatId="16" applyNumberFormats="0" applyBorderFormats="0" applyFontFormats="1" applyPatternFormats="1" applyAlignmentFormats="0" applyWidthHeightFormats="0"/>
</file>

<file path=xl/queryTables/queryTable1217.xml><?xml version="1.0" encoding="utf-8"?>
<queryTable xmlns="http://schemas.openxmlformats.org/spreadsheetml/2006/main" name="ExternalData_31" connectionId="950" autoFormatId="16" applyNumberFormats="0" applyBorderFormats="0" applyFontFormats="1" applyPatternFormats="1" applyAlignmentFormats="0" applyWidthHeightFormats="0"/>
</file>

<file path=xl/queryTables/queryTable1218.xml><?xml version="1.0" encoding="utf-8"?>
<queryTable xmlns="http://schemas.openxmlformats.org/spreadsheetml/2006/main" name="DadosExternos_251" connectionId="283" autoFormatId="16" applyNumberFormats="0" applyBorderFormats="0" applyFontFormats="1" applyPatternFormats="1" applyAlignmentFormats="0" applyWidthHeightFormats="0"/>
</file>

<file path=xl/queryTables/queryTable1219.xml><?xml version="1.0" encoding="utf-8"?>
<queryTable xmlns="http://schemas.openxmlformats.org/spreadsheetml/2006/main" name="DadosExternos_31" connectionId="612" autoFormatId="16" applyNumberFormats="0" applyBorderFormats="0" applyFontFormats="1" applyPatternFormats="1" applyAlignmentFormats="0" applyWidthHeightFormats="0"/>
</file>

<file path=xl/queryTables/queryTable1220.xml><?xml version="1.0" encoding="utf-8"?>
<queryTable xmlns="http://schemas.openxmlformats.org/spreadsheetml/2006/main" name="DadosExternos_137" connectionId="568" autoFormatId="16" applyNumberFormats="0" applyBorderFormats="0" applyFontFormats="1" applyPatternFormats="1" applyAlignmentFormats="0" applyWidthHeightFormats="0"/>
</file>

<file path=xl/queryTables/queryTable1221.xml><?xml version="1.0" encoding="utf-8"?>
<queryTable xmlns="http://schemas.openxmlformats.org/spreadsheetml/2006/main" name="DadosExternos_398" connectionId="349" autoFormatId="16" applyNumberFormats="0" applyBorderFormats="0" applyFontFormats="1" applyPatternFormats="1" applyAlignmentFormats="0" applyWidthHeightFormats="0"/>
</file>

<file path=xl/queryTables/queryTable1222.xml><?xml version="1.0" encoding="utf-8"?>
<queryTable xmlns="http://schemas.openxmlformats.org/spreadsheetml/2006/main" name="DadosExternos_202" connectionId="127" autoFormatId="16" applyNumberFormats="0" applyBorderFormats="0" applyFontFormats="1" applyPatternFormats="1" applyAlignmentFormats="0" applyWidthHeightFormats="0"/>
</file>

<file path=xl/queryTables/queryTable1223.xml><?xml version="1.0" encoding="utf-8"?>
<queryTable xmlns="http://schemas.openxmlformats.org/spreadsheetml/2006/main" name="DadosExternos_15" connectionId="743" autoFormatId="16" applyNumberFormats="0" applyBorderFormats="0" applyFontFormats="1" applyPatternFormats="1" applyAlignmentFormats="0" applyWidthHeightFormats="0"/>
</file>

<file path=xl/queryTables/queryTable1224.xml><?xml version="1.0" encoding="utf-8"?>
<queryTable xmlns="http://schemas.openxmlformats.org/spreadsheetml/2006/main" name="ExternalData_110" connectionId="1134" autoFormatId="16" applyNumberFormats="0" applyBorderFormats="0" applyFontFormats="1" applyPatternFormats="1" applyAlignmentFormats="0" applyWidthHeightFormats="0"/>
</file>

<file path=xl/queryTables/queryTable1225.xml><?xml version="1.0" encoding="utf-8"?>
<queryTable xmlns="http://schemas.openxmlformats.org/spreadsheetml/2006/main" name="ExternalData_53" connectionId="918" autoFormatId="16" applyNumberFormats="0" applyBorderFormats="0" applyFontFormats="1" applyPatternFormats="1" applyAlignmentFormats="0" applyWidthHeightFormats="0"/>
</file>

<file path=xl/queryTables/queryTable1226.xml><?xml version="1.0" encoding="utf-8"?>
<queryTable xmlns="http://schemas.openxmlformats.org/spreadsheetml/2006/main" name="DadosExternos_144" connectionId="605" autoFormatId="16" applyNumberFormats="0" applyBorderFormats="0" applyFontFormats="1" applyPatternFormats="1" applyAlignmentFormats="0" applyWidthHeightFormats="0"/>
</file>

<file path=xl/queryTables/queryTable1227.xml><?xml version="1.0" encoding="utf-8"?>
<queryTable xmlns="http://schemas.openxmlformats.org/spreadsheetml/2006/main" name="DadosExternos_172" connectionId="723" autoFormatId="16" applyNumberFormats="0" applyBorderFormats="0" applyFontFormats="1" applyPatternFormats="1" applyAlignmentFormats="0" applyWidthHeightFormats="0"/>
</file>

<file path=xl/queryTables/queryTable1228.xml><?xml version="1.0" encoding="utf-8"?>
<queryTable xmlns="http://schemas.openxmlformats.org/spreadsheetml/2006/main" name="DadosExternos_125" connectionId="383" autoFormatId="16" applyNumberFormats="0" applyBorderFormats="0" applyFontFormats="1" applyPatternFormats="1" applyAlignmentFormats="0" applyWidthHeightFormats="0"/>
</file>

<file path=xl/queryTables/queryTable1229.xml><?xml version="1.0" encoding="utf-8"?>
<queryTable xmlns="http://schemas.openxmlformats.org/spreadsheetml/2006/main" name="DadosExternos_401" connectionId="394" autoFormatId="16" applyNumberFormats="0" applyBorderFormats="0" applyFontFormats="1" applyPatternFormats="1" applyAlignmentFormats="0" applyWidthHeightFormats="0"/>
</file>

<file path=xl/queryTables/queryTable1230.xml><?xml version="1.0" encoding="utf-8"?>
<queryTable xmlns="http://schemas.openxmlformats.org/spreadsheetml/2006/main" name="DadosExternos_21" connectionId="63" autoFormatId="16" applyNumberFormats="0" applyBorderFormats="0" applyFontFormats="1" applyPatternFormats="1" applyAlignmentFormats="0" applyWidthHeightFormats="0"/>
</file>

<file path=xl/queryTables/queryTable1231.xml><?xml version="1.0" encoding="utf-8"?>
<queryTable xmlns="http://schemas.openxmlformats.org/spreadsheetml/2006/main" name="DadosExternos_98" connectionId="392" autoFormatId="16" applyNumberFormats="0" applyBorderFormats="0" applyFontFormats="1" applyPatternFormats="1" applyAlignmentFormats="0" applyWidthHeightFormats="0"/>
</file>

<file path=xl/queryTables/queryTable1232.xml><?xml version="1.0" encoding="utf-8"?>
<queryTable xmlns="http://schemas.openxmlformats.org/spreadsheetml/2006/main" name="DadosExternos_326" connectionId="498" autoFormatId="16" applyNumberFormats="0" applyBorderFormats="0" applyFontFormats="1" applyPatternFormats="1" applyAlignmentFormats="0" applyWidthHeightFormats="0"/>
</file>

<file path=xl/queryTables/queryTable1233.xml><?xml version="1.0" encoding="utf-8"?>
<queryTable xmlns="http://schemas.openxmlformats.org/spreadsheetml/2006/main" name="DadosExternos_278" connectionId="371" autoFormatId="16" applyNumberFormats="0" applyBorderFormats="0" applyFontFormats="1" applyPatternFormats="1" applyAlignmentFormats="0" applyWidthHeightFormats="0"/>
</file>

<file path=xl/queryTables/queryTable1234.xml><?xml version="1.0" encoding="utf-8"?>
<queryTable xmlns="http://schemas.openxmlformats.org/spreadsheetml/2006/main" name="ExternalData_59" connectionId="965" autoFormatId="16" applyNumberFormats="0" applyBorderFormats="0" applyFontFormats="1" applyPatternFormats="1" applyAlignmentFormats="0" applyWidthHeightFormats="0"/>
</file>

<file path=xl/queryTables/queryTable1235.xml><?xml version="1.0" encoding="utf-8"?>
<queryTable xmlns="http://schemas.openxmlformats.org/spreadsheetml/2006/main" name="DadosExternos_33" connectionId="695" autoFormatId="16" applyNumberFormats="0" applyBorderFormats="0" applyFontFormats="1" applyPatternFormats="1" applyAlignmentFormats="0" applyWidthHeightFormats="0"/>
</file>

<file path=xl/queryTables/queryTable1236.xml><?xml version="1.0" encoding="utf-8"?>
<queryTable xmlns="http://schemas.openxmlformats.org/spreadsheetml/2006/main" name="ExternalData_103" connectionId="1114" autoFormatId="16" applyNumberFormats="0" applyBorderFormats="0" applyFontFormats="1" applyPatternFormats="1" applyAlignmentFormats="0" applyWidthHeightFormats="0"/>
</file>

<file path=xl/queryTables/queryTable1237.xml><?xml version="1.0" encoding="utf-8"?>
<queryTable xmlns="http://schemas.openxmlformats.org/spreadsheetml/2006/main" name="DadosExternos_157" connectionId="663" autoFormatId="16" applyNumberFormats="0" applyBorderFormats="0" applyFontFormats="1" applyPatternFormats="1" applyAlignmentFormats="0" applyWidthHeightFormats="0"/>
</file>

<file path=xl/queryTables/queryTable1238.xml><?xml version="1.0" encoding="utf-8"?>
<queryTable xmlns="http://schemas.openxmlformats.org/spreadsheetml/2006/main" name="DadosExternos_160" connectionId="673" autoFormatId="16" applyNumberFormats="0" applyBorderFormats="0" applyFontFormats="1" applyPatternFormats="1" applyAlignmentFormats="0" applyWidthHeightFormats="0"/>
</file>

<file path=xl/queryTables/queryTable1239.xml><?xml version="1.0" encoding="utf-8"?>
<queryTable xmlns="http://schemas.openxmlformats.org/spreadsheetml/2006/main" name="DadosExternos_304" connectionId="454" autoFormatId="16" applyNumberFormats="0" applyBorderFormats="0" applyFontFormats="1" applyPatternFormats="1" applyAlignmentFormats="0" applyWidthHeightFormats="0"/>
</file>

<file path=xl/queryTables/queryTable1240.xml><?xml version="1.0" encoding="utf-8"?>
<queryTable xmlns="http://schemas.openxmlformats.org/spreadsheetml/2006/main" name="DadosExternos_228" connectionId="203" autoFormatId="16" applyNumberFormats="0" applyBorderFormats="0" applyFontFormats="1" applyPatternFormats="1" applyAlignmentFormats="0" applyWidthHeightFormats="0"/>
</file>

<file path=xl/queryTables/queryTable1241.xml><?xml version="1.0" encoding="utf-8"?>
<queryTable xmlns="http://schemas.openxmlformats.org/spreadsheetml/2006/main" name="DadosExternos_454" connectionId="794" autoFormatId="16" applyNumberFormats="0" applyBorderFormats="0" applyFontFormats="1" applyPatternFormats="1" applyAlignmentFormats="0" applyWidthHeightFormats="0"/>
</file>

<file path=xl/queryTables/queryTable1242.xml><?xml version="1.0" encoding="utf-8"?>
<queryTable xmlns="http://schemas.openxmlformats.org/spreadsheetml/2006/main" name="DadosExternos_96" connectionId="81" autoFormatId="16" applyNumberFormats="0" applyBorderFormats="0" applyFontFormats="1" applyPatternFormats="1" applyAlignmentFormats="0" applyWidthHeightFormats="0"/>
</file>

<file path=xl/queryTables/queryTable1243.xml><?xml version="1.0" encoding="utf-8"?>
<queryTable xmlns="http://schemas.openxmlformats.org/spreadsheetml/2006/main" name="ExternalData_128" connectionId="849" autoFormatId="16" applyNumberFormats="0" applyBorderFormats="0" applyFontFormats="1" applyPatternFormats="1" applyAlignmentFormats="0" applyWidthHeightFormats="0"/>
</file>

<file path=xl/queryTables/queryTable1244.xml><?xml version="1.0" encoding="utf-8"?>
<queryTable xmlns="http://schemas.openxmlformats.org/spreadsheetml/2006/main" name="ExternalData_100" connectionId="1108" autoFormatId="16" applyNumberFormats="0" applyBorderFormats="0" applyFontFormats="1" applyPatternFormats="1" applyAlignmentFormats="0" applyWidthHeightFormats="0"/>
</file>

<file path=xl/queryTables/queryTable1245.xml><?xml version="1.0" encoding="utf-8"?>
<queryTable xmlns="http://schemas.openxmlformats.org/spreadsheetml/2006/main" name="DadosExternos_147" connectionId="622" autoFormatId="16" applyNumberFormats="0" applyBorderFormats="0" applyFontFormats="1" applyPatternFormats="1" applyAlignmentFormats="0" applyWidthHeightFormats="0"/>
</file>

<file path=xl/queryTables/queryTable1246.xml><?xml version="1.0" encoding="utf-8"?>
<queryTable xmlns="http://schemas.openxmlformats.org/spreadsheetml/2006/main" name="DadosExternos_325" connectionId="496" autoFormatId="16" applyNumberFormats="0" applyBorderFormats="0" applyFontFormats="1" applyPatternFormats="1" applyAlignmentFormats="0" applyWidthHeightFormats="0"/>
</file>

<file path=xl/queryTables/queryTable1247.xml><?xml version="1.0" encoding="utf-8"?>
<queryTable xmlns="http://schemas.openxmlformats.org/spreadsheetml/2006/main" name="DadosExternos_130" connectionId="459" autoFormatId="16" applyNumberFormats="0" applyBorderFormats="0" applyFontFormats="1" applyPatternFormats="1" applyAlignmentFormats="0" applyWidthHeightFormats="0"/>
</file>

<file path=xl/queryTables/queryTable1248.xml><?xml version="1.0" encoding="utf-8"?>
<queryTable xmlns="http://schemas.openxmlformats.org/spreadsheetml/2006/main" name="DadosExternos_299" connectionId="448" autoFormatId="16" applyNumberFormats="0" applyBorderFormats="0" applyFontFormats="1" applyPatternFormats="1" applyAlignmentFormats="0" applyWidthHeightFormats="0"/>
</file>

<file path=xl/queryTables/queryTable1249.xml><?xml version="1.0" encoding="utf-8"?>
<queryTable xmlns="http://schemas.openxmlformats.org/spreadsheetml/2006/main" name="ExternalData_24" connectionId="813" autoFormatId="16" applyNumberFormats="0" applyBorderFormats="0" applyFontFormats="1" applyPatternFormats="1" applyAlignmentFormats="0" applyWidthHeightFormats="0"/>
</file>

<file path=xl/queryTables/queryTable1250.xml><?xml version="1.0" encoding="utf-8"?>
<queryTable xmlns="http://schemas.openxmlformats.org/spreadsheetml/2006/main" name="DadosExternos_300" connectionId="450" autoFormatId="16" applyNumberFormats="0" applyBorderFormats="0" applyFontFormats="1" applyPatternFormats="1" applyAlignmentFormats="0" applyWidthHeightFormats="0"/>
</file>

<file path=xl/queryTables/queryTable1251.xml><?xml version="1.0" encoding="utf-8"?>
<queryTable xmlns="http://schemas.openxmlformats.org/spreadsheetml/2006/main" name="DadosExternos_415" connectionId="590" autoFormatId="16" applyNumberFormats="0" applyBorderFormats="0" applyFontFormats="1" applyPatternFormats="1" applyAlignmentFormats="0" applyWidthHeightFormats="0"/>
</file>

<file path=xl/queryTables/queryTable1252.xml><?xml version="1.0" encoding="utf-8"?>
<queryTable xmlns="http://schemas.openxmlformats.org/spreadsheetml/2006/main" name="DadosExternos_361" connectionId="572" autoFormatId="16" applyNumberFormats="0" applyBorderFormats="0" applyFontFormats="1" applyPatternFormats="1" applyAlignmentFormats="0" applyWidthHeightFormats="0"/>
</file>

<file path=xl/queryTables/queryTable1253.xml><?xml version="1.0" encoding="utf-8"?>
<queryTable xmlns="http://schemas.openxmlformats.org/spreadsheetml/2006/main" name="ExternalData_58" connectionId="960" autoFormatId="16" applyNumberFormats="0" applyBorderFormats="0" applyFontFormats="1" applyPatternFormats="1" applyAlignmentFormats="0" applyWidthHeightFormats="0"/>
</file>

<file path=xl/queryTables/queryTable1254.xml><?xml version="1.0" encoding="utf-8"?>
<queryTable xmlns="http://schemas.openxmlformats.org/spreadsheetml/2006/main" name="DadosExternos_57" connectionId="397" autoFormatId="16" applyNumberFormats="0" applyBorderFormats="0" applyFontFormats="1" applyPatternFormats="1" applyAlignmentFormats="0" applyWidthHeightFormats="0"/>
</file>

<file path=xl/queryTables/queryTable1255.xml><?xml version="1.0" encoding="utf-8"?>
<queryTable xmlns="http://schemas.openxmlformats.org/spreadsheetml/2006/main" name="DadosExternos_121" connectionId="325" autoFormatId="16" applyNumberFormats="0" applyBorderFormats="0" applyFontFormats="1" applyPatternFormats="1" applyAlignmentFormats="0" applyWidthHeightFormats="0"/>
</file>

<file path=xl/queryTables/queryTable1256.xml><?xml version="1.0" encoding="utf-8"?>
<queryTable xmlns="http://schemas.openxmlformats.org/spreadsheetml/2006/main" name="DadosExternos_195" connectionId="96" autoFormatId="16" applyNumberFormats="0" applyBorderFormats="0" applyFontFormats="1" applyPatternFormats="1" applyAlignmentFormats="0" applyWidthHeightFormats="0"/>
</file>

<file path=xl/queryTables/queryTable1257.xml><?xml version="1.0" encoding="utf-8"?>
<queryTable xmlns="http://schemas.openxmlformats.org/spreadsheetml/2006/main" name="DadosExternos_353" connectionId="561" autoFormatId="16" applyNumberFormats="0" applyBorderFormats="0" applyFontFormats="1" applyPatternFormats="1" applyAlignmentFormats="0" applyWidthHeightFormats="0"/>
</file>

<file path=xl/queryTables/queryTable1258.xml><?xml version="1.0" encoding="utf-8"?>
<queryTable xmlns="http://schemas.openxmlformats.org/spreadsheetml/2006/main" name="ExternalData_91" connectionId="1084" autoFormatId="16" applyNumberFormats="0" applyBorderFormats="0" applyFontFormats="1" applyPatternFormats="1" applyAlignmentFormats="0" applyWidthHeightFormats="0"/>
</file>

<file path=xl/queryTables/queryTable1259.xml><?xml version="1.0" encoding="utf-8"?>
<queryTable xmlns="http://schemas.openxmlformats.org/spreadsheetml/2006/main" name="ExternalData_10" connectionId="1103" autoFormatId="16" applyNumberFormats="0" applyBorderFormats="0" applyFontFormats="1" applyPatternFormats="1" applyAlignmentFormats="0" applyWidthHeightFormats="0"/>
</file>

<file path=xl/queryTables/queryTable1260.xml><?xml version="1.0" encoding="utf-8"?>
<queryTable xmlns="http://schemas.openxmlformats.org/spreadsheetml/2006/main" name="ExternalData_101" connectionId="1110" autoFormatId="16" applyNumberFormats="0" applyBorderFormats="0" applyFontFormats="1" applyPatternFormats="1" applyAlignmentFormats="0" applyWidthHeightFormats="0"/>
</file>

<file path=xl/queryTables/queryTable1261.xml><?xml version="1.0" encoding="utf-8"?>
<queryTable xmlns="http://schemas.openxmlformats.org/spreadsheetml/2006/main" name="DadosExternos_403" connectionId="423" autoFormatId="16" applyNumberFormats="0" applyBorderFormats="0" applyFontFormats="1" applyPatternFormats="1" applyAlignmentFormats="0" applyWidthHeightFormats="0"/>
</file>

<file path=xl/queryTables/queryTable1262.xml><?xml version="1.0" encoding="utf-8"?>
<queryTable xmlns="http://schemas.openxmlformats.org/spreadsheetml/2006/main" name="ExternalData_55" connectionId="944" autoFormatId="16" applyNumberFormats="0" applyBorderFormats="0" applyFontFormats="1" applyPatternFormats="1" applyAlignmentFormats="0" applyWidthHeightFormats="0"/>
</file>

<file path=xl/queryTables/queryTable1263.xml><?xml version="1.0" encoding="utf-8"?>
<queryTable xmlns="http://schemas.openxmlformats.org/spreadsheetml/2006/main" name="DadosExternos_177" connectionId="748" autoFormatId="16" applyNumberFormats="0" applyBorderFormats="0" applyFontFormats="1" applyPatternFormats="1" applyAlignmentFormats="0" applyWidthHeightFormats="0"/>
</file>

<file path=xl/queryTables/queryTable1264.xml><?xml version="1.0" encoding="utf-8"?>
<queryTable xmlns="http://schemas.openxmlformats.org/spreadsheetml/2006/main" name="ExternalData_87" connectionId="1047" autoFormatId="16" applyNumberFormats="0" applyBorderFormats="0" applyFontFormats="1" applyPatternFormats="1" applyAlignmentFormats="0" applyWidthHeightFormats="0"/>
</file>

<file path=xl/queryTables/queryTable1265.xml><?xml version="1.0" encoding="utf-8"?>
<queryTable xmlns="http://schemas.openxmlformats.org/spreadsheetml/2006/main" name="DadosExternos_112" connectionId="178" autoFormatId="16" applyNumberFormats="0" applyBorderFormats="0" applyFontFormats="1" applyPatternFormats="1" applyAlignmentFormats="0" applyWidthHeightFormats="0"/>
</file>

<file path=xl/queryTables/queryTable1266.xml><?xml version="1.0" encoding="utf-8"?>
<queryTable xmlns="http://schemas.openxmlformats.org/spreadsheetml/2006/main" name="DadosExternos_261" connectionId="313" autoFormatId="16" applyNumberFormats="0" applyBorderFormats="0" applyFontFormats="1" applyPatternFormats="1" applyAlignmentFormats="0" applyWidthHeightFormats="0"/>
</file>

<file path=xl/queryTables/queryTable1267.xml><?xml version="1.0" encoding="utf-8"?>
<queryTable xmlns="http://schemas.openxmlformats.org/spreadsheetml/2006/main" name="DadosExternos_223" connectionId="189" autoFormatId="16" applyNumberFormats="0" applyBorderFormats="0" applyFontFormats="1" applyPatternFormats="1" applyAlignmentFormats="0" applyWidthHeightFormats="0"/>
</file>

<file path=xl/queryTables/queryTable1268.xml><?xml version="1.0" encoding="utf-8"?>
<queryTable xmlns="http://schemas.openxmlformats.org/spreadsheetml/2006/main" name="DadosExternos_165" connectionId="691" autoFormatId="16" applyNumberFormats="0" applyBorderFormats="0" applyFontFormats="1" applyPatternFormats="1" applyAlignmentFormats="0" applyWidthHeightFormats="0"/>
</file>

<file path=xl/queryTables/queryTable1269.xml><?xml version="1.0" encoding="utf-8"?>
<queryTable xmlns="http://schemas.openxmlformats.org/spreadsheetml/2006/main" name="DadosExternos_380" connectionId="7" autoFormatId="16" applyNumberFormats="0" applyBorderFormats="0" applyFontFormats="1" applyPatternFormats="1" applyAlignmentFormats="0" applyWidthHeightFormats="0"/>
</file>

<file path=xl/queryTables/queryTable1270.xml><?xml version="1.0" encoding="utf-8"?>
<queryTable xmlns="http://schemas.openxmlformats.org/spreadsheetml/2006/main" name="DadosExternos_132" connectionId="488" autoFormatId="16" applyNumberFormats="0" applyBorderFormats="0" applyFontFormats="1" applyPatternFormats="1" applyAlignmentFormats="0" applyWidthHeightFormats="0"/>
</file>

<file path=xl/queryTables/queryTable1271.xml><?xml version="1.0" encoding="utf-8"?>
<queryTable xmlns="http://schemas.openxmlformats.org/spreadsheetml/2006/main" name="DadosExternos_444" connectionId="750" autoFormatId="16" applyNumberFormats="0" applyBorderFormats="0" applyFontFormats="1" applyPatternFormats="1" applyAlignmentFormats="0" applyWidthHeightFormats="0"/>
</file>

<file path=xl/queryTables/queryTable1272.xml><?xml version="1.0" encoding="utf-8"?>
<queryTable xmlns="http://schemas.openxmlformats.org/spreadsheetml/2006/main" name="ExternalData_77" connectionId="1022" autoFormatId="16" applyNumberFormats="0" applyBorderFormats="0" applyFontFormats="1" applyPatternFormats="1" applyAlignmentFormats="0" applyWidthHeightFormats="0"/>
</file>

<file path=xl/queryTables/queryTable1273.xml><?xml version="1.0" encoding="utf-8"?>
<queryTable xmlns="http://schemas.openxmlformats.org/spreadsheetml/2006/main" name="DadosExternos_250" connectionId="274" autoFormatId="16" applyNumberFormats="0" applyBorderFormats="0" applyFontFormats="1" applyPatternFormats="1" applyAlignmentFormats="0" applyWidthHeightFormats="0"/>
</file>

<file path=xl/queryTables/queryTable1274.xml><?xml version="1.0" encoding="utf-8"?>
<queryTable xmlns="http://schemas.openxmlformats.org/spreadsheetml/2006/main" name="DadosExternos_463" connectionId="38" autoFormatId="16" applyNumberFormats="0" applyBorderFormats="0" applyFontFormats="1" applyPatternFormats="1" applyAlignmentFormats="0" applyWidthHeightFormats="0"/>
</file>

<file path=xl/queryTables/queryTable1275.xml><?xml version="1.0" encoding="utf-8"?>
<queryTable xmlns="http://schemas.openxmlformats.org/spreadsheetml/2006/main" name="DadosExternos_424" connectionId="637" autoFormatId="16" applyNumberFormats="0" applyBorderFormats="0" applyFontFormats="1" applyPatternFormats="1" applyAlignmentFormats="0" applyWidthHeightFormats="0"/>
</file>

<file path=xl/queryTables/queryTable1276.xml><?xml version="1.0" encoding="utf-8"?>
<queryTable xmlns="http://schemas.openxmlformats.org/spreadsheetml/2006/main" name="DadosExternos_70" connectionId="399" autoFormatId="16" applyNumberFormats="0" applyBorderFormats="0" applyFontFormats="1" applyPatternFormats="1" applyAlignmentFormats="0" applyWidthHeightFormats="0"/>
</file>

<file path=xl/queryTables/queryTable1277.xml><?xml version="1.0" encoding="utf-8"?>
<queryTable xmlns="http://schemas.openxmlformats.org/spreadsheetml/2006/main" name="DadosExternos_358" connectionId="565" autoFormatId="16" applyNumberFormats="0" applyBorderFormats="0" applyFontFormats="1" applyPatternFormats="1" applyAlignmentFormats="0" applyWidthHeightFormats="0"/>
</file>

<file path=xl/queryTables/queryTable1278.xml><?xml version="1.0" encoding="utf-8"?>
<queryTable xmlns="http://schemas.openxmlformats.org/spreadsheetml/2006/main" name="ExternalData_94" connectionId="1090" autoFormatId="16" applyNumberFormats="0" applyBorderFormats="0" applyFontFormats="1" applyPatternFormats="1" applyAlignmentFormats="0" applyWidthHeightFormats="0"/>
</file>

<file path=xl/queryTables/queryTable1279.xml><?xml version="1.0" encoding="utf-8"?>
<queryTable xmlns="http://schemas.openxmlformats.org/spreadsheetml/2006/main" name="DadosExternos_36" connectionId="9" autoFormatId="16" applyNumberFormats="0" applyBorderFormats="0" applyFontFormats="1" applyPatternFormats="1" applyAlignmentFormats="0" applyWidthHeightFormats="0"/>
</file>

<file path=xl/queryTables/queryTable1280.xml><?xml version="1.0" encoding="utf-8"?>
<queryTable xmlns="http://schemas.openxmlformats.org/spreadsheetml/2006/main" name="DadosExternos_467" connectionId="59" autoFormatId="16" applyNumberFormats="0" applyBorderFormats="0" applyFontFormats="1" applyPatternFormats="1" applyAlignmentFormats="0" applyWidthHeightFormats="0"/>
</file>

<file path=xl/queryTables/queryTable1281.xml><?xml version="1.0" encoding="utf-8"?>
<queryTable xmlns="http://schemas.openxmlformats.org/spreadsheetml/2006/main" name="ExternalData_102" connectionId="1112" autoFormatId="16" applyNumberFormats="0" applyBorderFormats="0" applyFontFormats="1" applyPatternFormats="1" applyAlignmentFormats="0" applyWidthHeightFormats="0"/>
</file>

<file path=xl/queryTables/queryTable1282.xml><?xml version="1.0" encoding="utf-8"?>
<queryTable xmlns="http://schemas.openxmlformats.org/spreadsheetml/2006/main" name="DadosExternos_253" connectionId="285" autoFormatId="16" applyNumberFormats="0" applyBorderFormats="0" applyFontFormats="1" applyPatternFormats="1" applyAlignmentFormats="0" applyWidthHeightFormats="0"/>
</file>

<file path=xl/queryTables/queryTable1283.xml><?xml version="1.0" encoding="utf-8"?>
<queryTable xmlns="http://schemas.openxmlformats.org/spreadsheetml/2006/main" name="DadosExternos_55" connectionId="364" autoFormatId="16" applyNumberFormats="0" applyBorderFormats="0" applyFontFormats="1" applyPatternFormats="1" applyAlignmentFormats="0" applyWidthHeightFormats="0"/>
</file>

<file path=xl/queryTables/queryTable1284.xml><?xml version="1.0" encoding="utf-8"?>
<queryTable xmlns="http://schemas.openxmlformats.org/spreadsheetml/2006/main" name="ExternalData_21" connectionId="1023" autoFormatId="16" applyNumberFormats="0" applyBorderFormats="0" applyFontFormats="1" applyPatternFormats="1" applyAlignmentFormats="0" applyWidthHeightFormats="0"/>
</file>

<file path=xl/queryTables/queryTable1285.xml><?xml version="1.0" encoding="utf-8"?>
<queryTable xmlns="http://schemas.openxmlformats.org/spreadsheetml/2006/main" name="ExternalData_82" connectionId="1033" autoFormatId="16" applyNumberFormats="0" applyBorderFormats="0" applyFontFormats="1" applyPatternFormats="1" applyAlignmentFormats="0" applyWidthHeightFormats="0"/>
</file>

<file path=xl/queryTables/queryTable1286.xml><?xml version="1.0" encoding="utf-8"?>
<queryTable xmlns="http://schemas.openxmlformats.org/spreadsheetml/2006/main" name="DadosExternos_123" connectionId="350" autoFormatId="16" applyNumberFormats="0" applyBorderFormats="0" applyFontFormats="1" applyPatternFormats="1" applyAlignmentFormats="0" applyWidthHeightFormats="0"/>
</file>

<file path=xl/queryTables/queryTable1287.xml><?xml version="1.0" encoding="utf-8"?>
<queryTable xmlns="http://schemas.openxmlformats.org/spreadsheetml/2006/main" name="DadosExternos_295" connectionId="434" autoFormatId="16" applyNumberFormats="0" applyBorderFormats="0" applyFontFormats="1" applyPatternFormats="1" applyAlignmentFormats="0" applyWidthHeightFormats="0"/>
</file>

<file path=xl/queryTables/queryTable1288.xml><?xml version="1.0" encoding="utf-8"?>
<queryTable xmlns="http://schemas.openxmlformats.org/spreadsheetml/2006/main" name="ExternalData_129" connectionId="851" autoFormatId="16" applyNumberFormats="0" applyBorderFormats="0" applyFontFormats="1" applyPatternFormats="1" applyAlignmentFormats="0" applyWidthHeightFormats="0"/>
</file>

<file path=xl/queryTables/queryTable1289.xml><?xml version="1.0" encoding="utf-8"?>
<queryTable xmlns="http://schemas.openxmlformats.org/spreadsheetml/2006/main" name="DadosExternos_146" connectionId="614" autoFormatId="16" applyNumberFormats="0" applyBorderFormats="0" applyFontFormats="1" applyPatternFormats="1" applyAlignmentFormats="0" applyWidthHeightFormats="0"/>
</file>

<file path=xl/queryTables/queryTable1290.xml><?xml version="1.0" encoding="utf-8"?>
<queryTable xmlns="http://schemas.openxmlformats.org/spreadsheetml/2006/main" name="ExternalData_46" connectionId="1123" autoFormatId="16" applyNumberFormats="0" applyBorderFormats="0" applyFontFormats="1" applyPatternFormats="1" applyAlignmentFormats="0" applyWidthHeightFormats="0"/>
</file>

<file path=xl/queryTables/queryTable1291.xml><?xml version="1.0" encoding="utf-8"?>
<queryTable xmlns="http://schemas.openxmlformats.org/spreadsheetml/2006/main" name="DadosExternos_468" connectionId="67" autoFormatId="16" applyNumberFormats="0" applyBorderFormats="0" applyFontFormats="1" applyPatternFormats="1" applyAlignmentFormats="0" applyWidthHeightFormats="0"/>
</file>

<file path=xl/queryTables/queryTable1292.xml><?xml version="1.0" encoding="utf-8"?>
<queryTable xmlns="http://schemas.openxmlformats.org/spreadsheetml/2006/main" name="ExternalData_97" connectionId="1097" autoFormatId="16" applyNumberFormats="0" applyBorderFormats="0" applyFontFormats="1" applyPatternFormats="1" applyAlignmentFormats="0" applyWidthHeightFormats="0"/>
</file>

<file path=xl/queryTables/queryTable1293.xml><?xml version="1.0" encoding="utf-8"?>
<queryTable xmlns="http://schemas.openxmlformats.org/spreadsheetml/2006/main" name="DadosExternos_408" connectionId="504" autoFormatId="16" applyNumberFormats="0" applyBorderFormats="0" applyFontFormats="1" applyPatternFormats="1" applyAlignmentFormats="0" applyWidthHeightFormats="0"/>
</file>

<file path=xl/queryTables/queryTable1294.xml><?xml version="1.0" encoding="utf-8"?>
<queryTable xmlns="http://schemas.openxmlformats.org/spreadsheetml/2006/main" name="DadosExternos_110" connectionId="141" autoFormatId="16" applyNumberFormats="0" applyBorderFormats="0" applyFontFormats="1" applyPatternFormats="1" applyAlignmentFormats="0" applyWidthHeightFormats="0"/>
</file>

<file path=xl/queryTables/queryTable1295.xml><?xml version="1.0" encoding="utf-8"?>
<queryTable xmlns="http://schemas.openxmlformats.org/spreadsheetml/2006/main" name="DadosExternos_345" connectionId="545" autoFormatId="16" applyNumberFormats="0" applyBorderFormats="0" applyFontFormats="1" applyPatternFormats="1" applyAlignmentFormats="0" applyWidthHeightFormats="0"/>
</file>

<file path=xl/queryTables/queryTable1296.xml><?xml version="1.0" encoding="utf-8"?>
<queryTable xmlns="http://schemas.openxmlformats.org/spreadsheetml/2006/main" name="DadosExternos_17" connectionId="48" autoFormatId="16" applyNumberFormats="0" applyBorderFormats="0" applyFontFormats="1" applyPatternFormats="1" applyAlignmentFormats="0" applyWidthHeightFormats="0"/>
</file>

<file path=xl/queryTables/queryTable1297.xml><?xml version="1.0" encoding="utf-8"?>
<queryTable xmlns="http://schemas.openxmlformats.org/spreadsheetml/2006/main" name="DadosExternos_369" connectionId="585" autoFormatId="16" applyNumberFormats="0" applyBorderFormats="0" applyFontFormats="1" applyPatternFormats="1" applyAlignmentFormats="0" applyWidthHeightFormats="0"/>
</file>

<file path=xl/queryTables/queryTable1298.xml><?xml version="1.0" encoding="utf-8"?>
<queryTable xmlns="http://schemas.openxmlformats.org/spreadsheetml/2006/main" name="ExternalData_32" connectionId="956" autoFormatId="16" applyNumberFormats="0" applyBorderFormats="0" applyFontFormats="1" applyPatternFormats="1" applyAlignmentFormats="0" applyWidthHeightFormats="0"/>
</file>

<file path=xl/queryTables/queryTable1299.xml><?xml version="1.0" encoding="utf-8"?>
<queryTable xmlns="http://schemas.openxmlformats.org/spreadsheetml/2006/main" name="DadosExternos_465" connectionId="47" autoFormatId="16" applyNumberFormats="0" applyBorderFormats="0" applyFontFormats="1" applyPatternFormats="1" applyAlignmentFormats="0" applyWidthHeightFormats="0"/>
</file>

<file path=xl/queryTables/queryTable1300.xml><?xml version="1.0" encoding="utf-8"?>
<queryTable xmlns="http://schemas.openxmlformats.org/spreadsheetml/2006/main" name="ExternalData_109" connectionId="1132" autoFormatId="16" applyNumberFormats="0" applyBorderFormats="0" applyFontFormats="1" applyPatternFormats="1" applyAlignmentFormats="0" applyWidthHeightFormats="0"/>
</file>

<file path=xl/queryTables/queryTable1301.xml><?xml version="1.0" encoding="utf-8"?>
<queryTable xmlns="http://schemas.openxmlformats.org/spreadsheetml/2006/main" name="DadosExternos_435" connectionId="682" autoFormatId="16" applyNumberFormats="0" applyBorderFormats="0" applyFontFormats="1" applyPatternFormats="1" applyAlignmentFormats="0" applyWidthHeightFormats="0"/>
</file>

<file path=xl/queryTables/queryTable1302.xml><?xml version="1.0" encoding="utf-8"?>
<queryTable xmlns="http://schemas.openxmlformats.org/spreadsheetml/2006/main" name="DadosExternos_221" connectionId="185" autoFormatId="16" applyNumberFormats="0" applyBorderFormats="0" applyFontFormats="1" applyPatternFormats="1" applyAlignmentFormats="0" applyWidthHeightFormats="0"/>
</file>

<file path=xl/queryTables/queryTable1303.xml><?xml version="1.0" encoding="utf-8"?>
<queryTable xmlns="http://schemas.openxmlformats.org/spreadsheetml/2006/main" name="DadosExternos_174" connectionId="729" autoFormatId="16" applyNumberFormats="0" applyBorderFormats="0" applyFontFormats="1" applyPatternFormats="1" applyAlignmentFormats="0" applyWidthHeightFormats="0"/>
</file>

<file path=xl/queryTables/queryTable1304.xml><?xml version="1.0" encoding="utf-8"?>
<queryTable xmlns="http://schemas.openxmlformats.org/spreadsheetml/2006/main" name="DadosExternos_227" connectionId="201" autoFormatId="16" applyNumberFormats="0" applyBorderFormats="0" applyFontFormats="1" applyPatternFormats="1" applyAlignmentFormats="0" applyWidthHeightFormats="0"/>
</file>

<file path=xl/queryTables/queryTable1305.xml><?xml version="1.0" encoding="utf-8"?>
<queryTable xmlns="http://schemas.openxmlformats.org/spreadsheetml/2006/main" name="DadosExternos_450" connectionId="767" autoFormatId="16" applyNumberFormats="0" applyBorderFormats="0" applyFontFormats="1" applyPatternFormats="1" applyAlignmentFormats="0" applyWidthHeightFormats="0"/>
</file>

<file path=xl/queryTables/queryTable1306.xml><?xml version="1.0" encoding="utf-8"?>
<queryTable xmlns="http://schemas.openxmlformats.org/spreadsheetml/2006/main" name="DadosExternos_107" connectionId="90" autoFormatId="16" applyNumberFormats="0" applyBorderFormats="0" applyFontFormats="1" applyPatternFormats="1" applyAlignmentFormats="0" applyWidthHeightFormats="0"/>
</file>

<file path=xl/queryTables/queryTable1307.xml><?xml version="1.0" encoding="utf-8"?>
<queryTable xmlns="http://schemas.openxmlformats.org/spreadsheetml/2006/main" name="DadosExternos_111" connectionId="164" autoFormatId="16" applyNumberFormats="0" applyBorderFormats="0" applyFontFormats="1" applyPatternFormats="1" applyAlignmentFormats="0" applyWidthHeightFormats="0"/>
</file>

<file path=xl/queryTables/queryTable1308.xml><?xml version="1.0" encoding="utf-8"?>
<queryTable xmlns="http://schemas.openxmlformats.org/spreadsheetml/2006/main" name="ExternalData_76" connectionId="1020" autoFormatId="16" applyNumberFormats="0" applyBorderFormats="0" applyFontFormats="1" applyPatternFormats="1" applyAlignmentFormats="0" applyWidthHeightFormats="0"/>
</file>

<file path=xl/queryTables/queryTable1309.xml><?xml version="1.0" encoding="utf-8"?>
<queryTable xmlns="http://schemas.openxmlformats.org/spreadsheetml/2006/main" name="DadosExternos_44" connectionId="199" autoFormatId="16" applyNumberFormats="0" applyBorderFormats="0" applyFontFormats="1" applyPatternFormats="1" applyAlignmentFormats="0" applyWidthHeightFormats="0"/>
</file>

<file path=xl/queryTables/queryTable1310.xml><?xml version="1.0" encoding="utf-8"?>
<queryTable xmlns="http://schemas.openxmlformats.org/spreadsheetml/2006/main" name="DadosExternos_203" connectionId="130" autoFormatId="16" applyNumberFormats="0" applyBorderFormats="0" applyFontFormats="1" applyPatternFormats="1" applyAlignmentFormats="0" applyWidthHeightFormats="0"/>
</file>

<file path=xl/queryTables/queryTable1311.xml><?xml version="1.0" encoding="utf-8"?>
<queryTable xmlns="http://schemas.openxmlformats.org/spreadsheetml/2006/main" name="ExternalData_119" connectionId="826" autoFormatId="16" applyNumberFormats="0" applyBorderFormats="0" applyFontFormats="1" applyPatternFormats="1" applyAlignmentFormats="0" applyWidthHeightFormats="0"/>
</file>

<file path=xl/queryTables/queryTable1312.xml><?xml version="1.0" encoding="utf-8"?>
<queryTable xmlns="http://schemas.openxmlformats.org/spreadsheetml/2006/main" name="DadosExternos_32" connectionId="653" autoFormatId="16" applyNumberFormats="0" applyBorderFormats="0" applyFontFormats="1" applyPatternFormats="1" applyAlignmentFormats="0" applyWidthHeightFormats="0"/>
</file>

<file path=xl/queryTables/queryTable1313.xml><?xml version="1.0" encoding="utf-8"?>
<queryTable xmlns="http://schemas.openxmlformats.org/spreadsheetml/2006/main" name="ExternalData_54" connectionId="932" autoFormatId="16" applyNumberFormats="0" applyBorderFormats="0" applyFontFormats="1" applyPatternFormats="1" applyAlignmentFormats="0" applyWidthHeightFormats="0"/>
</file>

<file path=xl/queryTables/queryTable1314.xml><?xml version="1.0" encoding="utf-8"?>
<queryTable xmlns="http://schemas.openxmlformats.org/spreadsheetml/2006/main" name="ExternalData_11" connectionId="1124" autoFormatId="16" applyNumberFormats="0" applyBorderFormats="0" applyFontFormats="1" applyPatternFormats="1" applyAlignmentFormats="0" applyWidthHeightFormats="0"/>
</file>

<file path=xl/queryTables/queryTable1315.xml><?xml version="1.0" encoding="utf-8"?>
<queryTable xmlns="http://schemas.openxmlformats.org/spreadsheetml/2006/main" name="DadosExternos_238" connectionId="222" autoFormatId="16" applyNumberFormats="0" applyBorderFormats="0" applyFontFormats="1" applyPatternFormats="1" applyAlignmentFormats="0" applyWidthHeightFormats="0"/>
</file>

<file path=xl/queryTables/queryTable1316.xml><?xml version="1.0" encoding="utf-8"?>
<queryTable xmlns="http://schemas.openxmlformats.org/spreadsheetml/2006/main" name="DadosExternos_360" connectionId="570" autoFormatId="16" applyNumberFormats="0" applyBorderFormats="0" applyFontFormats="1" applyPatternFormats="1" applyAlignmentFormats="0" applyWidthHeightFormats="0"/>
</file>

<file path=xl/queryTables/queryTable1317.xml><?xml version="1.0" encoding="utf-8"?>
<queryTable xmlns="http://schemas.openxmlformats.org/spreadsheetml/2006/main" name="DadosExternos_35" connectionId="783" autoFormatId="16" applyNumberFormats="0" applyBorderFormats="0" applyFontFormats="1" applyPatternFormats="1" applyAlignmentFormats="0" applyWidthHeightFormats="0"/>
</file>

<file path=xl/queryTables/queryTable1318.xml><?xml version="1.0" encoding="utf-8"?>
<queryTable xmlns="http://schemas.openxmlformats.org/spreadsheetml/2006/main" name="ExternalData_49" connectionId="856" autoFormatId="16" applyNumberFormats="0" applyBorderFormats="0" applyFontFormats="1" applyPatternFormats="1" applyAlignmentFormats="0" applyWidthHeightFormats="0"/>
</file>

<file path=xl/queryTables/queryTable1319.xml><?xml version="1.0" encoding="utf-8"?>
<queryTable xmlns="http://schemas.openxmlformats.org/spreadsheetml/2006/main" name="DadosExternos_235" connectionId="218" autoFormatId="16" applyNumberFormats="0" applyBorderFormats="0" applyFontFormats="1" applyPatternFormats="1" applyAlignmentFormats="0" applyWidthHeightFormats="0"/>
</file>

<file path=xl/queryTables/queryTable1320.xml><?xml version="1.0" encoding="utf-8"?>
<queryTable xmlns="http://schemas.openxmlformats.org/spreadsheetml/2006/main" name="DadosExternos_390" connectionId="230" autoFormatId="16" applyNumberFormats="0" applyBorderFormats="0" applyFontFormats="1" applyPatternFormats="1" applyAlignmentFormats="0" applyWidthHeightFormats="0"/>
</file>

<file path=xl/queryTables/queryTable1321.xml><?xml version="1.0" encoding="utf-8"?>
<queryTable xmlns="http://schemas.openxmlformats.org/spreadsheetml/2006/main" name="DadosExternos_187" connectionId="24" autoFormatId="16" applyNumberFormats="0" applyBorderFormats="0" applyFontFormats="1" applyPatternFormats="1" applyAlignmentFormats="0" applyWidthHeightFormats="0"/>
</file>

<file path=xl/queryTables/queryTable1322.xml><?xml version="1.0" encoding="utf-8"?>
<queryTable xmlns="http://schemas.openxmlformats.org/spreadsheetml/2006/main" name="DadosExternos_277" connectionId="368" autoFormatId="16" applyNumberFormats="0" applyBorderFormats="0" applyFontFormats="1" applyPatternFormats="1" applyAlignmentFormats="0" applyWidthHeightFormats="0"/>
</file>

<file path=xl/queryTables/queryTable1323.xml><?xml version="1.0" encoding="utf-8"?>
<queryTable xmlns="http://schemas.openxmlformats.org/spreadsheetml/2006/main" name="ExternalData_13" connectionId="834" autoFormatId="16" applyNumberFormats="0" applyBorderFormats="0" applyFontFormats="1" applyPatternFormats="1" applyAlignmentFormats="0" applyWidthHeightFormats="0"/>
</file>

<file path=xl/queryTables/queryTable1324.xml><?xml version="1.0" encoding="utf-8"?>
<queryTable xmlns="http://schemas.openxmlformats.org/spreadsheetml/2006/main" name="DadosExternos_27" connectionId="68" autoFormatId="16" applyNumberFormats="0" applyBorderFormats="0" applyFontFormats="1" applyPatternFormats="1" applyAlignmentFormats="0" applyWidthHeightFormats="0"/>
</file>

<file path=xl/queryTables/queryTable1325.xml><?xml version="1.0" encoding="utf-8"?>
<queryTable xmlns="http://schemas.openxmlformats.org/spreadsheetml/2006/main" name="ExternalData_81" connectionId="1031" autoFormatId="16" applyNumberFormats="0" applyBorderFormats="0" applyFontFormats="1" applyPatternFormats="1" applyAlignmentFormats="0" applyWidthHeightFormats="0"/>
</file>

<file path=xl/queryTables/queryTable1326.xml><?xml version="1.0" encoding="utf-8"?>
<queryTable xmlns="http://schemas.openxmlformats.org/spreadsheetml/2006/main" name="DadosExternos_466" connectionId="54" autoFormatId="16" applyNumberFormats="0" applyBorderFormats="0" applyFontFormats="1" applyPatternFormats="1" applyAlignmentFormats="0" applyWidthHeightFormats="0"/>
</file>

<file path=xl/queryTables/queryTable1327.xml><?xml version="1.0" encoding="utf-8"?>
<queryTable xmlns="http://schemas.openxmlformats.org/spreadsheetml/2006/main" name="DadosExternos_158" connectionId="666" autoFormatId="16" applyNumberFormats="0" applyBorderFormats="0" applyFontFormats="1" applyPatternFormats="1" applyAlignmentFormats="0" applyWidthHeightFormats="0"/>
</file>

<file path=xl/queryTables/queryTable1328.xml><?xml version="1.0" encoding="utf-8"?>
<queryTable xmlns="http://schemas.openxmlformats.org/spreadsheetml/2006/main" name="DadosExternos_297" connectionId="438" autoFormatId="16" applyNumberFormats="0" applyBorderFormats="0" applyFontFormats="1" applyPatternFormats="1" applyAlignmentFormats="0" applyWidthHeightFormats="0"/>
</file>

<file path=xl/queryTables/queryTable1329.xml><?xml version="1.0" encoding="utf-8"?>
<queryTable xmlns="http://schemas.openxmlformats.org/spreadsheetml/2006/main" name="DadosExternos_411" connectionId="554" autoFormatId="16" applyNumberFormats="0" applyBorderFormats="0" applyFontFormats="1" applyPatternFormats="1" applyAlignmentFormats="0" applyWidthHeightFormats="0"/>
</file>

<file path=xl/queryTables/queryTable1330.xml><?xml version="1.0" encoding="utf-8"?>
<queryTable xmlns="http://schemas.openxmlformats.org/spreadsheetml/2006/main" name="DadosExternos_56" connectionId="381" autoFormatId="16" applyNumberFormats="0" applyBorderFormats="0" applyFontFormats="1" applyPatternFormats="1" applyAlignmentFormats="0" applyWidthHeightFormats="0"/>
</file>

<file path=xl/queryTables/queryTable1331.xml><?xml version="1.0" encoding="utf-8"?>
<queryTable xmlns="http://schemas.openxmlformats.org/spreadsheetml/2006/main" name="DadosExternos_388" connectionId="195" autoFormatId="16" applyNumberFormats="0" applyBorderFormats="0" applyFontFormats="1" applyPatternFormats="1" applyAlignmentFormats="0" applyWidthHeightFormats="0"/>
</file>

<file path=xl/queryTables/queryTable1332.xml><?xml version="1.0" encoding="utf-8"?>
<queryTable xmlns="http://schemas.openxmlformats.org/spreadsheetml/2006/main" name="DadosExternos_438" connectionId="696" autoFormatId="16" applyNumberFormats="0" applyBorderFormats="0" applyFontFormats="1" applyPatternFormats="1" applyAlignmentFormats="0" applyWidthHeightFormats="0"/>
</file>

<file path=xl/queryTables/queryTable1333.xml><?xml version="1.0" encoding="utf-8"?>
<queryTable xmlns="http://schemas.openxmlformats.org/spreadsheetml/2006/main" name="ExternalData_67" connectionId="1000" autoFormatId="16" applyNumberFormats="0" applyBorderFormats="0" applyFontFormats="1" applyPatternFormats="1" applyAlignmentFormats="0" applyWidthHeightFormats="0"/>
</file>

<file path=xl/queryTables/queryTable1334.xml><?xml version="1.0" encoding="utf-8"?>
<queryTable xmlns="http://schemas.openxmlformats.org/spreadsheetml/2006/main" name="DadosExternos_324" connectionId="494" autoFormatId="16" applyNumberFormats="0" applyBorderFormats="0" applyFontFormats="1" applyPatternFormats="1" applyAlignmentFormats="0" applyWidthHeightFormats="0"/>
</file>

<file path=xl/queryTables/queryTable1335.xml><?xml version="1.0" encoding="utf-8"?>
<queryTable xmlns="http://schemas.openxmlformats.org/spreadsheetml/2006/main" name="DadosExternos_162" connectionId="680" autoFormatId="16" applyNumberFormats="0" applyBorderFormats="0" applyFontFormats="1" applyPatternFormats="1" applyAlignmentFormats="0" applyWidthHeightFormats="0"/>
</file>

<file path=xl/queryTables/queryTable1336.xml><?xml version="1.0" encoding="utf-8"?>
<queryTable xmlns="http://schemas.openxmlformats.org/spreadsheetml/2006/main" name="ExternalData_22" connectionId="1100" autoFormatId="16" applyNumberFormats="0" applyBorderFormats="0" applyFontFormats="1" applyPatternFormats="1" applyAlignmentFormats="0" applyWidthHeightFormats="0"/>
</file>

<file path=xl/queryTables/queryTable1337.xml><?xml version="1.0" encoding="utf-8"?>
<queryTable xmlns="http://schemas.openxmlformats.org/spreadsheetml/2006/main" name="DadosExternos_168" connectionId="709" autoFormatId="16" applyNumberFormats="0" applyBorderFormats="0" applyFontFormats="1" applyPatternFormats="1" applyAlignmentFormats="0" applyWidthHeightFormats="0"/>
</file>

<file path=xl/queryTables/queryTable1338.xml><?xml version="1.0" encoding="utf-8"?>
<queryTable xmlns="http://schemas.openxmlformats.org/spreadsheetml/2006/main" name="DadosExternos_210" connectionId="151" autoFormatId="16" applyNumberFormats="0" applyBorderFormats="0" applyFontFormats="1" applyPatternFormats="1" applyAlignmentFormats="0" applyWidthHeightFormats="0"/>
</file>

<file path=xl/queryTables/queryTable1339.xml><?xml version="1.0" encoding="utf-8"?>
<queryTable xmlns="http://schemas.openxmlformats.org/spreadsheetml/2006/main" name="ExternalData_14" connectionId="860" autoFormatId="16" applyNumberFormats="0" applyBorderFormats="0" applyFontFormats="1" applyPatternFormats="1" applyAlignmentFormats="0" applyWidthHeightFormats="0"/>
</file>

<file path=xl/queryTables/queryTable1340.xml><?xml version="1.0" encoding="utf-8"?>
<queryTable xmlns="http://schemas.openxmlformats.org/spreadsheetml/2006/main" name="DadosExternos_349" connectionId="547" autoFormatId="16" applyNumberFormats="0" applyBorderFormats="0" applyFontFormats="1" applyPatternFormats="1" applyAlignmentFormats="0" applyWidthHeightFormats="0"/>
</file>

<file path=xl/queryTables/queryTable1341.xml><?xml version="1.0" encoding="utf-8"?>
<queryTable xmlns="http://schemas.openxmlformats.org/spreadsheetml/2006/main" name="ExternalData_107" connectionId="1127" autoFormatId="16" applyNumberFormats="0" applyBorderFormats="0" applyFontFormats="1" applyPatternFormats="1" applyAlignmentFormats="0" applyWidthHeightFormats="0"/>
</file>

<file path=xl/queryTables/queryTable1342.xml><?xml version="1.0" encoding="utf-8"?>
<queryTable xmlns="http://schemas.openxmlformats.org/spreadsheetml/2006/main" name="ExternalData_96" connectionId="1094" autoFormatId="16" applyNumberFormats="0" applyBorderFormats="0" applyFontFormats="1" applyPatternFormats="1" applyAlignmentFormats="0" applyWidthHeightFormats="0"/>
</file>

<file path=xl/queryTables/queryTable1343.xml><?xml version="1.0" encoding="utf-8"?>
<queryTable xmlns="http://schemas.openxmlformats.org/spreadsheetml/2006/main" name="DadosExternos_16" connectionId="773" autoFormatId="16" applyNumberFormats="0" applyBorderFormats="0" applyFontFormats="1" applyPatternFormats="1" applyAlignmentFormats="0" applyWidthHeightFormats="0"/>
</file>

<file path=xl/queryTables/queryTable1344.xml><?xml version="1.0" encoding="utf-8"?>
<queryTable xmlns="http://schemas.openxmlformats.org/spreadsheetml/2006/main" name="ExternalData_130" connectionId="854" autoFormatId="16" applyNumberFormats="0" applyBorderFormats="0" applyFontFormats="1" applyPatternFormats="1" applyAlignmentFormats="0" applyWidthHeightFormats="0"/>
</file>

<file path=xl/queryTables/queryTable1345.xml><?xml version="1.0" encoding="utf-8"?>
<queryTable xmlns="http://schemas.openxmlformats.org/spreadsheetml/2006/main" name="DadosExternos_391" connectionId="248" autoFormatId="16" applyNumberFormats="0" applyBorderFormats="0" applyFontFormats="1" applyPatternFormats="1" applyAlignmentFormats="0" applyWidthHeightFormats="0"/>
</file>

<file path=xl/queryTables/queryTable1346.xml><?xml version="1.0" encoding="utf-8"?>
<queryTable xmlns="http://schemas.openxmlformats.org/spreadsheetml/2006/main" name="ExternalData_52" connectionId="904" autoFormatId="16" applyNumberFormats="0" applyBorderFormats="0" applyFontFormats="1" applyPatternFormats="1" applyAlignmentFormats="0" applyWidthHeightFormats="0"/>
</file>

<file path=xl/queryTables/queryTable1347.xml><?xml version="1.0" encoding="utf-8"?>
<queryTable xmlns="http://schemas.openxmlformats.org/spreadsheetml/2006/main" name="DadosExternos_97" connectionId="257" autoFormatId="16" applyNumberFormats="0" applyBorderFormats="0" applyFontFormats="1" applyPatternFormats="1" applyAlignmentFormats="0" applyWidthHeightFormats="0"/>
</file>

<file path=xl/queryTables/queryTable1348.xml><?xml version="1.0" encoding="utf-8"?>
<queryTable xmlns="http://schemas.openxmlformats.org/spreadsheetml/2006/main" name="DadosExternos_318" connectionId="480" autoFormatId="16" applyNumberFormats="0" applyBorderFormats="0" applyFontFormats="1" applyPatternFormats="1" applyAlignmentFormats="0" applyWidthHeightFormats="0"/>
</file>

<file path=xl/queryTables/queryTable1349.xml><?xml version="1.0" encoding="utf-8"?>
<queryTable xmlns="http://schemas.openxmlformats.org/spreadsheetml/2006/main" name="ExternalData_9" connectionId="1078" autoFormatId="16" applyNumberFormats="0" applyBorderFormats="0" applyFontFormats="1" applyPatternFormats="1" applyAlignmentFormats="0" applyWidthHeightFormats="0"/>
</file>

<file path=xl/queryTables/queryTable1350.xml><?xml version="1.0" encoding="utf-8"?>
<queryTable xmlns="http://schemas.openxmlformats.org/spreadsheetml/2006/main" name="ExternalData_95" connectionId="1092" autoFormatId="16" applyNumberFormats="0" applyBorderFormats="0" applyFontFormats="1" applyPatternFormats="1" applyAlignmentFormats="0" applyWidthHeightFormats="0"/>
</file>

<file path=xl/queryTables/queryTable1351.xml><?xml version="1.0" encoding="utf-8"?>
<queryTable xmlns="http://schemas.openxmlformats.org/spreadsheetml/2006/main" name="ExternalData_90" connectionId="1073" autoFormatId="16" applyNumberFormats="0" applyBorderFormats="0" applyFontFormats="1" applyPatternFormats="1" applyAlignmentFormats="0" applyWidthHeightFormats="0"/>
</file>

<file path=xl/queryTables/queryTable1352.xml><?xml version="1.0" encoding="utf-8"?>
<queryTable xmlns="http://schemas.openxmlformats.org/spreadsheetml/2006/main" name="DadosExternos_167" connectionId="705" autoFormatId="16" applyNumberFormats="0" applyBorderFormats="0" applyFontFormats="1" applyPatternFormats="1" applyAlignmentFormats="0" applyWidthHeightFormats="0"/>
</file>

<file path=xl/queryTables/queryTable1353.xml><?xml version="1.0" encoding="utf-8"?>
<queryTable xmlns="http://schemas.openxmlformats.org/spreadsheetml/2006/main" name="ExternalData_105" connectionId="1118" autoFormatId="16" applyNumberFormats="0" applyBorderFormats="0" applyFontFormats="1" applyPatternFormats="1" applyAlignmentFormats="0" applyWidthHeightFormats="0"/>
</file>

<file path=xl/queryTables/queryTable1354.xml><?xml version="1.0" encoding="utf-8"?>
<queryTable xmlns="http://schemas.openxmlformats.org/spreadsheetml/2006/main" name="DadosExternos_124" connectionId="366" autoFormatId="16" applyNumberFormats="0" applyBorderFormats="0" applyFontFormats="1" applyPatternFormats="1" applyAlignmentFormats="0" applyWidthHeightFormats="0"/>
</file>

<file path=xl/queryTables/queryTable1355.xml><?xml version="1.0" encoding="utf-8"?>
<queryTable xmlns="http://schemas.openxmlformats.org/spreadsheetml/2006/main" name="DadosExternos_328" connectionId="503" autoFormatId="16" applyNumberFormats="0" applyBorderFormats="0" applyFontFormats="1" applyPatternFormats="1" applyAlignmentFormats="0" applyWidthHeightFormats="0"/>
</file>

<file path=xl/queryTables/queryTable1356.xml><?xml version="1.0" encoding="utf-8"?>
<queryTable xmlns="http://schemas.openxmlformats.org/spreadsheetml/2006/main" name="ExternalData_73" connectionId="1013" autoFormatId="16" applyNumberFormats="0" applyBorderFormats="0" applyFontFormats="1" applyPatternFormats="1" applyAlignmentFormats="0" applyWidthHeightFormats="0"/>
</file>

<file path=xl/queryTables/queryTable1357.xml><?xml version="1.0" encoding="utf-8"?>
<queryTable xmlns="http://schemas.openxmlformats.org/spreadsheetml/2006/main" name="DadosExternos_204" connectionId="133" autoFormatId="16" applyNumberFormats="0" applyBorderFormats="0" applyFontFormats="1" applyPatternFormats="1" applyAlignmentFormats="0" applyWidthHeightFormats="0"/>
</file>

<file path=xl/queryTables/queryTable1358.xml><?xml version="1.0" encoding="utf-8"?>
<queryTable xmlns="http://schemas.openxmlformats.org/spreadsheetml/2006/main" name="DadosExternos_143" connectionId="602" autoFormatId="16" applyNumberFormats="0" applyBorderFormats="0" applyFontFormats="1" applyPatternFormats="1" applyAlignmentFormats="0" applyWidthHeightFormats="0"/>
</file>

<file path=xl/queryTables/queryTable1359.xml><?xml version="1.0" encoding="utf-8"?>
<queryTable xmlns="http://schemas.openxmlformats.org/spreadsheetml/2006/main" name="DadosExternos_215" connectionId="166" autoFormatId="16" applyNumberFormats="0" applyBorderFormats="0" applyFontFormats="1" applyPatternFormats="1" applyAlignmentFormats="0" applyWidthHeightFormats="0"/>
</file>

<file path=xl/queryTables/queryTable1360.xml><?xml version="1.0" encoding="utf-8"?>
<queryTable xmlns="http://schemas.openxmlformats.org/spreadsheetml/2006/main" name="DadosExternos_440" connectionId="708" autoFormatId="16" applyNumberFormats="0" applyBorderFormats="0" applyFontFormats="1" applyPatternFormats="1" applyAlignmentFormats="0" applyWidthHeightFormats="0"/>
</file>

<file path=xl/queryTables/queryTable1361.xml><?xml version="1.0" encoding="utf-8"?>
<queryTable xmlns="http://schemas.openxmlformats.org/spreadsheetml/2006/main" name="ExternalData_51" connectionId="890" autoFormatId="16" applyNumberFormats="0" applyBorderFormats="0" applyFontFormats="1" applyPatternFormats="1" applyAlignmentFormats="0" applyWidthHeightFormats="0"/>
</file>

<file path=xl/queryTables/queryTable1362.xml><?xml version="1.0" encoding="utf-8"?>
<queryTable xmlns="http://schemas.openxmlformats.org/spreadsheetml/2006/main" name="DadosExternos_52" connectionId="323" autoFormatId="16" applyNumberFormats="0" applyBorderFormats="0" applyFontFormats="1" applyPatternFormats="1" applyAlignmentFormats="0" applyWidthHeightFormats="0"/>
</file>

<file path=xl/queryTables/queryTable1363.xml><?xml version="1.0" encoding="utf-8"?>
<queryTable xmlns="http://schemas.openxmlformats.org/spreadsheetml/2006/main" name="DadosExternos_397" connectionId="335" autoFormatId="16" applyNumberFormats="0" applyBorderFormats="0" applyFontFormats="1" applyPatternFormats="1" applyAlignmentFormats="0" applyWidthHeightFormats="0"/>
</file>

<file path=xl/queryTables/queryTable1364.xml><?xml version="1.0" encoding="utf-8"?>
<queryTable xmlns="http://schemas.openxmlformats.org/spreadsheetml/2006/main" name="DadosExternos_175" connectionId="733" autoFormatId="16" applyNumberFormats="0" applyBorderFormats="0" applyFontFormats="1" applyPatternFormats="1" applyAlignmentFormats="0" applyWidthHeightFormats="0"/>
</file>

<file path=xl/queryTables/queryTable1365.xml><?xml version="1.0" encoding="utf-8"?>
<queryTable xmlns="http://schemas.openxmlformats.org/spreadsheetml/2006/main" name="DadosExternos_51" connectionId="306" autoFormatId="16" applyNumberFormats="0" applyBorderFormats="0" applyFontFormats="1" applyPatternFormats="1" applyAlignmentFormats="0" applyWidthHeightFormats="0"/>
</file>

<file path=xl/queryTables/queryTable1366.xml><?xml version="1.0" encoding="utf-8"?>
<queryTable xmlns="http://schemas.openxmlformats.org/spreadsheetml/2006/main" name="DadosExternos_145" connectionId="609" autoFormatId="16" applyNumberFormats="0" applyBorderFormats="0" applyFontFormats="1" applyPatternFormats="1" applyAlignmentFormats="0" applyWidthHeightFormats="0"/>
</file>

<file path=xl/queryTables/queryTable1367.xml><?xml version="1.0" encoding="utf-8"?>
<queryTable xmlns="http://schemas.openxmlformats.org/spreadsheetml/2006/main" name="ExternalData_120" connectionId="828" autoFormatId="16" applyNumberFormats="0" applyBorderFormats="0" applyFontFormats="1" applyPatternFormats="1" applyAlignmentFormats="0" applyWidthHeightFormats="0"/>
</file>

<file path=xl/queryTables/queryTable1368.xml><?xml version="1.0" encoding="utf-8"?>
<queryTable xmlns="http://schemas.openxmlformats.org/spreadsheetml/2006/main" name="DadosExternos_199" connectionId="112" autoFormatId="16" applyNumberFormats="0" applyBorderFormats="0" applyFontFormats="1" applyPatternFormats="1" applyAlignmentFormats="0" applyWidthHeightFormats="0"/>
</file>

<file path=xl/queryTables/queryTable1369.xml><?xml version="1.0" encoding="utf-8"?>
<queryTable xmlns="http://schemas.openxmlformats.org/spreadsheetml/2006/main" name="DadosExternos_432" connectionId="672" autoFormatId="16" applyNumberFormats="0" applyBorderFormats="0" applyFontFormats="1" applyPatternFormats="1" applyAlignmentFormats="0" applyWidthHeightFormats="0"/>
</file>

<file path=xl/queryTables/queryTable1370.xml><?xml version="1.0" encoding="utf-8"?>
<queryTable xmlns="http://schemas.openxmlformats.org/spreadsheetml/2006/main" name="ExternalData_17" connectionId="1047" autoFormatId="16" applyNumberFormats="0" applyBorderFormats="0" applyFontFormats="1" applyPatternFormats="1" applyAlignmentFormats="0" applyWidthHeightFormats="0"/>
</file>

<file path=xl/queryTables/queryTable1371.xml><?xml version="1.0" encoding="utf-8"?>
<queryTable xmlns="http://schemas.openxmlformats.org/spreadsheetml/2006/main" name="DadosExternos_66" connectionId="540" autoFormatId="16" applyNumberFormats="0" applyBorderFormats="0" applyFontFormats="1" applyPatternFormats="1" applyAlignmentFormats="0" applyWidthHeightFormats="0"/>
</file>

<file path=xl/queryTables/queryTable1372.xml><?xml version="1.0" encoding="utf-8"?>
<queryTable xmlns="http://schemas.openxmlformats.org/spreadsheetml/2006/main" name="DadosExternos_426" connectionId="644" autoFormatId="16" applyNumberFormats="0" applyBorderFormats="0" applyFontFormats="1" applyPatternFormats="1" applyAlignmentFormats="0" applyWidthHeightFormats="0"/>
</file>

<file path=xl/queryTables/queryTable1373.xml><?xml version="1.0" encoding="utf-8"?>
<queryTable xmlns="http://schemas.openxmlformats.org/spreadsheetml/2006/main" name="ExternalData_137" connectionId="899" autoFormatId="16" applyNumberFormats="0" applyBorderFormats="0" applyFontFormats="1" applyPatternFormats="1" applyAlignmentFormats="0" applyWidthHeightFormats="0"/>
</file>

<file path=xl/queryTables/queryTable1374.xml><?xml version="1.0" encoding="utf-8"?>
<queryTable xmlns="http://schemas.openxmlformats.org/spreadsheetml/2006/main" name="DadosExternos_14" connectionId="702" autoFormatId="16" applyNumberFormats="0" applyBorderFormats="0" applyFontFormats="1" applyPatternFormats="1" applyAlignmentFormats="0" applyWidthHeightFormats="0"/>
</file>

<file path=xl/queryTables/queryTable1375.xml><?xml version="1.0" encoding="utf-8"?>
<queryTable xmlns="http://schemas.openxmlformats.org/spreadsheetml/2006/main" name="DadosExternos_207" connectionId="145" autoFormatId="16" applyNumberFormats="0" applyBorderFormats="0" applyFontFormats="1" applyPatternFormats="1" applyAlignmentFormats="0" applyWidthHeightFormats="0"/>
</file>

<file path=xl/queryTables/queryTable1376.xml><?xml version="1.0" encoding="utf-8"?>
<queryTable xmlns="http://schemas.openxmlformats.org/spreadsheetml/2006/main" name="DadosExternos_428" connectionId="655" autoFormatId="16" applyNumberFormats="0" applyBorderFormats="0" applyFontFormats="1" applyPatternFormats="1" applyAlignmentFormats="0" applyWidthHeightFormats="0"/>
</file>

<file path=xl/queryTables/queryTable1377.xml><?xml version="1.0" encoding="utf-8"?>
<queryTable xmlns="http://schemas.openxmlformats.org/spreadsheetml/2006/main" name="DadosExternos_229" connectionId="205" autoFormatId="16" applyNumberFormats="0" applyBorderFormats="0" applyFontFormats="1" applyPatternFormats="1" applyAlignmentFormats="0" applyWidthHeightFormats="0"/>
</file>

<file path=xl/queryTables/queryTable1378.xml><?xml version="1.0" encoding="utf-8"?>
<queryTable xmlns="http://schemas.openxmlformats.org/spreadsheetml/2006/main" name="DadosExternos_220" connectionId="182" autoFormatId="16" applyNumberFormats="0" applyBorderFormats="0" applyFontFormats="1" applyPatternFormats="1" applyAlignmentFormats="0" applyWidthHeightFormats="0"/>
</file>

<file path=xl/queryTables/queryTable1379.xml><?xml version="1.0" encoding="utf-8"?>
<queryTable xmlns="http://schemas.openxmlformats.org/spreadsheetml/2006/main" name="DadosExternos_18" connectionId="251" autoFormatId="16" applyNumberFormats="0" applyBorderFormats="0" applyFontFormats="1" applyPatternFormats="1" applyAlignmentFormats="0" applyWidthHeightFormats="0"/>
</file>

<file path=xl/queryTables/queryTable1380.xml><?xml version="1.0" encoding="utf-8"?>
<queryTable xmlns="http://schemas.openxmlformats.org/spreadsheetml/2006/main" name="DadosExternos_11" connectionId="799" autoFormatId="16" applyNumberFormats="0" applyBorderFormats="0" applyFontFormats="1" applyPatternFormats="1" applyAlignmentFormats="0" applyWidthHeightFormats="0"/>
</file>

<file path=xl/queryTables/queryTable1381.xml><?xml version="1.0" encoding="utf-8"?>
<queryTable xmlns="http://schemas.openxmlformats.org/spreadsheetml/2006/main" name="DadosExternos_258" connectionId="299" autoFormatId="16" applyNumberFormats="0" applyBorderFormats="0" applyFontFormats="1" applyPatternFormats="1" applyAlignmentFormats="0" applyWidthHeightFormats="0"/>
</file>

<file path=xl/queryTables/queryTable1382.xml><?xml version="1.0" encoding="utf-8"?>
<queryTable xmlns="http://schemas.openxmlformats.org/spreadsheetml/2006/main" name="DadosExternos_37" connectionId="72" autoFormatId="16" applyNumberFormats="0" applyBorderFormats="0" applyFontFormats="1" applyPatternFormats="1" applyAlignmentFormats="0" applyWidthHeightFormats="0"/>
</file>

<file path=xl/queryTables/queryTable1383.xml><?xml version="1.0" encoding="utf-8"?>
<queryTable xmlns="http://schemas.openxmlformats.org/spreadsheetml/2006/main" name="DadosExternos_290" connectionId="415" autoFormatId="16" applyNumberFormats="0" applyBorderFormats="0" applyFontFormats="1" applyPatternFormats="1" applyAlignmentFormats="0" applyWidthHeightFormats="0"/>
</file>

<file path=xl/queryTables/queryTable1384.xml><?xml version="1.0" encoding="utf-8"?>
<queryTable xmlns="http://schemas.openxmlformats.org/spreadsheetml/2006/main" name="ExternalData_88" connectionId="1058" autoFormatId="16" applyNumberFormats="0" applyBorderFormats="0" applyFontFormats="1" applyPatternFormats="1" applyAlignmentFormats="0" applyWidthHeightFormats="0"/>
</file>

<file path=xl/queryTables/queryTable1385.xml><?xml version="1.0" encoding="utf-8"?>
<queryTable xmlns="http://schemas.openxmlformats.org/spreadsheetml/2006/main" name="DadosExternos_389" connectionId="213" autoFormatId="16" applyNumberFormats="0" applyBorderFormats="0" applyFontFormats="1" applyPatternFormats="1" applyAlignmentFormats="0" applyWidthHeightFormats="0"/>
</file>

<file path=xl/queryTables/queryTable1386.xml><?xml version="1.0" encoding="utf-8"?>
<queryTable xmlns="http://schemas.openxmlformats.org/spreadsheetml/2006/main" name="ExternalData_98" connectionId="1103" autoFormatId="16" applyNumberFormats="0" applyBorderFormats="0" applyFontFormats="1" applyPatternFormats="1" applyAlignmentFormats="0" applyWidthHeightFormats="0"/>
</file>

<file path=xl/queryTables/queryTable1387.xml><?xml version="1.0" encoding="utf-8"?>
<queryTable xmlns="http://schemas.openxmlformats.org/spreadsheetml/2006/main" name="ExternalData_64" connectionId="992" autoFormatId="16" applyNumberFormats="0" applyBorderFormats="0" applyFontFormats="1" applyPatternFormats="1" applyAlignmentFormats="0" applyWidthHeightFormats="0"/>
</file>

<file path=xl/queryTables/queryTable1388.xml><?xml version="1.0" encoding="utf-8"?>
<queryTable xmlns="http://schemas.openxmlformats.org/spreadsheetml/2006/main" name="DadosExternos_4" connectionId="395" autoFormatId="16" applyNumberFormats="0" applyBorderFormats="0" applyFontFormats="1" applyPatternFormats="1" applyAlignmentFormats="0" applyWidthHeightFormats="0"/>
</file>

<file path=xl/queryTables/queryTable1389.xml><?xml version="1.0" encoding="utf-8"?>
<queryTable xmlns="http://schemas.openxmlformats.org/spreadsheetml/2006/main" name="DadosExternos_117" connectionId="267" autoFormatId="16" applyNumberFormats="0" applyBorderFormats="0" applyFontFormats="1" applyPatternFormats="1" applyAlignmentFormats="0" applyWidthHeightFormats="0"/>
</file>

<file path=xl/queryTables/queryTable1390.xml><?xml version="1.0" encoding="utf-8"?>
<queryTable xmlns="http://schemas.openxmlformats.org/spreadsheetml/2006/main" name="DadosExternos_281" connectionId="385" autoFormatId="16" applyNumberFormats="0" applyBorderFormats="0" applyFontFormats="1" applyPatternFormats="1" applyAlignmentFormats="0" applyWidthHeightFormats="0"/>
</file>

<file path=xl/queryTables/queryTable1391.xml><?xml version="1.0" encoding="utf-8"?>
<queryTable xmlns="http://schemas.openxmlformats.org/spreadsheetml/2006/main" name="DadosExternos_29" connectionId="403" autoFormatId="16" applyNumberFormats="0" applyBorderFormats="0" applyFontFormats="1" applyPatternFormats="1" applyAlignmentFormats="0" applyWidthHeightFormats="0"/>
</file>

<file path=xl/queryTables/queryTable1392.xml><?xml version="1.0" encoding="utf-8"?>
<queryTable xmlns="http://schemas.openxmlformats.org/spreadsheetml/2006/main" name="ExternalData_131" connectionId="860" autoFormatId="16" applyNumberFormats="0" applyBorderFormats="0" applyFontFormats="1" applyPatternFormats="1" applyAlignmentFormats="0" applyWidthHeightFormats="0"/>
</file>

<file path=xl/queryTables/queryTable1393.xml><?xml version="1.0" encoding="utf-8"?>
<queryTable xmlns="http://schemas.openxmlformats.org/spreadsheetml/2006/main" name="DadosExternos_268" connectionId="331" autoFormatId="16" applyNumberFormats="0" applyBorderFormats="0" applyFontFormats="1" applyPatternFormats="1" applyAlignmentFormats="0" applyWidthHeightFormats="0"/>
</file>

<file path=xl/queryTables/queryTable1394.xml><?xml version="1.0" encoding="utf-8"?>
<queryTable xmlns="http://schemas.openxmlformats.org/spreadsheetml/2006/main" name="DadosExternos_272" connectionId="354" autoFormatId="16" applyNumberFormats="0" applyBorderFormats="0" applyFontFormats="1" applyPatternFormats="1" applyAlignmentFormats="0" applyWidthHeightFormats="0"/>
</file>

<file path=xl/queryTables/queryTable1395.xml><?xml version="1.0" encoding="utf-8"?>
<queryTable xmlns="http://schemas.openxmlformats.org/spreadsheetml/2006/main" name="DadosExternos_140" connectionId="591" autoFormatId="16" applyNumberFormats="0" applyBorderFormats="0" applyFontFormats="1" applyPatternFormats="1" applyAlignmentFormats="0" applyWidthHeightFormats="0"/>
</file>

<file path=xl/queryTables/queryTable1396.xml><?xml version="1.0" encoding="utf-8"?>
<queryTable xmlns="http://schemas.openxmlformats.org/spreadsheetml/2006/main" name="DadosExternos_371" connectionId="80" autoFormatId="16" applyNumberFormats="0" applyBorderFormats="0" applyFontFormats="1" applyPatternFormats="1" applyAlignmentFormats="0" applyWidthHeightFormats="0"/>
</file>

<file path=xl/queryTables/queryTable1397.xml><?xml version="1.0" encoding="utf-8"?>
<queryTable xmlns="http://schemas.openxmlformats.org/spreadsheetml/2006/main" name="DadosExternos_6" connectionId="619" autoFormatId="16" applyNumberFormats="0" applyBorderFormats="0" applyFontFormats="1" applyPatternFormats="1" applyAlignmentFormats="0" applyWidthHeightFormats="0"/>
</file>

<file path=xl/queryTables/queryTable1398.xml><?xml version="1.0" encoding="utf-8"?>
<queryTable xmlns="http://schemas.openxmlformats.org/spreadsheetml/2006/main" name="DadosExternos_256" connectionId="287" autoFormatId="16" applyNumberFormats="0" applyBorderFormats="0" applyFontFormats="1" applyPatternFormats="1" applyAlignmentFormats="0" applyWidthHeightFormats="0"/>
</file>

<file path=xl/queryTables/queryTable1399.xml><?xml version="1.0" encoding="utf-8"?>
<queryTable xmlns="http://schemas.openxmlformats.org/spreadsheetml/2006/main" name="DadosExternos_163" connectionId="683" autoFormatId="16" applyNumberFormats="0" applyBorderFormats="0" applyFontFormats="1" applyPatternFormats="1" applyAlignmentFormats="0" applyWidthHeightFormats="0"/>
</file>

<file path=xl/queryTables/queryTable1400.xml><?xml version="1.0" encoding="utf-8"?>
<queryTable xmlns="http://schemas.openxmlformats.org/spreadsheetml/2006/main" name="DadosExternos_61" connectionId="461" autoFormatId="16" applyNumberFormats="0" applyBorderFormats="0" applyFontFormats="1" applyPatternFormats="1" applyAlignmentFormats="0" applyWidthHeightFormats="0"/>
</file>

<file path=xl/queryTables/queryTable1401.xml><?xml version="1.0" encoding="utf-8"?>
<queryTable xmlns="http://schemas.openxmlformats.org/spreadsheetml/2006/main" name="DadosExternos_90" connectionId="785" autoFormatId="16" applyNumberFormats="0" applyBorderFormats="0" applyFontFormats="1" applyPatternFormats="1" applyAlignmentFormats="0" applyWidthHeightFormats="0"/>
</file>

<file path=xl/queryTables/queryTable1402.xml><?xml version="1.0" encoding="utf-8"?>
<queryTable xmlns="http://schemas.openxmlformats.org/spreadsheetml/2006/main" name="DadosExternos_129" connectionId="446" autoFormatId="16" applyNumberFormats="0" applyBorderFormats="0" applyFontFormats="1" applyPatternFormats="1" applyAlignmentFormats="0" applyWidthHeightFormats="0"/>
</file>

<file path=xl/queryTables/queryTable1403.xml><?xml version="1.0" encoding="utf-8"?>
<queryTable xmlns="http://schemas.openxmlformats.org/spreadsheetml/2006/main" name="DadosExternos_214" connectionId="160" autoFormatId="16" applyNumberFormats="0" applyBorderFormats="0" applyFontFormats="1" applyPatternFormats="1" applyAlignmentFormats="0" applyWidthHeightFormats="0"/>
</file>

<file path=xl/queryTables/queryTable1404.xml><?xml version="1.0" encoding="utf-8"?>
<queryTable xmlns="http://schemas.openxmlformats.org/spreadsheetml/2006/main" name="DadosExternos_188" connectionId="29" autoFormatId="16" applyNumberFormats="0" applyBorderFormats="0" applyFontFormats="1" applyPatternFormats="1" applyAlignmentFormats="0" applyWidthHeightFormats="0"/>
</file>

<file path=xl/queryTables/queryTable1405.xml><?xml version="1.0" encoding="utf-8"?>
<queryTable xmlns="http://schemas.openxmlformats.org/spreadsheetml/2006/main" name="DadosExternos_196" connectionId="98" autoFormatId="16" applyNumberFormats="0" applyBorderFormats="0" applyFontFormats="1" applyPatternFormats="1" applyAlignmentFormats="0" applyWidthHeightFormats="0"/>
</file>

<file path=xl/queryTables/queryTable1406.xml><?xml version="1.0" encoding="utf-8"?>
<queryTable xmlns="http://schemas.openxmlformats.org/spreadsheetml/2006/main" name="DadosExternos_356" connectionId="563" autoFormatId="16" applyNumberFormats="0" applyBorderFormats="0" applyFontFormats="1" applyPatternFormats="1" applyAlignmentFormats="0" applyWidthHeightFormats="0"/>
</file>

<file path=xl/queryTables/queryTable1407.xml><?xml version="1.0" encoding="utf-8"?>
<queryTable xmlns="http://schemas.openxmlformats.org/spreadsheetml/2006/main" name="ExternalData_29" connectionId="933" autoFormatId="16" applyNumberFormats="0" applyBorderFormats="0" applyFontFormats="1" applyPatternFormats="1" applyAlignmentFormats="0" applyWidthHeightFormats="0"/>
</file>

<file path=xl/queryTables/queryTable1408.xml><?xml version="1.0" encoding="utf-8"?>
<queryTable xmlns="http://schemas.openxmlformats.org/spreadsheetml/2006/main" name="ExternalData_1" connectionId="1081" autoFormatId="16" applyNumberFormats="0" applyBorderFormats="0" applyFontFormats="1" applyPatternFormats="1" applyAlignmentFormats="0" applyWidthHeightFormats="0"/>
</file>

<file path=xl/queryTables/queryTable1409.xml><?xml version="1.0" encoding="utf-8"?>
<queryTable xmlns="http://schemas.openxmlformats.org/spreadsheetml/2006/main" name="DadosExternos_292" connectionId="422" autoFormatId="16" applyNumberFormats="0" applyBorderFormats="0" applyFontFormats="1" applyPatternFormats="1" applyAlignmentFormats="0" applyWidthHeightFormats="0"/>
</file>

<file path=xl/queryTables/queryTable1410.xml><?xml version="1.0" encoding="utf-8"?>
<queryTable xmlns="http://schemas.openxmlformats.org/spreadsheetml/2006/main" name="DadosExternos_69" connectionId="246" autoFormatId="16" applyNumberFormats="0" applyBorderFormats="0" applyFontFormats="1" applyPatternFormats="1" applyAlignmentFormats="0" applyWidthHeightFormats="0"/>
</file>

<file path=xl/queryTables/queryTable1411.xml><?xml version="1.0" encoding="utf-8"?>
<queryTable xmlns="http://schemas.openxmlformats.org/spreadsheetml/2006/main" name="DadosExternos_179" connectionId="754" autoFormatId="16" applyNumberFormats="0" applyBorderFormats="0" applyFontFormats="1" applyPatternFormats="1" applyAlignmentFormats="0" applyWidthHeightFormats="0"/>
</file>

<file path=xl/queryTables/queryTable1412.xml><?xml version="1.0" encoding="utf-8"?>
<queryTable xmlns="http://schemas.openxmlformats.org/spreadsheetml/2006/main" name="DadosExternos_206" connectionId="139" autoFormatId="16" applyNumberFormats="0" applyBorderFormats="0" applyFontFormats="1" applyPatternFormats="1" applyAlignmentFormats="0" applyWidthHeightFormats="0"/>
</file>

<file path=xl/queryTables/queryTable1413.xml><?xml version="1.0" encoding="utf-8"?>
<queryTable xmlns="http://schemas.openxmlformats.org/spreadsheetml/2006/main" name="DadosExternos_20" connectionId="790" autoFormatId="16" applyNumberFormats="0" applyBorderFormats="0" applyFontFormats="1" applyPatternFormats="1" applyAlignmentFormats="0" applyWidthHeightFormats="0"/>
</file>

<file path=xl/queryTables/queryTable1414.xml><?xml version="1.0" encoding="utf-8"?>
<queryTable xmlns="http://schemas.openxmlformats.org/spreadsheetml/2006/main" name="DadosExternos_219" connectionId="173" autoFormatId="16" applyNumberFormats="0" applyBorderFormats="0" applyFontFormats="1" applyPatternFormats="1" applyAlignmentFormats="0" applyWidthHeightFormats="0"/>
</file>

<file path=xl/queryTables/queryTable1415.xml><?xml version="1.0" encoding="utf-8"?>
<queryTable xmlns="http://schemas.openxmlformats.org/spreadsheetml/2006/main" name="ExternalData_121" connectionId="831" autoFormatId="16" applyNumberFormats="0" applyBorderFormats="0" applyFontFormats="1" applyPatternFormats="1" applyAlignmentFormats="0" applyWidthHeightFormats="0"/>
</file>

<file path=xl/queryTables/queryTable1416.xml><?xml version="1.0" encoding="utf-8"?>
<queryTable xmlns="http://schemas.openxmlformats.org/spreadsheetml/2006/main" name="DadosExternos_265" connectionId="327" autoFormatId="16" applyNumberFormats="0" applyBorderFormats="0" applyFontFormats="1" applyPatternFormats="1" applyAlignmentFormats="0" applyWidthHeightFormats="0"/>
</file>

<file path=xl/queryTables/queryTable1417.xml><?xml version="1.0" encoding="utf-8"?>
<queryTable xmlns="http://schemas.openxmlformats.org/spreadsheetml/2006/main" name="DadosExternos_260" connectionId="310" autoFormatId="16" applyNumberFormats="0" applyBorderFormats="0" applyFontFormats="1" applyPatternFormats="1" applyAlignmentFormats="0" applyWidthHeightFormats="0"/>
</file>

<file path=xl/queryTables/queryTable1418.xml><?xml version="1.0" encoding="utf-8"?>
<queryTable xmlns="http://schemas.openxmlformats.org/spreadsheetml/2006/main" name="ExternalData_5" connectionId="1001" autoFormatId="16" applyNumberFormats="0" applyBorderFormats="0" applyFontFormats="1" applyPatternFormats="1" applyAlignmentFormats="0" applyWidthHeightFormats="0"/>
</file>

<file path=xl/queryTables/queryTable1419.xml><?xml version="1.0" encoding="utf-8"?>
<queryTable xmlns="http://schemas.openxmlformats.org/spreadsheetml/2006/main" name="ExternalData_2" connectionId="1064" autoFormatId="16" applyNumberFormats="0" applyBorderFormats="0" applyFontFormats="1" applyPatternFormats="1" applyAlignmentFormats="0" applyWidthHeightFormats="0"/>
</file>

<file path=xl/queryTables/queryTable1420.xml><?xml version="1.0" encoding="utf-8"?>
<queryTable xmlns="http://schemas.openxmlformats.org/spreadsheetml/2006/main" name="DadosExternos_459" connectionId="18" autoFormatId="16" applyNumberFormats="0" applyBorderFormats="0" applyFontFormats="1" applyPatternFormats="1" applyAlignmentFormats="0" applyWidthHeightFormats="0"/>
</file>

<file path=xl/queryTables/queryTable1421.xml><?xml version="1.0" encoding="utf-8"?>
<queryTable xmlns="http://schemas.openxmlformats.org/spreadsheetml/2006/main" name="ExternalData_30" connectionId="945" autoFormatId="16" applyNumberFormats="0" applyBorderFormats="0" applyFontFormats="1" applyPatternFormats="1" applyAlignmentFormats="0" applyWidthHeightFormats="0"/>
</file>

<file path=xl/queryTables/queryTable1422.xml><?xml version="1.0" encoding="utf-8"?>
<queryTable xmlns="http://schemas.openxmlformats.org/spreadsheetml/2006/main" name="DadosExternos_153" connectionId="642" autoFormatId="16" applyNumberFormats="0" applyBorderFormats="0" applyFontFormats="1" applyPatternFormats="1" applyAlignmentFormats="0" applyWidthHeightFormats="0"/>
</file>

<file path=xl/queryTables/queryTable1423.xml><?xml version="1.0" encoding="utf-8"?>
<queryTable xmlns="http://schemas.openxmlformats.org/spreadsheetml/2006/main" name="DadosExternos_191" connectionId="42" autoFormatId="16" applyNumberFormats="0" applyBorderFormats="0" applyFontFormats="1" applyPatternFormats="1" applyAlignmentFormats="0" applyWidthHeightFormats="0"/>
</file>

<file path=xl/queryTables/queryTable1424.xml><?xml version="1.0" encoding="utf-8"?>
<queryTable xmlns="http://schemas.openxmlformats.org/spreadsheetml/2006/main" name="ExternalData_23" connectionId="1127" autoFormatId="16" applyNumberFormats="0" applyBorderFormats="0" applyFontFormats="1" applyPatternFormats="1" applyAlignmentFormats="0" applyWidthHeightFormats="0"/>
</file>

<file path=xl/queryTables/queryTable1425.xml><?xml version="1.0" encoding="utf-8"?>
<queryTable xmlns="http://schemas.openxmlformats.org/spreadsheetml/2006/main" name="ExternalData_106" connectionId="1121" autoFormatId="16" applyNumberFormats="0" applyBorderFormats="0" applyFontFormats="1" applyPatternFormats="1" applyAlignmentFormats="0" applyWidthHeightFormats="0"/>
</file>

<file path=xl/queryTables/queryTable1426.xml><?xml version="1.0" encoding="utf-8"?>
<queryTable xmlns="http://schemas.openxmlformats.org/spreadsheetml/2006/main" name="DadosExternos_161" connectionId="677" autoFormatId="16" applyNumberFormats="0" applyBorderFormats="0" applyFontFormats="1" applyPatternFormats="1" applyAlignmentFormats="0" applyWidthHeightFormats="0"/>
</file>

<file path=xl/queryTables/queryTable1427.xml><?xml version="1.0" encoding="utf-8"?>
<queryTable xmlns="http://schemas.openxmlformats.org/spreadsheetml/2006/main" name="DadosExternos_67" connectionId="765" autoFormatId="16" applyNumberFormats="0" applyBorderFormats="0" applyFontFormats="1" applyPatternFormats="1" applyAlignmentFormats="0" applyWidthHeightFormats="0"/>
</file>

<file path=xl/queryTables/queryTable1428.xml><?xml version="1.0" encoding="utf-8"?>
<queryTable xmlns="http://schemas.openxmlformats.org/spreadsheetml/2006/main" name="DadosExternos_46" connectionId="231" autoFormatId="16" applyNumberFormats="0" applyBorderFormats="0" applyFontFormats="1" applyPatternFormats="1" applyAlignmentFormats="0" applyWidthHeightFormats="0"/>
</file>

<file path=xl/queryTables/queryTable1429.xml><?xml version="1.0" encoding="utf-8"?>
<queryTable xmlns="http://schemas.openxmlformats.org/spreadsheetml/2006/main" name="ExternalData_56" connectionId="949" autoFormatId="16" applyNumberFormats="0" applyBorderFormats="0" applyFontFormats="1" applyPatternFormats="1" applyAlignmentFormats="0" applyWidthHeightFormats="0"/>
</file>

<file path=xl/queryTables/queryTable1430.xml><?xml version="1.0" encoding="utf-8"?>
<queryTable xmlns="http://schemas.openxmlformats.org/spreadsheetml/2006/main" name="DadosExternos_59" connectionId="424" autoFormatId="16" applyNumberFormats="0" applyBorderFormats="0" applyFontFormats="1" applyPatternFormats="1" applyAlignmentFormats="0" applyWidthHeightFormats="0"/>
</file>

<file path=xl/queryTables/queryTable1431.xml><?xml version="1.0" encoding="utf-8"?>
<queryTable xmlns="http://schemas.openxmlformats.org/spreadsheetml/2006/main" name="ExternalData_138" connectionId="912" autoFormatId="16" applyNumberFormats="0" applyBorderFormats="0" applyFontFormats="1" applyPatternFormats="1" applyAlignmentFormats="0" applyWidthHeightFormats="0"/>
</file>

<file path=xl/queryTables/queryTable1432.xml><?xml version="1.0" encoding="utf-8"?>
<queryTable xmlns="http://schemas.openxmlformats.org/spreadsheetml/2006/main" name="DadosExternos_241" connectionId="235" autoFormatId="16" applyNumberFormats="0" applyBorderFormats="0" applyFontFormats="1" applyPatternFormats="1" applyAlignmentFormats="0" applyWidthHeightFormats="0"/>
</file>

<file path=xl/queryTables/queryTable1433.xml><?xml version="1.0" encoding="utf-8"?>
<queryTable xmlns="http://schemas.openxmlformats.org/spreadsheetml/2006/main" name="ExternalData_72" connectionId="1011" autoFormatId="16" applyNumberFormats="0" applyBorderFormats="0" applyFontFormats="1" applyPatternFormats="1" applyAlignmentFormats="0" applyWidthHeightFormats="0"/>
</file>

<file path=xl/queryTables/queryTable1434.xml><?xml version="1.0" encoding="utf-8"?>
<queryTable xmlns="http://schemas.openxmlformats.org/spreadsheetml/2006/main" name="ExternalData_26" connectionId="891" autoFormatId="16" applyNumberFormats="0" applyBorderFormats="0" applyFontFormats="1" applyPatternFormats="1" applyAlignmentFormats="0" applyWidthHeightFormats="0"/>
</file>

<file path=xl/queryTables/queryTable1435.xml><?xml version="1.0" encoding="utf-8"?>
<queryTable xmlns="http://schemas.openxmlformats.org/spreadsheetml/2006/main" name="DadosExternos_178" connectionId="751" autoFormatId="16" applyNumberFormats="0" applyBorderFormats="0" applyFontFormats="1" applyPatternFormats="1" applyAlignmentFormats="0" applyWidthHeightFormats="0"/>
</file>

<file path=xl/queryTables/queryTable1436.xml><?xml version="1.0" encoding="utf-8"?>
<queryTable xmlns="http://schemas.openxmlformats.org/spreadsheetml/2006/main" name="DadosExternos_234" connectionId="212" autoFormatId="16" applyNumberFormats="0" applyBorderFormats="0" applyFontFormats="1" applyPatternFormats="1" applyAlignmentFormats="0" applyWidthHeightFormats="0"/>
</file>

<file path=xl/queryTables/queryTable1437.xml><?xml version="1.0" encoding="utf-8"?>
<queryTable xmlns="http://schemas.openxmlformats.org/spreadsheetml/2006/main" name="DadosExternos_186" connectionId="19" autoFormatId="16" applyNumberFormats="0" applyBorderFormats="0" applyFontFormats="1" applyPatternFormats="1" applyAlignmentFormats="0" applyWidthHeightFormats="0"/>
</file>

<file path=xl/queryTables/queryTable1438.xml><?xml version="1.0" encoding="utf-8"?>
<queryTable xmlns="http://schemas.openxmlformats.org/spreadsheetml/2006/main" name="DadosExternos_156" connectionId="660" autoFormatId="16" applyNumberFormats="0" applyBorderFormats="0" applyFontFormats="1" applyPatternFormats="1" applyAlignmentFormats="0" applyWidthHeightFormats="0"/>
</file>

<file path=xl/queryTables/queryTable1439.xml><?xml version="1.0" encoding="utf-8"?>
<queryTable xmlns="http://schemas.openxmlformats.org/spreadsheetml/2006/main" name="DadosExternos_184" connectionId="5" autoFormatId="16" applyNumberFormats="0" applyBorderFormats="0" applyFontFormats="1" applyPatternFormats="1" applyAlignmentFormats="0" applyWidthHeightFormats="0"/>
</file>

<file path=xl/queryTables/queryTable1440.xml><?xml version="1.0" encoding="utf-8"?>
<queryTable xmlns="http://schemas.openxmlformats.org/spreadsheetml/2006/main" name="ExternalData_111" connectionId="1136" autoFormatId="16" applyNumberFormats="0" applyBorderFormats="0" applyFontFormats="1" applyPatternFormats="1" applyAlignmentFormats="0" applyWidthHeightFormats="0"/>
</file>

<file path=xl/queryTables/queryTable1441.xml><?xml version="1.0" encoding="utf-8"?>
<queryTable xmlns="http://schemas.openxmlformats.org/spreadsheetml/2006/main" name="ExternalData_132" connectionId="863" autoFormatId="16" applyNumberFormats="0" applyBorderFormats="0" applyFontFormats="1" applyPatternFormats="1" applyAlignmentFormats="0" applyWidthHeightFormats="0"/>
</file>

<file path=xl/queryTables/queryTable1442.xml><?xml version="1.0" encoding="utf-8"?>
<queryTable xmlns="http://schemas.openxmlformats.org/spreadsheetml/2006/main" name="DadosExternos_271" connectionId="346" autoFormatId="16" applyNumberFormats="0" applyBorderFormats="0" applyFontFormats="1" applyPatternFormats="1" applyAlignmentFormats="0" applyWidthHeightFormats="0"/>
</file>

<file path=xl/queryTables/queryTable1443.xml><?xml version="1.0" encoding="utf-8"?>
<queryTable xmlns="http://schemas.openxmlformats.org/spreadsheetml/2006/main" name="DadosExternos_213" connectionId="157" autoFormatId="16" applyNumberFormats="0" applyBorderFormats="0" applyFontFormats="1" applyPatternFormats="1" applyAlignmentFormats="0" applyWidthHeightFormats="0"/>
</file>

<file path=xl/queryTables/queryTable1444.xml><?xml version="1.0" encoding="utf-8"?>
<queryTable xmlns="http://schemas.openxmlformats.org/spreadsheetml/2006/main" name="DadosExternos_42" connectionId="162" autoFormatId="16" applyNumberFormats="0" applyBorderFormats="0" applyFontFormats="1" applyPatternFormats="1" applyAlignmentFormats="0" applyWidthHeightFormats="0"/>
</file>

<file path=xl/queryTables/queryTable1445.xml><?xml version="1.0" encoding="utf-8"?>
<queryTable xmlns="http://schemas.openxmlformats.org/spreadsheetml/2006/main" name="ExternalData_43" connectionId="1060" autoFormatId="16" applyNumberFormats="0" applyBorderFormats="0" applyFontFormats="1" applyPatternFormats="1" applyAlignmentFormats="0" applyWidthHeightFormats="0"/>
</file>

<file path=xl/queryTables/queryTable1446.xml><?xml version="1.0" encoding="utf-8"?>
<queryTable xmlns="http://schemas.openxmlformats.org/spreadsheetml/2006/main" name="DadosExternos_394" connectionId="290" autoFormatId="16" applyNumberFormats="0" applyBorderFormats="0" applyFontFormats="1" applyPatternFormats="1" applyAlignmentFormats="0" applyWidthHeightFormats="0"/>
</file>

<file path=xl/queryTables/queryTable1447.xml><?xml version="1.0" encoding="utf-8"?>
<queryTable xmlns="http://schemas.openxmlformats.org/spreadsheetml/2006/main" name="DadosExternos_377" connectionId="694" autoFormatId="16" applyNumberFormats="0" applyBorderFormats="0" applyFontFormats="1" applyPatternFormats="1" applyAlignmentFormats="0" applyWidthHeightFormats="0"/>
</file>

<file path=xl/queryTables/queryTable1448.xml><?xml version="1.0" encoding="utf-8"?>
<queryTable xmlns="http://schemas.openxmlformats.org/spreadsheetml/2006/main" name="ExternalData_37" connectionId="990" autoFormatId="16" applyNumberFormats="0" applyBorderFormats="0" applyFontFormats="1" applyPatternFormats="1" applyAlignmentFormats="0" applyWidthHeightFormats="0"/>
</file>

<file path=xl/queryTables/queryTable1449.xml><?xml version="1.0" encoding="utf-8"?>
<queryTable xmlns="http://schemas.openxmlformats.org/spreadsheetml/2006/main" name="DadosExternos_141" connectionId="595" autoFormatId="16" applyNumberFormats="0" applyBorderFormats="0" applyFontFormats="1" applyPatternFormats="1" applyAlignmentFormats="0" applyWidthHeightFormats="0"/>
</file>

<file path=xl/queryTables/queryTable1450.xml><?xml version="1.0" encoding="utf-8"?>
<queryTable xmlns="http://schemas.openxmlformats.org/spreadsheetml/2006/main" name="DadosExternos_118" connectionId="281" autoFormatId="16" applyNumberFormats="0" applyBorderFormats="0" applyFontFormats="1" applyPatternFormats="1" applyAlignmentFormats="0" applyWidthHeightFormats="0"/>
</file>

<file path=xl/queryTables/queryTable1451.xml><?xml version="1.0" encoding="utf-8"?>
<queryTable xmlns="http://schemas.openxmlformats.org/spreadsheetml/2006/main" name="DadosExternos_64" connectionId="508" autoFormatId="16" applyNumberFormats="0" applyBorderFormats="0" applyFontFormats="1" applyPatternFormats="1" applyAlignmentFormats="0" applyWidthHeightFormats="0"/>
</file>

<file path=xl/queryTables/queryTable1452.xml><?xml version="1.0" encoding="utf-8"?>
<queryTable xmlns="http://schemas.openxmlformats.org/spreadsheetml/2006/main" name="DadosExternos_370" connectionId="83" autoFormatId="16" applyNumberFormats="0" applyBorderFormats="0" applyFontFormats="1" applyPatternFormats="1" applyAlignmentFormats="0" applyWidthHeightFormats="0"/>
</file>

<file path=xl/queryTables/queryTable1453.xml><?xml version="1.0" encoding="utf-8"?>
<queryTable xmlns="http://schemas.openxmlformats.org/spreadsheetml/2006/main" name="ExternalData_4" connectionId="966" autoFormatId="16" applyNumberFormats="0" applyBorderFormats="0" applyFontFormats="1" applyPatternFormats="1" applyAlignmentFormats="0" applyWidthHeightFormats="0"/>
</file>

<file path=xl/queryTables/queryTable1454.xml><?xml version="1.0" encoding="utf-8"?>
<queryTable xmlns="http://schemas.openxmlformats.org/spreadsheetml/2006/main" name="DadosExternos_372" connectionId="245" autoFormatId="16" applyNumberFormats="0" applyBorderFormats="0" applyFontFormats="1" applyPatternFormats="1" applyAlignmentFormats="0" applyWidthHeightFormats="0"/>
</file>

<file path=xl/queryTables/queryTable1455.xml><?xml version="1.0" encoding="utf-8"?>
<queryTable xmlns="http://schemas.openxmlformats.org/spreadsheetml/2006/main" name="DadosExternos_337" connectionId="526" autoFormatId="16" applyNumberFormats="0" applyBorderFormats="0" applyFontFormats="1" applyPatternFormats="1" applyAlignmentFormats="0" applyWidthHeightFormats="0"/>
</file>

<file path=xl/queryTables/queryTable1456.xml><?xml version="1.0" encoding="utf-8"?>
<queryTable xmlns="http://schemas.openxmlformats.org/spreadsheetml/2006/main" name="DadosExternos_338" connectionId="528" autoFormatId="16" applyNumberFormats="0" applyBorderFormats="0" applyFontFormats="1" applyPatternFormats="1" applyAlignmentFormats="0" applyWidthHeightFormats="0"/>
</file>

<file path=xl/queryTables/queryTable1457.xml><?xml version="1.0" encoding="utf-8"?>
<queryTable xmlns="http://schemas.openxmlformats.org/spreadsheetml/2006/main" name="ExternalData_38" connectionId="993" autoFormatId="16" applyNumberFormats="0" applyBorderFormats="0" applyFontFormats="1" applyPatternFormats="1" applyAlignmentFormats="0" applyWidthHeightFormats="0"/>
</file>

<file path=xl/queryTables/queryTable1458.xml><?xml version="1.0" encoding="utf-8"?>
<queryTable xmlns="http://schemas.openxmlformats.org/spreadsheetml/2006/main" name="DadosExternos_331" connectionId="514" autoFormatId="16" applyNumberFormats="0" applyBorderFormats="0" applyFontFormats="1" applyPatternFormats="1" applyAlignmentFormats="0" applyWidthHeightFormats="0"/>
</file>

<file path=xl/queryTables/queryTable1459.xml><?xml version="1.0" encoding="utf-8"?>
<queryTable xmlns="http://schemas.openxmlformats.org/spreadsheetml/2006/main" name="DadosExternos_311" connectionId="469" autoFormatId="16" applyNumberFormats="0" applyBorderFormats="0" applyFontFormats="1" applyPatternFormats="1" applyAlignmentFormats="0" applyWidthHeightFormats="0"/>
</file>

<file path=xl/queryTables/queryTable1460.xml><?xml version="1.0" encoding="utf-8"?>
<queryTable xmlns="http://schemas.openxmlformats.org/spreadsheetml/2006/main" name="DadosExternos_382" connectionId="86" autoFormatId="16" applyNumberFormats="0" applyBorderFormats="0" applyFontFormats="1" applyPatternFormats="1" applyAlignmentFormats="0" applyWidthHeightFormats="0"/>
</file>

<file path=xl/queryTables/queryTable1461.xml><?xml version="1.0" encoding="utf-8"?>
<queryTable xmlns="http://schemas.openxmlformats.org/spreadsheetml/2006/main" name="DadosExternos_329" connectionId="510" autoFormatId="16" applyNumberFormats="0" applyBorderFormats="0" applyFontFormats="1" applyPatternFormats="1" applyAlignmentFormats="0" applyWidthHeightFormats="0"/>
</file>

<file path=xl/queryTables/queryTable1462.xml><?xml version="1.0" encoding="utf-8"?>
<queryTable xmlns="http://schemas.openxmlformats.org/spreadsheetml/2006/main" name="DadosExternos_330" connectionId="512" autoFormatId="16" applyNumberFormats="0" applyBorderFormats="0" applyFontFormats="1" applyPatternFormats="1" applyAlignmentFormats="0" applyWidthHeightFormats="0"/>
</file>

<file path=xl/queryTables/queryTable1463.xml><?xml version="1.0" encoding="utf-8"?>
<queryTable xmlns="http://schemas.openxmlformats.org/spreadsheetml/2006/main" name="DadosExternos_43" connectionId="180" autoFormatId="16" applyNumberFormats="0" applyBorderFormats="0" applyFontFormats="1" applyPatternFormats="1" applyAlignmentFormats="0" applyWidthHeightFormats="0"/>
</file>

<file path=xl/queryTables/queryTable1464.xml><?xml version="1.0" encoding="utf-8"?>
<queryTable xmlns="http://schemas.openxmlformats.org/spreadsheetml/2006/main" name="DadosExternos_26" connectionId="768" autoFormatId="16" applyNumberFormats="0" applyBorderFormats="0" applyFontFormats="1" applyPatternFormats="1" applyAlignmentFormats="0" applyWidthHeightFormats="0"/>
</file>

<file path=xl/queryTables/queryTable1465.xml><?xml version="1.0" encoding="utf-8"?>
<queryTable xmlns="http://schemas.openxmlformats.org/spreadsheetml/2006/main" name="DadosExternos_259" connectionId="302" autoFormatId="16" applyNumberFormats="0" applyBorderFormats="0" applyFontFormats="1" applyPatternFormats="1" applyAlignmentFormats="0" applyWidthHeightFormats="0"/>
</file>

<file path=xl/queryTables/queryTable1466.xml><?xml version="1.0" encoding="utf-8"?>
<queryTable xmlns="http://schemas.openxmlformats.org/spreadsheetml/2006/main" name="DadosExternos_217" connectionId="171" autoFormatId="16" applyNumberFormats="0" applyBorderFormats="0" applyFontFormats="1" applyPatternFormats="1" applyAlignmentFormats="0" applyWidthHeightFormats="0"/>
</file>

<file path=xl/queryTables/queryTable1467.xml><?xml version="1.0" encoding="utf-8"?>
<queryTable xmlns="http://schemas.openxmlformats.org/spreadsheetml/2006/main" name="DadosExternos_298" connectionId="441" autoFormatId="16" applyNumberFormats="0" applyBorderFormats="0" applyFontFormats="1" applyPatternFormats="1" applyAlignmentFormats="0" applyWidthHeightFormats="0"/>
</file>

<file path=xl/queryTables/queryTable1468.xml><?xml version="1.0" encoding="utf-8"?>
<queryTable xmlns="http://schemas.openxmlformats.org/spreadsheetml/2006/main" name="ExternalData_139" connectionId="936" autoFormatId="16" applyNumberFormats="0" applyBorderFormats="0" applyFontFormats="1" applyPatternFormats="1" applyAlignmentFormats="0" applyWidthHeightFormats="0"/>
</file>

<file path=xl/queryTables/queryTable1469.xml><?xml version="1.0" encoding="utf-8"?>
<queryTable xmlns="http://schemas.openxmlformats.org/spreadsheetml/2006/main" name="ExternalData_66" connectionId="998" autoFormatId="16" applyNumberFormats="0" applyBorderFormats="0" applyFontFormats="1" applyPatternFormats="1" applyAlignmentFormats="0" applyWidthHeightFormats="0"/>
</file>

<file path=xl/queryTables/queryTable1470.xml><?xml version="1.0" encoding="utf-8"?>
<queryTable xmlns="http://schemas.openxmlformats.org/spreadsheetml/2006/main" name="ExternalData_85" connectionId="1039" autoFormatId="16" applyNumberFormats="0" applyBorderFormats="0" applyFontFormats="1" applyPatternFormats="1" applyAlignmentFormats="0" applyWidthHeightFormats="0"/>
</file>

<file path=xl/queryTables/queryTable1471.xml><?xml version="1.0" encoding="utf-8"?>
<queryTable xmlns="http://schemas.openxmlformats.org/spreadsheetml/2006/main" name="ExternalData_19" connectionId="961" autoFormatId="16" applyNumberFormats="0" applyBorderFormats="0" applyFontFormats="1" applyPatternFormats="1" applyAlignmentFormats="0" applyWidthHeightFormats="0"/>
</file>

<file path=xl/queryTables/queryTable1472.xml><?xml version="1.0" encoding="utf-8"?>
<queryTable xmlns="http://schemas.openxmlformats.org/spreadsheetml/2006/main" name="DadosExternos_441" connectionId="712" autoFormatId="16" applyNumberFormats="0" applyBorderFormats="0" applyFontFormats="1" applyPatternFormats="1" applyAlignmentFormats="0" applyWidthHeightFormats="0"/>
</file>

<file path=xl/queryTables/queryTable1473.xml><?xml version="1.0" encoding="utf-8"?>
<queryTable xmlns="http://schemas.openxmlformats.org/spreadsheetml/2006/main" name="DadosExternos_12" connectionId="77" autoFormatId="16" applyNumberFormats="0" applyBorderFormats="0" applyFontFormats="1" applyPatternFormats="1" applyAlignmentFormats="0" applyWidthHeightFormats="0"/>
</file>

<file path=xl/queryTables/queryTable1474.xml><?xml version="1.0" encoding="utf-8"?>
<queryTable xmlns="http://schemas.openxmlformats.org/spreadsheetml/2006/main" name="DadosExternos_239" connectionId="224" autoFormatId="16" applyNumberFormats="0" applyBorderFormats="0" applyFontFormats="1" applyPatternFormats="1" applyAlignmentFormats="0" applyWidthHeightFormats="0"/>
</file>

<file path=xl/queryTables/queryTable1475.xml><?xml version="1.0" encoding="utf-8"?>
<queryTable xmlns="http://schemas.openxmlformats.org/spreadsheetml/2006/main" name="DadosExternos_169" connectionId="713" autoFormatId="16" applyNumberFormats="0" applyBorderFormats="0" applyFontFormats="1" applyPatternFormats="1" applyAlignmentFormats="0" applyWidthHeightFormats="0"/>
</file>

<file path=xl/queryTables/queryTable1476.xml><?xml version="1.0" encoding="utf-8"?>
<queryTable xmlns="http://schemas.openxmlformats.org/spreadsheetml/2006/main" name="DadosExternos_302" connectionId="452" autoFormatId="16" applyNumberFormats="0" applyBorderFormats="0" applyFontFormats="1" applyPatternFormats="1" applyAlignmentFormats="0" applyWidthHeightFormats="0"/>
</file>

<file path=xl/queryTables/queryTable1477.xml><?xml version="1.0" encoding="utf-8"?>
<queryTable xmlns="http://schemas.openxmlformats.org/spreadsheetml/2006/main" name="ExternalData_63" connectionId="985" autoFormatId="16" applyNumberFormats="0" applyBorderFormats="0" applyFontFormats="1" applyPatternFormats="1" applyAlignmentFormats="0" applyWidthHeightFormats="0"/>
</file>

<file path=xl/queryTables/queryTable1478.xml><?xml version="1.0" encoding="utf-8"?>
<queryTable xmlns="http://schemas.openxmlformats.org/spreadsheetml/2006/main" name="DadosExternos_136" connectionId="555" autoFormatId="16" applyNumberFormats="0" applyBorderFormats="0" applyFontFormats="1" applyPatternFormats="1" applyAlignmentFormats="0" applyWidthHeightFormats="0"/>
</file>

<file path=xl/queryTables/queryTable1479.xml><?xml version="1.0" encoding="utf-8"?>
<queryTable xmlns="http://schemas.openxmlformats.org/spreadsheetml/2006/main" name="DadosExternos_49" connectionId="279" autoFormatId="16" applyNumberFormats="0" applyBorderFormats="0" applyFontFormats="1" applyPatternFormats="1" applyAlignmentFormats="0" applyWidthHeightFormats="0"/>
</file>

<file path=xl/queryTables/queryTable1480.xml><?xml version="1.0" encoding="utf-8"?>
<queryTable xmlns="http://schemas.openxmlformats.org/spreadsheetml/2006/main" name="DadosExternos_154" connectionId="645" autoFormatId="16" applyNumberFormats="0" applyBorderFormats="0" applyFontFormats="1" applyPatternFormats="1" applyAlignmentFormats="0" applyWidthHeightFormats="0"/>
</file>

<file path=xl/queryTables/queryTable1481.xml><?xml version="1.0" encoding="utf-8"?>
<queryTable xmlns="http://schemas.openxmlformats.org/spreadsheetml/2006/main" name="DadosExternos_205" connectionId="136" autoFormatId="16" applyNumberFormats="0" applyBorderFormats="0" applyFontFormats="1" applyPatternFormats="1" applyAlignmentFormats="0" applyWidthHeightFormats="0"/>
</file>

<file path=xl/queryTables/queryTable1482.xml><?xml version="1.0" encoding="utf-8"?>
<queryTable xmlns="http://schemas.openxmlformats.org/spreadsheetml/2006/main" name="DadosExternos_373" connectionId="391" autoFormatId="16" applyNumberFormats="0" applyBorderFormats="0" applyFontFormats="1" applyPatternFormats="1" applyAlignmentFormats="0" applyWidthHeightFormats="0"/>
</file>

<file path=xl/queryTables/queryTable1483.xml><?xml version="1.0" encoding="utf-8"?>
<queryTable xmlns="http://schemas.openxmlformats.org/spreadsheetml/2006/main" name="DadosExternos_62" connectionId="472" autoFormatId="16" applyNumberFormats="0" applyBorderFormats="0" applyFontFormats="1" applyPatternFormats="1" applyAlignmentFormats="0" applyWidthHeightFormats="0"/>
</file>

<file path=xl/queryTables/queryTable1484.xml><?xml version="1.0" encoding="utf-8"?>
<queryTable xmlns="http://schemas.openxmlformats.org/spreadsheetml/2006/main" name="DadosExternos_39" connectionId="107" autoFormatId="16" applyNumberFormats="0" applyBorderFormats="0" applyFontFormats="1" applyPatternFormats="1" applyAlignmentFormats="0" applyWidthHeightFormats="0"/>
</file>

<file path=xl/queryTables/queryTable1485.xml><?xml version="1.0" encoding="utf-8"?>
<queryTable xmlns="http://schemas.openxmlformats.org/spreadsheetml/2006/main" name="DadosExternos_269" connectionId="334" autoFormatId="16" applyNumberFormats="0" applyBorderFormats="0" applyFontFormats="1" applyPatternFormats="1" applyAlignmentFormats="0" applyWidthHeightFormats="0"/>
</file>

<file path=xl/queryTables/queryTable1486.xml><?xml version="1.0" encoding="utf-8"?>
<queryTable xmlns="http://schemas.openxmlformats.org/spreadsheetml/2006/main" name="ExternalData_123" connectionId="839" autoFormatId="16" applyNumberFormats="0" applyBorderFormats="0" applyFontFormats="1" applyPatternFormats="1" applyAlignmentFormats="0" applyWidthHeightFormats="0"/>
</file>

<file path=xl/queryTables/queryTable1487.xml><?xml version="1.0" encoding="utf-8"?>
<queryTable xmlns="http://schemas.openxmlformats.org/spreadsheetml/2006/main" name="DadosExternos_433" connectionId="676" autoFormatId="16" applyNumberFormats="0" applyBorderFormats="0" applyFontFormats="1" applyPatternFormats="1" applyAlignmentFormats="0" applyWidthHeightFormats="0"/>
</file>

<file path=xl/queryTables/queryTable1488.xml><?xml version="1.0" encoding="utf-8"?>
<queryTable xmlns="http://schemas.openxmlformats.org/spreadsheetml/2006/main" name="DadosExternos_363" connectionId="576" autoFormatId="16" applyNumberFormats="0" applyBorderFormats="0" applyFontFormats="1" applyPatternFormats="1" applyAlignmentFormats="0" applyWidthHeightFormats="0"/>
</file>

<file path=xl/queryTables/queryTable1489.xml><?xml version="1.0" encoding="utf-8"?>
<queryTable xmlns="http://schemas.openxmlformats.org/spreadsheetml/2006/main" name="DadosExternos_451" connectionId="773" autoFormatId="16" applyNumberFormats="0" applyBorderFormats="0" applyFontFormats="1" applyPatternFormats="1" applyAlignmentFormats="0" applyWidthHeightFormats="0"/>
</file>

<file path=xl/queryTables/queryTable1490.xml><?xml version="1.0" encoding="utf-8"?>
<queryTable xmlns="http://schemas.openxmlformats.org/spreadsheetml/2006/main" name="DadosExternos_418" connectionId="613" autoFormatId="16" applyNumberFormats="0" applyBorderFormats="0" applyFontFormats="1" applyPatternFormats="1" applyAlignmentFormats="0" applyWidthHeightFormats="0"/>
</file>

<file path=xl/queryTables/queryTable1491.xml><?xml version="1.0" encoding="utf-8"?>
<queryTable xmlns="http://schemas.openxmlformats.org/spreadsheetml/2006/main" name="DadosExternos_246" connectionId="265" autoFormatId="16" applyNumberFormats="0" applyBorderFormats="0" applyFontFormats="1" applyPatternFormats="1" applyAlignmentFormats="0" applyWidthHeightFormats="0"/>
</file>

<file path=xl/queryTables/queryTable1492.xml><?xml version="1.0" encoding="utf-8"?>
<queryTable xmlns="http://schemas.openxmlformats.org/spreadsheetml/2006/main" name="DadosExternos_8" connectionId="697" autoFormatId="16" applyNumberFormats="0" applyBorderFormats="0" applyFontFormats="1" applyPatternFormats="1" applyAlignmentFormats="0" applyWidthHeightFormats="0"/>
</file>

<file path=xl/queryTables/queryTable1493.xml><?xml version="1.0" encoding="utf-8"?>
<queryTable xmlns="http://schemas.openxmlformats.org/spreadsheetml/2006/main" name="DadosExternos_120" connectionId="308" autoFormatId="16" applyNumberFormats="0" applyBorderFormats="0" applyFontFormats="1" applyPatternFormats="1" applyAlignmentFormats="0" applyWidthHeightFormats="0"/>
</file>

<file path=xl/queryTables/queryTable1494.xml><?xml version="1.0" encoding="utf-8"?>
<queryTable xmlns="http://schemas.openxmlformats.org/spreadsheetml/2006/main" name="DadosExternos_164" connectionId="687" autoFormatId="16" applyNumberFormats="0" applyBorderFormats="0" applyFontFormats="1" applyPatternFormats="1" applyAlignmentFormats="0" applyWidthHeightFormats="0"/>
</file>

<file path=xl/queryTables/queryTable1495.xml><?xml version="1.0" encoding="utf-8"?>
<queryTable xmlns="http://schemas.openxmlformats.org/spreadsheetml/2006/main" name="DadosExternos_339" connectionId="530" autoFormatId="16" applyNumberFormats="0" applyBorderFormats="0" applyFontFormats="1" applyPatternFormats="1" applyAlignmentFormats="0" applyWidthHeightFormats="0"/>
</file>

<file path=xl/queryTables/queryTable1496.xml><?xml version="1.0" encoding="utf-8"?>
<queryTable xmlns="http://schemas.openxmlformats.org/spreadsheetml/2006/main" name="ExternalData_7" connectionId="1045" autoFormatId="16" applyNumberFormats="0" applyBorderFormats="0" applyFontFormats="1" applyPatternFormats="1" applyAlignmentFormats="0" applyWidthHeightFormats="0"/>
</file>

<file path=xl/queryTables/queryTable1497.xml><?xml version="1.0" encoding="utf-8"?>
<queryTable xmlns="http://schemas.openxmlformats.org/spreadsheetml/2006/main" name="DadosExternos_194" connectionId="94" autoFormatId="16" applyNumberFormats="0" applyBorderFormats="0" applyFontFormats="1" applyPatternFormats="1" applyAlignmentFormats="0" applyWidthHeightFormats="0"/>
</file>

<file path=xl/queryTables/queryTable1498.xml><?xml version="1.0" encoding="utf-8"?>
<queryTable xmlns="http://schemas.openxmlformats.org/spreadsheetml/2006/main" name="ExternalData_134" connectionId="867" autoFormatId="16" applyNumberFormats="0" applyBorderFormats="0" applyFontFormats="1" applyPatternFormats="1" applyAlignmentFormats="0" applyWidthHeightFormats="0"/>
</file>

<file path=xl/queryTables/queryTable1499.xml><?xml version="1.0" encoding="utf-8"?>
<queryTable xmlns="http://schemas.openxmlformats.org/spreadsheetml/2006/main" name="ExternalData_92" connectionId="1086" autoFormatId="16" applyNumberFormats="0" applyBorderFormats="0" applyFontFormats="1" applyPatternFormats="1" applyAlignmentFormats="0" applyWidthHeightFormats="0"/>
</file>

<file path=xl/queryTables/queryTable1500.xml><?xml version="1.0" encoding="utf-8"?>
<queryTable xmlns="http://schemas.openxmlformats.org/spreadsheetml/2006/main" name="DadosExternos_327" connectionId="500" autoFormatId="16" applyNumberFormats="0" applyBorderFormats="0" applyFontFormats="1" applyPatternFormats="1" applyAlignmentFormats="0" applyWidthHeightFormats="0"/>
</file>

<file path=xl/queryTables/queryTable1501.xml><?xml version="1.0" encoding="utf-8"?>
<queryTable xmlns="http://schemas.openxmlformats.org/spreadsheetml/2006/main" name="DadosExternos_134" connectionId="521" autoFormatId="16" applyNumberFormats="0" applyBorderFormats="0" applyFontFormats="1" applyPatternFormats="1" applyAlignmentFormats="0" applyWidthHeightFormats="0"/>
</file>

<file path=xl/queryTables/queryTable1502.xml><?xml version="1.0" encoding="utf-8"?>
<queryTable xmlns="http://schemas.openxmlformats.org/spreadsheetml/2006/main" name="DadosExternos_379" connectionId="777" autoFormatId="16" applyNumberFormats="0" applyBorderFormats="0" applyFontFormats="1" applyPatternFormats="1" applyAlignmentFormats="0" applyWidthHeightFormats="0"/>
</file>

<file path=xl/queryTables/queryTable1503.xml><?xml version="1.0" encoding="utf-8"?>
<queryTable xmlns="http://schemas.openxmlformats.org/spreadsheetml/2006/main" name="DadosExternos_249" connectionId="272" autoFormatId="16" applyNumberFormats="0" applyBorderFormats="0" applyFontFormats="1" applyPatternFormats="1" applyAlignmentFormats="0" applyWidthHeightFormats="0"/>
</file>

<file path=xl/queryTables/queryTable1504.xml><?xml version="1.0" encoding="utf-8"?>
<queryTable xmlns="http://schemas.openxmlformats.org/spreadsheetml/2006/main" name="DadosExternos_243" connectionId="242" autoFormatId="16" applyNumberFormats="0" applyBorderFormats="0" applyFontFormats="1" applyPatternFormats="1" applyAlignmentFormats="0" applyWidthHeightFormats="0"/>
</file>

<file path=xl/queryTables/queryTable1505.xml><?xml version="1.0" encoding="utf-8"?>
<queryTable xmlns="http://schemas.openxmlformats.org/spreadsheetml/2006/main" name="DadosExternos_362" connectionId="574" autoFormatId="16" applyNumberFormats="0" applyBorderFormats="0" applyFontFormats="1" applyPatternFormats="1" applyAlignmentFormats="0" applyWidthHeightFormats="0"/>
</file>

<file path=xl/queryTables/queryTable1506.xml><?xml version="1.0" encoding="utf-8"?>
<queryTable xmlns="http://schemas.openxmlformats.org/spreadsheetml/2006/main" name="DadosExternos_106" connectionId="74" autoFormatId="16" applyNumberFormats="0" applyBorderFormats="0" applyFontFormats="1" applyPatternFormats="1" applyAlignmentFormats="0" applyWidthHeightFormats="0"/>
</file>

<file path=xl/queryTables/queryTable1507.xml><?xml version="1.0" encoding="utf-8"?>
<queryTable xmlns="http://schemas.openxmlformats.org/spreadsheetml/2006/main" name="DadosExternos_431" connectionId="668" autoFormatId="16" applyNumberFormats="0" applyBorderFormats="0" applyFontFormats="1" applyPatternFormats="1" applyAlignmentFormats="0" applyWidthHeightFormats="0"/>
</file>

<file path=xl/queryTables/queryTable1508.xml><?xml version="1.0" encoding="utf-8"?>
<queryTable xmlns="http://schemas.openxmlformats.org/spreadsheetml/2006/main" name="DadosExternos_127" connectionId="410" autoFormatId="16" applyNumberFormats="0" applyBorderFormats="0" applyFontFormats="1" applyPatternFormats="1" applyAlignmentFormats="0" applyWidthHeightFormats="0"/>
</file>

<file path=xl/queryTables/queryTable1509.xml><?xml version="1.0" encoding="utf-8"?>
<queryTable xmlns="http://schemas.openxmlformats.org/spreadsheetml/2006/main" name="DadosExternos_192" connectionId="84" autoFormatId="16" applyNumberFormats="0" applyBorderFormats="0" applyFontFormats="1" applyPatternFormats="1" applyAlignmentFormats="0" applyWidthHeightFormats="0"/>
</file>

<file path=xl/queryTables/queryTable1510.xml><?xml version="1.0" encoding="utf-8"?>
<queryTable xmlns="http://schemas.openxmlformats.org/spreadsheetml/2006/main" name="ExternalData_70" connectionId="1007" autoFormatId="16" applyNumberFormats="0" applyBorderFormats="0" applyFontFormats="1" applyPatternFormats="1" applyAlignmentFormats="0" applyWidthHeightFormats="0"/>
</file>

<file path=xl/queryTables/queryTable1511.xml><?xml version="1.0" encoding="utf-8"?>
<queryTable xmlns="http://schemas.openxmlformats.org/spreadsheetml/2006/main" name="ExternalData_75" connectionId="1017" autoFormatId="16" applyNumberFormats="0" applyBorderFormats="0" applyFontFormats="1" applyPatternFormats="1" applyAlignmentFormats="0" applyWidthHeightFormats="0"/>
</file>

<file path=xl/queryTables/queryTable1512.xml><?xml version="1.0" encoding="utf-8"?>
<queryTable xmlns="http://schemas.openxmlformats.org/spreadsheetml/2006/main" name="DadosExternos_416" connectionId="594" autoFormatId="16" applyNumberFormats="0" applyBorderFormats="0" applyFontFormats="1" applyPatternFormats="1" applyAlignmentFormats="0" applyWidthHeightFormats="0"/>
</file>

<file path=xl/queryTables/queryTable1513.xml><?xml version="1.0" encoding="utf-8"?>
<queryTable xmlns="http://schemas.openxmlformats.org/spreadsheetml/2006/main" name="DadosExternos_378" connectionId="735" autoFormatId="16" applyNumberFormats="0" applyBorderFormats="0" applyFontFormats="1" applyPatternFormats="1" applyAlignmentFormats="0" applyWidthHeightFormats="0"/>
</file>

<file path=xl/queryTables/queryTable1514.xml><?xml version="1.0" encoding="utf-8"?>
<queryTable xmlns="http://schemas.openxmlformats.org/spreadsheetml/2006/main" name="ExternalData_117" connectionId="819" autoFormatId="16" applyNumberFormats="0" applyBorderFormats="0" applyFontFormats="1" applyPatternFormats="1" applyAlignmentFormats="0" applyWidthHeightFormats="0"/>
</file>

<file path=xl/queryTables/queryTable1515.xml><?xml version="1.0" encoding="utf-8"?>
<queryTable xmlns="http://schemas.openxmlformats.org/spreadsheetml/2006/main" name="DadosExternos_122" connectionId="339" autoFormatId="16" applyNumberFormats="0" applyBorderFormats="0" applyFontFormats="1" applyPatternFormats="1" applyAlignmentFormats="0" applyWidthHeightFormats="0"/>
</file>

<file path=xl/queryTables/queryTable1516.xml><?xml version="1.0" encoding="utf-8"?>
<queryTable xmlns="http://schemas.openxmlformats.org/spreadsheetml/2006/main" name="DadosExternos_200" connectionId="114" autoFormatId="16" applyNumberFormats="0" applyBorderFormats="0" applyFontFormats="1" applyPatternFormats="1" applyAlignmentFormats="0" applyWidthHeightFormats="0"/>
</file>

<file path=xl/queryTables/queryTable1517.xml><?xml version="1.0" encoding="utf-8"?>
<queryTable xmlns="http://schemas.openxmlformats.org/spreadsheetml/2006/main" name="DadosExternos_381" connectionId="52" autoFormatId="16" applyNumberFormats="0" applyBorderFormats="0" applyFontFormats="1" applyPatternFormats="1" applyAlignmentFormats="0" applyWidthHeightFormats="0"/>
</file>

<file path=xl/queryTables/queryTable1518.xml><?xml version="1.0" encoding="utf-8"?>
<queryTable xmlns="http://schemas.openxmlformats.org/spreadsheetml/2006/main" name="DadosExternos_208" connectionId="147" autoFormatId="16" applyNumberFormats="0" applyBorderFormats="0" applyFontFormats="1" applyPatternFormats="1" applyAlignmentFormats="0" applyWidthHeightFormats="0"/>
</file>

<file path=xl/queryTables/queryTable1519.xml><?xml version="1.0" encoding="utf-8"?>
<queryTable xmlns="http://schemas.openxmlformats.org/spreadsheetml/2006/main" name="DadosExternos_173" connectionId="726" autoFormatId="16" applyNumberFormats="0" applyBorderFormats="0" applyFontFormats="1" applyPatternFormats="1" applyAlignmentFormats="0" applyWidthHeightFormats="0"/>
</file>

<file path=xl/queryTables/queryTable1520.xml><?xml version="1.0" encoding="utf-8"?>
<queryTable xmlns="http://schemas.openxmlformats.org/spreadsheetml/2006/main" name="DadosExternos_291" connectionId="418" autoFormatId="16" applyNumberFormats="0" applyBorderFormats="0" applyFontFormats="1" applyPatternFormats="1" applyAlignmentFormats="0" applyWidthHeightFormats="0"/>
</file>

<file path=xl/queryTables/queryTable1521.xml><?xml version="1.0" encoding="utf-8"?>
<queryTable xmlns="http://schemas.openxmlformats.org/spreadsheetml/2006/main" name="DadosExternos_376" connectionId="652" autoFormatId="16" applyNumberFormats="0" applyBorderFormats="0" applyFontFormats="1" applyPatternFormats="1" applyAlignmentFormats="0" applyWidthHeightFormats="0"/>
</file>

<file path=xl/queryTables/queryTable1522.xml><?xml version="1.0" encoding="utf-8"?>
<queryTable xmlns="http://schemas.openxmlformats.org/spreadsheetml/2006/main" name="DadosExternos_410" connectionId="539" autoFormatId="16" applyNumberFormats="0" applyBorderFormats="0" applyFontFormats="1" applyPatternFormats="1" applyAlignmentFormats="0" applyWidthHeightFormats="0"/>
</file>

<file path=xl/queryTables/queryTable1523.xml><?xml version="1.0" encoding="utf-8"?>
<queryTable xmlns="http://schemas.openxmlformats.org/spreadsheetml/2006/main" name="ExternalData_42" connectionId="1044" autoFormatId="16" applyNumberFormats="0" applyBorderFormats="0" applyFontFormats="1" applyPatternFormats="1" applyAlignmentFormats="0" applyWidthHeightFormats="0"/>
</file>

<file path=xl/queryTables/queryTable1524.xml><?xml version="1.0" encoding="utf-8"?>
<queryTable xmlns="http://schemas.openxmlformats.org/spreadsheetml/2006/main" name="DadosExternos_439" connectionId="704" autoFormatId="16" applyNumberFormats="0" applyBorderFormats="0" applyFontFormats="1" applyPatternFormats="1" applyAlignmentFormats="0" applyWidthHeightFormats="0"/>
</file>

<file path=xl/queryTables/queryTable1525.xml><?xml version="1.0" encoding="utf-8"?>
<queryTable xmlns="http://schemas.openxmlformats.org/spreadsheetml/2006/main" name="DadosExternos_138" connectionId="583" autoFormatId="16" applyNumberFormats="0" applyBorderFormats="0" applyFontFormats="1" applyPatternFormats="1" applyAlignmentFormats="0" applyWidthHeightFormats="0"/>
</file>

<file path=xl/queryTables/queryTable1526.xml><?xml version="1.0" encoding="utf-8"?>
<queryTable xmlns="http://schemas.openxmlformats.org/spreadsheetml/2006/main" name="ExternalData_34" connectionId="976" autoFormatId="16" applyNumberFormats="0" applyBorderFormats="0" applyFontFormats="1" applyPatternFormats="1" applyAlignmentFormats="0" applyWidthHeightFormats="0"/>
</file>

<file path=xl/queryTables/queryTable1527.xml><?xml version="1.0" encoding="utf-8"?>
<queryTable xmlns="http://schemas.openxmlformats.org/spreadsheetml/2006/main" name="ExternalData_16" connectionId="894" autoFormatId="16" applyNumberFormats="0" applyBorderFormats="0" applyFontFormats="1" applyPatternFormats="1" applyAlignmentFormats="0" applyWidthHeightFormats="0"/>
</file>

<file path=xl/queryTables/queryTable1528.xml><?xml version="1.0" encoding="utf-8"?>
<queryTable xmlns="http://schemas.openxmlformats.org/spreadsheetml/2006/main" name="DadosExternos_212" connectionId="155" autoFormatId="16" applyNumberFormats="0" applyBorderFormats="0" applyFontFormats="1" applyPatternFormats="1" applyAlignmentFormats="0" applyWidthHeightFormats="0"/>
</file>

<file path=xl/queryTables/queryTable1529.xml><?xml version="1.0" encoding="utf-8"?>
<queryTable xmlns="http://schemas.openxmlformats.org/spreadsheetml/2006/main" name="DadosExternos_293" connectionId="429" autoFormatId="16" applyNumberFormats="0" applyBorderFormats="0" applyFontFormats="1" applyPatternFormats="1" applyAlignmentFormats="0" applyWidthHeightFormats="0"/>
</file>

<file path=xl/queryTables/queryTable1530.xml><?xml version="1.0" encoding="utf-8"?>
<queryTable xmlns="http://schemas.openxmlformats.org/spreadsheetml/2006/main" name="ExternalData_33" connectionId="971" autoFormatId="16" applyNumberFormats="0" applyBorderFormats="0" applyFontFormats="1" applyPatternFormats="1" applyAlignmentFormats="0" applyWidthHeightFormats="0"/>
</file>

<file path=xl/queryTables/queryTable1531.xml><?xml version="1.0" encoding="utf-8"?>
<queryTable xmlns="http://schemas.openxmlformats.org/spreadsheetml/2006/main" name="ExternalData_3" connectionId="836" autoFormatId="16" applyNumberFormats="0" applyBorderFormats="0" applyFontFormats="1" applyPatternFormats="1" applyAlignmentFormats="0" applyWidthHeightFormats="0"/>
</file>

<file path=xl/queryTables/queryTable1532.xml><?xml version="1.0" encoding="utf-8"?>
<queryTable xmlns="http://schemas.openxmlformats.org/spreadsheetml/2006/main" name="DadosExternos_344" connectionId="538" autoFormatId="16" applyNumberFormats="0" applyBorderFormats="0" applyFontFormats="1" applyPatternFormats="1" applyAlignmentFormats="0" applyWidthHeightFormats="0"/>
</file>

<file path=xl/queryTables/queryTable1533.xml><?xml version="1.0" encoding="utf-8"?>
<queryTable xmlns="http://schemas.openxmlformats.org/spreadsheetml/2006/main" name="DadosExternos_222" connectionId="187" autoFormatId="16" applyNumberFormats="0" applyBorderFormats="0" applyFontFormats="1" applyPatternFormats="1" applyAlignmentFormats="0" applyWidthHeightFormats="0"/>
</file>

<file path=xl/queryTables/queryTable1534.xml><?xml version="1.0" encoding="utf-8"?>
<queryTable xmlns="http://schemas.openxmlformats.org/spreadsheetml/2006/main" name="ExternalData_125" connectionId="843" autoFormatId="16" applyNumberFormats="0" applyBorderFormats="0" applyFontFormats="1" applyPatternFormats="1" applyAlignmentFormats="0" applyWidthHeightFormats="0"/>
</file>

<file path=xl/queryTables/queryTable1535.xml><?xml version="1.0" encoding="utf-8"?>
<queryTable xmlns="http://schemas.openxmlformats.org/spreadsheetml/2006/main" name="DadosExternos_457" connectionId="11" autoFormatId="16" applyNumberFormats="0" applyBorderFormats="0" applyFontFormats="1" applyPatternFormats="1" applyAlignmentFormats="0" applyWidthHeightFormats="0"/>
</file>

<file path=xl/queryTables/queryTable1536.xml><?xml version="1.0" encoding="utf-8"?>
<queryTable xmlns="http://schemas.openxmlformats.org/spreadsheetml/2006/main" name="DadosExternos_119" connectionId="291" autoFormatId="16" applyNumberFormats="0" applyBorderFormats="0" applyFontFormats="1" applyPatternFormats="1" applyAlignmentFormats="0" applyWidthHeightFormats="0"/>
</file>

<file path=xl/queryTables/queryTable1537.xml><?xml version="1.0" encoding="utf-8"?>
<queryTable xmlns="http://schemas.openxmlformats.org/spreadsheetml/2006/main" name="DadosExternos_470" connectionId="97" autoFormatId="16" applyNumberFormats="0" applyBorderFormats="0" applyFontFormats="1" applyPatternFormats="1" applyAlignmentFormats="0" applyWidthHeightFormats="0"/>
</file>

<file path=xl/queryTables/queryTable1538.xml><?xml version="1.0" encoding="utf-8"?>
<queryTable xmlns="http://schemas.openxmlformats.org/spreadsheetml/2006/main" name="DadosExternos_123" connectionId="350" autoFormatId="16" applyNumberFormats="0" applyBorderFormats="0" applyFontFormats="1" applyPatternFormats="1" applyAlignmentFormats="0" applyWidthHeightFormats="0"/>
</file>

<file path=xl/queryTables/queryTable1539.xml><?xml version="1.0" encoding="utf-8"?>
<queryTable xmlns="http://schemas.openxmlformats.org/spreadsheetml/2006/main" name="ExternalData_47" connectionId="815" autoFormatId="16" applyNumberFormats="0" applyBorderFormats="0" applyFontFormats="1" applyPatternFormats="1" applyAlignmentFormats="0" applyWidthHeightFormats="0"/>
</file>

<file path=xl/queryTables/queryTable1540.xml><?xml version="1.0" encoding="utf-8"?>
<queryTable xmlns="http://schemas.openxmlformats.org/spreadsheetml/2006/main" name="DadosExternos_258" connectionId="299" autoFormatId="16" applyNumberFormats="0" applyBorderFormats="0" applyFontFormats="1" applyPatternFormats="1" applyAlignmentFormats="0" applyWidthHeightFormats="0"/>
</file>

<file path=xl/queryTables/queryTable1541.xml><?xml version="1.0" encoding="utf-8"?>
<queryTable xmlns="http://schemas.openxmlformats.org/spreadsheetml/2006/main" name="DadosExternos_18" connectionId="251" autoFormatId="16" applyNumberFormats="0" applyBorderFormats="0" applyFontFormats="1" applyPatternFormats="1" applyAlignmentFormats="0" applyWidthHeightFormats="0"/>
</file>

<file path=xl/queryTables/queryTable1542.xml><?xml version="1.0" encoding="utf-8"?>
<queryTable xmlns="http://schemas.openxmlformats.org/spreadsheetml/2006/main" name="DadosExternos_176" connectionId="741" autoFormatId="16" applyNumberFormats="0" applyBorderFormats="0" applyFontFormats="1" applyPatternFormats="1" applyAlignmentFormats="0" applyWidthHeightFormats="0"/>
</file>

<file path=xl/queryTables/queryTable1543.xml><?xml version="1.0" encoding="utf-8"?>
<queryTable xmlns="http://schemas.openxmlformats.org/spreadsheetml/2006/main" name="DadosExternos_30" connectionId="553" autoFormatId="16" applyNumberFormats="0" applyBorderFormats="0" applyFontFormats="1" applyPatternFormats="1" applyAlignmentFormats="0" applyWidthHeightFormats="0"/>
</file>

<file path=xl/queryTables/queryTable1544.xml><?xml version="1.0" encoding="utf-8"?>
<queryTable xmlns="http://schemas.openxmlformats.org/spreadsheetml/2006/main" name="DadosExternos_14" connectionId="702" autoFormatId="16" applyNumberFormats="0" applyBorderFormats="0" applyFontFormats="1" applyPatternFormats="1" applyAlignmentFormats="0" applyWidthHeightFormats="0"/>
</file>

<file path=xl/queryTables/queryTable1545.xml><?xml version="1.0" encoding="utf-8"?>
<queryTable xmlns="http://schemas.openxmlformats.org/spreadsheetml/2006/main" name="ExternalData_166" connectionId="927" autoFormatId="16" applyNumberFormats="0" applyBorderFormats="0" applyFontFormats="1" applyPatternFormats="1" applyAlignmentFormats="0" applyWidthHeightFormats="0"/>
</file>

<file path=xl/queryTables/queryTable1546.xml><?xml version="1.0" encoding="utf-8"?>
<queryTable xmlns="http://schemas.openxmlformats.org/spreadsheetml/2006/main" name="DadosExternos_331" connectionId="514" autoFormatId="16" applyNumberFormats="0" applyBorderFormats="0" applyFontFormats="1" applyPatternFormats="1" applyAlignmentFormats="0" applyWidthHeightFormats="0"/>
</file>

<file path=xl/queryTables/queryTable1547.xml><?xml version="1.0" encoding="utf-8"?>
<queryTable xmlns="http://schemas.openxmlformats.org/spreadsheetml/2006/main" name="DadosExternos_426" connectionId="645" autoFormatId="16" applyNumberFormats="0" applyBorderFormats="0" applyFontFormats="1" applyPatternFormats="1" applyAlignmentFormats="0" applyWidthHeightFormats="0"/>
</file>

<file path=xl/queryTables/queryTable1548.xml><?xml version="1.0" encoding="utf-8"?>
<queryTable xmlns="http://schemas.openxmlformats.org/spreadsheetml/2006/main" name="DadosExternos_109" connectionId="125" autoFormatId="16" applyNumberFormats="0" applyBorderFormats="0" applyFontFormats="1" applyPatternFormats="1" applyAlignmentFormats="0" applyWidthHeightFormats="0"/>
</file>

<file path=xl/queryTables/queryTable1549.xml><?xml version="1.0" encoding="utf-8"?>
<queryTable xmlns="http://schemas.openxmlformats.org/spreadsheetml/2006/main" name="DadosExternos_432" connectionId="673" autoFormatId="16" applyNumberFormats="0" applyBorderFormats="0" applyFontFormats="1" applyPatternFormats="1" applyAlignmentFormats="0" applyWidthHeightFormats="0"/>
</file>

<file path=xl/queryTables/queryTable1550.xml><?xml version="1.0" encoding="utf-8"?>
<queryTable xmlns="http://schemas.openxmlformats.org/spreadsheetml/2006/main" name="ExternalData_46" connectionId="1126" autoFormatId="16" applyNumberFormats="0" applyBorderFormats="0" applyFontFormats="1" applyPatternFormats="1" applyAlignmentFormats="0" applyWidthHeightFormats="0"/>
</file>

<file path=xl/queryTables/queryTable1551.xml><?xml version="1.0" encoding="utf-8"?>
<queryTable xmlns="http://schemas.openxmlformats.org/spreadsheetml/2006/main" name="ExternalData_139" connectionId="880" autoFormatId="16" applyNumberFormats="0" applyBorderFormats="0" applyFontFormats="1" applyPatternFormats="1" applyAlignmentFormats="0" applyWidthHeightFormats="0"/>
</file>

<file path=xl/queryTables/queryTable1552.xml><?xml version="1.0" encoding="utf-8"?>
<queryTable xmlns="http://schemas.openxmlformats.org/spreadsheetml/2006/main" name="ExternalData_102" connectionId="1113" autoFormatId="16" applyNumberFormats="0" applyBorderFormats="0" applyFontFormats="1" applyPatternFormats="1" applyAlignmentFormats="0" applyWidthHeightFormats="0"/>
</file>

<file path=xl/queryTables/queryTable1553.xml><?xml version="1.0" encoding="utf-8"?>
<queryTable xmlns="http://schemas.openxmlformats.org/spreadsheetml/2006/main" name="DadosExternos_52" connectionId="323" autoFormatId="16" applyNumberFormats="0" applyBorderFormats="0" applyFontFormats="1" applyPatternFormats="1" applyAlignmentFormats="0" applyWidthHeightFormats="0"/>
</file>

<file path=xl/queryTables/queryTable1554.xml><?xml version="1.0" encoding="utf-8"?>
<queryTable xmlns="http://schemas.openxmlformats.org/spreadsheetml/2006/main" name="ExternalData_73" connectionId="1014" autoFormatId="16" applyNumberFormats="0" applyBorderFormats="0" applyFontFormats="1" applyPatternFormats="1" applyAlignmentFormats="0" applyWidthHeightFormats="0"/>
</file>

<file path=xl/queryTables/queryTable1555.xml><?xml version="1.0" encoding="utf-8"?>
<queryTable xmlns="http://schemas.openxmlformats.org/spreadsheetml/2006/main" name="DadosExternos_189" connectionId="35" autoFormatId="16" applyNumberFormats="0" applyBorderFormats="0" applyFontFormats="1" applyPatternFormats="1" applyAlignmentFormats="0" applyWidthHeightFormats="0"/>
</file>

<file path=xl/queryTables/queryTable1556.xml><?xml version="1.0" encoding="utf-8"?>
<queryTable xmlns="http://schemas.openxmlformats.org/spreadsheetml/2006/main" name="ExternalData_14" connectionId="862" autoFormatId="16" applyNumberFormats="0" applyBorderFormats="0" applyFontFormats="1" applyPatternFormats="1" applyAlignmentFormats="0" applyWidthHeightFormats="0"/>
</file>

<file path=xl/queryTables/queryTable1557.xml><?xml version="1.0" encoding="utf-8"?>
<queryTable xmlns="http://schemas.openxmlformats.org/spreadsheetml/2006/main" name="DadosExternos_288" connectionId="407" autoFormatId="16" applyNumberFormats="0" applyBorderFormats="0" applyFontFormats="1" applyPatternFormats="1" applyAlignmentFormats="0" applyWidthHeightFormats="0"/>
</file>

<file path=xl/queryTables/queryTable1558.xml><?xml version="1.0" encoding="utf-8"?>
<queryTable xmlns="http://schemas.openxmlformats.org/spreadsheetml/2006/main" name="ExternalData_132" connectionId="864" autoFormatId="16" applyNumberFormats="0" applyBorderFormats="0" applyFontFormats="1" applyPatternFormats="1" applyAlignmentFormats="0" applyWidthHeightFormats="0"/>
</file>

<file path=xl/queryTables/queryTable1559.xml><?xml version="1.0" encoding="utf-8"?>
<queryTable xmlns="http://schemas.openxmlformats.org/spreadsheetml/2006/main" name="DadosExternos_225" connectionId="193" autoFormatId="16" applyNumberFormats="0" applyBorderFormats="0" applyFontFormats="1" applyPatternFormats="1" applyAlignmentFormats="0" applyWidthHeightFormats="0"/>
</file>

<file path=xl/queryTables/queryTable1560.xml><?xml version="1.0" encoding="utf-8"?>
<queryTable xmlns="http://schemas.openxmlformats.org/spreadsheetml/2006/main" name="DadosExternos_16" connectionId="774" autoFormatId="16" applyNumberFormats="0" applyBorderFormats="0" applyFontFormats="1" applyPatternFormats="1" applyAlignmentFormats="0" applyWidthHeightFormats="0"/>
</file>

<file path=xl/queryTables/queryTable1561.xml><?xml version="1.0" encoding="utf-8"?>
<queryTable xmlns="http://schemas.openxmlformats.org/spreadsheetml/2006/main" name="DadosExternos_97" connectionId="257" autoFormatId="16" applyNumberFormats="0" applyBorderFormats="0" applyFontFormats="1" applyPatternFormats="1" applyAlignmentFormats="0" applyWidthHeightFormats="0"/>
</file>

<file path=xl/queryTables/queryTable1562.xml><?xml version="1.0" encoding="utf-8"?>
<queryTable xmlns="http://schemas.openxmlformats.org/spreadsheetml/2006/main" name="ExternalData_10" connectionId="1105" autoFormatId="16" applyNumberFormats="0" applyBorderFormats="0" applyFontFormats="1" applyPatternFormats="1" applyAlignmentFormats="0" applyWidthHeightFormats="0"/>
</file>

<file path=xl/queryTables/queryTable1563.xml><?xml version="1.0" encoding="utf-8"?>
<queryTable xmlns="http://schemas.openxmlformats.org/spreadsheetml/2006/main" name="ExternalData_150" connectionId="896" autoFormatId="16" applyNumberFormats="0" applyBorderFormats="0" applyFontFormats="1" applyPatternFormats="1" applyAlignmentFormats="0" applyWidthHeightFormats="0"/>
</file>

<file path=xl/queryTables/queryTable1564.xml><?xml version="1.0" encoding="utf-8"?>
<queryTable xmlns="http://schemas.openxmlformats.org/spreadsheetml/2006/main" name="DadosExternos_128" connectionId="426" autoFormatId="16" applyNumberFormats="0" applyBorderFormats="0" applyFontFormats="1" applyPatternFormats="1" applyAlignmentFormats="0" applyWidthHeightFormats="0"/>
</file>

<file path=xl/queryTables/queryTable1565.xml><?xml version="1.0" encoding="utf-8"?>
<queryTable xmlns="http://schemas.openxmlformats.org/spreadsheetml/2006/main" name="DadosExternos_353" connectionId="561" autoFormatId="16" applyNumberFormats="0" applyBorderFormats="0" applyFontFormats="1" applyPatternFormats="1" applyAlignmentFormats="0" applyWidthHeightFormats="0"/>
</file>

<file path=xl/queryTables/queryTable1566.xml><?xml version="1.0" encoding="utf-8"?>
<queryTable xmlns="http://schemas.openxmlformats.org/spreadsheetml/2006/main" name="DadosExternos_388" connectionId="196" autoFormatId="16" applyNumberFormats="0" applyBorderFormats="0" applyFontFormats="1" applyPatternFormats="1" applyAlignmentFormats="0" applyWidthHeightFormats="0"/>
</file>

<file path=xl/queryTables/queryTable1567.xml><?xml version="1.0" encoding="utf-8"?>
<queryTable xmlns="http://schemas.openxmlformats.org/spreadsheetml/2006/main" name="DadosExternos_411" connectionId="555" autoFormatId="16" applyNumberFormats="0" applyBorderFormats="0" applyFontFormats="1" applyPatternFormats="1" applyAlignmentFormats="0" applyWidthHeightFormats="0"/>
</file>

<file path=xl/queryTables/queryTable1568.xml><?xml version="1.0" encoding="utf-8"?>
<queryTable xmlns="http://schemas.openxmlformats.org/spreadsheetml/2006/main" name="DadosExternos_392" connectionId="267" autoFormatId="16" applyNumberFormats="0" applyBorderFormats="0" applyFontFormats="1" applyPatternFormats="1" applyAlignmentFormats="0" applyWidthHeightFormats="0"/>
</file>

<file path=xl/queryTables/queryTable1569.xml><?xml version="1.0" encoding="utf-8"?>
<queryTable xmlns="http://schemas.openxmlformats.org/spreadsheetml/2006/main" name="DadosExternos_315" connectionId="476" autoFormatId="16" applyNumberFormats="0" applyBorderFormats="0" applyFontFormats="1" applyPatternFormats="1" applyAlignmentFormats="0" applyWidthHeightFormats="0"/>
</file>

<file path=xl/queryTables/queryTable1570.xml><?xml version="1.0" encoding="utf-8"?>
<queryTable xmlns="http://schemas.openxmlformats.org/spreadsheetml/2006/main" name="DadosExternos_187" connectionId="25" autoFormatId="16" applyNumberFormats="0" applyBorderFormats="0" applyFontFormats="1" applyPatternFormats="1" applyAlignmentFormats="0" applyWidthHeightFormats="0"/>
</file>

<file path=xl/queryTables/queryTable1571.xml><?xml version="1.0" encoding="utf-8"?>
<queryTable xmlns="http://schemas.openxmlformats.org/spreadsheetml/2006/main" name="DadosExternos_304" connectionId="454" autoFormatId="16" applyNumberFormats="0" applyBorderFormats="0" applyFontFormats="1" applyPatternFormats="1" applyAlignmentFormats="0" applyWidthHeightFormats="0"/>
</file>

<file path=xl/queryTables/queryTable1572.xml><?xml version="1.0" encoding="utf-8"?>
<queryTable xmlns="http://schemas.openxmlformats.org/spreadsheetml/2006/main" name="DadosExternos_157" connectionId="663" autoFormatId="16" applyNumberFormats="0" applyBorderFormats="0" applyFontFormats="1" applyPatternFormats="1" applyAlignmentFormats="0" applyWidthHeightFormats="0"/>
</file>

<file path=xl/queryTables/queryTable1573.xml><?xml version="1.0" encoding="utf-8"?>
<queryTable xmlns="http://schemas.openxmlformats.org/spreadsheetml/2006/main" name="ExternalData_121" connectionId="832" autoFormatId="16" applyNumberFormats="0" applyBorderFormats="0" applyFontFormats="1" applyPatternFormats="1" applyAlignmentFormats="0" applyWidthHeightFormats="0"/>
</file>

<file path=xl/queryTables/queryTable1574.xml><?xml version="1.0" encoding="utf-8"?>
<queryTable xmlns="http://schemas.openxmlformats.org/spreadsheetml/2006/main" name="ExternalData_49" connectionId="859" autoFormatId="16" applyNumberFormats="0" applyBorderFormats="0" applyFontFormats="1" applyPatternFormats="1" applyAlignmentFormats="0" applyWidthHeightFormats="0"/>
</file>

<file path=xl/queryTables/queryTable1575.xml><?xml version="1.0" encoding="utf-8"?>
<queryTable xmlns="http://schemas.openxmlformats.org/spreadsheetml/2006/main" name="ExternalData_44" connectionId="1080" autoFormatId="16" applyNumberFormats="0" applyBorderFormats="0" applyFontFormats="1" applyPatternFormats="1" applyAlignmentFormats="0" applyWidthHeightFormats="0"/>
</file>

<file path=xl/queryTables/queryTable1576.xml><?xml version="1.0" encoding="utf-8"?>
<queryTable xmlns="http://schemas.openxmlformats.org/spreadsheetml/2006/main" name="DadosExternos_369" connectionId="585" autoFormatId="16" applyNumberFormats="0" applyBorderFormats="0" applyFontFormats="1" applyPatternFormats="1" applyAlignmentFormats="0" applyWidthHeightFormats="0"/>
</file>

<file path=xl/queryTables/queryTable1577.xml><?xml version="1.0" encoding="utf-8"?>
<queryTable xmlns="http://schemas.openxmlformats.org/spreadsheetml/2006/main" name="ExternalData_161" connectionId="922" autoFormatId="16" applyNumberFormats="0" applyBorderFormats="0" applyFontFormats="1" applyPatternFormats="1" applyAlignmentFormats="0" applyWidthHeightFormats="0"/>
</file>

<file path=xl/queryTables/queryTable1578.xml><?xml version="1.0" encoding="utf-8"?>
<queryTable xmlns="http://schemas.openxmlformats.org/spreadsheetml/2006/main" name="DadosExternos_33" connectionId="695" autoFormatId="16" applyNumberFormats="0" applyBorderFormats="0" applyFontFormats="1" applyPatternFormats="1" applyAlignmentFormats="0" applyWidthHeightFormats="0"/>
</file>

<file path=xl/queryTables/queryTable1579.xml><?xml version="1.0" encoding="utf-8"?>
<queryTable xmlns="http://schemas.openxmlformats.org/spreadsheetml/2006/main" name="DadosExternos_202" connectionId="127" autoFormatId="16" applyNumberFormats="0" applyBorderFormats="0" applyFontFormats="1" applyPatternFormats="1" applyAlignmentFormats="0" applyWidthHeightFormats="0"/>
</file>

<file path=xl/queryTables/queryTable1580.xml><?xml version="1.0" encoding="utf-8"?>
<queryTable xmlns="http://schemas.openxmlformats.org/spreadsheetml/2006/main" name="DadosExternos_111" connectionId="164" autoFormatId="16" applyNumberFormats="0" applyBorderFormats="0" applyFontFormats="1" applyPatternFormats="1" applyAlignmentFormats="0" applyWidthHeightFormats="0"/>
</file>

<file path=xl/queryTables/queryTable1581.xml><?xml version="1.0" encoding="utf-8"?>
<queryTable xmlns="http://schemas.openxmlformats.org/spreadsheetml/2006/main" name="DadosExternos_457" connectionId="12" autoFormatId="16" applyNumberFormats="0" applyBorderFormats="0" applyFontFormats="1" applyPatternFormats="1" applyAlignmentFormats="0" applyWidthHeightFormats="0"/>
</file>

<file path=xl/queryTables/queryTable1582.xml><?xml version="1.0" encoding="utf-8"?>
<queryTable xmlns="http://schemas.openxmlformats.org/spreadsheetml/2006/main" name="DadosExternos_435" connectionId="683" autoFormatId="16" applyNumberFormats="0" applyBorderFormats="0" applyFontFormats="1" applyPatternFormats="1" applyAlignmentFormats="0" applyWidthHeightFormats="0"/>
</file>

<file path=xl/queryTables/queryTable1583.xml><?xml version="1.0" encoding="utf-8"?>
<queryTable xmlns="http://schemas.openxmlformats.org/spreadsheetml/2006/main" name="DadosExternos_442" connectionId="738" autoFormatId="16" applyNumberFormats="0" applyBorderFormats="0" applyFontFormats="1" applyPatternFormats="1" applyAlignmentFormats="0" applyWidthHeightFormats="0"/>
</file>

<file path=xl/queryTables/queryTable1584.xml><?xml version="1.0" encoding="utf-8"?>
<queryTable xmlns="http://schemas.openxmlformats.org/spreadsheetml/2006/main" name="DadosExternos_344" connectionId="538" autoFormatId="16" applyNumberFormats="0" applyBorderFormats="0" applyFontFormats="1" applyPatternFormats="1" applyAlignmentFormats="0" applyWidthHeightFormats="0"/>
</file>

<file path=xl/queryTables/queryTable1585.xml><?xml version="1.0" encoding="utf-8"?>
<queryTable xmlns="http://schemas.openxmlformats.org/spreadsheetml/2006/main" name="DadosExternos_445" connectionId="754" autoFormatId="16" applyNumberFormats="0" applyBorderFormats="0" applyFontFormats="1" applyPatternFormats="1" applyAlignmentFormats="0" applyWidthHeightFormats="0"/>
</file>

<file path=xl/queryTables/queryTable1586.xml><?xml version="1.0" encoding="utf-8"?>
<queryTable xmlns="http://schemas.openxmlformats.org/spreadsheetml/2006/main" name="DadosExternos_453" connectionId="792" autoFormatId="16" applyNumberFormats="0" applyBorderFormats="0" applyFontFormats="1" applyPatternFormats="1" applyAlignmentFormats="0" applyWidthHeightFormats="0"/>
</file>

<file path=xl/queryTables/queryTable1587.xml><?xml version="1.0" encoding="utf-8"?>
<queryTable xmlns="http://schemas.openxmlformats.org/spreadsheetml/2006/main" name="ExternalData_88" connectionId="1059" autoFormatId="16" applyNumberFormats="0" applyBorderFormats="0" applyFontFormats="1" applyPatternFormats="1" applyAlignmentFormats="0" applyWidthHeightFormats="0"/>
</file>

<file path=xl/queryTables/queryTable1588.xml><?xml version="1.0" encoding="utf-8"?>
<queryTable xmlns="http://schemas.openxmlformats.org/spreadsheetml/2006/main" name="DadosExternos_29" connectionId="403" autoFormatId="16" applyNumberFormats="0" applyBorderFormats="0" applyFontFormats="1" applyPatternFormats="1" applyAlignmentFormats="0" applyWidthHeightFormats="0"/>
</file>

<file path=xl/queryTables/queryTable1589.xml><?xml version="1.0" encoding="utf-8"?>
<queryTable xmlns="http://schemas.openxmlformats.org/spreadsheetml/2006/main" name="DadosExternos_17" connectionId="49" autoFormatId="16" applyNumberFormats="0" applyBorderFormats="0" applyFontFormats="1" applyPatternFormats="1" applyAlignmentFormats="0" applyWidthHeightFormats="0"/>
</file>

<file path=xl/queryTables/queryTable1590.xml><?xml version="1.0" encoding="utf-8"?>
<queryTable xmlns="http://schemas.openxmlformats.org/spreadsheetml/2006/main" name="DadosExternos_110" connectionId="141" autoFormatId="16" applyNumberFormats="0" applyBorderFormats="0" applyFontFormats="1" applyPatternFormats="1" applyAlignmentFormats="0" applyWidthHeightFormats="0"/>
</file>

<file path=xl/queryTables/queryTable1591.xml><?xml version="1.0" encoding="utf-8"?>
<queryTable xmlns="http://schemas.openxmlformats.org/spreadsheetml/2006/main" name="DadosExternos_460" connectionId="26" autoFormatId="16" applyNumberFormats="0" applyBorderFormats="0" applyFontFormats="1" applyPatternFormats="1" applyAlignmentFormats="0" applyWidthHeightFormats="0"/>
</file>

<file path=xl/queryTables/queryTable1592.xml><?xml version="1.0" encoding="utf-8"?>
<queryTable xmlns="http://schemas.openxmlformats.org/spreadsheetml/2006/main" name="DadosExternos_294" connectionId="431" autoFormatId="16" applyNumberFormats="0" applyBorderFormats="0" applyFontFormats="1" applyPatternFormats="1" applyAlignmentFormats="0" applyWidthHeightFormats="0"/>
</file>

<file path=xl/queryTables/queryTable1593.xml><?xml version="1.0" encoding="utf-8"?>
<queryTable xmlns="http://schemas.openxmlformats.org/spreadsheetml/2006/main" name="ExternalData_82" connectionId="1034" autoFormatId="16" applyNumberFormats="0" applyBorderFormats="0" applyFontFormats="1" applyPatternFormats="1" applyAlignmentFormats="0" applyWidthHeightFormats="0"/>
</file>

<file path=xl/queryTables/queryTable1594.xml><?xml version="1.0" encoding="utf-8"?>
<queryTable xmlns="http://schemas.openxmlformats.org/spreadsheetml/2006/main" name="DadosExternos_55" connectionId="364" autoFormatId="16" applyNumberFormats="0" applyBorderFormats="0" applyFontFormats="1" applyPatternFormats="1" applyAlignmentFormats="0" applyWidthHeightFormats="0"/>
</file>

<file path=xl/queryTables/queryTable1595.xml><?xml version="1.0" encoding="utf-8"?>
<queryTable xmlns="http://schemas.openxmlformats.org/spreadsheetml/2006/main" name="ExternalData_168" connectionId="942" autoFormatId="16" applyNumberFormats="0" applyBorderFormats="0" applyFontFormats="1" applyPatternFormats="1" applyAlignmentFormats="0" applyWidthHeightFormats="0"/>
</file>

<file path=xl/queryTables/queryTable1596.xml><?xml version="1.0" encoding="utf-8"?>
<queryTable xmlns="http://schemas.openxmlformats.org/spreadsheetml/2006/main" name="DadosExternos_36" connectionId="9" autoFormatId="16" applyNumberFormats="0" applyBorderFormats="0" applyFontFormats="1" applyPatternFormats="1" applyAlignmentFormats="0" applyWidthHeightFormats="0"/>
</file>

<file path=xl/queryTables/queryTable1597.xml><?xml version="1.0" encoding="utf-8"?>
<queryTable xmlns="http://schemas.openxmlformats.org/spreadsheetml/2006/main" name="DadosExternos_293" connectionId="429" autoFormatId="16" applyNumberFormats="0" applyBorderFormats="0" applyFontFormats="1" applyPatternFormats="1" applyAlignmentFormats="0" applyWidthHeightFormats="0"/>
</file>

<file path=xl/queryTables/queryTable1598.xml><?xml version="1.0" encoding="utf-8"?>
<queryTable xmlns="http://schemas.openxmlformats.org/spreadsheetml/2006/main" name="ExternalData_33" connectionId="972" autoFormatId="16" applyNumberFormats="0" applyBorderFormats="0" applyFontFormats="1" applyPatternFormats="1" applyAlignmentFormats="0" applyWidthHeightFormats="0"/>
</file>

<file path=xl/queryTables/queryTable1599.xml><?xml version="1.0" encoding="utf-8"?>
<queryTable xmlns="http://schemas.openxmlformats.org/spreadsheetml/2006/main" name="ExternalData_77" connectionId="1023" autoFormatId="16" applyNumberFormats="0" applyBorderFormats="0" applyFontFormats="1" applyPatternFormats="1" applyAlignmentFormats="0" applyWidthHeightFormats="0"/>
</file>

<file path=xl/queryTables/queryTable1600.xml><?xml version="1.0" encoding="utf-8"?>
<queryTable xmlns="http://schemas.openxmlformats.org/spreadsheetml/2006/main" name="ExternalData_112" connectionId="1139" autoFormatId="16" applyNumberFormats="0" applyBorderFormats="0" applyFontFormats="1" applyPatternFormats="1" applyAlignmentFormats="0" applyWidthHeightFormats="0"/>
</file>

<file path=xl/queryTables/queryTable1601.xml><?xml version="1.0" encoding="utf-8"?>
<queryTable xmlns="http://schemas.openxmlformats.org/spreadsheetml/2006/main" name="DadosExternos_215" connectionId="166" autoFormatId="16" applyNumberFormats="0" applyBorderFormats="0" applyFontFormats="1" applyPatternFormats="1" applyAlignmentFormats="0" applyWidthHeightFormats="0"/>
</file>

<file path=xl/queryTables/queryTable1602.xml><?xml version="1.0" encoding="utf-8"?>
<queryTable xmlns="http://schemas.openxmlformats.org/spreadsheetml/2006/main" name="DadosExternos_132" connectionId="488" autoFormatId="16" applyNumberFormats="0" applyBorderFormats="0" applyFontFormats="1" applyPatternFormats="1" applyAlignmentFormats="0" applyWidthHeightFormats="0"/>
</file>

<file path=xl/queryTables/queryTable1603.xml><?xml version="1.0" encoding="utf-8"?>
<queryTable xmlns="http://schemas.openxmlformats.org/spreadsheetml/2006/main" name="ExternalData_34" connectionId="977" autoFormatId="16" applyNumberFormats="0" applyBorderFormats="0" applyFontFormats="1" applyPatternFormats="1" applyAlignmentFormats="0" applyWidthHeightFormats="0"/>
</file>

<file path=xl/queryTables/queryTable1604.xml><?xml version="1.0" encoding="utf-8"?>
<queryTable xmlns="http://schemas.openxmlformats.org/spreadsheetml/2006/main" name="DadosExternos_299" connectionId="448" autoFormatId="16" applyNumberFormats="0" applyBorderFormats="0" applyFontFormats="1" applyPatternFormats="1" applyAlignmentFormats="0" applyWidthHeightFormats="0"/>
</file>

<file path=xl/queryTables/queryTable1605.xml><?xml version="1.0" encoding="utf-8"?>
<queryTable xmlns="http://schemas.openxmlformats.org/spreadsheetml/2006/main" name="ExternalData_141" connectionId="882" autoFormatId="16" applyNumberFormats="0" applyBorderFormats="0" applyFontFormats="1" applyPatternFormats="1" applyAlignmentFormats="0" applyWidthHeightFormats="0"/>
</file>

<file path=xl/queryTables/queryTable1606.xml><?xml version="1.0" encoding="utf-8"?>
<queryTable xmlns="http://schemas.openxmlformats.org/spreadsheetml/2006/main" name="DadosExternos_104" connectionId="780" autoFormatId="16" applyNumberFormats="0" applyBorderFormats="0" applyFontFormats="1" applyPatternFormats="1" applyAlignmentFormats="0" applyWidthHeightFormats="0"/>
</file>

<file path=xl/queryTables/queryTable1607.xml><?xml version="1.0" encoding="utf-8"?>
<queryTable xmlns="http://schemas.openxmlformats.org/spreadsheetml/2006/main" name="ExternalData_87" connectionId="1048" autoFormatId="16" applyNumberFormats="0" applyBorderFormats="0" applyFontFormats="1" applyPatternFormats="1" applyAlignmentFormats="0" applyWidthHeightFormats="0"/>
</file>

<file path=xl/queryTables/queryTable1608.xml><?xml version="1.0" encoding="utf-8"?>
<queryTable xmlns="http://schemas.openxmlformats.org/spreadsheetml/2006/main" name="DadosExternos_122" connectionId="339" autoFormatId="16" applyNumberFormats="0" applyBorderFormats="0" applyFontFormats="1" applyPatternFormats="1" applyAlignmentFormats="0" applyWidthHeightFormats="0"/>
</file>

<file path=xl/queryTables/queryTable1609.xml><?xml version="1.0" encoding="utf-8"?>
<queryTable xmlns="http://schemas.openxmlformats.org/spreadsheetml/2006/main" name="DadosExternos_361" connectionId="572" autoFormatId="16" applyNumberFormats="0" applyBorderFormats="0" applyFontFormats="1" applyPatternFormats="1" applyAlignmentFormats="0" applyWidthHeightFormats="0"/>
</file>

<file path=xl/queryTables/queryTable1610.xml><?xml version="1.0" encoding="utf-8"?>
<queryTable xmlns="http://schemas.openxmlformats.org/spreadsheetml/2006/main" name="DadosExternos_291" connectionId="418" autoFormatId="16" applyNumberFormats="0" applyBorderFormats="0" applyFontFormats="1" applyPatternFormats="1" applyAlignmentFormats="0" applyWidthHeightFormats="0"/>
</file>

<file path=xl/queryTables/queryTable1611.xml><?xml version="1.0" encoding="utf-8"?>
<queryTable xmlns="http://schemas.openxmlformats.org/spreadsheetml/2006/main" name="ExternalData_130" connectionId="855" autoFormatId="16" applyNumberFormats="0" applyBorderFormats="0" applyFontFormats="1" applyPatternFormats="1" applyAlignmentFormats="0" applyWidthHeightFormats="0"/>
</file>

<file path=xl/queryTables/queryTable1612.xml><?xml version="1.0" encoding="utf-8"?>
<queryTable xmlns="http://schemas.openxmlformats.org/spreadsheetml/2006/main" name="DadosExternos_208" connectionId="147" autoFormatId="16" applyNumberFormats="0" applyBorderFormats="0" applyFontFormats="1" applyPatternFormats="1" applyAlignmentFormats="0" applyWidthHeightFormats="0"/>
</file>

<file path=xl/queryTables/queryTable1613.xml><?xml version="1.0" encoding="utf-8"?>
<queryTable xmlns="http://schemas.openxmlformats.org/spreadsheetml/2006/main" name="DadosExternos_325" connectionId="496" autoFormatId="16" applyNumberFormats="0" applyBorderFormats="0" applyFontFormats="1" applyPatternFormats="1" applyAlignmentFormats="0" applyWidthHeightFormats="0"/>
</file>

<file path=xl/queryTables/queryTable1614.xml><?xml version="1.0" encoding="utf-8"?>
<queryTable xmlns="http://schemas.openxmlformats.org/spreadsheetml/2006/main" name="ExternalData_100" connectionId="1109" autoFormatId="16" applyNumberFormats="0" applyBorderFormats="0" applyFontFormats="1" applyPatternFormats="1" applyAlignmentFormats="0" applyWidthHeightFormats="0"/>
</file>

<file path=xl/queryTables/queryTable1615.xml><?xml version="1.0" encoding="utf-8"?>
<queryTable xmlns="http://schemas.openxmlformats.org/spreadsheetml/2006/main" name="DadosExternos_333" connectionId="516" autoFormatId="16" applyNumberFormats="0" applyBorderFormats="0" applyFontFormats="1" applyPatternFormats="1" applyAlignmentFormats="0" applyWidthHeightFormats="0"/>
</file>

<file path=xl/queryTables/queryTable1616.xml><?xml version="1.0" encoding="utf-8"?>
<queryTable xmlns="http://schemas.openxmlformats.org/spreadsheetml/2006/main" name="ExternalData_152" connectionId="898" autoFormatId="16" applyNumberFormats="0" applyBorderFormats="0" applyFontFormats="1" applyPatternFormats="1" applyAlignmentFormats="0" applyWidthHeightFormats="0"/>
</file>

<file path=xl/queryTables/queryTable1617.xml><?xml version="1.0" encoding="utf-8"?>
<queryTable xmlns="http://schemas.openxmlformats.org/spreadsheetml/2006/main" name="DadosExternos_7" connectionId="656" autoFormatId="16" applyNumberFormats="0" applyBorderFormats="0" applyFontFormats="1" applyPatternFormats="1" applyAlignmentFormats="0" applyWidthHeightFormats="0"/>
</file>

<file path=xl/queryTables/queryTable1618.xml><?xml version="1.0" encoding="utf-8"?>
<queryTable xmlns="http://schemas.openxmlformats.org/spreadsheetml/2006/main" name="ExternalData_70" connectionId="1008" autoFormatId="16" applyNumberFormats="0" applyBorderFormats="0" applyFontFormats="1" applyPatternFormats="1" applyAlignmentFormats="0" applyWidthHeightFormats="0"/>
</file>

<file path=xl/queryTables/queryTable1619.xml><?xml version="1.0" encoding="utf-8"?>
<queryTable xmlns="http://schemas.openxmlformats.org/spreadsheetml/2006/main" name="DadosExternos_278" connectionId="371" autoFormatId="16" applyNumberFormats="0" applyBorderFormats="0" applyFontFormats="1" applyPatternFormats="1" applyAlignmentFormats="0" applyWidthHeightFormats="0"/>
</file>

<file path=xl/queryTables/queryTable1620.xml><?xml version="1.0" encoding="utf-8"?>
<queryTable xmlns="http://schemas.openxmlformats.org/spreadsheetml/2006/main" name="DadosExternos_125" connectionId="383" autoFormatId="16" applyNumberFormats="0" applyBorderFormats="0" applyFontFormats="1" applyPatternFormats="1" applyAlignmentFormats="0" applyWidthHeightFormats="0"/>
</file>

<file path=xl/queryTables/queryTable1621.xml><?xml version="1.0" encoding="utf-8"?>
<queryTable xmlns="http://schemas.openxmlformats.org/spreadsheetml/2006/main" name="DadosExternos_431" connectionId="669" autoFormatId="16" applyNumberFormats="0" applyBorderFormats="0" applyFontFormats="1" applyPatternFormats="1" applyAlignmentFormats="0" applyWidthHeightFormats="0"/>
</file>

<file path=xl/queryTables/queryTable1622.xml><?xml version="1.0" encoding="utf-8"?>
<queryTable xmlns="http://schemas.openxmlformats.org/spreadsheetml/2006/main" name="ExternalData_8" connectionId="1062" autoFormatId="16" applyNumberFormats="0" applyBorderFormats="0" applyFontFormats="1" applyPatternFormats="1" applyAlignmentFormats="0" applyWidthHeightFormats="0"/>
</file>

<file path=xl/queryTables/queryTable1623.xml><?xml version="1.0" encoding="utf-8"?>
<queryTable xmlns="http://schemas.openxmlformats.org/spreadsheetml/2006/main" name="ExternalData_119" connectionId="827" autoFormatId="16" applyNumberFormats="0" applyBorderFormats="0" applyFontFormats="1" applyPatternFormats="1" applyAlignmentFormats="0" applyWidthHeightFormats="0"/>
</file>

<file path=xl/queryTables/queryTable1624.xml><?xml version="1.0" encoding="utf-8"?>
<queryTable xmlns="http://schemas.openxmlformats.org/spreadsheetml/2006/main" name="DadosExternos_362" connectionId="574" autoFormatId="16" applyNumberFormats="0" applyBorderFormats="0" applyFontFormats="1" applyPatternFormats="1" applyAlignmentFormats="0" applyWidthHeightFormats="0"/>
</file>

<file path=xl/queryTables/queryTable1625.xml><?xml version="1.0" encoding="utf-8"?>
<queryTable xmlns="http://schemas.openxmlformats.org/spreadsheetml/2006/main" name="DadosExternos_243" connectionId="242" autoFormatId="16" applyNumberFormats="0" applyBorderFormats="0" applyFontFormats="1" applyPatternFormats="1" applyAlignmentFormats="0" applyWidthHeightFormats="0"/>
</file>

<file path=xl/queryTables/queryTable1626.xml><?xml version="1.0" encoding="utf-8"?>
<queryTable xmlns="http://schemas.openxmlformats.org/spreadsheetml/2006/main" name="DadosExternos_137" connectionId="568" autoFormatId="16" applyNumberFormats="0" applyBorderFormats="0" applyFontFormats="1" applyPatternFormats="1" applyAlignmentFormats="0" applyWidthHeightFormats="0"/>
</file>

<file path=xl/queryTables/queryTable1627.xml><?xml version="1.0" encoding="utf-8"?>
<queryTable xmlns="http://schemas.openxmlformats.org/spreadsheetml/2006/main" name="DadosExternos_418" connectionId="614" autoFormatId="16" applyNumberFormats="0" applyBorderFormats="0" applyFontFormats="1" applyPatternFormats="1" applyAlignmentFormats="0" applyWidthHeightFormats="0"/>
</file>

<file path=xl/queryTables/queryTable1628.xml><?xml version="1.0" encoding="utf-8"?>
<queryTable xmlns="http://schemas.openxmlformats.org/spreadsheetml/2006/main" name="DadosExternos_287" connectionId="405" autoFormatId="16" applyNumberFormats="0" applyBorderFormats="0" applyFontFormats="1" applyPatternFormats="1" applyAlignmentFormats="0" applyWidthHeightFormats="0"/>
</file>

<file path=xl/queryTables/queryTable1629.xml><?xml version="1.0" encoding="utf-8"?>
<queryTable xmlns="http://schemas.openxmlformats.org/spreadsheetml/2006/main" name="ExternalData_163" connectionId="924" autoFormatId="16" applyNumberFormats="0" applyBorderFormats="0" applyFontFormats="1" applyPatternFormats="1" applyAlignmentFormats="0" applyWidthHeightFormats="0"/>
</file>

<file path=xl/queryTables/queryTable1630.xml><?xml version="1.0" encoding="utf-8"?>
<queryTable xmlns="http://schemas.openxmlformats.org/spreadsheetml/2006/main" name="DadosExternos_166" connectionId="700" autoFormatId="16" applyNumberFormats="0" applyBorderFormats="0" applyFontFormats="1" applyPatternFormats="1" applyAlignmentFormats="0" applyWidthHeightFormats="0"/>
</file>

<file path=xl/queryTables/queryTable1631.xml><?xml version="1.0" encoding="utf-8"?>
<queryTable xmlns="http://schemas.openxmlformats.org/spreadsheetml/2006/main" name="DadosExternos_180" connectionId="757" autoFormatId="16" applyNumberFormats="0" applyBorderFormats="0" applyFontFormats="1" applyPatternFormats="1" applyAlignmentFormats="0" applyWidthHeightFormats="0"/>
</file>

<file path=xl/queryTables/queryTable1632.xml><?xml version="1.0" encoding="utf-8"?>
<queryTable xmlns="http://schemas.openxmlformats.org/spreadsheetml/2006/main" name="DadosExternos_451" connectionId="775" autoFormatId="16" applyNumberFormats="0" applyBorderFormats="0" applyFontFormats="1" applyPatternFormats="1" applyAlignmentFormats="0" applyWidthHeightFormats="0"/>
</file>

<file path=xl/queryTables/queryTable1633.xml><?xml version="1.0" encoding="utf-8"?>
<queryTable xmlns="http://schemas.openxmlformats.org/spreadsheetml/2006/main" name="DadosExternos_60" connectionId="444" autoFormatId="16" applyNumberFormats="0" applyBorderFormats="0" applyFontFormats="1" applyPatternFormats="1" applyAlignmentFormats="0" applyWidthHeightFormats="0"/>
</file>

<file path=xl/queryTables/queryTable1634.xml><?xml version="1.0" encoding="utf-8"?>
<queryTable xmlns="http://schemas.openxmlformats.org/spreadsheetml/2006/main" name="ExternalData_104" connectionId="1117" autoFormatId="16" applyNumberFormats="0" applyBorderFormats="0" applyFontFormats="1" applyPatternFormats="1" applyAlignmentFormats="0" applyWidthHeightFormats="0"/>
</file>

<file path=xl/queryTables/queryTable1635.xml><?xml version="1.0" encoding="utf-8"?>
<queryTable xmlns="http://schemas.openxmlformats.org/spreadsheetml/2006/main" name="ExternalData_79" connectionId="1028" autoFormatId="16" applyNumberFormats="0" applyBorderFormats="0" applyFontFormats="1" applyPatternFormats="1" applyAlignmentFormats="0" applyWidthHeightFormats="0"/>
</file>

<file path=xl/queryTables/queryTable1636.xml><?xml version="1.0" encoding="utf-8"?>
<queryTable xmlns="http://schemas.openxmlformats.org/spreadsheetml/2006/main" name="DadosExternos_103" connectionId="736" autoFormatId="16" applyNumberFormats="0" applyBorderFormats="0" applyFontFormats="1" applyPatternFormats="1" applyAlignmentFormats="0" applyWidthHeightFormats="0"/>
</file>

<file path=xl/queryTables/queryTable1637.xml><?xml version="1.0" encoding="utf-8"?>
<queryTable xmlns="http://schemas.openxmlformats.org/spreadsheetml/2006/main" name="DadosExternos_339" connectionId="530" autoFormatId="16" applyNumberFormats="0" applyBorderFormats="0" applyFontFormats="1" applyPatternFormats="1" applyAlignmentFormats="0" applyWidthHeightFormats="0"/>
</file>

<file path=xl/queryTables/queryTable1638.xml><?xml version="1.0" encoding="utf-8"?>
<queryTable xmlns="http://schemas.openxmlformats.org/spreadsheetml/2006/main" name="DadosExternos_295" connectionId="434" autoFormatId="16" applyNumberFormats="0" applyBorderFormats="0" applyFontFormats="1" applyPatternFormats="1" applyAlignmentFormats="0" applyWidthHeightFormats="0"/>
</file>

<file path=xl/queryTables/queryTable1639.xml><?xml version="1.0" encoding="utf-8"?>
<queryTable xmlns="http://schemas.openxmlformats.org/spreadsheetml/2006/main" name="DadosExternos_8" connectionId="698" autoFormatId="16" applyNumberFormats="0" applyBorderFormats="0" applyFontFormats="1" applyPatternFormats="1" applyAlignmentFormats="0" applyWidthHeightFormats="0"/>
</file>

<file path=xl/queryTables/queryTable1640.xml><?xml version="1.0" encoding="utf-8"?>
<queryTable xmlns="http://schemas.openxmlformats.org/spreadsheetml/2006/main" name="ExternalData_84" connectionId="1038" autoFormatId="16" applyNumberFormats="0" applyBorderFormats="0" applyFontFormats="1" applyPatternFormats="1" applyAlignmentFormats="0" applyWidthHeightFormats="0"/>
</file>

<file path=xl/queryTables/queryTable1641.xml><?xml version="1.0" encoding="utf-8"?>
<queryTable xmlns="http://schemas.openxmlformats.org/spreadsheetml/2006/main" name="ExternalData_60" connectionId="973" autoFormatId="16" applyNumberFormats="0" applyBorderFormats="0" applyFontFormats="1" applyPatternFormats="1" applyAlignmentFormats="0" applyWidthHeightFormats="0"/>
</file>

<file path=xl/queryTables/queryTable1642.xml><?xml version="1.0" encoding="utf-8"?>
<queryTable xmlns="http://schemas.openxmlformats.org/spreadsheetml/2006/main" name="DadosExternos_159" connectionId="670" autoFormatId="16" applyNumberFormats="0" applyBorderFormats="0" applyFontFormats="1" applyPatternFormats="1" applyAlignmentFormats="0" applyWidthHeightFormats="0"/>
</file>

<file path=xl/queryTables/queryTable1643.xml><?xml version="1.0" encoding="utf-8"?>
<queryTable xmlns="http://schemas.openxmlformats.org/spreadsheetml/2006/main" name="DadosExternos_146" connectionId="615" autoFormatId="16" applyNumberFormats="0" applyBorderFormats="0" applyFontFormats="1" applyPatternFormats="1" applyAlignmentFormats="0" applyWidthHeightFormats="0"/>
</file>

<file path=xl/queryTables/queryTable1644.xml><?xml version="1.0" encoding="utf-8"?>
<queryTable xmlns="http://schemas.openxmlformats.org/spreadsheetml/2006/main" name="DadosExternos_222" connectionId="187" autoFormatId="16" applyNumberFormats="0" applyBorderFormats="0" applyFontFormats="1" applyPatternFormats="1" applyAlignmentFormats="0" applyWidthHeightFormats="0"/>
</file>

<file path=xl/queryTables/queryTable1645.xml><?xml version="1.0" encoding="utf-8"?>
<queryTable xmlns="http://schemas.openxmlformats.org/spreadsheetml/2006/main" name="DadosExternos_240" connectionId="229" autoFormatId="16" applyNumberFormats="0" applyBorderFormats="0" applyFontFormats="1" applyPatternFormats="1" applyAlignmentFormats="0" applyWidthHeightFormats="0"/>
</file>

<file path=xl/queryTables/queryTable1646.xml><?xml version="1.0" encoding="utf-8"?>
<queryTable xmlns="http://schemas.openxmlformats.org/spreadsheetml/2006/main" name="ExternalData_83" connectionId="1036" autoFormatId="16" applyNumberFormats="0" applyBorderFormats="0" applyFontFormats="1" applyPatternFormats="1" applyAlignmentFormats="0" applyWidthHeightFormats="0"/>
</file>

<file path=xl/queryTables/queryTable1647.xml><?xml version="1.0" encoding="utf-8"?>
<queryTable xmlns="http://schemas.openxmlformats.org/spreadsheetml/2006/main" name="DadosExternos_183" connectionId="806" autoFormatId="16" applyNumberFormats="0" applyBorderFormats="0" applyFontFormats="1" applyPatternFormats="1" applyAlignmentFormats="0" applyWidthHeightFormats="0"/>
</file>

<file path=xl/queryTables/queryTable1648.xml><?xml version="1.0" encoding="utf-8"?>
<queryTable xmlns="http://schemas.openxmlformats.org/spreadsheetml/2006/main" name="DadosExternos_34" connectionId="745" autoFormatId="16" applyNumberFormats="0" applyBorderFormats="0" applyFontFormats="1" applyPatternFormats="1" applyAlignmentFormats="0" applyWidthHeightFormats="0"/>
</file>

<file path=xl/queryTables/queryTable1649.xml><?xml version="1.0" encoding="utf-8"?>
<queryTable xmlns="http://schemas.openxmlformats.org/spreadsheetml/2006/main" name="DadosExternos_343" connectionId="534" autoFormatId="16" applyNumberFormats="0" applyBorderFormats="0" applyFontFormats="1" applyPatternFormats="1" applyAlignmentFormats="0" applyWidthHeightFormats="0"/>
</file>

<file path=xl/queryTables/queryTable1650.xml><?xml version="1.0" encoding="utf-8"?>
<queryTable xmlns="http://schemas.openxmlformats.org/spreadsheetml/2006/main" name="DadosExternos_39" connectionId="107" autoFormatId="16" applyNumberFormats="0" applyBorderFormats="0" applyFontFormats="1" applyPatternFormats="1" applyAlignmentFormats="0" applyWidthHeightFormats="0"/>
</file>

<file path=xl/queryTables/queryTable1651.xml><?xml version="1.0" encoding="utf-8"?>
<queryTable xmlns="http://schemas.openxmlformats.org/spreadsheetml/2006/main" name="DadosExternos_365" connectionId="578" autoFormatId="16" applyNumberFormats="0" applyBorderFormats="0" applyFontFormats="1" applyPatternFormats="1" applyAlignmentFormats="0" applyWidthHeightFormats="0"/>
</file>

<file path=xl/queryTables/queryTable1652.xml><?xml version="1.0" encoding="utf-8"?>
<queryTable xmlns="http://schemas.openxmlformats.org/spreadsheetml/2006/main" name="DadosExternos_421" connectionId="628" autoFormatId="16" applyNumberFormats="0" applyBorderFormats="0" applyFontFormats="1" applyPatternFormats="1" applyAlignmentFormats="0" applyWidthHeightFormats="0"/>
</file>

<file path=xl/queryTables/queryTable1653.xml><?xml version="1.0" encoding="utf-8"?>
<queryTable xmlns="http://schemas.openxmlformats.org/spreadsheetml/2006/main" name="DadosExternos_452" connectionId="781" autoFormatId="16" applyNumberFormats="0" applyBorderFormats="0" applyFontFormats="1" applyPatternFormats="1" applyAlignmentFormats="0" applyWidthHeightFormats="0"/>
</file>

<file path=xl/queryTables/queryTable1654.xml><?xml version="1.0" encoding="utf-8"?>
<queryTable xmlns="http://schemas.openxmlformats.org/spreadsheetml/2006/main" name="DadosExternos_154" connectionId="646" autoFormatId="16" applyNumberFormats="0" applyBorderFormats="0" applyFontFormats="1" applyPatternFormats="1" applyAlignmentFormats="0" applyWidthHeightFormats="0"/>
</file>

<file path=xl/queryTables/queryTable1655.xml><?xml version="1.0" encoding="utf-8"?>
<queryTable xmlns="http://schemas.openxmlformats.org/spreadsheetml/2006/main" name="DadosExternos_261" connectionId="313" autoFormatId="16" applyNumberFormats="0" applyBorderFormats="0" applyFontFormats="1" applyPatternFormats="1" applyAlignmentFormats="0" applyWidthHeightFormats="0"/>
</file>

<file path=xl/queryTables/queryTable1656.xml><?xml version="1.0" encoding="utf-8"?>
<queryTable xmlns="http://schemas.openxmlformats.org/spreadsheetml/2006/main" name="ExternalData_78" connectionId="1025" autoFormatId="16" applyNumberFormats="0" applyBorderFormats="0" applyFontFormats="1" applyPatternFormats="1" applyAlignmentFormats="0" applyWidthHeightFormats="0"/>
</file>

<file path=xl/queryTables/queryTable1657.xml><?xml version="1.0" encoding="utf-8"?>
<queryTable xmlns="http://schemas.openxmlformats.org/spreadsheetml/2006/main" name="DadosExternos_49" connectionId="279" autoFormatId="16" applyNumberFormats="0" applyBorderFormats="0" applyFontFormats="1" applyPatternFormats="1" applyAlignmentFormats="0" applyWidthHeightFormats="0"/>
</file>

<file path=xl/queryTables/queryTable1658.xml><?xml version="1.0" encoding="utf-8"?>
<queryTable xmlns="http://schemas.openxmlformats.org/spreadsheetml/2006/main" name="ExternalData_74" connectionId="1016" autoFormatId="16" applyNumberFormats="0" applyBorderFormats="0" applyFontFormats="1" applyPatternFormats="1" applyAlignmentFormats="0" applyWidthHeightFormats="0"/>
</file>

<file path=xl/queryTables/queryTable1659.xml><?xml version="1.0" encoding="utf-8"?>
<queryTable xmlns="http://schemas.openxmlformats.org/spreadsheetml/2006/main" name="DadosExternos_47" connectionId="253" autoFormatId="16" applyNumberFormats="0" applyBorderFormats="0" applyFontFormats="1" applyPatternFormats="1" applyAlignmentFormats="0" applyWidthHeightFormats="0"/>
</file>

<file path=xl/queryTables/queryTable1660.xml><?xml version="1.0" encoding="utf-8"?>
<queryTable xmlns="http://schemas.openxmlformats.org/spreadsheetml/2006/main" name="ExternalData_66" connectionId="999" autoFormatId="16" applyNumberFormats="0" applyBorderFormats="0" applyFontFormats="1" applyPatternFormats="1" applyAlignmentFormats="0" applyWidthHeightFormats="0"/>
</file>

<file path=xl/queryTables/queryTable1661.xml><?xml version="1.0" encoding="utf-8"?>
<queryTable xmlns="http://schemas.openxmlformats.org/spreadsheetml/2006/main" name="ExternalData_116" connectionId="818" autoFormatId="16" applyNumberFormats="0" applyBorderFormats="0" applyFontFormats="1" applyPatternFormats="1" applyAlignmentFormats="0" applyWidthHeightFormats="0"/>
</file>

<file path=xl/queryTables/queryTable1662.xml><?xml version="1.0" encoding="utf-8"?>
<queryTable xmlns="http://schemas.openxmlformats.org/spreadsheetml/2006/main" name="DadosExternos_323" connectionId="492" autoFormatId="16" applyNumberFormats="0" applyBorderFormats="0" applyFontFormats="1" applyPatternFormats="1" applyAlignmentFormats="0" applyWidthHeightFormats="0"/>
</file>

<file path=xl/queryTables/queryTable1663.xml><?xml version="1.0" encoding="utf-8"?>
<queryTable xmlns="http://schemas.openxmlformats.org/spreadsheetml/2006/main" name="DadosExternos_138" connectionId="583" autoFormatId="16" applyNumberFormats="0" applyBorderFormats="0" applyFontFormats="1" applyPatternFormats="1" applyAlignmentFormats="0" applyWidthHeightFormats="0"/>
</file>

<file path=xl/queryTables/queryTable1664.xml><?xml version="1.0" encoding="utf-8"?>
<queryTable xmlns="http://schemas.openxmlformats.org/spreadsheetml/2006/main" name="ExternalData_15" connectionId="878" autoFormatId="16" applyNumberFormats="0" applyBorderFormats="0" applyFontFormats="1" applyPatternFormats="1" applyAlignmentFormats="0" applyWidthHeightFormats="0"/>
</file>

<file path=xl/queryTables/queryTable1665.xml><?xml version="1.0" encoding="utf-8"?>
<queryTable xmlns="http://schemas.openxmlformats.org/spreadsheetml/2006/main" name="ExternalData_143" connectionId="884" autoFormatId="16" applyNumberFormats="0" applyBorderFormats="0" applyFontFormats="1" applyPatternFormats="1" applyAlignmentFormats="0" applyWidthHeightFormats="0"/>
</file>

<file path=xl/queryTables/queryTable1666.xml><?xml version="1.0" encoding="utf-8"?>
<queryTable xmlns="http://schemas.openxmlformats.org/spreadsheetml/2006/main" name="ExternalData_164" connectionId="925" autoFormatId="16" applyNumberFormats="0" applyBorderFormats="0" applyFontFormats="1" applyPatternFormats="1" applyAlignmentFormats="0" applyWidthHeightFormats="0"/>
</file>

<file path=xl/queryTables/queryTable1667.xml><?xml version="1.0" encoding="utf-8"?>
<queryTable xmlns="http://schemas.openxmlformats.org/spreadsheetml/2006/main" name="ExternalData_40" connectionId="999" autoFormatId="16" applyNumberFormats="0" applyBorderFormats="0" applyFontFormats="1" applyPatternFormats="1" applyAlignmentFormats="0" applyWidthHeightFormats="0"/>
</file>

<file path=xl/queryTables/queryTable1668.xml><?xml version="1.0" encoding="utf-8"?>
<queryTable xmlns="http://schemas.openxmlformats.org/spreadsheetml/2006/main" name="DadosExternos_211" connectionId="153" autoFormatId="16" applyNumberFormats="0" applyBorderFormats="0" applyFontFormats="1" applyPatternFormats="1" applyAlignmentFormats="0" applyWidthHeightFormats="0"/>
</file>

<file path=xl/queryTables/queryTable1669.xml><?xml version="1.0" encoding="utf-8"?>
<queryTable xmlns="http://schemas.openxmlformats.org/spreadsheetml/2006/main" name="DadosExternos_216" connectionId="168" autoFormatId="16" applyNumberFormats="0" applyBorderFormats="0" applyFontFormats="1" applyPatternFormats="1" applyAlignmentFormats="0" applyWidthHeightFormats="0"/>
</file>

<file path=xl/queryTables/queryTable1670.xml><?xml version="1.0" encoding="utf-8"?>
<queryTable xmlns="http://schemas.openxmlformats.org/spreadsheetml/2006/main" name="ExternalData_68" connectionId="1004" autoFormatId="16" applyNumberFormats="0" applyBorderFormats="0" applyFontFormats="1" applyPatternFormats="1" applyAlignmentFormats="0" applyWidthHeightFormats="0"/>
</file>

<file path=xl/queryTables/queryTable1671.xml><?xml version="1.0" encoding="utf-8"?>
<queryTable xmlns="http://schemas.openxmlformats.org/spreadsheetml/2006/main" name="DadosExternos_96" connectionId="81" autoFormatId="16" applyNumberFormats="0" applyBorderFormats="0" applyFontFormats="1" applyPatternFormats="1" applyAlignmentFormats="0" applyWidthHeightFormats="0"/>
</file>

<file path=xl/queryTables/queryTable1672.xml><?xml version="1.0" encoding="utf-8"?>
<queryTable xmlns="http://schemas.openxmlformats.org/spreadsheetml/2006/main" name="ExternalData_42" connectionId="1045" autoFormatId="16" applyNumberFormats="0" applyBorderFormats="0" applyFontFormats="1" applyPatternFormats="1" applyAlignmentFormats="0" applyWidthHeightFormats="0"/>
</file>

<file path=xl/queryTables/queryTable1673.xml><?xml version="1.0" encoding="utf-8"?>
<queryTable xmlns="http://schemas.openxmlformats.org/spreadsheetml/2006/main" name="DadosExternos_282" connectionId="388" autoFormatId="16" applyNumberFormats="0" applyBorderFormats="0" applyFontFormats="1" applyPatternFormats="1" applyAlignmentFormats="0" applyWidthHeightFormats="0"/>
</file>

<file path=xl/queryTables/queryTable1674.xml><?xml version="1.0" encoding="utf-8"?>
<queryTable xmlns="http://schemas.openxmlformats.org/spreadsheetml/2006/main" name="ExternalData_114" connectionId="1143" autoFormatId="16" applyNumberFormats="0" applyBorderFormats="0" applyFontFormats="1" applyPatternFormats="1" applyAlignmentFormats="0" applyWidthHeightFormats="0"/>
</file>

<file path=xl/queryTables/queryTable1675.xml><?xml version="1.0" encoding="utf-8"?>
<queryTable xmlns="http://schemas.openxmlformats.org/spreadsheetml/2006/main" name="DadosExternos_455" connectionId="801" autoFormatId="16" applyNumberFormats="0" applyBorderFormats="0" applyFontFormats="1" applyPatternFormats="1" applyAlignmentFormats="0" applyWidthHeightFormats="0"/>
</file>

<file path=xl/queryTables/queryTable1676.xml><?xml version="1.0" encoding="utf-8"?>
<queryTable xmlns="http://schemas.openxmlformats.org/spreadsheetml/2006/main" name="DadosExternos_209" connectionId="149" autoFormatId="16" applyNumberFormats="0" applyBorderFormats="0" applyFontFormats="1" applyPatternFormats="1" applyAlignmentFormats="0" applyWidthHeightFormats="0"/>
</file>

<file path=xl/queryTables/queryTable1677.xml><?xml version="1.0" encoding="utf-8"?>
<queryTable xmlns="http://schemas.openxmlformats.org/spreadsheetml/2006/main" name="DadosExternos_169" connectionId="714" autoFormatId="16" applyNumberFormats="0" applyBorderFormats="0" applyFontFormats="1" applyPatternFormats="1" applyAlignmentFormats="0" applyWidthHeightFormats="0"/>
</file>

<file path=xl/queryTables/queryTable1678.xml><?xml version="1.0" encoding="utf-8"?>
<queryTable xmlns="http://schemas.openxmlformats.org/spreadsheetml/2006/main" name="DadosExternos_367" connectionId="580" autoFormatId="16" applyNumberFormats="0" applyBorderFormats="0" applyFontFormats="1" applyPatternFormats="1" applyAlignmentFormats="0" applyWidthHeightFormats="0"/>
</file>

<file path=xl/queryTables/queryTable1679.xml><?xml version="1.0" encoding="utf-8"?>
<queryTable xmlns="http://schemas.openxmlformats.org/spreadsheetml/2006/main" name="DadosExternos_3" connectionId="249" autoFormatId="16" applyNumberFormats="0" applyBorderFormats="0" applyFontFormats="1" applyPatternFormats="1" applyAlignmentFormats="0" applyWidthHeightFormats="0"/>
</file>

<file path=xl/queryTables/queryTable1680.xml><?xml version="1.0" encoding="utf-8"?>
<queryTable xmlns="http://schemas.openxmlformats.org/spreadsheetml/2006/main" name="DadosExternos_456" connectionId="804" autoFormatId="16" applyNumberFormats="0" applyBorderFormats="0" applyFontFormats="1" applyPatternFormats="1" applyAlignmentFormats="0" applyWidthHeightFormats="0"/>
</file>

<file path=xl/queryTables/queryTable1681.xml><?xml version="1.0" encoding="utf-8"?>
<queryTable xmlns="http://schemas.openxmlformats.org/spreadsheetml/2006/main" name="DadosExternos_10" connectionId="796" autoFormatId="16" applyNumberFormats="0" applyBorderFormats="0" applyFontFormats="1" applyPatternFormats="1" applyAlignmentFormats="0" applyWidthHeightFormats="0"/>
</file>

<file path=xl/queryTables/queryTable1682.xml><?xml version="1.0" encoding="utf-8"?>
<queryTable xmlns="http://schemas.openxmlformats.org/spreadsheetml/2006/main" name="DadosExternos_149" connectionId="628" autoFormatId="16" applyNumberFormats="0" applyBorderFormats="0" applyFontFormats="1" applyPatternFormats="1" applyAlignmentFormats="0" applyWidthHeightFormats="0"/>
</file>

<file path=xl/queryTables/queryTable1683.xml><?xml version="1.0" encoding="utf-8"?>
<queryTable xmlns="http://schemas.openxmlformats.org/spreadsheetml/2006/main" name="DadosExternos_298" connectionId="441" autoFormatId="16" applyNumberFormats="0" applyBorderFormats="0" applyFontFormats="1" applyPatternFormats="1" applyAlignmentFormats="0" applyWidthHeightFormats="0"/>
</file>

<file path=xl/queryTables/queryTable1684.xml><?xml version="1.0" encoding="utf-8"?>
<queryTable xmlns="http://schemas.openxmlformats.org/spreadsheetml/2006/main" name="ExternalData_41" connectionId="990" autoFormatId="16" applyNumberFormats="0" applyBorderFormats="0" applyFontFormats="1" applyPatternFormats="1" applyAlignmentFormats="0" applyWidthHeightFormats="0"/>
</file>

<file path=xl/queryTables/queryTable1685.xml><?xml version="1.0" encoding="utf-8"?>
<queryTable xmlns="http://schemas.openxmlformats.org/spreadsheetml/2006/main" name="DadosExternos_462" connectionId="36" autoFormatId="16" applyNumberFormats="0" applyBorderFormats="0" applyFontFormats="1" applyPatternFormats="1" applyAlignmentFormats="0" applyWidthHeightFormats="0"/>
</file>

<file path=xl/queryTables/queryTable1686.xml><?xml version="1.0" encoding="utf-8"?>
<queryTable xmlns="http://schemas.openxmlformats.org/spreadsheetml/2006/main" name="DadosExternos_378" connectionId="736" autoFormatId="16" applyNumberFormats="0" applyBorderFormats="0" applyFontFormats="1" applyPatternFormats="1" applyAlignmentFormats="0" applyWidthHeightFormats="0"/>
</file>

<file path=xl/queryTables/queryTable1687.xml><?xml version="1.0" encoding="utf-8"?>
<queryTable xmlns="http://schemas.openxmlformats.org/spreadsheetml/2006/main" name="ExternalData_103" connectionId="1115" autoFormatId="16" applyNumberFormats="0" applyBorderFormats="0" applyFontFormats="1" applyPatternFormats="1" applyAlignmentFormats="0" applyWidthHeightFormats="0"/>
</file>

<file path=xl/queryTables/queryTable1688.xml><?xml version="1.0" encoding="utf-8"?>
<queryTable xmlns="http://schemas.openxmlformats.org/spreadsheetml/2006/main" name="ExternalData_154" connectionId="901" autoFormatId="16" applyNumberFormats="0" applyBorderFormats="0" applyFontFormats="1" applyPatternFormats="1" applyAlignmentFormats="0" applyWidthHeightFormats="0"/>
</file>

<file path=xl/queryTables/queryTable1689.xml><?xml version="1.0" encoding="utf-8"?>
<queryTable xmlns="http://schemas.openxmlformats.org/spreadsheetml/2006/main" name="ExternalData_128" connectionId="850" autoFormatId="16" applyNumberFormats="0" applyBorderFormats="0" applyFontFormats="1" applyPatternFormats="1" applyAlignmentFormats="0" applyWidthHeightFormats="0"/>
</file>

<file path=xl/queryTables/queryTable1690.xml><?xml version="1.0" encoding="utf-8"?>
<queryTable xmlns="http://schemas.openxmlformats.org/spreadsheetml/2006/main" name="DadosExternos_139" connectionId="588" autoFormatId="16" applyNumberFormats="0" applyBorderFormats="0" applyFontFormats="1" applyPatternFormats="1" applyAlignmentFormats="0" applyWidthHeightFormats="0"/>
</file>

<file path=xl/queryTables/queryTable1691.xml><?xml version="1.0" encoding="utf-8"?>
<queryTable xmlns="http://schemas.openxmlformats.org/spreadsheetml/2006/main" name="DadosExternos_305" connectionId="456" autoFormatId="16" applyNumberFormats="0" applyBorderFormats="0" applyFontFormats="1" applyPatternFormats="1" applyAlignmentFormats="0" applyWidthHeightFormats="0"/>
</file>

<file path=xl/queryTables/queryTable1692.xml><?xml version="1.0" encoding="utf-8"?>
<queryTable xmlns="http://schemas.openxmlformats.org/spreadsheetml/2006/main" name="DadosExternos_336" connectionId="519" autoFormatId="16" applyNumberFormats="0" applyBorderFormats="0" applyFontFormats="1" applyPatternFormats="1" applyAlignmentFormats="0" applyWidthHeightFormats="0"/>
</file>

<file path=xl/queryTables/queryTable1693.xml><?xml version="1.0" encoding="utf-8"?>
<queryTable xmlns="http://schemas.openxmlformats.org/spreadsheetml/2006/main" name="DadosExternos_259" connectionId="302" autoFormatId="16" applyNumberFormats="0" applyBorderFormats="0" applyFontFormats="1" applyPatternFormats="1" applyAlignmentFormats="0" applyWidthHeightFormats="0"/>
</file>

<file path=xl/queryTables/queryTable1694.xml><?xml version="1.0" encoding="utf-8"?>
<queryTable xmlns="http://schemas.openxmlformats.org/spreadsheetml/2006/main" name="DadosExternos_447" connectionId="760" autoFormatId="16" applyNumberFormats="0" applyBorderFormats="0" applyFontFormats="1" applyPatternFormats="1" applyAlignmentFormats="0" applyWidthHeightFormats="0"/>
</file>

<file path=xl/queryTables/queryTable1695.xml><?xml version="1.0" encoding="utf-8"?>
<queryTable xmlns="http://schemas.openxmlformats.org/spreadsheetml/2006/main" name="DadosExternos_257" connectionId="295" autoFormatId="16" applyNumberFormats="0" applyBorderFormats="0" applyFontFormats="1" applyPatternFormats="1" applyAlignmentFormats="0" applyWidthHeightFormats="0"/>
</file>

<file path=xl/queryTables/queryTable1696.xml><?xml version="1.0" encoding="utf-8"?>
<queryTable xmlns="http://schemas.openxmlformats.org/spreadsheetml/2006/main" name="DadosExternos_251" connectionId="283" autoFormatId="16" applyNumberFormats="0" applyBorderFormats="0" applyFontFormats="1" applyPatternFormats="1" applyAlignmentFormats="0" applyWidthHeightFormats="0"/>
</file>

<file path=xl/queryTables/queryTable1697.xml><?xml version="1.0" encoding="utf-8"?>
<queryTable xmlns="http://schemas.openxmlformats.org/spreadsheetml/2006/main" name="ExternalData_86" connectionId="1043" autoFormatId="16" applyNumberFormats="0" applyBorderFormats="0" applyFontFormats="1" applyPatternFormats="1" applyAlignmentFormats="0" applyWidthHeightFormats="0"/>
</file>

<file path=xl/queryTables/queryTable1698.xml><?xml version="1.0" encoding="utf-8"?>
<queryTable xmlns="http://schemas.openxmlformats.org/spreadsheetml/2006/main" name="DadosExternos_106" connectionId="74" autoFormatId="16" applyNumberFormats="0" applyBorderFormats="0" applyFontFormats="1" applyPatternFormats="1" applyAlignmentFormats="0" applyWidthHeightFormats="0"/>
</file>

<file path=xl/queryTables/queryTable1699.xml><?xml version="1.0" encoding="utf-8"?>
<queryTable xmlns="http://schemas.openxmlformats.org/spreadsheetml/2006/main" name="ExternalData_50" connectionId="879" autoFormatId="16" applyNumberFormats="0" applyBorderFormats="0" applyFontFormats="1" applyPatternFormats="1" applyAlignmentFormats="0" applyWidthHeightFormats="0"/>
</file>

<file path=xl/queryTables/queryTable1700.xml><?xml version="1.0" encoding="utf-8"?>
<queryTable xmlns="http://schemas.openxmlformats.org/spreadsheetml/2006/main" name="DadosExternos_185" connectionId="15" autoFormatId="16" applyNumberFormats="0" applyBorderFormats="0" applyFontFormats="1" applyPatternFormats="1" applyAlignmentFormats="0" applyWidthHeightFormats="0"/>
</file>

<file path=xl/queryTables/queryTable1701.xml><?xml version="1.0" encoding="utf-8"?>
<queryTable xmlns="http://schemas.openxmlformats.org/spreadsheetml/2006/main" name="DadosExternos_148" connectionId="625" autoFormatId="16" applyNumberFormats="0" applyBorderFormats="0" applyFontFormats="1" applyPatternFormats="1" applyAlignmentFormats="0" applyWidthHeightFormats="0"/>
</file>

<file path=xl/queryTables/queryTable1702.xml><?xml version="1.0" encoding="utf-8"?>
<queryTable xmlns="http://schemas.openxmlformats.org/spreadsheetml/2006/main" name="DadosExternos_330" connectionId="512" autoFormatId="16" applyNumberFormats="0" applyBorderFormats="0" applyFontFormats="1" applyPatternFormats="1" applyAlignmentFormats="0" applyWidthHeightFormats="0"/>
</file>

<file path=xl/queryTables/queryTable1703.xml><?xml version="1.0" encoding="utf-8"?>
<queryTable xmlns="http://schemas.openxmlformats.org/spreadsheetml/2006/main" name="DadosExternos_182" connectionId="763" autoFormatId="16" applyNumberFormats="0" applyBorderFormats="0" applyFontFormats="1" applyPatternFormats="1" applyAlignmentFormats="0" applyWidthHeightFormats="0"/>
</file>

<file path=xl/queryTables/queryTable1704.xml><?xml version="1.0" encoding="utf-8"?>
<queryTable xmlns="http://schemas.openxmlformats.org/spreadsheetml/2006/main" name="DadosExternos_329" connectionId="510" autoFormatId="16" applyNumberFormats="0" applyBorderFormats="0" applyFontFormats="1" applyPatternFormats="1" applyAlignmentFormats="0" applyWidthHeightFormats="0"/>
</file>

<file path=xl/queryTables/queryTable1705.xml><?xml version="1.0" encoding="utf-8"?>
<queryTable xmlns="http://schemas.openxmlformats.org/spreadsheetml/2006/main" name="DadosExternos_279" connectionId="374" autoFormatId="16" applyNumberFormats="0" applyBorderFormats="0" applyFontFormats="1" applyPatternFormats="1" applyAlignmentFormats="0" applyWidthHeightFormats="0"/>
</file>

<file path=xl/queryTables/queryTable1706.xml><?xml version="1.0" encoding="utf-8"?>
<queryTable xmlns="http://schemas.openxmlformats.org/spreadsheetml/2006/main" name="DadosExternos_155" connectionId="650" autoFormatId="16" applyNumberFormats="0" applyBorderFormats="0" applyFontFormats="1" applyPatternFormats="1" applyAlignmentFormats="0" applyWidthHeightFormats="0"/>
</file>

<file path=xl/queryTables/queryTable1707.xml><?xml version="1.0" encoding="utf-8"?>
<queryTable xmlns="http://schemas.openxmlformats.org/spreadsheetml/2006/main" name="DadosExternos_372" connectionId="246" autoFormatId="16" applyNumberFormats="0" applyBorderFormats="0" applyFontFormats="1" applyPatternFormats="1" applyAlignmentFormats="0" applyWidthHeightFormats="0"/>
</file>

<file path=xl/queryTables/queryTable1708.xml><?xml version="1.0" encoding="utf-8"?>
<queryTable xmlns="http://schemas.openxmlformats.org/spreadsheetml/2006/main" name="ExternalData_4" connectionId="967" autoFormatId="16" applyNumberFormats="0" applyBorderFormats="0" applyFontFormats="1" applyPatternFormats="1" applyAlignmentFormats="0" applyWidthHeightFormats="0"/>
</file>

<file path=xl/queryTables/queryTable1709.xml><?xml version="1.0" encoding="utf-8"?>
<queryTable xmlns="http://schemas.openxmlformats.org/spreadsheetml/2006/main" name="ExternalData_72" connectionId="1012" autoFormatId="16" applyNumberFormats="0" applyBorderFormats="0" applyFontFormats="1" applyPatternFormats="1" applyAlignmentFormats="0" applyWidthHeightFormats="0"/>
</file>

<file path=xl/queryTables/queryTable1710.xml><?xml version="1.0" encoding="utf-8"?>
<queryTable xmlns="http://schemas.openxmlformats.org/spreadsheetml/2006/main" name="DadosExternos_327" connectionId="500" autoFormatId="16" applyNumberFormats="0" applyBorderFormats="0" applyFontFormats="1" applyPatternFormats="1" applyAlignmentFormats="0" applyWidthHeightFormats="0"/>
</file>

<file path=xl/queryTables/queryTable1711.xml><?xml version="1.0" encoding="utf-8"?>
<queryTable xmlns="http://schemas.openxmlformats.org/spreadsheetml/2006/main" name="DadosExternos_2" connectionId="65" autoFormatId="16" applyNumberFormats="0" applyBorderFormats="0" applyFontFormats="1" applyPatternFormats="1" applyAlignmentFormats="0" applyWidthHeightFormats="0"/>
</file>

<file path=xl/queryTables/queryTable1712.xml><?xml version="1.0" encoding="utf-8"?>
<queryTable xmlns="http://schemas.openxmlformats.org/spreadsheetml/2006/main" name="ExternalData_92" connectionId="1087" autoFormatId="16" applyNumberFormats="0" applyBorderFormats="0" applyFontFormats="1" applyPatternFormats="1" applyAlignmentFormats="0" applyWidthHeightFormats="0"/>
</file>

<file path=xl/queryTables/queryTable1713.xml><?xml version="1.0" encoding="utf-8"?>
<queryTable xmlns="http://schemas.openxmlformats.org/spreadsheetml/2006/main" name="DadosExternos_370" connectionId="84" autoFormatId="16" applyNumberFormats="0" applyBorderFormats="0" applyFontFormats="1" applyPatternFormats="1" applyAlignmentFormats="0" applyWidthHeightFormats="0"/>
</file>

<file path=xl/queryTables/queryTable1714.xml><?xml version="1.0" encoding="utf-8"?>
<queryTable xmlns="http://schemas.openxmlformats.org/spreadsheetml/2006/main" name="DadosExternos_423" connectionId="634" autoFormatId="16" applyNumberFormats="0" applyBorderFormats="0" applyFontFormats="1" applyPatternFormats="1" applyAlignmentFormats="0" applyWidthHeightFormats="0"/>
</file>

<file path=xl/queryTables/queryTable1715.xml><?xml version="1.0" encoding="utf-8"?>
<queryTable xmlns="http://schemas.openxmlformats.org/spreadsheetml/2006/main" name="DadosExternos_151" connectionId="635" autoFormatId="16" applyNumberFormats="0" applyBorderFormats="0" applyFontFormats="1" applyPatternFormats="1" applyAlignmentFormats="0" applyWidthHeightFormats="0"/>
</file>

<file path=xl/queryTables/queryTable1716.xml><?xml version="1.0" encoding="utf-8"?>
<queryTable xmlns="http://schemas.openxmlformats.org/spreadsheetml/2006/main" name="DadosExternos_141" connectionId="596" autoFormatId="16" applyNumberFormats="0" applyBorderFormats="0" applyFontFormats="1" applyPatternFormats="1" applyAlignmentFormats="0" applyWidthHeightFormats="0"/>
</file>

<file path=xl/queryTables/queryTable1717.xml><?xml version="1.0" encoding="utf-8"?>
<queryTable xmlns="http://schemas.openxmlformats.org/spreadsheetml/2006/main" name="ExternalData_20" connectionId="1004" autoFormatId="16" applyNumberFormats="0" applyBorderFormats="0" applyFontFormats="1" applyPatternFormats="1" applyAlignmentFormats="0" applyWidthHeightFormats="0"/>
</file>

<file path=xl/queryTables/queryTable1718.xml><?xml version="1.0" encoding="utf-8"?>
<queryTable xmlns="http://schemas.openxmlformats.org/spreadsheetml/2006/main" name="DadosExternos_262" connectionId="316" autoFormatId="16" applyNumberFormats="0" applyBorderFormats="0" applyFontFormats="1" applyPatternFormats="1" applyAlignmentFormats="0" applyWidthHeightFormats="0"/>
</file>

<file path=xl/queryTables/queryTable1719.xml><?xml version="1.0" encoding="utf-8"?>
<queryTable xmlns="http://schemas.openxmlformats.org/spreadsheetml/2006/main" name="ExternalData_45" connectionId="1102" autoFormatId="16" applyNumberFormats="0" applyBorderFormats="0" applyFontFormats="1" applyPatternFormats="1" applyAlignmentFormats="0" applyWidthHeightFormats="0"/>
</file>

<file path=xl/queryTables/queryTable1720.xml><?xml version="1.0" encoding="utf-8"?>
<queryTable xmlns="http://schemas.openxmlformats.org/spreadsheetml/2006/main" name="ExternalData_144" connectionId="885" autoFormatId="16" applyNumberFormats="0" applyBorderFormats="0" applyFontFormats="1" applyPatternFormats="1" applyAlignmentFormats="0" applyWidthHeightFormats="0"/>
</file>

<file path=xl/queryTables/queryTable1721.xml><?xml version="1.0" encoding="utf-8"?>
<queryTable xmlns="http://schemas.openxmlformats.org/spreadsheetml/2006/main" name="ExternalData_127" connectionId="848" autoFormatId="16" applyNumberFormats="0" applyBorderFormats="0" applyFontFormats="1" applyPatternFormats="1" applyAlignmentFormats="0" applyWidthHeightFormats="0"/>
</file>

<file path=xl/queryTables/queryTable1722.xml><?xml version="1.0" encoding="utf-8"?>
<queryTable xmlns="http://schemas.openxmlformats.org/spreadsheetml/2006/main" name="DadosExternos_28" connectionId="255" autoFormatId="16" applyNumberFormats="0" applyBorderFormats="0" applyFontFormats="1" applyPatternFormats="1" applyAlignmentFormats="0" applyWidthHeightFormats="0"/>
</file>

<file path=xl/queryTables/queryTable1723.xml><?xml version="1.0" encoding="utf-8"?>
<queryTable xmlns="http://schemas.openxmlformats.org/spreadsheetml/2006/main" name="DadosExternos_164" connectionId="687" autoFormatId="16" applyNumberFormats="0" applyBorderFormats="0" applyFontFormats="1" applyPatternFormats="1" applyAlignmentFormats="0" applyWidthHeightFormats="0"/>
</file>

<file path=xl/queryTables/queryTable1724.xml><?xml version="1.0" encoding="utf-8"?>
<queryTable xmlns="http://schemas.openxmlformats.org/spreadsheetml/2006/main" name="DadosExternos_108" connectionId="109" autoFormatId="16" applyNumberFormats="0" applyBorderFormats="0" applyFontFormats="1" applyPatternFormats="1" applyAlignmentFormats="0" applyWidthHeightFormats="0"/>
</file>

<file path=xl/queryTables/queryTable1725.xml><?xml version="1.0" encoding="utf-8"?>
<queryTable xmlns="http://schemas.openxmlformats.org/spreadsheetml/2006/main" name="DadosExternos_120" connectionId="308" autoFormatId="16" applyNumberFormats="0" applyBorderFormats="0" applyFontFormats="1" applyPatternFormats="1" applyAlignmentFormats="0" applyWidthHeightFormats="0"/>
</file>

<file path=xl/queryTables/queryTable1726.xml><?xml version="1.0" encoding="utf-8"?>
<queryTable xmlns="http://schemas.openxmlformats.org/spreadsheetml/2006/main" name="DadosExternos_119" connectionId="291" autoFormatId="16" applyNumberFormats="0" applyBorderFormats="0" applyFontFormats="1" applyPatternFormats="1" applyAlignmentFormats="0" applyWidthHeightFormats="0"/>
</file>

<file path=xl/queryTables/queryTable1727.xml><?xml version="1.0" encoding="utf-8"?>
<queryTable xmlns="http://schemas.openxmlformats.org/spreadsheetml/2006/main" name="DadosExternos_68" connectionId="61" autoFormatId="16" applyNumberFormats="0" applyBorderFormats="0" applyFontFormats="1" applyPatternFormats="1" applyAlignmentFormats="0" applyWidthHeightFormats="0"/>
</file>

<file path=xl/queryTables/queryTable1728.xml><?xml version="1.0" encoding="utf-8"?>
<queryTable xmlns="http://schemas.openxmlformats.org/spreadsheetml/2006/main" name="DadosExternos_42" connectionId="162" autoFormatId="16" applyNumberFormats="0" applyBorderFormats="0" applyFontFormats="1" applyPatternFormats="1" applyAlignmentFormats="0" applyWidthHeightFormats="0"/>
</file>

<file path=xl/queryTables/queryTable1729.xml><?xml version="1.0" encoding="utf-8"?>
<queryTable xmlns="http://schemas.openxmlformats.org/spreadsheetml/2006/main" name="DadosExternos_234" connectionId="212" autoFormatId="16" applyNumberFormats="0" applyBorderFormats="0" applyFontFormats="1" applyPatternFormats="1" applyAlignmentFormats="0" applyWidthHeightFormats="0"/>
</file>

<file path=xl/queryTables/queryTable1730.xml><?xml version="1.0" encoding="utf-8"?>
<queryTable xmlns="http://schemas.openxmlformats.org/spreadsheetml/2006/main" name="DadosExternos_1" connectionId="787" autoFormatId="16" applyNumberFormats="0" applyBorderFormats="0" applyFontFormats="1" applyPatternFormats="1" applyAlignmentFormats="0" applyWidthHeightFormats="0"/>
</file>

<file path=xl/queryTables/queryTable1731.xml><?xml version="1.0" encoding="utf-8"?>
<queryTable xmlns="http://schemas.openxmlformats.org/spreadsheetml/2006/main" name="ExternalData_3" connectionId="838" autoFormatId="16" applyNumberFormats="0" applyBorderFormats="0" applyFontFormats="1" applyPatternFormats="1" applyAlignmentFormats="0" applyWidthHeightFormats="0"/>
</file>

<file path=xl/queryTables/queryTable1732.xml><?xml version="1.0" encoding="utf-8"?>
<queryTable xmlns="http://schemas.openxmlformats.org/spreadsheetml/2006/main" name="ExternalData_155" connectionId="903" autoFormatId="16" applyNumberFormats="0" applyBorderFormats="0" applyFontFormats="1" applyPatternFormats="1" applyAlignmentFormats="0" applyWidthHeightFormats="0"/>
</file>

<file path=xl/queryTables/queryTable1733.xml><?xml version="1.0" encoding="utf-8"?>
<queryTable xmlns="http://schemas.openxmlformats.org/spreadsheetml/2006/main" name="DadosExternos_67" connectionId="765" autoFormatId="16" applyNumberFormats="0" applyBorderFormats="0" applyFontFormats="1" applyPatternFormats="1" applyAlignmentFormats="0" applyWidthHeightFormats="0"/>
</file>

<file path=xl/queryTables/queryTable1734.xml><?xml version="1.0" encoding="utf-8"?>
<queryTable xmlns="http://schemas.openxmlformats.org/spreadsheetml/2006/main" name="ExternalData_115" connectionId="811" autoFormatId="16" applyNumberFormats="0" applyBorderFormats="0" applyFontFormats="1" applyPatternFormats="1" applyAlignmentFormats="0" applyWidthHeightFormats="0"/>
</file>

<file path=xl/queryTables/queryTable1735.xml><?xml version="1.0" encoding="utf-8"?>
<queryTable xmlns="http://schemas.openxmlformats.org/spreadsheetml/2006/main" name="ExternalData_1" connectionId="1082" autoFormatId="16" applyNumberFormats="0" applyBorderFormats="0" applyFontFormats="1" applyPatternFormats="1" applyAlignmentFormats="0" applyWidthHeightFormats="0"/>
</file>

<file path=xl/queryTables/queryTable1736.xml><?xml version="1.0" encoding="utf-8"?>
<queryTable xmlns="http://schemas.openxmlformats.org/spreadsheetml/2006/main" name="DadosExternos_433" connectionId="677" autoFormatId="16" applyNumberFormats="0" applyBorderFormats="0" applyFontFormats="1" applyPatternFormats="1" applyAlignmentFormats="0" applyWidthHeightFormats="0"/>
</file>

<file path=xl/queryTables/queryTable1737.xml><?xml version="1.0" encoding="utf-8"?>
<queryTable xmlns="http://schemas.openxmlformats.org/spreadsheetml/2006/main" name="DadosExternos_41" connectionId="143" autoFormatId="16" applyNumberFormats="0" applyBorderFormats="0" applyFontFormats="1" applyPatternFormats="1" applyAlignmentFormats="0" applyWidthHeightFormats="0"/>
</file>

<file path=xl/queryTables/queryTable1738.xml><?xml version="1.0" encoding="utf-8"?>
<queryTable xmlns="http://schemas.openxmlformats.org/spreadsheetml/2006/main" name="DadosExternos_161" connectionId="677" autoFormatId="16" applyNumberFormats="0" applyBorderFormats="0" applyFontFormats="1" applyPatternFormats="1" applyAlignmentFormats="0" applyWidthHeightFormats="0"/>
</file>

<file path=xl/queryTables/queryTable1739.xml><?xml version="1.0" encoding="utf-8"?>
<queryTable xmlns="http://schemas.openxmlformats.org/spreadsheetml/2006/main" name="DadosExternos_350" connectionId="549" autoFormatId="16" applyNumberFormats="0" applyBorderFormats="0" applyFontFormats="1" applyPatternFormats="1" applyAlignmentFormats="0" applyWidthHeightFormats="0"/>
</file>

<file path=xl/queryTables/queryTable1740.xml><?xml version="1.0" encoding="utf-8"?>
<queryTable xmlns="http://schemas.openxmlformats.org/spreadsheetml/2006/main" name="DadosExternos_212" connectionId="155" autoFormatId="16" applyNumberFormats="0" applyBorderFormats="0" applyFontFormats="1" applyPatternFormats="1" applyAlignmentFormats="0" applyWidthHeightFormats="0"/>
</file>

<file path=xl/queryTables/queryTable1741.xml><?xml version="1.0" encoding="utf-8"?>
<queryTable xmlns="http://schemas.openxmlformats.org/spreadsheetml/2006/main" name="DadosExternos_270" connectionId="343" autoFormatId="16" applyNumberFormats="0" applyBorderFormats="0" applyFontFormats="1" applyPatternFormats="1" applyAlignmentFormats="0" applyWidthHeightFormats="0"/>
</file>

<file path=xl/queryTables/queryTable1742.xml><?xml version="1.0" encoding="utf-8"?>
<queryTable xmlns="http://schemas.openxmlformats.org/spreadsheetml/2006/main" name="ExternalData_23" connectionId="1129" autoFormatId="16" applyNumberFormats="0" applyBorderFormats="0" applyFontFormats="1" applyPatternFormats="1" applyAlignmentFormats="0" applyWidthHeightFormats="0"/>
</file>

<file path=xl/queryTables/queryTable1743.xml><?xml version="1.0" encoding="utf-8"?>
<queryTable xmlns="http://schemas.openxmlformats.org/spreadsheetml/2006/main" name="DadosExternos_191" connectionId="44" autoFormatId="16" applyNumberFormats="0" applyBorderFormats="0" applyFontFormats="1" applyPatternFormats="1" applyAlignmentFormats="0" applyWidthHeightFormats="0"/>
</file>

<file path=xl/queryTables/queryTable1744.xml><?xml version="1.0" encoding="utf-8"?>
<queryTable xmlns="http://schemas.openxmlformats.org/spreadsheetml/2006/main" name="DadosExternos_190" connectionId="40" autoFormatId="16" applyNumberFormats="0" applyBorderFormats="0" applyFontFormats="1" applyPatternFormats="1" applyAlignmentFormats="0" applyWidthHeightFormats="0"/>
</file>

<file path=xl/queryTables/queryTable1745.xml><?xml version="1.0" encoding="utf-8"?>
<queryTable xmlns="http://schemas.openxmlformats.org/spreadsheetml/2006/main" name="ExternalData_16" connectionId="894" autoFormatId="16" applyNumberFormats="0" applyBorderFormats="0" applyFontFormats="1" applyPatternFormats="1" applyAlignmentFormats="0" applyWidthHeightFormats="0"/>
</file>

<file path=xl/queryTables/queryTable1746.xml><?xml version="1.0" encoding="utf-8"?>
<queryTable xmlns="http://schemas.openxmlformats.org/spreadsheetml/2006/main" name="DadosExternos_193" connectionId="92" autoFormatId="16" applyNumberFormats="0" applyBorderFormats="0" applyFontFormats="1" applyPatternFormats="1" applyAlignmentFormats="0" applyWidthHeightFormats="0"/>
</file>

<file path=xl/queryTables/queryTable1747.xml><?xml version="1.0" encoding="utf-8"?>
<queryTable xmlns="http://schemas.openxmlformats.org/spreadsheetml/2006/main" name="ExternalData_36" connectionId="987" autoFormatId="16" applyNumberFormats="0" applyBorderFormats="0" applyFontFormats="1" applyPatternFormats="1" applyAlignmentFormats="0" applyWidthHeightFormats="0"/>
</file>

<file path=xl/queryTables/queryTable1748.xml><?xml version="1.0" encoding="utf-8"?>
<queryTable xmlns="http://schemas.openxmlformats.org/spreadsheetml/2006/main" name="DadosExternos_373" connectionId="392" autoFormatId="16" applyNumberFormats="0" applyBorderFormats="0" applyFontFormats="1" applyPatternFormats="1" applyAlignmentFormats="0" applyWidthHeightFormats="0"/>
</file>

<file path=xl/queryTables/queryTable1749.xml><?xml version="1.0" encoding="utf-8"?>
<queryTable xmlns="http://schemas.openxmlformats.org/spreadsheetml/2006/main" name="ExternalData_27" connectionId="906" autoFormatId="16" applyNumberFormats="0" applyBorderFormats="0" applyFontFormats="1" applyPatternFormats="1" applyAlignmentFormats="0" applyWidthHeightFormats="0"/>
</file>

<file path=xl/queryTables/queryTable1750.xml><?xml version="1.0" encoding="utf-8"?>
<queryTable xmlns="http://schemas.openxmlformats.org/spreadsheetml/2006/main" name="DadosExternos_63" connectionId="490" autoFormatId="16" applyNumberFormats="0" applyBorderFormats="0" applyFontFormats="1" applyPatternFormats="1" applyAlignmentFormats="0" applyWidthHeightFormats="0"/>
</file>

<file path=xl/queryTables/queryTable1751.xml><?xml version="1.0" encoding="utf-8"?>
<queryTable xmlns="http://schemas.openxmlformats.org/spreadsheetml/2006/main" name="ExternalData_5" connectionId="1002" autoFormatId="16" applyNumberFormats="0" applyBorderFormats="0" applyFontFormats="1" applyPatternFormats="1" applyAlignmentFormats="0" applyWidthHeightFormats="0"/>
</file>

<file path=xl/queryTables/queryTable1752.xml><?xml version="1.0" encoding="utf-8"?>
<queryTable xmlns="http://schemas.openxmlformats.org/spreadsheetml/2006/main" name="DadosExternos_206" connectionId="139" autoFormatId="16" applyNumberFormats="0" applyBorderFormats="0" applyFontFormats="1" applyPatternFormats="1" applyAlignmentFormats="0" applyWidthHeightFormats="0"/>
</file>

<file path=xl/queryTables/queryTable1753.xml><?xml version="1.0" encoding="utf-8"?>
<queryTable xmlns="http://schemas.openxmlformats.org/spreadsheetml/2006/main" name="DadosExternos_179" connectionId="754" autoFormatId="16" applyNumberFormats="0" applyBorderFormats="0" applyFontFormats="1" applyPatternFormats="1" applyAlignmentFormats="0" applyWidthHeightFormats="0"/>
</file>

<file path=xl/queryTables/queryTable1754.xml><?xml version="1.0" encoding="utf-8"?>
<queryTable xmlns="http://schemas.openxmlformats.org/spreadsheetml/2006/main" name="ExternalData_145" connectionId="886" autoFormatId="16" applyNumberFormats="0" applyBorderFormats="0" applyFontFormats="1" applyPatternFormats="1" applyAlignmentFormats="0" applyWidthHeightFormats="0"/>
</file>

<file path=xl/queryTables/queryTable1755.xml><?xml version="1.0" encoding="utf-8"?>
<queryTable xmlns="http://schemas.openxmlformats.org/spreadsheetml/2006/main" name="DadosExternos_410" connectionId="540" autoFormatId="16" applyNumberFormats="0" applyBorderFormats="0" applyFontFormats="1" applyPatternFormats="1" applyAlignmentFormats="0" applyWidthHeightFormats="0"/>
</file>

<file path=xl/queryTables/queryTable1756.xml><?xml version="1.0" encoding="utf-8"?>
<queryTable xmlns="http://schemas.openxmlformats.org/spreadsheetml/2006/main" name="DadosExternos_65" connectionId="524" autoFormatId="16" applyNumberFormats="0" applyBorderFormats="0" applyFontFormats="1" applyPatternFormats="1" applyAlignmentFormats="0" applyWidthHeightFormats="0"/>
</file>

<file path=xl/queryTables/queryTable1757.xml><?xml version="1.0" encoding="utf-8"?>
<queryTable xmlns="http://schemas.openxmlformats.org/spreadsheetml/2006/main" name="DadosExternos_376" connectionId="653" autoFormatId="16" applyNumberFormats="0" applyBorderFormats="0" applyFontFormats="1" applyPatternFormats="1" applyAlignmentFormats="0" applyWidthHeightFormats="0"/>
</file>

<file path=xl/queryTables/queryTable1758.xml><?xml version="1.0" encoding="utf-8"?>
<queryTable xmlns="http://schemas.openxmlformats.org/spreadsheetml/2006/main" name="ExternalData_39" connectionId="996" autoFormatId="16" applyNumberFormats="0" applyBorderFormats="0" applyFontFormats="1" applyPatternFormats="1" applyAlignmentFormats="0" applyWidthHeightFormats="0"/>
</file>

<file path=xl/queryTables/queryTable1759.xml><?xml version="1.0" encoding="utf-8"?>
<queryTable xmlns="http://schemas.openxmlformats.org/spreadsheetml/2006/main" name="DadosExternos_302" connectionId="452" autoFormatId="16" applyNumberFormats="0" applyBorderFormats="0" applyFontFormats="1" applyPatternFormats="1" applyAlignmentFormats="0" applyWidthHeightFormats="0"/>
</file>

<file path=xl/queryTables/queryTable1760.xml><?xml version="1.0" encoding="utf-8"?>
<queryTable xmlns="http://schemas.openxmlformats.org/spreadsheetml/2006/main" name="ExternalData_75" connectionId="1018" autoFormatId="16" applyNumberFormats="0" applyBorderFormats="0" applyFontFormats="1" applyPatternFormats="1" applyAlignmentFormats="0" applyWidthHeightFormats="0"/>
</file>

<file path=xl/queryTables/queryTable1761.xml><?xml version="1.0" encoding="utf-8"?>
<queryTable xmlns="http://schemas.openxmlformats.org/spreadsheetml/2006/main" name="DadosExternos_188" connectionId="30" autoFormatId="16" applyNumberFormats="0" applyBorderFormats="0" applyFontFormats="1" applyPatternFormats="1" applyAlignmentFormats="0" applyWidthHeightFormats="0"/>
</file>

<file path=xl/queryTables/queryTable1762.xml><?xml version="1.0" encoding="utf-8"?>
<queryTable xmlns="http://schemas.openxmlformats.org/spreadsheetml/2006/main" name="DadosExternos_214" connectionId="160" autoFormatId="16" applyNumberFormats="0" applyBorderFormats="0" applyFontFormats="1" applyPatternFormats="1" applyAlignmentFormats="0" applyWidthHeightFormats="0"/>
</file>

<file path=xl/queryTables/queryTable1763.xml><?xml version="1.0" encoding="utf-8"?>
<queryTable xmlns="http://schemas.openxmlformats.org/spreadsheetml/2006/main" name="DadosExternos_129" connectionId="446" autoFormatId="16" applyNumberFormats="0" applyBorderFormats="0" applyFontFormats="1" applyPatternFormats="1" applyAlignmentFormats="0" applyWidthHeightFormats="0"/>
</file>

<file path=xl/queryTables/queryTable1764.xml><?xml version="1.0" encoding="utf-8"?>
<queryTable xmlns="http://schemas.openxmlformats.org/spreadsheetml/2006/main" name="DadosExternos_116" connectionId="259" autoFormatId="16" applyNumberFormats="0" applyBorderFormats="0" applyFontFormats="1" applyPatternFormats="1" applyAlignmentFormats="0" applyWidthHeightFormats="0"/>
</file>

<file path=xl/queryTables/queryTable1765.xml><?xml version="1.0" encoding="utf-8"?>
<queryTable xmlns="http://schemas.openxmlformats.org/spreadsheetml/2006/main" name="DadosExternos_381" connectionId="53" autoFormatId="16" applyNumberFormats="0" applyBorderFormats="0" applyFontFormats="1" applyPatternFormats="1" applyAlignmentFormats="0" applyWidthHeightFormats="0"/>
</file>

<file path=xl/queryTables/queryTable1766.xml><?xml version="1.0" encoding="utf-8"?>
<queryTable xmlns="http://schemas.openxmlformats.org/spreadsheetml/2006/main" name="DadosExternos_61" connectionId="461" autoFormatId="16" applyNumberFormats="0" applyBorderFormats="0" applyFontFormats="1" applyPatternFormats="1" applyAlignmentFormats="0" applyWidthHeightFormats="0"/>
</file>

<file path=xl/queryTables/queryTable1767.xml><?xml version="1.0" encoding="utf-8"?>
<queryTable xmlns="http://schemas.openxmlformats.org/spreadsheetml/2006/main" name="DadosExternos_163" connectionId="684" autoFormatId="16" applyNumberFormats="0" applyBorderFormats="0" applyFontFormats="1" applyPatternFormats="1" applyAlignmentFormats="0" applyWidthHeightFormats="0"/>
</file>

<file path=xl/queryTables/queryTable1768.xml><?xml version="1.0" encoding="utf-8"?>
<queryTable xmlns="http://schemas.openxmlformats.org/spreadsheetml/2006/main" name="DadosExternos_200" connectionId="114" autoFormatId="16" applyNumberFormats="0" applyBorderFormats="0" applyFontFormats="1" applyPatternFormats="1" applyAlignmentFormats="0" applyWidthHeightFormats="0"/>
</file>

<file path=xl/queryTables/queryTable1769.xml><?xml version="1.0" encoding="utf-8"?>
<queryTable xmlns="http://schemas.openxmlformats.org/spreadsheetml/2006/main" name="ExternalData_62" connectionId="983" autoFormatId="16" applyNumberFormats="0" applyBorderFormats="0" applyFontFormats="1" applyPatternFormats="1" applyAlignmentFormats="0" applyWidthHeightFormats="0"/>
</file>

<file path=xl/queryTables/queryTable1770.xml><?xml version="1.0" encoding="utf-8"?>
<queryTable xmlns="http://schemas.openxmlformats.org/spreadsheetml/2006/main" name="ExternalData_117" connectionId="820" autoFormatId="16" applyNumberFormats="0" applyBorderFormats="0" applyFontFormats="1" applyPatternFormats="1" applyAlignmentFormats="0" applyWidthHeightFormats="0"/>
</file>

<file path=xl/queryTables/queryTable1771.xml><?xml version="1.0" encoding="utf-8"?>
<queryTable xmlns="http://schemas.openxmlformats.org/spreadsheetml/2006/main" name="DadosExternos_425" connectionId="642" autoFormatId="16" applyNumberFormats="0" applyBorderFormats="0" applyFontFormats="1" applyPatternFormats="1" applyAlignmentFormats="0" applyWidthHeightFormats="0"/>
</file>

<file path=xl/queryTables/queryTable1772.xml><?xml version="1.0" encoding="utf-8"?>
<queryTable xmlns="http://schemas.openxmlformats.org/spreadsheetml/2006/main" name="ExternalData_126" connectionId="846" autoFormatId="16" applyNumberFormats="0" applyBorderFormats="0" applyFontFormats="1" applyPatternFormats="1" applyAlignmentFormats="0" applyWidthHeightFormats="0"/>
</file>

<file path=xl/queryTables/queryTable1773.xml><?xml version="1.0" encoding="utf-8"?>
<queryTable xmlns="http://schemas.openxmlformats.org/spreadsheetml/2006/main" name="DadosExternos_233" connectionId="209" autoFormatId="16" applyNumberFormats="0" applyBorderFormats="0" applyFontFormats="1" applyPatternFormats="1" applyAlignmentFormats="0" applyWidthHeightFormats="0"/>
</file>

<file path=xl/queryTables/queryTable1774.xml><?xml version="1.0" encoding="utf-8"?>
<queryTable xmlns="http://schemas.openxmlformats.org/spreadsheetml/2006/main" name="DadosExternos_201" connectionId="118" autoFormatId="16" applyNumberFormats="0" applyBorderFormats="0" applyFontFormats="1" applyPatternFormats="1" applyAlignmentFormats="0" applyWidthHeightFormats="0"/>
</file>

<file path=xl/queryTables/queryTable1775.xml><?xml version="1.0" encoding="utf-8"?>
<queryTable xmlns="http://schemas.openxmlformats.org/spreadsheetml/2006/main" name="ExternalData_19" connectionId="962" autoFormatId="16" applyNumberFormats="0" applyBorderFormats="0" applyFontFormats="1" applyPatternFormats="1" applyAlignmentFormats="0" applyWidthHeightFormats="0"/>
</file>

<file path=xl/queryTables/queryTable1776.xml><?xml version="1.0" encoding="utf-8"?>
<queryTable xmlns="http://schemas.openxmlformats.org/spreadsheetml/2006/main" name="DadosExternos_307" connectionId="463" autoFormatId="16" applyNumberFormats="0" applyBorderFormats="0" applyFontFormats="1" applyPatternFormats="1" applyAlignmentFormats="0" applyWidthHeightFormats="0"/>
</file>

<file path=xl/queryTables/queryTable1777.xml><?xml version="1.0" encoding="utf-8"?>
<queryTable xmlns="http://schemas.openxmlformats.org/spreadsheetml/2006/main" name="DadosExternos_117" connectionId="267" autoFormatId="16" applyNumberFormats="0" applyBorderFormats="0" applyFontFormats="1" applyPatternFormats="1" applyAlignmentFormats="0" applyWidthHeightFormats="0"/>
</file>

<file path=xl/queryTables/queryTable1778.xml><?xml version="1.0" encoding="utf-8"?>
<queryTable xmlns="http://schemas.openxmlformats.org/spreadsheetml/2006/main" name="DadosExternos_4" connectionId="395" autoFormatId="16" applyNumberFormats="0" applyBorderFormats="0" applyFontFormats="1" applyPatternFormats="1" applyAlignmentFormats="0" applyWidthHeightFormats="0"/>
</file>

<file path=xl/queryTables/queryTable1779.xml><?xml version="1.0" encoding="utf-8"?>
<queryTable xmlns="http://schemas.openxmlformats.org/spreadsheetml/2006/main" name="DadosExternos_38" connectionId="88" autoFormatId="16" applyNumberFormats="0" applyBorderFormats="0" applyFontFormats="1" applyPatternFormats="1" applyAlignmentFormats="0" applyWidthHeightFormats="0"/>
</file>

<file path=xl/queryTables/queryTable1780.xml><?xml version="1.0" encoding="utf-8"?>
<queryTable xmlns="http://schemas.openxmlformats.org/spreadsheetml/2006/main" name="ExternalData_156" connectionId="908" autoFormatId="16" applyNumberFormats="0" applyBorderFormats="0" applyFontFormats="1" applyPatternFormats="1" applyAlignmentFormats="0" applyWidthHeightFormats="0"/>
</file>

<file path=xl/queryTables/queryTable1781.xml><?xml version="1.0" encoding="utf-8"?>
<queryTable xmlns="http://schemas.openxmlformats.org/spreadsheetml/2006/main" name="DadosExternos_280" connectionId="376" autoFormatId="16" applyNumberFormats="0" applyBorderFormats="0" applyFontFormats="1" applyPatternFormats="1" applyAlignmentFormats="0" applyWidthHeightFormats="0"/>
</file>

<file path=xl/queryTables/queryTable1782.xml><?xml version="1.0" encoding="utf-8"?>
<queryTable xmlns="http://schemas.openxmlformats.org/spreadsheetml/2006/main" name="DadosExternos_192" connectionId="85" autoFormatId="16" applyNumberFormats="0" applyBorderFormats="0" applyFontFormats="1" applyPatternFormats="1" applyAlignmentFormats="0" applyWidthHeightFormats="0"/>
</file>

<file path=xl/queryTables/queryTable1783.xml><?xml version="1.0" encoding="utf-8"?>
<queryTable xmlns="http://schemas.openxmlformats.org/spreadsheetml/2006/main" name="DadosExternos_48" connectionId="269" autoFormatId="16" applyNumberFormats="0" applyBorderFormats="0" applyFontFormats="1" applyPatternFormats="1" applyAlignmentFormats="0" applyWidthHeightFormats="0"/>
</file>

<file path=xl/queryTables/queryTable1784.xml><?xml version="1.0" encoding="utf-8"?>
<queryTable xmlns="http://schemas.openxmlformats.org/spreadsheetml/2006/main" name="DadosExternos_127" connectionId="410" autoFormatId="16" applyNumberFormats="0" applyBorderFormats="0" applyFontFormats="1" applyPatternFormats="1" applyAlignmentFormats="0" applyWidthHeightFormats="0"/>
</file>

<file path=xl/queryTables/queryTable1785.xml><?xml version="1.0" encoding="utf-8"?>
<queryTable xmlns="http://schemas.openxmlformats.org/spreadsheetml/2006/main" name="DadosExternos_24" connectionId="56" autoFormatId="16" applyNumberFormats="0" applyBorderFormats="0" applyFontFormats="1" applyPatternFormats="1" applyAlignmentFormats="0" applyWidthHeightFormats="0"/>
</file>

<file path=xl/queryTables/queryTable1786.xml><?xml version="1.0" encoding="utf-8"?>
<queryTable xmlns="http://schemas.openxmlformats.org/spreadsheetml/2006/main" name="DadosExternos_220" connectionId="182" autoFormatId="16" applyNumberFormats="0" applyBorderFormats="0" applyFontFormats="1" applyPatternFormats="1" applyAlignmentFormats="0" applyWidthHeightFormats="0"/>
</file>

<file path=xl/queryTables/queryTable1787.xml><?xml version="1.0" encoding="utf-8"?>
<queryTable xmlns="http://schemas.openxmlformats.org/spreadsheetml/2006/main" name="DadosExternos_229" connectionId="205" autoFormatId="16" applyNumberFormats="0" applyBorderFormats="0" applyFontFormats="1" applyPatternFormats="1" applyAlignmentFormats="0" applyWidthHeightFormats="0"/>
</file>

<file path=xl/queryTables/queryTable1788.xml><?xml version="1.0" encoding="utf-8"?>
<queryTable xmlns="http://schemas.openxmlformats.org/spreadsheetml/2006/main" name="DadosExternos_249" connectionId="272" autoFormatId="16" applyNumberFormats="0" applyBorderFormats="0" applyFontFormats="1" applyPatternFormats="1" applyAlignmentFormats="0" applyWidthHeightFormats="0"/>
</file>

<file path=xl/queryTables/queryTable1789.xml><?xml version="1.0" encoding="utf-8"?>
<queryTable xmlns="http://schemas.openxmlformats.org/spreadsheetml/2006/main" name="ExternalData_28" connectionId="920" autoFormatId="16" applyNumberFormats="0" applyBorderFormats="0" applyFontFormats="1" applyPatternFormats="1" applyAlignmentFormats="0" applyWidthHeightFormats="0"/>
</file>

<file path=xl/queryTables/queryTable1790.xml><?xml version="1.0" encoding="utf-8"?>
<queryTable xmlns="http://schemas.openxmlformats.org/spreadsheetml/2006/main" name="DadosExternos_428" connectionId="656" autoFormatId="16" applyNumberFormats="0" applyBorderFormats="0" applyFontFormats="1" applyPatternFormats="1" applyAlignmentFormats="0" applyWidthHeightFormats="0"/>
</file>

<file path=xl/queryTables/queryTable1791.xml><?xml version="1.0" encoding="utf-8"?>
<queryTable xmlns="http://schemas.openxmlformats.org/spreadsheetml/2006/main" name="DadosExternos_207" connectionId="145" autoFormatId="16" applyNumberFormats="0" applyBorderFormats="0" applyFontFormats="1" applyPatternFormats="1" applyAlignmentFormats="0" applyWidthHeightFormats="0"/>
</file>

<file path=xl/queryTables/queryTable1792.xml><?xml version="1.0" encoding="utf-8"?>
<queryTable xmlns="http://schemas.openxmlformats.org/spreadsheetml/2006/main" name="DadosExternos_66" connectionId="541" autoFormatId="16" applyNumberFormats="0" applyBorderFormats="0" applyFontFormats="1" applyPatternFormats="1" applyAlignmentFormats="0" applyWidthHeightFormats="0"/>
</file>

<file path=xl/queryTables/queryTable1793.xml><?xml version="1.0" encoding="utf-8"?>
<queryTable xmlns="http://schemas.openxmlformats.org/spreadsheetml/2006/main" name="DadosExternos_379" connectionId="778" autoFormatId="16" applyNumberFormats="0" applyBorderFormats="0" applyFontFormats="1" applyPatternFormats="1" applyAlignmentFormats="0" applyWidthHeightFormats="0"/>
</file>

<file path=xl/queryTables/queryTable1794.xml><?xml version="1.0" encoding="utf-8"?>
<queryTable xmlns="http://schemas.openxmlformats.org/spreadsheetml/2006/main" name="DadosExternos_342" connectionId="532" autoFormatId="16" applyNumberFormats="0" applyBorderFormats="0" applyFontFormats="1" applyPatternFormats="1" applyAlignmentFormats="0" applyWidthHeightFormats="0"/>
</file>

<file path=xl/queryTables/queryTable1795.xml><?xml version="1.0" encoding="utf-8"?>
<queryTable xmlns="http://schemas.openxmlformats.org/spreadsheetml/2006/main" name="DadosExternos_311" connectionId="469" autoFormatId="16" applyNumberFormats="0" applyBorderFormats="0" applyFontFormats="1" applyPatternFormats="1" applyAlignmentFormats="0" applyWidthHeightFormats="0"/>
</file>

<file path=xl/queryTables/queryTable1796.xml><?xml version="1.0" encoding="utf-8"?>
<queryTable xmlns="http://schemas.openxmlformats.org/spreadsheetml/2006/main" name="DadosExternos_309" connectionId="467" autoFormatId="16" applyNumberFormats="0" applyBorderFormats="0" applyFontFormats="1" applyPatternFormats="1" applyAlignmentFormats="0" applyWidthHeightFormats="0"/>
</file>

<file path=xl/queryTables/queryTable1797.xml><?xml version="1.0" encoding="utf-8"?>
<queryTable xmlns="http://schemas.openxmlformats.org/spreadsheetml/2006/main" name="DadosExternos_230" connectionId="207" autoFormatId="16" applyNumberFormats="0" applyBorderFormats="0" applyFontFormats="1" applyPatternFormats="1" applyAlignmentFormats="0" applyWidthHeightFormats="0"/>
</file>

<file path=xl/queryTables/queryTable1798.xml><?xml version="1.0" encoding="utf-8"?>
<queryTable xmlns="http://schemas.openxmlformats.org/spreadsheetml/2006/main" name="ExternalData_38" connectionId="993" autoFormatId="16" applyNumberFormats="0" applyBorderFormats="0" applyFontFormats="1" applyPatternFormats="1" applyAlignmentFormats="0" applyWidthHeightFormats="0"/>
</file>

<file path=xl/queryTables/queryTable1799.xml><?xml version="1.0" encoding="utf-8"?>
<queryTable xmlns="http://schemas.openxmlformats.org/spreadsheetml/2006/main" name="DadosExternos_134" connectionId="522" autoFormatId="16" applyNumberFormats="0" applyBorderFormats="0" applyFontFormats="1" applyPatternFormats="1" applyAlignmentFormats="0" applyWidthHeightFormats="0"/>
</file>

<file path=xl/queryTables/queryTable1800.xml><?xml version="1.0" encoding="utf-8"?>
<queryTable xmlns="http://schemas.openxmlformats.org/spreadsheetml/2006/main" name="DadosExternos_51" connectionId="306" autoFormatId="16" applyNumberFormats="0" applyBorderFormats="0" applyFontFormats="1" applyPatternFormats="1" applyAlignmentFormats="0" applyWidthHeightFormats="0"/>
</file>

<file path=xl/queryTables/queryTable1801.xml><?xml version="1.0" encoding="utf-8"?>
<queryTable xmlns="http://schemas.openxmlformats.org/spreadsheetml/2006/main" name="DadosExternos_175" connectionId="733" autoFormatId="16" applyNumberFormats="0" applyBorderFormats="0" applyFontFormats="1" applyPatternFormats="1" applyAlignmentFormats="0" applyWidthHeightFormats="0"/>
</file>

<file path=xl/queryTables/queryTable1802.xml><?xml version="1.0" encoding="utf-8"?>
<queryTable xmlns="http://schemas.openxmlformats.org/spreadsheetml/2006/main" name="DadosExternos_152" connectionId="639" autoFormatId="16" applyNumberFormats="0" applyBorderFormats="0" applyFontFormats="1" applyPatternFormats="1" applyAlignmentFormats="0" applyWidthHeightFormats="0"/>
</file>

<file path=xl/queryTables/queryTable1803.xml><?xml version="1.0" encoding="utf-8"?>
<queryTable xmlns="http://schemas.openxmlformats.org/spreadsheetml/2006/main" name="DadosExternos_271" connectionId="346" autoFormatId="16" applyNumberFormats="0" applyBorderFormats="0" applyFontFormats="1" applyPatternFormats="1" applyAlignmentFormats="0" applyWidthHeightFormats="0"/>
</file>

<file path=xl/queryTables/queryTable1804.xml><?xml version="1.0" encoding="utf-8"?>
<queryTable xmlns="http://schemas.openxmlformats.org/spreadsheetml/2006/main" name="ExternalData_146" connectionId="887" autoFormatId="16" applyNumberFormats="0" applyBorderFormats="0" applyFontFormats="1" applyPatternFormats="1" applyAlignmentFormats="0" applyWidthHeightFormats="0"/>
</file>

<file path=xl/queryTables/queryTable1805.xml><?xml version="1.0" encoding="utf-8"?>
<queryTable xmlns="http://schemas.openxmlformats.org/spreadsheetml/2006/main" name="DadosExternos_194" connectionId="94" autoFormatId="16" applyNumberFormats="0" applyBorderFormats="0" applyFontFormats="1" applyPatternFormats="1" applyAlignmentFormats="0" applyWidthHeightFormats="0"/>
</file>

<file path=xl/queryTables/queryTable1806.xml><?xml version="1.0" encoding="utf-8"?>
<queryTable xmlns="http://schemas.openxmlformats.org/spreadsheetml/2006/main" name="DadosExternos_397" connectionId="336" autoFormatId="16" applyNumberFormats="0" applyBorderFormats="0" applyFontFormats="1" applyPatternFormats="1" applyAlignmentFormats="0" applyWidthHeightFormats="0"/>
</file>

<file path=xl/queryTables/queryTable1807.xml><?xml version="1.0" encoding="utf-8"?>
<queryTable xmlns="http://schemas.openxmlformats.org/spreadsheetml/2006/main" name="ExternalData_7" connectionId="1046" autoFormatId="16" applyNumberFormats="0" applyBorderFormats="0" applyFontFormats="1" applyPatternFormats="1" applyAlignmentFormats="0" applyWidthHeightFormats="0"/>
</file>

<file path=xl/queryTables/queryTable1808.xml><?xml version="1.0" encoding="utf-8"?>
<queryTable xmlns="http://schemas.openxmlformats.org/spreadsheetml/2006/main" name="ExternalData_71" connectionId="1010" autoFormatId="16" applyNumberFormats="0" applyBorderFormats="0" applyFontFormats="1" applyPatternFormats="1" applyAlignmentFormats="0" applyWidthHeightFormats="0"/>
</file>

<file path=xl/queryTables/queryTable1809.xml><?xml version="1.0" encoding="utf-8"?>
<queryTable xmlns="http://schemas.openxmlformats.org/spreadsheetml/2006/main" name="DadosExternos_269" connectionId="334" autoFormatId="16" applyNumberFormats="0" applyBorderFormats="0" applyFontFormats="1" applyPatternFormats="1" applyAlignmentFormats="0" applyWidthHeightFormats="0"/>
</file>

<file path=xl/queryTables/queryTable1810.xml><?xml version="1.0" encoding="utf-8"?>
<queryTable xmlns="http://schemas.openxmlformats.org/spreadsheetml/2006/main" name="ExternalData_12" connectionId="817" autoFormatId="16" applyNumberFormats="0" applyBorderFormats="0" applyFontFormats="1" applyPatternFormats="1" applyAlignmentFormats="0" applyWidthHeightFormats="0"/>
</file>

<file path=xl/queryTables/queryTable1811.xml><?xml version="1.0" encoding="utf-8"?>
<queryTable xmlns="http://schemas.openxmlformats.org/spreadsheetml/2006/main" name="DadosExternos_124" connectionId="366" autoFormatId="16" applyNumberFormats="0" applyBorderFormats="0" applyFontFormats="1" applyPatternFormats="1" applyAlignmentFormats="0" applyWidthHeightFormats="0"/>
</file>

<file path=xl/queryTables/queryTable1812.xml><?xml version="1.0" encoding="utf-8"?>
<queryTable xmlns="http://schemas.openxmlformats.org/spreadsheetml/2006/main" name="ExternalData_105" connectionId="1119" autoFormatId="16" applyNumberFormats="0" applyBorderFormats="0" applyFontFormats="1" applyPatternFormats="1" applyAlignmentFormats="0" applyWidthHeightFormats="0"/>
</file>

<file path=xl/queryTables/queryTable1813.xml><?xml version="1.0" encoding="utf-8"?>
<queryTable xmlns="http://schemas.openxmlformats.org/spreadsheetml/2006/main" name="ExternalData_95" connectionId="1093" autoFormatId="16" applyNumberFormats="0" applyBorderFormats="0" applyFontFormats="1" applyPatternFormats="1" applyAlignmentFormats="0" applyWidthHeightFormats="0"/>
</file>

<file path=xl/queryTables/queryTable1814.xml><?xml version="1.0" encoding="utf-8"?>
<queryTable xmlns="http://schemas.openxmlformats.org/spreadsheetml/2006/main" name="DadosExternos_246" connectionId="265" autoFormatId="16" applyNumberFormats="0" applyBorderFormats="0" applyFontFormats="1" applyPatternFormats="1" applyAlignmentFormats="0" applyWidthHeightFormats="0"/>
</file>

<file path=xl/queryTables/queryTable1815.xml><?xml version="1.0" encoding="utf-8"?>
<queryTable xmlns="http://schemas.openxmlformats.org/spreadsheetml/2006/main" name="ExternalData_90" connectionId="1074" autoFormatId="16" applyNumberFormats="0" applyBorderFormats="0" applyFontFormats="1" applyPatternFormats="1" applyAlignmentFormats="0" applyWidthHeightFormats="0"/>
</file>

<file path=xl/queryTables/queryTable1816.xml><?xml version="1.0" encoding="utf-8"?>
<queryTable xmlns="http://schemas.openxmlformats.org/spreadsheetml/2006/main" name="DadosExternos_318" connectionId="480" autoFormatId="16" applyNumberFormats="0" applyBorderFormats="0" applyFontFormats="1" applyPatternFormats="1" applyAlignmentFormats="0" applyWidthHeightFormats="0"/>
</file>

<file path=xl/queryTables/queryTable1817.xml><?xml version="1.0" encoding="utf-8"?>
<queryTable xmlns="http://schemas.openxmlformats.org/spreadsheetml/2006/main" name="DadosExternos_434" connectionId="680" autoFormatId="16" applyNumberFormats="0" applyBorderFormats="0" applyFontFormats="1" applyPatternFormats="1" applyAlignmentFormats="0" applyWidthHeightFormats="0"/>
</file>

<file path=xl/queryTables/queryTable1818.xml><?xml version="1.0" encoding="utf-8"?>
<queryTable xmlns="http://schemas.openxmlformats.org/spreadsheetml/2006/main" name="DadosExternos_394" connectionId="291" autoFormatId="16" applyNumberFormats="0" applyBorderFormats="0" applyFontFormats="1" applyPatternFormats="1" applyAlignmentFormats="0" applyWidthHeightFormats="0"/>
</file>

<file path=xl/queryTables/queryTable1819.xml><?xml version="1.0" encoding="utf-8"?>
<queryTable xmlns="http://schemas.openxmlformats.org/spreadsheetml/2006/main" name="DadosExternos_213" connectionId="157" autoFormatId="16" applyNumberFormats="0" applyBorderFormats="0" applyFontFormats="1" applyPatternFormats="1" applyAlignmentFormats="0" applyWidthHeightFormats="0"/>
</file>

<file path=xl/queryTables/queryTable1820.xml><?xml version="1.0" encoding="utf-8"?>
<queryTable xmlns="http://schemas.openxmlformats.org/spreadsheetml/2006/main" name="ExternalData_125" connectionId="844" autoFormatId="16" applyNumberFormats="0" applyBorderFormats="0" applyFontFormats="1" applyPatternFormats="1" applyAlignmentFormats="0" applyWidthHeightFormats="0"/>
</file>

<file path=xl/queryTables/queryTable1821.xml><?xml version="1.0" encoding="utf-8"?>
<queryTable xmlns="http://schemas.openxmlformats.org/spreadsheetml/2006/main" name="DadosExternos_184" connectionId="5" autoFormatId="16" applyNumberFormats="0" applyBorderFormats="0" applyFontFormats="1" applyPatternFormats="1" applyAlignmentFormats="0" applyWidthHeightFormats="0"/>
</file>

<file path=xl/queryTables/queryTable1822.xml><?xml version="1.0" encoding="utf-8"?>
<queryTable xmlns="http://schemas.openxmlformats.org/spreadsheetml/2006/main" name="DadosExternos_237" connectionId="220" autoFormatId="16" applyNumberFormats="0" applyBorderFormats="0" applyFontFormats="1" applyPatternFormats="1" applyAlignmentFormats="0" applyWidthHeightFormats="0"/>
</file>

<file path=xl/queryTables/queryTable1823.xml><?xml version="1.0" encoding="utf-8"?>
<queryTable xmlns="http://schemas.openxmlformats.org/spreadsheetml/2006/main" name="DadosExternos_363" connectionId="576" autoFormatId="16" applyNumberFormats="0" applyBorderFormats="0" applyFontFormats="1" applyPatternFormats="1" applyAlignmentFormats="0" applyWidthHeightFormats="0"/>
</file>

<file path=xl/queryTables/queryTable1824.xml><?xml version="1.0" encoding="utf-8"?>
<queryTable xmlns="http://schemas.openxmlformats.org/spreadsheetml/2006/main" name="DadosExternos_133" connectionId="506" autoFormatId="16" applyNumberFormats="0" applyBorderFormats="0" applyFontFormats="1" applyPatternFormats="1" applyAlignmentFormats="0" applyWidthHeightFormats="0"/>
</file>

<file path=xl/queryTables/queryTable1825.xml><?xml version="1.0" encoding="utf-8"?>
<queryTable xmlns="http://schemas.openxmlformats.org/spreadsheetml/2006/main" name="DadosExternos_265" connectionId="327" autoFormatId="16" applyNumberFormats="0" applyBorderFormats="0" applyFontFormats="1" applyPatternFormats="1" applyAlignmentFormats="0" applyWidthHeightFormats="0"/>
</file>

<file path=xl/queryTables/queryTable1826.xml><?xml version="1.0" encoding="utf-8"?>
<queryTable xmlns="http://schemas.openxmlformats.org/spreadsheetml/2006/main" name="ExternalData_136" connectionId="872" autoFormatId="16" applyNumberFormats="0" applyBorderFormats="0" applyFontFormats="1" applyPatternFormats="1" applyAlignmentFormats="0" applyWidthHeightFormats="0"/>
</file>

<file path=xl/queryTables/queryTable1827.xml><?xml version="1.0" encoding="utf-8"?>
<queryTable xmlns="http://schemas.openxmlformats.org/spreadsheetml/2006/main" name="ExternalData_157" connectionId="913" autoFormatId="16" applyNumberFormats="0" applyBorderFormats="0" applyFontFormats="1" applyPatternFormats="1" applyAlignmentFormats="0" applyWidthHeightFormats="0"/>
</file>

<file path=xl/queryTables/queryTable1828.xml><?xml version="1.0" encoding="utf-8"?>
<queryTable xmlns="http://schemas.openxmlformats.org/spreadsheetml/2006/main" name="DadosExternos_71" connectionId="557" autoFormatId="16" applyNumberFormats="0" applyBorderFormats="0" applyFontFormats="1" applyPatternFormats="1" applyAlignmentFormats="0" applyWidthHeightFormats="0"/>
</file>

<file path=xl/queryTables/queryTable1829.xml><?xml version="1.0" encoding="utf-8"?>
<queryTable xmlns="http://schemas.openxmlformats.org/spreadsheetml/2006/main" name="DadosExternos_156" connectionId="660" autoFormatId="16" applyNumberFormats="0" applyBorderFormats="0" applyFontFormats="1" applyPatternFormats="1" applyAlignmentFormats="0" applyWidthHeightFormats="0"/>
</file>

<file path=xl/queryTables/queryTable1830.xml><?xml version="1.0" encoding="utf-8"?>
<queryTable xmlns="http://schemas.openxmlformats.org/spreadsheetml/2006/main" name="DadosExternos_59" connectionId="424" autoFormatId="16" applyNumberFormats="0" applyBorderFormats="0" applyFontFormats="1" applyPatternFormats="1" applyAlignmentFormats="0" applyWidthHeightFormats="0"/>
</file>

<file path=xl/queryTables/queryTable1831.xml><?xml version="1.0" encoding="utf-8"?>
<queryTable xmlns="http://schemas.openxmlformats.org/spreadsheetml/2006/main" name="ExternalData_107" connectionId="1128" autoFormatId="16" applyNumberFormats="0" applyBorderFormats="0" applyFontFormats="1" applyPatternFormats="1" applyAlignmentFormats="0" applyWidthHeightFormats="0"/>
</file>

<file path=xl/queryTables/queryTable1832.xml><?xml version="1.0" encoding="utf-8"?>
<queryTable xmlns="http://schemas.openxmlformats.org/spreadsheetml/2006/main" name="DadosExternos_349" connectionId="547" autoFormatId="16" applyNumberFormats="0" applyBorderFormats="0" applyFontFormats="1" applyPatternFormats="1" applyAlignmentFormats="0" applyWidthHeightFormats="0"/>
</file>

<file path=xl/queryTables/queryTable1833.xml><?xml version="1.0" encoding="utf-8"?>
<queryTable xmlns="http://schemas.openxmlformats.org/spreadsheetml/2006/main" name="DadosExternos_414" connectionId="588" autoFormatId="16" applyNumberFormats="0" applyBorderFormats="0" applyFontFormats="1" applyPatternFormats="1" applyAlignmentFormats="0" applyWidthHeightFormats="0"/>
</file>

<file path=xl/queryTables/queryTable1834.xml><?xml version="1.0" encoding="utf-8"?>
<queryTable xmlns="http://schemas.openxmlformats.org/spreadsheetml/2006/main" name="DadosExternos_62" connectionId="472" autoFormatId="16" applyNumberFormats="0" applyBorderFormats="0" applyFontFormats="1" applyPatternFormats="1" applyAlignmentFormats="0" applyWidthHeightFormats="0"/>
</file>

<file path=xl/queryTables/queryTable1835.xml><?xml version="1.0" encoding="utf-8"?>
<queryTable xmlns="http://schemas.openxmlformats.org/spreadsheetml/2006/main" name="DadosExternos_320" connectionId="486" autoFormatId="16" applyNumberFormats="0" applyBorderFormats="0" applyFontFormats="1" applyPatternFormats="1" applyAlignmentFormats="0" applyWidthHeightFormats="0"/>
</file>

<file path=xl/queryTables/queryTable1836.xml><?xml version="1.0" encoding="utf-8"?>
<queryTable xmlns="http://schemas.openxmlformats.org/spreadsheetml/2006/main" name="DadosExternos_469" connectionId="79" autoFormatId="16" applyNumberFormats="0" applyBorderFormats="0" applyFontFormats="1" applyPatternFormats="1" applyAlignmentFormats="0" applyWidthHeightFormats="0"/>
</file>

<file path=xl/queryTables/queryTable1837.xml><?xml version="1.0" encoding="utf-8"?>
<queryTable xmlns="http://schemas.openxmlformats.org/spreadsheetml/2006/main" name="DadosExternos_205" connectionId="136" autoFormatId="16" applyNumberFormats="0" applyBorderFormats="0" applyFontFormats="1" applyPatternFormats="1" applyAlignmentFormats="0" applyWidthHeightFormats="0"/>
</file>

<file path=xl/queryTables/queryTable1838.xml><?xml version="1.0" encoding="utf-8"?>
<queryTable xmlns="http://schemas.openxmlformats.org/spreadsheetml/2006/main" name="DadosExternos_158" connectionId="666" autoFormatId="16" applyNumberFormats="0" applyBorderFormats="0" applyFontFormats="1" applyPatternFormats="1" applyAlignmentFormats="0" applyWidthHeightFormats="0"/>
</file>

<file path=xl/queryTables/queryTable1839.xml><?xml version="1.0" encoding="utf-8"?>
<queryTable xmlns="http://schemas.openxmlformats.org/spreadsheetml/2006/main" name="DadosExternos_466" connectionId="57" autoFormatId="16" applyNumberFormats="0" applyBorderFormats="0" applyFontFormats="1" applyPatternFormats="1" applyAlignmentFormats="0" applyWidthHeightFormats="0"/>
</file>

<file path=xl/queryTables/queryTable1840.xml><?xml version="1.0" encoding="utf-8"?>
<queryTable xmlns="http://schemas.openxmlformats.org/spreadsheetml/2006/main" name="ExternalData_89" connectionId="1069" autoFormatId="16" applyNumberFormats="0" applyBorderFormats="0" applyFontFormats="1" applyPatternFormats="1" applyAlignmentFormats="0" applyWidthHeightFormats="0"/>
</file>

<file path=xl/queryTables/queryTable1841.xml><?xml version="1.0" encoding="utf-8"?>
<queryTable xmlns="http://schemas.openxmlformats.org/spreadsheetml/2006/main" name="ExternalData_81" connectionId="1032" autoFormatId="16" applyNumberFormats="0" applyBorderFormats="0" applyFontFormats="1" applyPatternFormats="1" applyAlignmentFormats="0" applyWidthHeightFormats="0"/>
</file>

<file path=xl/queryTables/queryTable1842.xml><?xml version="1.0" encoding="utf-8"?>
<queryTable xmlns="http://schemas.openxmlformats.org/spreadsheetml/2006/main" name="DadosExternos_27" connectionId="69" autoFormatId="16" applyNumberFormats="0" applyBorderFormats="0" applyFontFormats="1" applyPatternFormats="1" applyAlignmentFormats="0" applyWidthHeightFormats="0"/>
</file>

<file path=xl/queryTables/queryTable1843.xml><?xml version="1.0" encoding="utf-8"?>
<queryTable xmlns="http://schemas.openxmlformats.org/spreadsheetml/2006/main" name="ExternalData_13" connectionId="835" autoFormatId="16" applyNumberFormats="0" applyBorderFormats="0" applyFontFormats="1" applyPatternFormats="1" applyAlignmentFormats="0" applyWidthHeightFormats="0"/>
</file>

<file path=xl/queryTables/queryTable1844.xml><?xml version="1.0" encoding="utf-8"?>
<queryTable xmlns="http://schemas.openxmlformats.org/spreadsheetml/2006/main" name="DadosExternos_260" connectionId="310" autoFormatId="16" applyNumberFormats="0" applyBorderFormats="0" applyFontFormats="1" applyPatternFormats="1" applyAlignmentFormats="0" applyWidthHeightFormats="0"/>
</file>

<file path=xl/queryTables/queryTable1845.xml><?xml version="1.0" encoding="utf-8"?>
<queryTable xmlns="http://schemas.openxmlformats.org/spreadsheetml/2006/main" name="ExternalData_135" connectionId="870" autoFormatId="16" applyNumberFormats="0" applyBorderFormats="0" applyFontFormats="1" applyPatternFormats="1" applyAlignmentFormats="0" applyWidthHeightFormats="0"/>
</file>

<file path=xl/queryTables/queryTable1846.xml><?xml version="1.0" encoding="utf-8"?>
<queryTable xmlns="http://schemas.openxmlformats.org/spreadsheetml/2006/main" name="DadosExternos_136" connectionId="555" autoFormatId="16" applyNumberFormats="0" applyBorderFormats="0" applyFontFormats="1" applyPatternFormats="1" applyAlignmentFormats="0" applyWidthHeightFormats="0"/>
</file>

<file path=xl/queryTables/queryTable1847.xml><?xml version="1.0" encoding="utf-8"?>
<queryTable xmlns="http://schemas.openxmlformats.org/spreadsheetml/2006/main" name="DadosExternos_142" connectionId="599" autoFormatId="16" applyNumberFormats="0" applyBorderFormats="0" applyFontFormats="1" applyPatternFormats="1" applyAlignmentFormats="0" applyWidthHeightFormats="0"/>
</file>

<file path=xl/queryTables/queryTable1848.xml><?xml version="1.0" encoding="utf-8"?>
<queryTable xmlns="http://schemas.openxmlformats.org/spreadsheetml/2006/main" name="ExternalData_63" connectionId="988" autoFormatId="16" applyNumberFormats="0" applyBorderFormats="0" applyFontFormats="1" applyPatternFormats="1" applyAlignmentFormats="0" applyWidthHeightFormats="0"/>
</file>

<file path=xl/queryTables/queryTable1849.xml><?xml version="1.0" encoding="utf-8"?>
<queryTable xmlns="http://schemas.openxmlformats.org/spreadsheetml/2006/main" name="DadosExternos_268" connectionId="331" autoFormatId="16" applyNumberFormats="0" applyBorderFormats="0" applyFontFormats="1" applyPatternFormats="1" applyAlignmentFormats="0" applyWidthHeightFormats="0"/>
</file>

<file path=xl/queryTables/queryTable1850.xml><?xml version="1.0" encoding="utf-8"?>
<queryTable xmlns="http://schemas.openxmlformats.org/spreadsheetml/2006/main" name="DadosExternos_173" connectionId="726" autoFormatId="16" applyNumberFormats="0" applyBorderFormats="0" applyFontFormats="1" applyPatternFormats="1" applyAlignmentFormats="0" applyWidthHeightFormats="0"/>
</file>

<file path=xl/queryTables/queryTable1851.xml><?xml version="1.0" encoding="utf-8"?>
<queryTable xmlns="http://schemas.openxmlformats.org/spreadsheetml/2006/main" name="ExternalData_147" connectionId="889" autoFormatId="16" applyNumberFormats="0" applyBorderFormats="0" applyFontFormats="1" applyPatternFormats="1" applyAlignmentFormats="0" applyWidthHeightFormats="0"/>
</file>

<file path=xl/queryTables/queryTable1852.xml><?xml version="1.0" encoding="utf-8"?>
<queryTable xmlns="http://schemas.openxmlformats.org/spreadsheetml/2006/main" name="DadosExternos_439" connectionId="705" autoFormatId="16" applyNumberFormats="0" applyBorderFormats="0" applyFontFormats="1" applyPatternFormats="1" applyAlignmentFormats="0" applyWidthHeightFormats="0"/>
</file>

<file path=xl/queryTables/queryTable1853.xml><?xml version="1.0" encoding="utf-8"?>
<queryTable xmlns="http://schemas.openxmlformats.org/spreadsheetml/2006/main" name="DadosExternos_20" connectionId="791" autoFormatId="16" applyNumberFormats="0" applyBorderFormats="0" applyFontFormats="1" applyPatternFormats="1" applyAlignmentFormats="0" applyWidthHeightFormats="0"/>
</file>

<file path=xl/queryTables/queryTable1854.xml><?xml version="1.0" encoding="utf-8"?>
<queryTable xmlns="http://schemas.openxmlformats.org/spreadsheetml/2006/main" name="ExternalData_29" connectionId="934" autoFormatId="16" applyNumberFormats="0" applyBorderFormats="0" applyFontFormats="1" applyPatternFormats="1" applyAlignmentFormats="0" applyWidthHeightFormats="0"/>
</file>

<file path=xl/queryTables/queryTable1855.xml><?xml version="1.0" encoding="utf-8"?>
<queryTable xmlns="http://schemas.openxmlformats.org/spreadsheetml/2006/main" name="DadosExternos_217" connectionId="171" autoFormatId="16" applyNumberFormats="0" applyBorderFormats="0" applyFontFormats="1" applyPatternFormats="1" applyAlignmentFormats="0" applyWidthHeightFormats="0"/>
</file>

<file path=xl/queryTables/queryTable1856.xml><?xml version="1.0" encoding="utf-8"?>
<queryTable xmlns="http://schemas.openxmlformats.org/spreadsheetml/2006/main" name="DadosExternos_35" connectionId="783" autoFormatId="16" applyNumberFormats="0" applyBorderFormats="0" applyFontFormats="1" applyPatternFormats="1" applyAlignmentFormats="0" applyWidthHeightFormats="0"/>
</file>

<file path=xl/queryTables/queryTable1857.xml><?xml version="1.0" encoding="utf-8"?>
<queryTable xmlns="http://schemas.openxmlformats.org/spreadsheetml/2006/main" name="DadosExternos_360" connectionId="570" autoFormatId="16" applyNumberFormats="0" applyBorderFormats="0" applyFontFormats="1" applyPatternFormats="1" applyAlignmentFormats="0" applyWidthHeightFormats="0"/>
</file>

<file path=xl/queryTables/queryTable1858.xml><?xml version="1.0" encoding="utf-8"?>
<queryTable xmlns="http://schemas.openxmlformats.org/spreadsheetml/2006/main" name="DadosExternos_238" connectionId="222" autoFormatId="16" applyNumberFormats="0" applyBorderFormats="0" applyFontFormats="1" applyPatternFormats="1" applyAlignmentFormats="0" applyWidthHeightFormats="0"/>
</file>

<file path=xl/queryTables/queryTable1859.xml><?xml version="1.0" encoding="utf-8"?>
<queryTable xmlns="http://schemas.openxmlformats.org/spreadsheetml/2006/main" name="ExternalData_108" connectionId="1131" autoFormatId="16" applyNumberFormats="0" applyBorderFormats="0" applyFontFormats="1" applyPatternFormats="1" applyAlignmentFormats="0" applyWidthHeightFormats="0"/>
</file>

<file path=xl/queryTables/queryTable1860.xml><?xml version="1.0" encoding="utf-8"?>
<queryTable xmlns="http://schemas.openxmlformats.org/spreadsheetml/2006/main" name="DadosExternos_239" connectionId="224" autoFormatId="16" applyNumberFormats="0" applyBorderFormats="0" applyFontFormats="1" applyPatternFormats="1" applyAlignmentFormats="0" applyWidthHeightFormats="0"/>
</file>

<file path=xl/queryTables/queryTable1861.xml><?xml version="1.0" encoding="utf-8"?>
<queryTable xmlns="http://schemas.openxmlformats.org/spreadsheetml/2006/main" name="DadosExternos_37" connectionId="72" autoFormatId="16" applyNumberFormats="0" applyBorderFormats="0" applyFontFormats="1" applyPatternFormats="1" applyAlignmentFormats="0" applyWidthHeightFormats="0"/>
</file>

<file path=xl/queryTables/queryTable1862.xml><?xml version="1.0" encoding="utf-8"?>
<queryTable xmlns="http://schemas.openxmlformats.org/spreadsheetml/2006/main" name="DadosExternos_50" connectionId="293" autoFormatId="16" applyNumberFormats="0" applyBorderFormats="0" applyFontFormats="1" applyPatternFormats="1" applyAlignmentFormats="0" applyWidthHeightFormats="0"/>
</file>

<file path=xl/queryTables/queryTable1863.xml><?xml version="1.0" encoding="utf-8"?>
<queryTable xmlns="http://schemas.openxmlformats.org/spreadsheetml/2006/main" name="ExternalData_85" connectionId="1040" autoFormatId="16" applyNumberFormats="0" applyBorderFormats="0" applyFontFormats="1" applyPatternFormats="1" applyAlignmentFormats="0" applyWidthHeightFormats="0"/>
</file>

<file path=xl/queryTables/queryTable1864.xml><?xml version="1.0" encoding="utf-8"?>
<queryTable xmlns="http://schemas.openxmlformats.org/spreadsheetml/2006/main" name="DadosExternos_227" connectionId="201" autoFormatId="16" applyNumberFormats="0" applyBorderFormats="0" applyFontFormats="1" applyPatternFormats="1" applyAlignmentFormats="0" applyWidthHeightFormats="0"/>
</file>

<file path=xl/queryTables/queryTable1865.xml><?xml version="1.0" encoding="utf-8"?>
<queryTable xmlns="http://schemas.openxmlformats.org/spreadsheetml/2006/main" name="DadosExternos_174" connectionId="729" autoFormatId="16" applyNumberFormats="0" applyBorderFormats="0" applyFontFormats="1" applyPatternFormats="1" applyAlignmentFormats="0" applyWidthHeightFormats="0"/>
</file>

<file path=xl/queryTables/queryTable1866.xml><?xml version="1.0" encoding="utf-8"?>
<queryTable xmlns="http://schemas.openxmlformats.org/spreadsheetml/2006/main" name="DadosExternos_221" connectionId="185" autoFormatId="16" applyNumberFormats="0" applyBorderFormats="0" applyFontFormats="1" applyPatternFormats="1" applyAlignmentFormats="0" applyWidthHeightFormats="0"/>
</file>

<file path=xl/queryTables/queryTable1867.xml><?xml version="1.0" encoding="utf-8"?>
<queryTable xmlns="http://schemas.openxmlformats.org/spreadsheetml/2006/main" name="ExternalData_109" connectionId="1133" autoFormatId="16" applyNumberFormats="0" applyBorderFormats="0" applyFontFormats="1" applyPatternFormats="1" applyAlignmentFormats="0" applyWidthHeightFormats="0"/>
</file>

<file path=xl/queryTables/queryTable1868.xml><?xml version="1.0" encoding="utf-8"?>
<queryTable xmlns="http://schemas.openxmlformats.org/spreadsheetml/2006/main" name="DadosExternos_465" connectionId="50" autoFormatId="16" applyNumberFormats="0" applyBorderFormats="0" applyFontFormats="1" applyPatternFormats="1" applyAlignmentFormats="0" applyWidthHeightFormats="0"/>
</file>

<file path=xl/queryTables/queryTable1869.xml><?xml version="1.0" encoding="utf-8"?>
<queryTable xmlns="http://schemas.openxmlformats.org/spreadsheetml/2006/main" name="DadosExternos_272" connectionId="354" autoFormatId="16" applyNumberFormats="0" applyBorderFormats="0" applyFontFormats="1" applyPatternFormats="1" applyAlignmentFormats="0" applyWidthHeightFormats="0"/>
</file>

<file path=xl/queryTables/queryTable1870.xml><?xml version="1.0" encoding="utf-8"?>
<queryTable xmlns="http://schemas.openxmlformats.org/spreadsheetml/2006/main" name="DadosExternos_276" connectionId="360" autoFormatId="16" applyNumberFormats="0" applyBorderFormats="0" applyFontFormats="1" applyPatternFormats="1" applyAlignmentFormats="0" applyWidthHeightFormats="0"/>
</file>

<file path=xl/queryTables/queryTable1871.xml><?xml version="1.0" encoding="utf-8"?>
<queryTable xmlns="http://schemas.openxmlformats.org/spreadsheetml/2006/main" name="DadosExternos_26" connectionId="769" autoFormatId="16" applyNumberFormats="0" applyBorderFormats="0" applyFontFormats="1" applyPatternFormats="1" applyAlignmentFormats="0" applyWidthHeightFormats="0"/>
</file>

<file path=xl/queryTables/queryTable1872.xml><?xml version="1.0" encoding="utf-8"?>
<queryTable xmlns="http://schemas.openxmlformats.org/spreadsheetml/2006/main" name="DadosExternos_404" connectionId="443" autoFormatId="16" applyNumberFormats="0" applyBorderFormats="0" applyFontFormats="1" applyPatternFormats="1" applyAlignmentFormats="0" applyWidthHeightFormats="0"/>
</file>

<file path=xl/queryTables/queryTable1873.xml><?xml version="1.0" encoding="utf-8"?>
<queryTable xmlns="http://schemas.openxmlformats.org/spreadsheetml/2006/main" name="DadosExternos_43" connectionId="180" autoFormatId="16" applyNumberFormats="0" applyBorderFormats="0" applyFontFormats="1" applyPatternFormats="1" applyAlignmentFormats="0" applyWidthHeightFormats="0"/>
</file>

<file path=xl/queryTables/queryTable1874.xml><?xml version="1.0" encoding="utf-8"?>
<queryTable xmlns="http://schemas.openxmlformats.org/spreadsheetml/2006/main" name="DadosExternos_199" connectionId="112" autoFormatId="16" applyNumberFormats="0" applyBorderFormats="0" applyFontFormats="1" applyPatternFormats="1" applyAlignmentFormats="0" applyWidthHeightFormats="0"/>
</file>

<file path=xl/queryTables/queryTable1875.xml><?xml version="1.0" encoding="utf-8"?>
<queryTable xmlns="http://schemas.openxmlformats.org/spreadsheetml/2006/main" name="DadosExternos_389" connectionId="214" autoFormatId="16" applyNumberFormats="0" applyBorderFormats="0" applyFontFormats="1" applyPatternFormats="1" applyAlignmentFormats="0" applyWidthHeightFormats="0"/>
</file>

<file path=xl/queryTables/queryTable1876.xml><?xml version="1.0" encoding="utf-8"?>
<queryTable xmlns="http://schemas.openxmlformats.org/spreadsheetml/2006/main" name="ExternalData_137" connectionId="873" autoFormatId="16" applyNumberFormats="0" applyBorderFormats="0" applyFontFormats="1" applyPatternFormats="1" applyAlignmentFormats="0" applyWidthHeightFormats="0"/>
</file>

<file path=xl/queryTables/queryTable1877.xml><?xml version="1.0" encoding="utf-8"?>
<queryTable xmlns="http://schemas.openxmlformats.org/spreadsheetml/2006/main" name="ExternalData_124" connectionId="842" autoFormatId="16" applyNumberFormats="0" applyBorderFormats="0" applyFontFormats="1" applyPatternFormats="1" applyAlignmentFormats="0" applyWidthHeightFormats="0"/>
</file>

<file path=xl/queryTables/queryTable1878.xml><?xml version="1.0" encoding="utf-8"?>
<queryTable xmlns="http://schemas.openxmlformats.org/spreadsheetml/2006/main" name="DadosExternos_416" connectionId="595" autoFormatId="16" applyNumberFormats="0" applyBorderFormats="0" applyFontFormats="1" applyPatternFormats="1" applyAlignmentFormats="0" applyWidthHeightFormats="0"/>
</file>

<file path=xl/queryTables/queryTable1879.xml><?xml version="1.0" encoding="utf-8"?>
<queryTable xmlns="http://schemas.openxmlformats.org/spreadsheetml/2006/main" name="DadosExternos_281" connectionId="385" autoFormatId="16" applyNumberFormats="0" applyBorderFormats="0" applyFontFormats="1" applyPatternFormats="1" applyAlignmentFormats="0" applyWidthHeightFormats="0"/>
</file>

<file path=xl/queryTables/queryTable1880.xml><?xml version="1.0" encoding="utf-8"?>
<queryTable xmlns="http://schemas.openxmlformats.org/spreadsheetml/2006/main" name="DadosExternos_290" connectionId="415" autoFormatId="16" applyNumberFormats="0" applyBorderFormats="0" applyFontFormats="1" applyPatternFormats="1" applyAlignmentFormats="0" applyWidthHeightFormats="0"/>
</file>

<file path=xl/queryTables/queryTable1881.xml><?xml version="1.0" encoding="utf-8"?>
<queryTable xmlns="http://schemas.openxmlformats.org/spreadsheetml/2006/main" name="DadosExternos_118" connectionId="281" autoFormatId="16" applyNumberFormats="0" applyBorderFormats="0" applyFontFormats="1" applyPatternFormats="1" applyAlignmentFormats="0" applyWidthHeightFormats="0"/>
</file>

<file path=xl/queryTables/queryTable1882.xml><?xml version="1.0" encoding="utf-8"?>
<queryTable xmlns="http://schemas.openxmlformats.org/spreadsheetml/2006/main" name="DadosExternos_408" connectionId="505" autoFormatId="16" applyNumberFormats="0" applyBorderFormats="0" applyFontFormats="1" applyPatternFormats="1" applyAlignmentFormats="0" applyWidthHeightFormats="0"/>
</file>

<file path=xl/queryTables/queryTable1883.xml><?xml version="1.0" encoding="utf-8"?>
<queryTable xmlns="http://schemas.openxmlformats.org/spreadsheetml/2006/main" name="ExternalData_97" connectionId="1098" autoFormatId="16" applyNumberFormats="0" applyBorderFormats="0" applyFontFormats="1" applyPatternFormats="1" applyAlignmentFormats="0" applyWidthHeightFormats="0"/>
</file>

<file path=xl/queryTables/queryTable1884.xml><?xml version="1.0" encoding="utf-8"?>
<queryTable xmlns="http://schemas.openxmlformats.org/spreadsheetml/2006/main" name="DadosExternos_382" connectionId="87" autoFormatId="16" applyNumberFormats="0" applyBorderFormats="0" applyFontFormats="1" applyPatternFormats="1" applyAlignmentFormats="0" applyWidthHeightFormats="0"/>
</file>

<file path=xl/queryTables/queryTable1885.xml><?xml version="1.0" encoding="utf-8"?>
<queryTable xmlns="http://schemas.openxmlformats.org/spreadsheetml/2006/main" name="ExternalData_25" connectionId="880" autoFormatId="16" applyNumberFormats="0" applyBorderFormats="0" applyFontFormats="1" applyPatternFormats="1" applyAlignmentFormats="0" applyWidthHeightFormats="0"/>
</file>

<file path=xl/queryTables/queryTable1886.xml><?xml version="1.0" encoding="utf-8"?>
<queryTable xmlns="http://schemas.openxmlformats.org/spreadsheetml/2006/main" name="ExternalData_158" connectionId="914" autoFormatId="16" applyNumberFormats="0" applyBorderFormats="0" applyFontFormats="1" applyPatternFormats="1" applyAlignmentFormats="0" applyWidthHeightFormats="0"/>
</file>

<file path=xl/queryTables/queryTable1887.xml><?xml version="1.0" encoding="utf-8"?>
<queryTable xmlns="http://schemas.openxmlformats.org/spreadsheetml/2006/main" name="DadosExternos_204" connectionId="133" autoFormatId="16" applyNumberFormats="0" applyBorderFormats="0" applyFontFormats="1" applyPatternFormats="1" applyAlignmentFormats="0" applyWidthHeightFormats="0"/>
</file>

<file path=xl/queryTables/queryTable1888.xml><?xml version="1.0" encoding="utf-8"?>
<queryTable xmlns="http://schemas.openxmlformats.org/spreadsheetml/2006/main" name="DadosExternos_338" connectionId="528" autoFormatId="16" applyNumberFormats="0" applyBorderFormats="0" applyFontFormats="1" applyPatternFormats="1" applyAlignmentFormats="0" applyWidthHeightFormats="0"/>
</file>

<file path=xl/queryTables/queryTable1889.xml><?xml version="1.0" encoding="utf-8"?>
<queryTable xmlns="http://schemas.openxmlformats.org/spreadsheetml/2006/main" name="ExternalData_35" connectionId="982" autoFormatId="16" applyNumberFormats="0" applyBorderFormats="0" applyFontFormats="1" applyPatternFormats="1" applyAlignmentFormats="0" applyWidthHeightFormats="0"/>
</file>

<file path=xl/queryTables/queryTable1890.xml><?xml version="1.0" encoding="utf-8"?>
<queryTable xmlns="http://schemas.openxmlformats.org/spreadsheetml/2006/main" name="ExternalData_94" connectionId="1091" autoFormatId="16" applyNumberFormats="0" applyBorderFormats="0" applyFontFormats="1" applyPatternFormats="1" applyAlignmentFormats="0" applyWidthHeightFormats="0"/>
</file>

<file path=xl/queryTables/queryTable1891.xml><?xml version="1.0" encoding="utf-8"?>
<queryTable xmlns="http://schemas.openxmlformats.org/spreadsheetml/2006/main" name="DadosExternos_337" connectionId="526" autoFormatId="16" applyNumberFormats="0" applyBorderFormats="0" applyFontFormats="1" applyPatternFormats="1" applyAlignmentFormats="0" applyWidthHeightFormats="0"/>
</file>

<file path=xl/queryTables/queryTable1892.xml><?xml version="1.0" encoding="utf-8"?>
<queryTable xmlns="http://schemas.openxmlformats.org/spreadsheetml/2006/main" name="DadosExternos_424" connectionId="638" autoFormatId="16" applyNumberFormats="0" applyBorderFormats="0" applyFontFormats="1" applyPatternFormats="1" applyAlignmentFormats="0" applyWidthHeightFormats="0"/>
</file>

<file path=xl/queryTables/queryTable1893.xml><?xml version="1.0" encoding="utf-8"?>
<queryTable xmlns="http://schemas.openxmlformats.org/spreadsheetml/2006/main" name="DadosExternos_358" connectionId="565" autoFormatId="16" applyNumberFormats="0" applyBorderFormats="0" applyFontFormats="1" applyPatternFormats="1" applyAlignmentFormats="0" applyWidthHeightFormats="0"/>
</file>

<file path=xl/queryTables/queryTable1894.xml><?xml version="1.0" encoding="utf-8"?>
<queryTable xmlns="http://schemas.openxmlformats.org/spreadsheetml/2006/main" name="DadosExternos_64" connectionId="508" autoFormatId="16" applyNumberFormats="0" applyBorderFormats="0" applyFontFormats="1" applyPatternFormats="1" applyAlignmentFormats="0" applyWidthHeightFormats="0"/>
</file>

<file path=xl/queryTables/queryTable1895.xml><?xml version="1.0" encoding="utf-8"?>
<queryTable xmlns="http://schemas.openxmlformats.org/spreadsheetml/2006/main" name="DadosExternos_463" connectionId="39" autoFormatId="16" applyNumberFormats="0" applyBorderFormats="0" applyFontFormats="1" applyPatternFormats="1" applyAlignmentFormats="0" applyWidthHeightFormats="0"/>
</file>

<file path=xl/queryTables/queryTable1896.xml><?xml version="1.0" encoding="utf-8"?>
<queryTable xmlns="http://schemas.openxmlformats.org/spreadsheetml/2006/main" name="DadosExternos_250" connectionId="274" autoFormatId="16" applyNumberFormats="0" applyBorderFormats="0" applyFontFormats="1" applyPatternFormats="1" applyAlignmentFormats="0" applyWidthHeightFormats="0"/>
</file>

<file path=xl/queryTables/queryTable1897.xml><?xml version="1.0" encoding="utf-8"?>
<queryTable xmlns="http://schemas.openxmlformats.org/spreadsheetml/2006/main" name="ExternalData_37" connectionId="991" autoFormatId="16" applyNumberFormats="0" applyBorderFormats="0" applyFontFormats="1" applyPatternFormats="1" applyAlignmentFormats="0" applyWidthHeightFormats="0"/>
</file>

<file path=xl/queryTables/queryTable1898.xml><?xml version="1.0" encoding="utf-8"?>
<queryTable xmlns="http://schemas.openxmlformats.org/spreadsheetml/2006/main" name="DadosExternos_377" connectionId="695" autoFormatId="16" applyNumberFormats="0" applyBorderFormats="0" applyFontFormats="1" applyPatternFormats="1" applyAlignmentFormats="0" applyWidthHeightFormats="0"/>
</file>

<file path=xl/queryTables/queryTable1899.xml><?xml version="1.0" encoding="utf-8"?>
<queryTable xmlns="http://schemas.openxmlformats.org/spreadsheetml/2006/main" name="DadosExternos_391" connectionId="249" autoFormatId="16" applyNumberFormats="0" applyBorderFormats="0" applyFontFormats="1" applyPatternFormats="1" applyAlignmentFormats="0" applyWidthHeightFormats="0"/>
</file>

<file path=xl/queryTables/queryTable1900.xml><?xml version="1.0" encoding="utf-8"?>
<queryTable xmlns="http://schemas.openxmlformats.org/spreadsheetml/2006/main" name="DadosExternos_440" connectionId="709" autoFormatId="16" applyNumberFormats="0" applyBorderFormats="0" applyFontFormats="1" applyPatternFormats="1" applyAlignmentFormats="0" applyWidthHeightFormats="0"/>
</file>

<file path=xl/queryTables/queryTable1901.xml><?xml version="1.0" encoding="utf-8"?>
<queryTable xmlns="http://schemas.openxmlformats.org/spreadsheetml/2006/main" name="ExternalData_69" connectionId="1006" autoFormatId="16" applyNumberFormats="0" applyBorderFormats="0" applyFontFormats="1" applyPatternFormats="1" applyAlignmentFormats="0" applyWidthHeightFormats="0"/>
</file>

<file path=xl/queryTables/queryTable1902.xml><?xml version="1.0" encoding="utf-8"?>
<queryTable xmlns="http://schemas.openxmlformats.org/spreadsheetml/2006/main" name="ExternalData_134" connectionId="868" autoFormatId="16" applyNumberFormats="0" applyBorderFormats="0" applyFontFormats="1" applyPatternFormats="1" applyAlignmentFormats="0" applyWidthHeightFormats="0"/>
</file>

<file path=xl/queryTables/queryTable1903.xml><?xml version="1.0" encoding="utf-8"?>
<queryTable xmlns="http://schemas.openxmlformats.org/spreadsheetml/2006/main" name="DadosExternos_464" connectionId="43" autoFormatId="16" applyNumberFormats="0" applyBorderFormats="0" applyFontFormats="1" applyPatternFormats="1" applyAlignmentFormats="0" applyWidthHeightFormats="0"/>
</file>

<file path=xl/queryTables/queryTable1904.xml><?xml version="1.0" encoding="utf-8"?>
<queryTable xmlns="http://schemas.openxmlformats.org/spreadsheetml/2006/main" name="DadosExternos_143" connectionId="602" autoFormatId="16" applyNumberFormats="0" applyBorderFormats="0" applyFontFormats="1" applyPatternFormats="1" applyAlignmentFormats="0" applyWidthHeightFormats="0"/>
</file>

<file path=xl/queryTables/queryTable1905.xml><?xml version="1.0" encoding="utf-8"?>
<queryTable xmlns="http://schemas.openxmlformats.org/spreadsheetml/2006/main" name="ExternalData_106" connectionId="1122" autoFormatId="16" applyNumberFormats="0" applyBorderFormats="0" applyFontFormats="1" applyPatternFormats="1" applyAlignmentFormats="0" applyWidthHeightFormats="0"/>
</file>

<file path=xl/queryTables/queryTable1906.xml><?xml version="1.0" encoding="utf-8"?>
<queryTable xmlns="http://schemas.openxmlformats.org/spreadsheetml/2006/main" name="ExternalData_43" connectionId="1063" autoFormatId="16" applyNumberFormats="0" applyBorderFormats="0" applyFontFormats="1" applyPatternFormats="1" applyAlignmentFormats="0" applyWidthHeightFormats="0"/>
</file>

<file path=xl/queryTables/queryTable1907.xml><?xml version="1.0" encoding="utf-8"?>
<queryTable xmlns="http://schemas.openxmlformats.org/spreadsheetml/2006/main" name="DadosExternos_165" connectionId="692" autoFormatId="16" applyNumberFormats="0" applyBorderFormats="0" applyFontFormats="1" applyPatternFormats="1" applyAlignmentFormats="0" applyWidthHeightFormats="0"/>
</file>

<file path=xl/queryTables/queryTable1908.xml><?xml version="1.0" encoding="utf-8"?>
<queryTable xmlns="http://schemas.openxmlformats.org/spreadsheetml/2006/main" name="DadosExternos_177" connectionId="748" autoFormatId="16" applyNumberFormats="0" applyBorderFormats="0" applyFontFormats="1" applyPatternFormats="1" applyAlignmentFormats="0" applyWidthHeightFormats="0"/>
</file>

<file path=xl/queryTables/queryTable1909.xml><?xml version="1.0" encoding="utf-8"?>
<queryTable xmlns="http://schemas.openxmlformats.org/spreadsheetml/2006/main" name="ExternalData_55" connectionId="947" autoFormatId="16" applyNumberFormats="0" applyBorderFormats="0" applyFontFormats="1" applyPatternFormats="1" applyAlignmentFormats="0" applyWidthHeightFormats="0"/>
</file>

<file path=xl/queryTables/queryTable1910.xml><?xml version="1.0" encoding="utf-8"?>
<queryTable xmlns="http://schemas.openxmlformats.org/spreadsheetml/2006/main" name="DadosExternos_178" connectionId="751" autoFormatId="16" applyNumberFormats="0" applyBorderFormats="0" applyFontFormats="1" applyPatternFormats="1" applyAlignmentFormats="0" applyWidthHeightFormats="0"/>
</file>

<file path=xl/queryTables/queryTable1911.xml><?xml version="1.0" encoding="utf-8"?>
<queryTable xmlns="http://schemas.openxmlformats.org/spreadsheetml/2006/main" name="ExternalData_148" connectionId="894" autoFormatId="16" applyNumberFormats="0" applyBorderFormats="0" applyFontFormats="1" applyPatternFormats="1" applyAlignmentFormats="0" applyWidthHeightFormats="0"/>
</file>

<file path=xl/queryTables/queryTable1912.xml><?xml version="1.0" encoding="utf-8"?>
<queryTable xmlns="http://schemas.openxmlformats.org/spreadsheetml/2006/main" name="ExternalData_67" connectionId="1001" autoFormatId="16" applyNumberFormats="0" applyBorderFormats="0" applyFontFormats="1" applyPatternFormats="1" applyAlignmentFormats="0" applyWidthHeightFormats="0"/>
</file>

<file path=xl/queryTables/queryTable1913.xml><?xml version="1.0" encoding="utf-8"?>
<queryTable xmlns="http://schemas.openxmlformats.org/spreadsheetml/2006/main" name="DadosExternos_186" connectionId="20" autoFormatId="16" applyNumberFormats="0" applyBorderFormats="0" applyFontFormats="1" applyPatternFormats="1" applyAlignmentFormats="0" applyWidthHeightFormats="0"/>
</file>

<file path=xl/queryTables/queryTable1914.xml><?xml version="1.0" encoding="utf-8"?>
<queryTable xmlns="http://schemas.openxmlformats.org/spreadsheetml/2006/main" name="ExternalData_56" connectionId="952" autoFormatId="16" applyNumberFormats="0" applyBorderFormats="0" applyFontFormats="1" applyPatternFormats="1" applyAlignmentFormats="0" applyWidthHeightFormats="0"/>
</file>

<file path=xl/queryTables/queryTable1915.xml><?xml version="1.0" encoding="utf-8"?>
<queryTable xmlns="http://schemas.openxmlformats.org/spreadsheetml/2006/main" name="DadosExternos_121" connectionId="325" autoFormatId="16" applyNumberFormats="0" applyBorderFormats="0" applyFontFormats="1" applyPatternFormats="1" applyAlignmentFormats="0" applyWidthHeightFormats="0"/>
</file>

<file path=xl/queryTables/queryTable1916.xml><?xml version="1.0" encoding="utf-8"?>
<queryTable xmlns="http://schemas.openxmlformats.org/spreadsheetml/2006/main" name="ExternalData_26" connectionId="892" autoFormatId="16" applyNumberFormats="0" applyBorderFormats="0" applyFontFormats="1" applyPatternFormats="1" applyAlignmentFormats="0" applyWidthHeightFormats="0"/>
</file>

<file path=xl/queryTables/queryTable1917.xml><?xml version="1.0" encoding="utf-8"?>
<queryTable xmlns="http://schemas.openxmlformats.org/spreadsheetml/2006/main" name="ExternalData_165" connectionId="926" autoFormatId="16" applyNumberFormats="0" applyBorderFormats="0" applyFontFormats="1" applyPatternFormats="1" applyAlignmentFormats="0" applyWidthHeightFormats="0"/>
</file>

<file path=xl/queryTables/queryTable1918.xml><?xml version="1.0" encoding="utf-8"?>
<queryTable xmlns="http://schemas.openxmlformats.org/spreadsheetml/2006/main" name="DadosExternos_46" connectionId="231" autoFormatId="16" applyNumberFormats="0" applyBorderFormats="0" applyFontFormats="1" applyPatternFormats="1" applyAlignmentFormats="0" applyWidthHeightFormats="0"/>
</file>

<file path=xl/queryTables/queryTable1919.xml><?xml version="1.0" encoding="utf-8"?>
<queryTable xmlns="http://schemas.openxmlformats.org/spreadsheetml/2006/main" name="DadosExternos_57" connectionId="397" autoFormatId="16" applyNumberFormats="0" applyBorderFormats="0" applyFontFormats="1" applyPatternFormats="1" applyAlignmentFormats="0" applyWidthHeightFormats="0"/>
</file>

<file path=xl/queryTables/queryTable1920.xml><?xml version="1.0" encoding="utf-8"?>
<queryTable xmlns="http://schemas.openxmlformats.org/spreadsheetml/2006/main" name="ExternalData_58" connectionId="963" autoFormatId="16" applyNumberFormats="0" applyBorderFormats="0" applyFontFormats="1" applyPatternFormats="1" applyAlignmentFormats="0" applyWidthHeightFormats="0"/>
</file>

<file path=xl/queryTables/queryTable1921.xml><?xml version="1.0" encoding="utf-8"?>
<queryTable xmlns="http://schemas.openxmlformats.org/spreadsheetml/2006/main" name="DadosExternos_300" connectionId="450" autoFormatId="16" applyNumberFormats="0" applyBorderFormats="0" applyFontFormats="1" applyPatternFormats="1" applyAlignmentFormats="0" applyWidthHeightFormats="0"/>
</file>

<file path=xl/queryTables/queryTable1922.xml><?xml version="1.0" encoding="utf-8"?>
<queryTable xmlns="http://schemas.openxmlformats.org/spreadsheetml/2006/main" name="ExternalData_24" connectionId="814" autoFormatId="16" applyNumberFormats="0" applyBorderFormats="0" applyFontFormats="1" applyPatternFormats="1" applyAlignmentFormats="0" applyWidthHeightFormats="0"/>
</file>

<file path=xl/queryTables/queryTable1923.xml><?xml version="1.0" encoding="utf-8"?>
<queryTable xmlns="http://schemas.openxmlformats.org/spreadsheetml/2006/main" name="DadosExternos_153" connectionId="642" autoFormatId="16" applyNumberFormats="0" applyBorderFormats="0" applyFontFormats="1" applyPatternFormats="1" applyAlignmentFormats="0" applyWidthHeightFormats="0"/>
</file>

<file path=xl/queryTables/queryTable1924.xml><?xml version="1.0" encoding="utf-8"?>
<queryTable xmlns="http://schemas.openxmlformats.org/spreadsheetml/2006/main" name="ExternalData_30" connectionId="946" autoFormatId="16" applyNumberFormats="0" applyBorderFormats="0" applyFontFormats="1" applyPatternFormats="1" applyAlignmentFormats="0" applyWidthHeightFormats="0"/>
</file>

<file path=xl/queryTables/queryTable1925.xml><?xml version="1.0" encoding="utf-8"?>
<queryTable xmlns="http://schemas.openxmlformats.org/spreadsheetml/2006/main" name="DadosExternos_459" connectionId="21" autoFormatId="16" applyNumberFormats="0" applyBorderFormats="0" applyFontFormats="1" applyPatternFormats="1" applyAlignmentFormats="0" applyWidthHeightFormats="0"/>
</file>

<file path=xl/queryTables/queryTable1926.xml><?xml version="1.0" encoding="utf-8"?>
<queryTable xmlns="http://schemas.openxmlformats.org/spreadsheetml/2006/main" name="DadosExternos_390" connectionId="231" autoFormatId="16" applyNumberFormats="0" applyBorderFormats="0" applyFontFormats="1" applyPatternFormats="1" applyAlignmentFormats="0" applyWidthHeightFormats="0"/>
</file>

<file path=xl/queryTables/queryTable1927.xml><?xml version="1.0" encoding="utf-8"?>
<queryTable xmlns="http://schemas.openxmlformats.org/spreadsheetml/2006/main" name="DadosExternos_210" connectionId="151" autoFormatId="16" applyNumberFormats="0" applyBorderFormats="0" applyFontFormats="1" applyPatternFormats="1" applyAlignmentFormats="0" applyWidthHeightFormats="0"/>
</file>

<file path=xl/queryTables/queryTable1928.xml><?xml version="1.0" encoding="utf-8"?>
<queryTable xmlns="http://schemas.openxmlformats.org/spreadsheetml/2006/main" name="ExternalData_123" connectionId="840" autoFormatId="16" applyNumberFormats="0" applyBorderFormats="0" applyFontFormats="1" applyPatternFormats="1" applyAlignmentFormats="0" applyWidthHeightFormats="0"/>
</file>

<file path=xl/queryTables/queryTable1929.xml><?xml version="1.0" encoding="utf-8"?>
<queryTable xmlns="http://schemas.openxmlformats.org/spreadsheetml/2006/main" name="ExternalData_57" connectionId="958" autoFormatId="16" applyNumberFormats="0" applyBorderFormats="0" applyFontFormats="1" applyPatternFormats="1" applyAlignmentFormats="0" applyWidthHeightFormats="0"/>
</file>

<file path=xl/queryTables/queryTable1930.xml><?xml version="1.0" encoding="utf-8"?>
<queryTable xmlns="http://schemas.openxmlformats.org/spreadsheetml/2006/main" name="DadosExternos_324" connectionId="494" autoFormatId="16" applyNumberFormats="0" applyBorderFormats="0" applyFontFormats="1" applyPatternFormats="1" applyAlignmentFormats="0" applyWidthHeightFormats="0"/>
</file>

<file path=xl/queryTables/queryTable1931.xml><?xml version="1.0" encoding="utf-8"?>
<queryTable xmlns="http://schemas.openxmlformats.org/spreadsheetml/2006/main" name="DadosExternos_90" connectionId="785" autoFormatId="16" applyNumberFormats="0" applyBorderFormats="0" applyFontFormats="1" applyPatternFormats="1" applyAlignmentFormats="0" applyWidthHeightFormats="0"/>
</file>

<file path=xl/queryTables/queryTable1932.xml><?xml version="1.0" encoding="utf-8"?>
<queryTable xmlns="http://schemas.openxmlformats.org/spreadsheetml/2006/main" name="ExternalData_2" connectionId="1065" autoFormatId="16" applyNumberFormats="0" applyBorderFormats="0" applyFontFormats="1" applyPatternFormats="1" applyAlignmentFormats="0" applyWidthHeightFormats="0"/>
</file>

<file path=xl/queryTables/queryTable1933.xml><?xml version="1.0" encoding="utf-8"?>
<queryTable xmlns="http://schemas.openxmlformats.org/spreadsheetml/2006/main" name="DadosExternos_454" connectionId="795" autoFormatId="16" applyNumberFormats="0" applyBorderFormats="0" applyFontFormats="1" applyPatternFormats="1" applyAlignmentFormats="0" applyWidthHeightFormats="0"/>
</file>

<file path=xl/queryTables/queryTable1934.xml><?xml version="1.0" encoding="utf-8"?>
<queryTable xmlns="http://schemas.openxmlformats.org/spreadsheetml/2006/main" name="DadosExternos_228" connectionId="203" autoFormatId="16" applyNumberFormats="0" applyBorderFormats="0" applyFontFormats="1" applyPatternFormats="1" applyAlignmentFormats="0" applyWidthHeightFormats="0"/>
</file>

<file path=xl/queryTables/queryTable1935.xml><?xml version="1.0" encoding="utf-8"?>
<queryTable xmlns="http://schemas.openxmlformats.org/spreadsheetml/2006/main" name="DadosExternos_168" connectionId="710" autoFormatId="16" applyNumberFormats="0" applyBorderFormats="0" applyFontFormats="1" applyPatternFormats="1" applyAlignmentFormats="0" applyWidthHeightFormats="0"/>
</file>

<file path=xl/queryTables/queryTable1936.xml><?xml version="1.0" encoding="utf-8"?>
<queryTable xmlns="http://schemas.openxmlformats.org/spreadsheetml/2006/main" name="ExternalData_138" connectionId="875" autoFormatId="16" applyNumberFormats="0" applyBorderFormats="0" applyFontFormats="1" applyPatternFormats="1" applyAlignmentFormats="0" applyWidthHeightFormats="0"/>
</file>

<file path=xl/queryTables/queryTable1937.xml><?xml version="1.0" encoding="utf-8"?>
<queryTable xmlns="http://schemas.openxmlformats.org/spreadsheetml/2006/main" name="ExternalData_159" connectionId="915" autoFormatId="16" applyNumberFormats="0" applyBorderFormats="0" applyFontFormats="1" applyPatternFormats="1" applyAlignmentFormats="0" applyWidthHeightFormats="0"/>
</file>

<file path=xl/queryTables/queryTable1938.xml><?xml version="1.0" encoding="utf-8"?>
<queryTable xmlns="http://schemas.openxmlformats.org/spreadsheetml/2006/main" name="DadosExternos_44" connectionId="199" autoFormatId="16" applyNumberFormats="0" applyBorderFormats="0" applyFontFormats="1" applyPatternFormats="1" applyAlignmentFormats="0" applyWidthHeightFormats="0"/>
</file>

<file path=xl/queryTables/queryTable1939.xml><?xml version="1.0" encoding="utf-8"?>
<queryTable xmlns="http://schemas.openxmlformats.org/spreadsheetml/2006/main" name="DadosExternos_297" connectionId="438" autoFormatId="16" applyNumberFormats="0" applyBorderFormats="0" applyFontFormats="1" applyPatternFormats="1" applyAlignmentFormats="0" applyWidthHeightFormats="0"/>
</file>

<file path=xl/queryTables/queryTable1940.xml><?xml version="1.0" encoding="utf-8"?>
<queryTable xmlns="http://schemas.openxmlformats.org/spreadsheetml/2006/main" name="DadosExternos_356" connectionId="563" autoFormatId="16" applyNumberFormats="0" applyBorderFormats="0" applyFontFormats="1" applyPatternFormats="1" applyAlignmentFormats="0" applyWidthHeightFormats="0"/>
</file>

<file path=xl/queryTables/queryTable1941.xml><?xml version="1.0" encoding="utf-8"?>
<queryTable xmlns="http://schemas.openxmlformats.org/spreadsheetml/2006/main" name="DadosExternos_69" connectionId="247" autoFormatId="16" applyNumberFormats="0" applyBorderFormats="0" applyFontFormats="1" applyPatternFormats="1" applyAlignmentFormats="0" applyWidthHeightFormats="0"/>
</file>

<file path=xl/queryTables/queryTable1942.xml><?xml version="1.0" encoding="utf-8"?>
<queryTable xmlns="http://schemas.openxmlformats.org/spreadsheetml/2006/main" name="DadosExternos_292" connectionId="422" autoFormatId="16" applyNumberFormats="0" applyBorderFormats="0" applyFontFormats="1" applyPatternFormats="1" applyAlignmentFormats="0" applyWidthHeightFormats="0"/>
</file>

<file path=xl/queryTables/queryTable1943.xml><?xml version="1.0" encoding="utf-8"?>
<queryTable xmlns="http://schemas.openxmlformats.org/spreadsheetml/2006/main" name="DadosExternos_196" connectionId="98" autoFormatId="16" applyNumberFormats="0" applyBorderFormats="0" applyFontFormats="1" applyPatternFormats="1" applyAlignmentFormats="0" applyWidthHeightFormats="0"/>
</file>

<file path=xl/queryTables/queryTable1944.xml><?xml version="1.0" encoding="utf-8"?>
<queryTable xmlns="http://schemas.openxmlformats.org/spreadsheetml/2006/main" name="DadosExternos_98" connectionId="393" autoFormatId="16" applyNumberFormats="0" applyBorderFormats="0" applyFontFormats="1" applyPatternFormats="1" applyAlignmentFormats="0" applyWidthHeightFormats="0"/>
</file>

<file path=xl/queryTables/queryTable1945.xml><?xml version="1.0" encoding="utf-8"?>
<queryTable xmlns="http://schemas.openxmlformats.org/spreadsheetml/2006/main" name="DadosExternos_21" connectionId="63" autoFormatId="16" applyNumberFormats="0" applyBorderFormats="0" applyFontFormats="1" applyPatternFormats="1" applyAlignmentFormats="0" applyWidthHeightFormats="0"/>
</file>

<file path=xl/queryTables/queryTable1946.xml><?xml version="1.0" encoding="utf-8"?>
<queryTable xmlns="http://schemas.openxmlformats.org/spreadsheetml/2006/main" name="ExternalData_98" connectionId="1104" autoFormatId="16" applyNumberFormats="0" applyBorderFormats="0" applyFontFormats="1" applyPatternFormats="1" applyAlignmentFormats="0" applyWidthHeightFormats="0"/>
</file>

<file path=xl/queryTables/queryTable1947.xml><?xml version="1.0" encoding="utf-8"?>
<queryTable xmlns="http://schemas.openxmlformats.org/spreadsheetml/2006/main" name="DadosExternos_172" connectionId="723" autoFormatId="16" applyNumberFormats="0" applyBorderFormats="0" applyFontFormats="1" applyPatternFormats="1" applyAlignmentFormats="0" applyWidthHeightFormats="0"/>
</file>

<file path=xl/queryTables/queryTable1948.xml><?xml version="1.0" encoding="utf-8"?>
<queryTable xmlns="http://schemas.openxmlformats.org/spreadsheetml/2006/main" name="DadosExternos_144" connectionId="605" autoFormatId="16" applyNumberFormats="0" applyBorderFormats="0" applyFontFormats="1" applyPatternFormats="1" applyAlignmentFormats="0" applyWidthHeightFormats="0"/>
</file>

<file path=xl/queryTables/queryTable1949.xml><?xml version="1.0" encoding="utf-8"?>
<queryTable xmlns="http://schemas.openxmlformats.org/spreadsheetml/2006/main" name="ExternalData_53" connectionId="921" autoFormatId="16" applyNumberFormats="0" applyBorderFormats="0" applyFontFormats="1" applyPatternFormats="1" applyAlignmentFormats="0" applyWidthHeightFormats="0"/>
</file>

<file path=xl/queryTables/queryTable1950.xml><?xml version="1.0" encoding="utf-8"?>
<queryTable xmlns="http://schemas.openxmlformats.org/spreadsheetml/2006/main" name="DadosExternos_256" connectionId="287" autoFormatId="16" applyNumberFormats="0" applyBorderFormats="0" applyFontFormats="1" applyPatternFormats="1" applyAlignmentFormats="0" applyWidthHeightFormats="0"/>
</file>

<file path=xl/queryTables/queryTable1951.xml><?xml version="1.0" encoding="utf-8"?>
<queryTable xmlns="http://schemas.openxmlformats.org/spreadsheetml/2006/main" name="DadosExternos_140" connectionId="592" autoFormatId="16" applyNumberFormats="0" applyBorderFormats="0" applyFontFormats="1" applyPatternFormats="1" applyAlignmentFormats="0" applyWidthHeightFormats="0"/>
</file>

<file path=xl/queryTables/queryTable1952.xml><?xml version="1.0" encoding="utf-8"?>
<queryTable xmlns="http://schemas.openxmlformats.org/spreadsheetml/2006/main" name="ExternalData_54" connectionId="935" autoFormatId="16" applyNumberFormats="0" applyBorderFormats="0" applyFontFormats="1" applyPatternFormats="1" applyAlignmentFormats="0" applyWidthHeightFormats="0"/>
</file>

<file path=xl/queryTables/queryTable1953.xml><?xml version="1.0" encoding="utf-8"?>
<queryTable xmlns="http://schemas.openxmlformats.org/spreadsheetml/2006/main" name="ExternalData_133" connectionId="866" autoFormatId="16" applyNumberFormats="0" applyBorderFormats="0" applyFontFormats="1" applyPatternFormats="1" applyAlignmentFormats="0" applyWidthHeightFormats="0"/>
</file>

<file path=xl/queryTables/queryTable1954.xml><?xml version="1.0" encoding="utf-8"?>
<queryTable xmlns="http://schemas.openxmlformats.org/spreadsheetml/2006/main" name="DadosExternos_441" connectionId="713" autoFormatId="16" applyNumberFormats="0" applyBorderFormats="0" applyFontFormats="1" applyPatternFormats="1" applyAlignmentFormats="0" applyWidthHeightFormats="0"/>
</file>

<file path=xl/queryTables/queryTable1955.xml><?xml version="1.0" encoding="utf-8"?>
<queryTable xmlns="http://schemas.openxmlformats.org/spreadsheetml/2006/main" name="DadosExternos_54" connectionId="352" autoFormatId="16" applyNumberFormats="0" applyBorderFormats="0" applyFontFormats="1" applyPatternFormats="1" applyAlignmentFormats="0" applyWidthHeightFormats="0"/>
</file>

<file path=xl/queryTables/queryTable1956.xml><?xml version="1.0" encoding="utf-8"?>
<queryTable xmlns="http://schemas.openxmlformats.org/spreadsheetml/2006/main" name="DadosExternos_6" connectionId="619" autoFormatId="16" applyNumberFormats="0" applyBorderFormats="0" applyFontFormats="1" applyPatternFormats="1" applyAlignmentFormats="0" applyWidthHeightFormats="0"/>
</file>

<file path=xl/queryTables/queryTable1957.xml><?xml version="1.0" encoding="utf-8"?>
<queryTable xmlns="http://schemas.openxmlformats.org/spreadsheetml/2006/main" name="DadosExternos_371" connectionId="81" autoFormatId="16" applyNumberFormats="0" applyBorderFormats="0" applyFontFormats="1" applyPatternFormats="1" applyAlignmentFormats="0" applyWidthHeightFormats="0"/>
</file>

<file path=xl/queryTables/queryTable1958.xml><?xml version="1.0" encoding="utf-8"?>
<queryTable xmlns="http://schemas.openxmlformats.org/spreadsheetml/2006/main" name="ExternalData_31" connectionId="951" autoFormatId="16" applyNumberFormats="0" applyBorderFormats="0" applyFontFormats="1" applyPatternFormats="1" applyAlignmentFormats="0" applyWidthHeightFormats="0"/>
</file>

<file path=xl/queryTables/queryTable1959.xml><?xml version="1.0" encoding="utf-8"?>
<queryTable xmlns="http://schemas.openxmlformats.org/spreadsheetml/2006/main" name="DadosExternos_58" connectionId="412" autoFormatId="16" applyNumberFormats="0" applyBorderFormats="0" applyFontFormats="1" applyPatternFormats="1" applyAlignmentFormats="0" applyWidthHeightFormats="0"/>
</file>

<file path=xl/queryTables/queryTable1960.xml><?xml version="1.0" encoding="utf-8"?>
<queryTable xmlns="http://schemas.openxmlformats.org/spreadsheetml/2006/main" name="DadosExternos_32" connectionId="654" autoFormatId="16" applyNumberFormats="0" applyBorderFormats="0" applyFontFormats="1" applyPatternFormats="1" applyAlignmentFormats="0" applyWidthHeightFormats="0"/>
</file>

<file path=xl/queryTables/queryTable1961.xml><?xml version="1.0" encoding="utf-8"?>
<queryTable xmlns="http://schemas.openxmlformats.org/spreadsheetml/2006/main" name="DadosExternos_12" connectionId="78" autoFormatId="16" applyNumberFormats="0" applyBorderFormats="0" applyFontFormats="1" applyPatternFormats="1" applyAlignmentFormats="0" applyWidthHeightFormats="0"/>
</file>

<file path=xl/queryTables/queryTable1962.xml><?xml version="1.0" encoding="utf-8"?>
<queryTable xmlns="http://schemas.openxmlformats.org/spreadsheetml/2006/main" name="ExternalData_149" connectionId="895" autoFormatId="16" applyNumberFormats="0" applyBorderFormats="0" applyFontFormats="1" applyPatternFormats="1" applyAlignmentFormats="0" applyWidthHeightFormats="0"/>
</file>

<file path=xl/queryTables/queryTable1963.xml><?xml version="1.0" encoding="utf-8"?>
<queryTable xmlns="http://schemas.openxmlformats.org/spreadsheetml/2006/main" name="DadosExternos_450" connectionId="770" autoFormatId="16" applyNumberFormats="0" applyBorderFormats="0" applyFontFormats="1" applyPatternFormats="1" applyAlignmentFormats="0" applyWidthHeightFormats="0"/>
</file>

<file path=xl/queryTables/queryTable1964.xml><?xml version="1.0" encoding="utf-8"?>
<queryTable xmlns="http://schemas.openxmlformats.org/spreadsheetml/2006/main" name="ExternalData_64" connectionId="993" autoFormatId="16" applyNumberFormats="0" applyBorderFormats="0" applyFontFormats="1" applyPatternFormats="1" applyAlignmentFormats="0" applyWidthHeightFormats="0"/>
</file>

<file path=xl/queryTables/queryTable1965.xml><?xml version="1.0" encoding="utf-8"?>
<queryTable xmlns="http://schemas.openxmlformats.org/spreadsheetml/2006/main" name="DadosExternos_11" connectionId="800" autoFormatId="16" applyNumberFormats="0" applyBorderFormats="0" applyFontFormats="1" applyPatternFormats="1" applyAlignmentFormats="0" applyWidthHeightFormats="0"/>
</file>

<file path=xl/queryTables/queryTable1966.xml><?xml version="1.0" encoding="utf-8"?>
<queryTable xmlns="http://schemas.openxmlformats.org/spreadsheetml/2006/main" name="ExternalData_6" connectionId="1026" autoFormatId="16" applyNumberFormats="0" applyBorderFormats="0" applyFontFormats="1" applyPatternFormats="1" applyAlignmentFormats="0" applyWidthHeightFormats="0"/>
</file>

<file path=xl/queryTables/queryTable1967.xml><?xml version="1.0" encoding="utf-8"?>
<queryTable xmlns="http://schemas.openxmlformats.org/spreadsheetml/2006/main" name="ExternalData_51" connectionId="893" autoFormatId="16" applyNumberFormats="0" applyBorderFormats="0" applyFontFormats="1" applyPatternFormats="1" applyAlignmentFormats="0" applyWidthHeightFormats="0"/>
</file>

<file path=xl/queryTables/queryTable1968.xml><?xml version="1.0" encoding="utf-8"?>
<queryTable xmlns="http://schemas.openxmlformats.org/spreadsheetml/2006/main" name="ExternalData_99" connectionId="1107" autoFormatId="16" applyNumberFormats="0" applyBorderFormats="0" applyFontFormats="1" applyPatternFormats="1" applyAlignmentFormats="0" applyWidthHeightFormats="0"/>
</file>

<file path=xl/queryTables/queryTable1969.xml><?xml version="1.0" encoding="utf-8"?>
<queryTable xmlns="http://schemas.openxmlformats.org/spreadsheetml/2006/main" name="ExternalData_17" connectionId="1049" autoFormatId="16" applyNumberFormats="0" applyBorderFormats="0" applyFontFormats="1" applyPatternFormats="1" applyAlignmentFormats="0" applyWidthHeightFormats="0"/>
</file>

<file path=xl/queryTables/queryTable1970.xml><?xml version="1.0" encoding="utf-8"?>
<queryTable xmlns="http://schemas.openxmlformats.org/spreadsheetml/2006/main" name="DadosExternos_468" connectionId="70" autoFormatId="16" applyNumberFormats="0" applyBorderFormats="0" applyFontFormats="1" applyPatternFormats="1" applyAlignmentFormats="0" applyWidthHeightFormats="0"/>
</file>

<file path=xl/queryTables/queryTable1971.xml><?xml version="1.0" encoding="utf-8"?>
<queryTable xmlns="http://schemas.openxmlformats.org/spreadsheetml/2006/main" name="ExternalData_122" connectionId="837" autoFormatId="16" applyNumberFormats="0" applyBorderFormats="0" applyFontFormats="1" applyPatternFormats="1" applyAlignmentFormats="0" applyWidthHeightFormats="0"/>
</file>

<file path=xl/queryTables/queryTable1972.xml><?xml version="1.0" encoding="utf-8"?>
<queryTable xmlns="http://schemas.openxmlformats.org/spreadsheetml/2006/main" name="DadosExternos_197" connectionId="100" autoFormatId="16" applyNumberFormats="0" applyBorderFormats="0" applyFontFormats="1" applyPatternFormats="1" applyAlignmentFormats="0" applyWidthHeightFormats="0"/>
</file>

<file path=xl/queryTables/queryTable1973.xml><?xml version="1.0" encoding="utf-8"?>
<queryTable xmlns="http://schemas.openxmlformats.org/spreadsheetml/2006/main" name="DadosExternos_145" connectionId="609" autoFormatId="16" applyNumberFormats="0" applyBorderFormats="0" applyFontFormats="1" applyPatternFormats="1" applyAlignmentFormats="0" applyWidthHeightFormats="0"/>
</file>

<file path=xl/queryTables/queryTable1974.xml><?xml version="1.0" encoding="utf-8"?>
<queryTable xmlns="http://schemas.openxmlformats.org/spreadsheetml/2006/main" name="DadosExternos_253" connectionId="285" autoFormatId="16" applyNumberFormats="0" applyBorderFormats="0" applyFontFormats="1" applyPatternFormats="1" applyAlignmentFormats="0" applyWidthHeightFormats="0"/>
</file>

<file path=xl/queryTables/queryTable1975.xml><?xml version="1.0" encoding="utf-8"?>
<queryTable xmlns="http://schemas.openxmlformats.org/spreadsheetml/2006/main" name="ExternalData_160" connectionId="917" autoFormatId="16" applyNumberFormats="0" applyBorderFormats="0" applyFontFormats="1" applyPatternFormats="1" applyAlignmentFormats="0" applyWidthHeightFormats="0"/>
</file>

<file path=xl/queryTables/queryTable1976.xml><?xml version="1.0" encoding="utf-8"?>
<queryTable xmlns="http://schemas.openxmlformats.org/spreadsheetml/2006/main" name="DadosExternos_112" connectionId="178" autoFormatId="16" applyNumberFormats="0" applyBorderFormats="0" applyFontFormats="1" applyPatternFormats="1" applyAlignmentFormats="0" applyWidthHeightFormats="0"/>
</file>

<file path=xl/queryTables/queryTable1977.xml><?xml version="1.0" encoding="utf-8"?>
<queryTable xmlns="http://schemas.openxmlformats.org/spreadsheetml/2006/main" name="DadosExternos_461" connectionId="31" autoFormatId="16" applyNumberFormats="0" applyBorderFormats="0" applyFontFormats="1" applyPatternFormats="1" applyAlignmentFormats="0" applyWidthHeightFormats="0"/>
</file>

<file path=xl/queryTables/queryTable1978.xml><?xml version="1.0" encoding="utf-8"?>
<queryTable xmlns="http://schemas.openxmlformats.org/spreadsheetml/2006/main" name="DadosExternos_467" connectionId="60" autoFormatId="16" applyNumberFormats="0" applyBorderFormats="0" applyFontFormats="1" applyPatternFormats="1" applyAlignmentFormats="0" applyWidthHeightFormats="0"/>
</file>

<file path=xl/queryTables/queryTable1979.xml><?xml version="1.0" encoding="utf-8"?>
<queryTable xmlns="http://schemas.openxmlformats.org/spreadsheetml/2006/main" name="DadosExternos_328" connectionId="503" autoFormatId="16" applyNumberFormats="0" applyBorderFormats="0" applyFontFormats="1" applyPatternFormats="1" applyAlignmentFormats="0" applyWidthHeightFormats="0"/>
</file>

<file path=xl/queryTables/queryTable1980.xml><?xml version="1.0" encoding="utf-8"?>
<queryTable xmlns="http://schemas.openxmlformats.org/spreadsheetml/2006/main" name="DadosExternos_167" connectionId="706" autoFormatId="16" applyNumberFormats="0" applyBorderFormats="0" applyFontFormats="1" applyPatternFormats="1" applyAlignmentFormats="0" applyWidthHeightFormats="0"/>
</file>

<file path=xl/queryTables/queryTable1981.xml><?xml version="1.0" encoding="utf-8"?>
<queryTable xmlns="http://schemas.openxmlformats.org/spreadsheetml/2006/main" name="ExternalData_48" connectionId="834" autoFormatId="16" applyNumberFormats="0" applyBorderFormats="0" applyFontFormats="1" applyPatternFormats="1" applyAlignmentFormats="0" applyWidthHeightFormats="0"/>
</file>

<file path=xl/queryTables/queryTable1982.xml><?xml version="1.0" encoding="utf-8"?>
<queryTable xmlns="http://schemas.openxmlformats.org/spreadsheetml/2006/main" name="DadosExternos_244" connectionId="261" autoFormatId="16" applyNumberFormats="0" applyBorderFormats="0" applyFontFormats="1" applyPatternFormats="1" applyAlignmentFormats="0" applyWidthHeightFormats="0"/>
</file>

<file path=xl/queryTables/queryTable1983.xml><?xml version="1.0" encoding="utf-8"?>
<queryTable xmlns="http://schemas.openxmlformats.org/spreadsheetml/2006/main" name="ExternalData_111" connectionId="1137" autoFormatId="16" applyNumberFormats="0" applyBorderFormats="0" applyFontFormats="1" applyPatternFormats="1" applyAlignmentFormats="0" applyWidthHeightFormats="0"/>
</file>

<file path=xl/queryTables/queryTable1984.xml><?xml version="1.0" encoding="utf-8"?>
<queryTable xmlns="http://schemas.openxmlformats.org/spreadsheetml/2006/main" name="ExternalData_9" connectionId="1079" autoFormatId="16" applyNumberFormats="0" applyBorderFormats="0" applyFontFormats="1" applyPatternFormats="1" applyAlignmentFormats="0" applyWidthHeightFormats="0"/>
</file>

<file path=xl/queryTables/queryTable1985.xml><?xml version="1.0" encoding="utf-8"?>
<queryTable xmlns="http://schemas.openxmlformats.org/spreadsheetml/2006/main" name="ExternalData_52" connectionId="907" autoFormatId="16" applyNumberFormats="0" applyBorderFormats="0" applyFontFormats="1" applyPatternFormats="1" applyAlignmentFormats="0" applyWidthHeightFormats="0"/>
</file>

<file path=xl/queryTables/queryTable1986.xml><?xml version="1.0" encoding="utf-8"?>
<queryTable xmlns="http://schemas.openxmlformats.org/spreadsheetml/2006/main" name="ExternalData_101" connectionId="1111" autoFormatId="16" applyNumberFormats="0" applyBorderFormats="0" applyFontFormats="1" applyPatternFormats="1" applyAlignmentFormats="0" applyWidthHeightFormats="0"/>
</file>

<file path=xl/queryTables/queryTable1987.xml><?xml version="1.0" encoding="utf-8"?>
<queryTable xmlns="http://schemas.openxmlformats.org/spreadsheetml/2006/main" name="DadosExternos_241" connectionId="235" autoFormatId="16" applyNumberFormats="0" applyBorderFormats="0" applyFontFormats="1" applyPatternFormats="1" applyAlignmentFormats="0" applyWidthHeightFormats="0"/>
</file>

<file path=xl/queryTables/queryTable1988.xml><?xml version="1.0" encoding="utf-8"?>
<queryTable xmlns="http://schemas.openxmlformats.org/spreadsheetml/2006/main" name="ExternalData_91" connectionId="1085" autoFormatId="16" applyNumberFormats="0" applyBorderFormats="0" applyFontFormats="1" applyPatternFormats="1" applyAlignmentFormats="0" applyWidthHeightFormats="0"/>
</file>

<file path=xl/queryTables/queryTable1989.xml><?xml version="1.0" encoding="utf-8"?>
<queryTable xmlns="http://schemas.openxmlformats.org/spreadsheetml/2006/main" name="ExternalData_96" connectionId="1095" autoFormatId="16" applyNumberFormats="0" applyBorderFormats="0" applyFontFormats="1" applyPatternFormats="1" applyAlignmentFormats="0" applyWidthHeightFormats="0"/>
</file>

<file path=xl/queryTables/queryTable1990.xml><?xml version="1.0" encoding="utf-8"?>
<queryTable xmlns="http://schemas.openxmlformats.org/spreadsheetml/2006/main" name="DadosExternos_73" connectionId="658" autoFormatId="16" applyNumberFormats="0" applyBorderFormats="0" applyFontFormats="1" applyPatternFormats="1" applyAlignmentFormats="0" applyWidthHeightFormats="0"/>
</file>

<file path=xl/queryTables/queryTable1991.xml><?xml version="1.0" encoding="utf-8"?>
<queryTable xmlns="http://schemas.openxmlformats.org/spreadsheetml/2006/main" name="DadosExternos_114" connectionId="216" autoFormatId="16" applyNumberFormats="0" applyBorderFormats="0" applyFontFormats="1" applyPatternFormats="1" applyAlignmentFormats="0" applyWidthHeightFormats="0"/>
</file>

<file path=xl/queryTables/queryTable1992.xml><?xml version="1.0" encoding="utf-8"?>
<queryTable xmlns="http://schemas.openxmlformats.org/spreadsheetml/2006/main" name="DadosExternos_438" connectionId="697" autoFormatId="16" applyNumberFormats="0" applyBorderFormats="0" applyFontFormats="1" applyPatternFormats="1" applyAlignmentFormats="0" applyWidthHeightFormats="0"/>
</file>

<file path=xl/queryTables/queryTable1993.xml><?xml version="1.0" encoding="utf-8"?>
<queryTable xmlns="http://schemas.openxmlformats.org/spreadsheetml/2006/main" name="DadosExternos_56" connectionId="381" autoFormatId="16" applyNumberFormats="0" applyBorderFormats="0" applyFontFormats="1" applyPatternFormats="1" applyAlignmentFormats="0" applyWidthHeightFormats="0"/>
</file>

<file path=xl/queryTables/queryTable1994.xml><?xml version="1.0" encoding="utf-8"?>
<queryTable xmlns="http://schemas.openxmlformats.org/spreadsheetml/2006/main" name="ExternalData_61" connectionId="978" autoFormatId="16" applyNumberFormats="0" applyBorderFormats="0" applyFontFormats="1" applyPatternFormats="1" applyAlignmentFormats="0" applyWidthHeightFormats="0"/>
</file>

<file path=xl/queryTables/queryTable1995.xml><?xml version="1.0" encoding="utf-8"?>
<queryTable xmlns="http://schemas.openxmlformats.org/spreadsheetml/2006/main" name="ExternalData_11" connectionId="1125" autoFormatId="16" applyNumberFormats="0" applyBorderFormats="0" applyFontFormats="1" applyPatternFormats="1" applyAlignmentFormats="0" applyWidthHeightFormats="0"/>
</file>

<file path=xl/queryTables/queryTable1996.xml><?xml version="1.0" encoding="utf-8"?>
<queryTable xmlns="http://schemas.openxmlformats.org/spreadsheetml/2006/main" name="DadosExternos_115" connectionId="233" autoFormatId="16" applyNumberFormats="0" applyBorderFormats="0" applyFontFormats="1" applyPatternFormats="1" applyAlignmentFormats="0" applyWidthHeightFormats="0"/>
</file>

<file path=xl/queryTables/queryTable1997.xml><?xml version="1.0" encoding="utf-8"?>
<queryTable xmlns="http://schemas.openxmlformats.org/spreadsheetml/2006/main" name="ExternalData_167" connectionId="937" autoFormatId="16" applyNumberFormats="0" applyBorderFormats="0" applyFontFormats="1" applyPatternFormats="1" applyAlignmentFormats="0" applyWidthHeightFormats="0"/>
</file>

<file path=xl/queryTables/queryTable1998.xml><?xml version="1.0" encoding="utf-8"?>
<queryTable xmlns="http://schemas.openxmlformats.org/spreadsheetml/2006/main" name="DadosExternos_242" connectionId="239" autoFormatId="16" applyNumberFormats="0" applyBorderFormats="0" applyFontFormats="1" applyPatternFormats="1" applyAlignmentFormats="0" applyWidthHeightFormats="0"/>
</file>

<file path=xl/queryTables/queryTable1999.xml><?xml version="1.0" encoding="utf-8"?>
<queryTable xmlns="http://schemas.openxmlformats.org/spreadsheetml/2006/main" name="DadosExternos_277" connectionId="368" autoFormatId="16" applyNumberFormats="0" applyBorderFormats="0" applyFontFormats="1" applyPatternFormats="1" applyAlignmentFormats="0" applyWidthHeightFormats="0"/>
</file>

<file path=xl/queryTables/queryTable2000.xml><?xml version="1.0" encoding="utf-8"?>
<queryTable xmlns="http://schemas.openxmlformats.org/spreadsheetml/2006/main" name="DadosExternos_160" connectionId="674" autoFormatId="16" applyNumberFormats="0" applyBorderFormats="0" applyFontFormats="1" applyPatternFormats="1" applyAlignmentFormats="0" applyWidthHeightFormats="0"/>
</file>

<file path=xl/queryTables/queryTable2001.xml><?xml version="1.0" encoding="utf-8"?>
<queryTable xmlns="http://schemas.openxmlformats.org/spreadsheetml/2006/main" name="ExternalData_140" connectionId="881" autoFormatId="16" applyNumberFormats="0" applyBorderFormats="0" applyFontFormats="1" applyPatternFormats="1" applyAlignmentFormats="0" applyWidthHeightFormats="0"/>
</file>

<file path=xl/queryTables/queryTable2002.xml><?xml version="1.0" encoding="utf-8"?>
<queryTable xmlns="http://schemas.openxmlformats.org/spreadsheetml/2006/main" name="DadosExternos_219" connectionId="173" autoFormatId="16" applyNumberFormats="0" applyBorderFormats="0" applyFontFormats="1" applyPatternFormats="1" applyAlignmentFormats="0" applyWidthHeightFormats="0"/>
</file>

<file path=xl/queryTables/queryTable2003.xml><?xml version="1.0" encoding="utf-8"?>
<queryTable xmlns="http://schemas.openxmlformats.org/spreadsheetml/2006/main" name="DadosExternos_235" connectionId="218" autoFormatId="16" applyNumberFormats="0" applyBorderFormats="0" applyFontFormats="1" applyPatternFormats="1" applyAlignmentFormats="0" applyWidthHeightFormats="0"/>
</file>

<file path=xl/queryTables/queryTable2004.xml><?xml version="1.0" encoding="utf-8"?>
<queryTable xmlns="http://schemas.openxmlformats.org/spreadsheetml/2006/main" name="ExternalData_18" connectionId="858" autoFormatId="16" applyNumberFormats="0" applyBorderFormats="0" applyFontFormats="1" applyPatternFormats="1" applyAlignmentFormats="0" applyWidthHeightFormats="0"/>
</file>

<file path=xl/queryTables/queryTable2005.xml><?xml version="1.0" encoding="utf-8"?>
<queryTable xmlns="http://schemas.openxmlformats.org/spreadsheetml/2006/main" name="DadosExternos_15" connectionId="743" autoFormatId="16" applyNumberFormats="0" applyBorderFormats="0" applyFontFormats="1" applyPatternFormats="1" applyAlignmentFormats="0" applyWidthHeightFormats="0"/>
</file>

<file path=xl/queryTables/queryTable2006.xml><?xml version="1.0" encoding="utf-8"?>
<queryTable xmlns="http://schemas.openxmlformats.org/spreadsheetml/2006/main" name="ExternalData_76" connectionId="1021" autoFormatId="16" applyNumberFormats="0" applyBorderFormats="0" applyFontFormats="1" applyPatternFormats="1" applyAlignmentFormats="0" applyWidthHeightFormats="0"/>
</file>

<file path=xl/queryTables/queryTable2007.xml><?xml version="1.0" encoding="utf-8"?>
<queryTable xmlns="http://schemas.openxmlformats.org/spreadsheetml/2006/main" name="DadosExternos_107" connectionId="90" autoFormatId="16" applyNumberFormats="0" applyBorderFormats="0" applyFontFormats="1" applyPatternFormats="1" applyAlignmentFormats="0" applyWidthHeightFormats="0"/>
</file>

<file path=xl/queryTables/queryTable2008.xml><?xml version="1.0" encoding="utf-8"?>
<queryTable xmlns="http://schemas.openxmlformats.org/spreadsheetml/2006/main" name="DadosExternos_400" connectionId="381" autoFormatId="16" applyNumberFormats="0" applyBorderFormats="0" applyFontFormats="1" applyPatternFormats="1" applyAlignmentFormats="0" applyWidthHeightFormats="0"/>
</file>

<file path=xl/queryTables/queryTable2009.xml><?xml version="1.0" encoding="utf-8"?>
<queryTable xmlns="http://schemas.openxmlformats.org/spreadsheetml/2006/main" name="DadosExternos_446" connectionId="757" autoFormatId="16" applyNumberFormats="0" applyBorderFormats="0" applyFontFormats="1" applyPatternFormats="1" applyAlignmentFormats="0" applyWidthHeightFormats="0"/>
</file>

<file path=xl/queryTables/queryTable2010.xml><?xml version="1.0" encoding="utf-8"?>
<queryTable xmlns="http://schemas.openxmlformats.org/spreadsheetml/2006/main" name="ExternalData_32" connectionId="957" autoFormatId="16" applyNumberFormats="0" applyBorderFormats="0" applyFontFormats="1" applyPatternFormats="1" applyAlignmentFormats="0" applyWidthHeightFormats="0"/>
</file>

<file path=xl/queryTables/queryTable2011.xml><?xml version="1.0" encoding="utf-8"?>
<queryTable xmlns="http://schemas.openxmlformats.org/spreadsheetml/2006/main" name="DadosExternos_263" connectionId="319" autoFormatId="16" applyNumberFormats="0" applyBorderFormats="0" applyFontFormats="1" applyPatternFormats="1" applyAlignmentFormats="0" applyWidthHeightFormats="0"/>
</file>

<file path=xl/queryTables/queryTable2012.xml><?xml version="1.0" encoding="utf-8"?>
<queryTable xmlns="http://schemas.openxmlformats.org/spreadsheetml/2006/main" name="ExternalData_131" connectionId="861" autoFormatId="16" applyNumberFormats="0" applyBorderFormats="0" applyFontFormats="1" applyPatternFormats="1" applyAlignmentFormats="0" applyWidthHeightFormats="0"/>
</file>

<file path=xl/queryTables/queryTable2013.xml><?xml version="1.0" encoding="utf-8"?>
<queryTable xmlns="http://schemas.openxmlformats.org/spreadsheetml/2006/main" name="DadosExternos_345" connectionId="545" autoFormatId="16" applyNumberFormats="0" applyBorderFormats="0" applyFontFormats="1" applyPatternFormats="1" applyAlignmentFormats="0" applyWidthHeightFormats="0"/>
</file>

<file path=xl/queryTables/queryTable2014.xml><?xml version="1.0" encoding="utf-8"?>
<queryTable xmlns="http://schemas.openxmlformats.org/spreadsheetml/2006/main" name="DadosExternos_308" connectionId="465" autoFormatId="16" applyNumberFormats="0" applyBorderFormats="0" applyFontFormats="1" applyPatternFormats="1" applyAlignmentFormats="0" applyWidthHeightFormats="0"/>
</file>

<file path=xl/queryTables/queryTable2015.xml><?xml version="1.0" encoding="utf-8"?>
<queryTable xmlns="http://schemas.openxmlformats.org/spreadsheetml/2006/main" name="DadosExternos_444" connectionId="751" autoFormatId="16" applyNumberFormats="0" applyBorderFormats="0" applyFontFormats="1" applyPatternFormats="1" applyAlignmentFormats="0" applyWidthHeightFormats="0"/>
</file>

<file path=xl/queryTables/queryTable2016.xml><?xml version="1.0" encoding="utf-8"?>
<queryTable xmlns="http://schemas.openxmlformats.org/spreadsheetml/2006/main" name="ExternalData_151" connectionId="897" autoFormatId="16" applyNumberFormats="0" applyBorderFormats="0" applyFontFormats="1" applyPatternFormats="1" applyAlignmentFormats="0" applyWidthHeightFormats="0"/>
</file>

<file path=xl/queryTables/queryTable2017.xml><?xml version="1.0" encoding="utf-8"?>
<queryTable xmlns="http://schemas.openxmlformats.org/spreadsheetml/2006/main" name="ExternalData_113" connectionId="1141" autoFormatId="16" applyNumberFormats="0" applyBorderFormats="0" applyFontFormats="1" applyPatternFormats="1" applyAlignmentFormats="0" applyWidthHeightFormats="0"/>
</file>

<file path=xl/queryTables/queryTable2018.xml><?xml version="1.0" encoding="utf-8"?>
<queryTable xmlns="http://schemas.openxmlformats.org/spreadsheetml/2006/main" name="ExternalData_21" connectionId="1023" autoFormatId="16" applyNumberFormats="0" applyBorderFormats="0" applyFontFormats="1" applyPatternFormats="1" applyAlignmentFormats="0" applyWidthHeightFormats="0"/>
</file>

<file path=xl/queryTables/queryTable2019.xml><?xml version="1.0" encoding="utf-8"?>
<queryTable xmlns="http://schemas.openxmlformats.org/spreadsheetml/2006/main" name="DadosExternos_40" connectionId="123" autoFormatId="16" applyNumberFormats="0" applyBorderFormats="0" applyFontFormats="1" applyPatternFormats="1" applyAlignmentFormats="0" applyWidthHeightFormats="0"/>
</file>

<file path=xl/queryTables/queryTable2020.xml><?xml version="1.0" encoding="utf-8"?>
<queryTable xmlns="http://schemas.openxmlformats.org/spreadsheetml/2006/main" name="DadosExternos_45" connectionId="214" autoFormatId="16" applyNumberFormats="0" applyBorderFormats="0" applyFontFormats="1" applyPatternFormats="1" applyAlignmentFormats="0" applyWidthHeightFormats="0"/>
</file>

<file path=xl/queryTables/queryTable2021.xml><?xml version="1.0" encoding="utf-8"?>
<queryTable xmlns="http://schemas.openxmlformats.org/spreadsheetml/2006/main" name="DadosExternos_70" connectionId="399" autoFormatId="16" applyNumberFormats="0" applyBorderFormats="0" applyFontFormats="1" applyPatternFormats="1" applyAlignmentFormats="0" applyWidthHeightFormats="0"/>
</file>

<file path=xl/queryTables/queryTable2022.xml><?xml version="1.0" encoding="utf-8"?>
<queryTable xmlns="http://schemas.openxmlformats.org/spreadsheetml/2006/main" name="DadosExternos_131" connectionId="474" autoFormatId="16" applyNumberFormats="0" applyBorderFormats="0" applyFontFormats="1" applyPatternFormats="1" applyAlignmentFormats="0" applyWidthHeightFormats="0"/>
</file>

<file path=xl/queryTables/queryTable2023.xml><?xml version="1.0" encoding="utf-8"?>
<queryTable xmlns="http://schemas.openxmlformats.org/spreadsheetml/2006/main" name="DadosExternos_317" connectionId="478" autoFormatId="16" applyNumberFormats="0" applyBorderFormats="0" applyFontFormats="1" applyPatternFormats="1" applyAlignmentFormats="0" applyWidthHeightFormats="0"/>
</file>

<file path=xl/queryTables/queryTable2024.xml><?xml version="1.0" encoding="utf-8"?>
<queryTable xmlns="http://schemas.openxmlformats.org/spreadsheetml/2006/main" name="DadosExternos_53" connectionId="337" autoFormatId="16" applyNumberFormats="0" applyBorderFormats="0" applyFontFormats="1" applyPatternFormats="1" applyAlignmentFormats="0" applyWidthHeightFormats="0"/>
</file>

<file path=xl/queryTables/queryTable2025.xml><?xml version="1.0" encoding="utf-8"?>
<queryTable xmlns="http://schemas.openxmlformats.org/spreadsheetml/2006/main" name="ExternalData_120" connectionId="829" autoFormatId="16" applyNumberFormats="0" applyBorderFormats="0" applyFontFormats="1" applyPatternFormats="1" applyAlignmentFormats="0" applyWidthHeightFormats="0"/>
</file>

<file path=xl/queryTables/queryTable2026.xml><?xml version="1.0" encoding="utf-8"?>
<queryTable xmlns="http://schemas.openxmlformats.org/spreadsheetml/2006/main" name="DadosExternos_171" connectionId="720" autoFormatId="16" applyNumberFormats="0" applyBorderFormats="0" applyFontFormats="1" applyPatternFormats="1" applyAlignmentFormats="0" applyWidthHeightFormats="0"/>
</file>

<file path=xl/queryTables/queryTable2027.xml><?xml version="1.0" encoding="utf-8"?>
<queryTable xmlns="http://schemas.openxmlformats.org/spreadsheetml/2006/main" name="DadosExternos_380" connectionId="8" autoFormatId="16" applyNumberFormats="0" applyBorderFormats="0" applyFontFormats="1" applyPatternFormats="1" applyAlignmentFormats="0" applyWidthHeightFormats="0"/>
</file>

<file path=xl/queryTables/queryTable2028.xml><?xml version="1.0" encoding="utf-8"?>
<queryTable xmlns="http://schemas.openxmlformats.org/spreadsheetml/2006/main" name="DadosExternos_223" connectionId="189" autoFormatId="16" applyNumberFormats="0" applyBorderFormats="0" applyFontFormats="1" applyPatternFormats="1" applyAlignmentFormats="0" applyWidthHeightFormats="0"/>
</file>

<file path=xl/queryTables/queryTable2029.xml><?xml version="1.0" encoding="utf-8"?>
<queryTable xmlns="http://schemas.openxmlformats.org/spreadsheetml/2006/main" name="ExternalData_162" connectionId="923" autoFormatId="16" applyNumberFormats="0" applyBorderFormats="0" applyFontFormats="1" applyPatternFormats="1" applyAlignmentFormats="0" applyWidthHeightFormats="0"/>
</file>

<file path=xl/queryTables/queryTable2030.xml><?xml version="1.0" encoding="utf-8"?>
<queryTable xmlns="http://schemas.openxmlformats.org/spreadsheetml/2006/main" name="ExternalData_118" connectionId="822" autoFormatId="16" applyNumberFormats="0" applyBorderFormats="0" applyFontFormats="1" applyPatternFormats="1" applyAlignmentFormats="0" applyWidthHeightFormats="0"/>
</file>

<file path=xl/queryTables/queryTable2031.xml><?xml version="1.0" encoding="utf-8"?>
<queryTable xmlns="http://schemas.openxmlformats.org/spreadsheetml/2006/main" name="DadosExternos_224" connectionId="191" autoFormatId="16" applyNumberFormats="0" applyBorderFormats="0" applyFontFormats="1" applyPatternFormats="1" applyAlignmentFormats="0" applyWidthHeightFormats="0"/>
</file>

<file path=xl/queryTables/queryTable2032.xml><?xml version="1.0" encoding="utf-8"?>
<queryTable xmlns="http://schemas.openxmlformats.org/spreadsheetml/2006/main" name="DadosExternos_403" connectionId="424" autoFormatId="16" applyNumberFormats="0" applyBorderFormats="0" applyFontFormats="1" applyPatternFormats="1" applyAlignmentFormats="0" applyWidthHeightFormats="0"/>
</file>

<file path=xl/queryTables/queryTable2033.xml><?xml version="1.0" encoding="utf-8"?>
<queryTable xmlns="http://schemas.openxmlformats.org/spreadsheetml/2006/main" name="DadosExternos_195" connectionId="96" autoFormatId="16" applyNumberFormats="0" applyBorderFormats="0" applyFontFormats="1" applyPatternFormats="1" applyAlignmentFormats="0" applyWidthHeightFormats="0"/>
</file>

<file path=xl/queryTables/queryTable2034.xml><?xml version="1.0" encoding="utf-8"?>
<queryTable xmlns="http://schemas.openxmlformats.org/spreadsheetml/2006/main" name="DadosExternos_415" connectionId="591" autoFormatId="16" applyNumberFormats="0" applyBorderFormats="0" applyFontFormats="1" applyPatternFormats="1" applyAlignmentFormats="0" applyWidthHeightFormats="0"/>
</file>

<file path=xl/queryTables/queryTable2035.xml><?xml version="1.0" encoding="utf-8"?>
<queryTable xmlns="http://schemas.openxmlformats.org/spreadsheetml/2006/main" name="DadosExternos_402" connectionId="410" autoFormatId="16" applyNumberFormats="0" applyBorderFormats="0" applyFontFormats="1" applyPatternFormats="1" applyAlignmentFormats="0" applyWidthHeightFormats="0"/>
</file>

<file path=xl/queryTables/queryTable2036.xml><?xml version="1.0" encoding="utf-8"?>
<queryTable xmlns="http://schemas.openxmlformats.org/spreadsheetml/2006/main" name="DadosExternos_72" connectionId="617" autoFormatId="16" applyNumberFormats="0" applyBorderFormats="0" applyFontFormats="1" applyPatternFormats="1" applyAlignmentFormats="0" applyWidthHeightFormats="0"/>
</file>

<file path=xl/queryTables/queryTable2037.xml><?xml version="1.0" encoding="utf-8"?>
<queryTable xmlns="http://schemas.openxmlformats.org/spreadsheetml/2006/main" name="ExternalData_80" connectionId="1030" autoFormatId="16" applyNumberFormats="0" applyBorderFormats="0" applyFontFormats="1" applyPatternFormats="1" applyAlignmentFormats="0" applyWidthHeightFormats="0"/>
</file>

<file path=xl/queryTables/queryTable2038.xml><?xml version="1.0" encoding="utf-8"?>
<queryTable xmlns="http://schemas.openxmlformats.org/spreadsheetml/2006/main" name="DadosExternos_162" connectionId="680" autoFormatId="16" applyNumberFormats="0" applyBorderFormats="0" applyFontFormats="1" applyPatternFormats="1" applyAlignmentFormats="0" applyWidthHeightFormats="0"/>
</file>

<file path=xl/queryTables/queryTable2039.xml><?xml version="1.0" encoding="utf-8"?>
<queryTable xmlns="http://schemas.openxmlformats.org/spreadsheetml/2006/main" name="DadosExternos_113" connectionId="197" autoFormatId="16" applyNumberFormats="0" applyBorderFormats="0" applyFontFormats="1" applyPatternFormats="1" applyAlignmentFormats="0" applyWidthHeightFormats="0"/>
</file>

<file path=xl/queryTables/queryTable2040.xml><?xml version="1.0" encoding="utf-8"?>
<queryTable xmlns="http://schemas.openxmlformats.org/spreadsheetml/2006/main" name="DadosExternos_130" connectionId="459" autoFormatId="16" applyNumberFormats="0" applyBorderFormats="0" applyFontFormats="1" applyPatternFormats="1" applyAlignmentFormats="0" applyWidthHeightFormats="0"/>
</file>

<file path=xl/queryTables/queryTable2041.xml><?xml version="1.0" encoding="utf-8"?>
<queryTable xmlns="http://schemas.openxmlformats.org/spreadsheetml/2006/main" name="DadosExternos_147" connectionId="622" autoFormatId="16" applyNumberFormats="0" applyBorderFormats="0" applyFontFormats="1" applyPatternFormats="1" applyAlignmentFormats="0" applyWidthHeightFormats="0"/>
</file>

<file path=xl/queryTables/queryTable2042.xml><?xml version="1.0" encoding="utf-8"?>
<queryTable xmlns="http://schemas.openxmlformats.org/spreadsheetml/2006/main" name="DadosExternos_135" connectionId="543" autoFormatId="16" applyNumberFormats="0" applyBorderFormats="0" applyFontFormats="1" applyPatternFormats="1" applyAlignmentFormats="0" applyWidthHeightFormats="0"/>
</file>

<file path=xl/queryTables/queryTable2043.xml><?xml version="1.0" encoding="utf-8"?>
<queryTable xmlns="http://schemas.openxmlformats.org/spreadsheetml/2006/main" name="ExternalData_110" connectionId="1135" autoFormatId="16" applyNumberFormats="0" applyBorderFormats="0" applyFontFormats="1" applyPatternFormats="1" applyAlignmentFormats="0" applyWidthHeightFormats="0"/>
</file>

<file path=xl/queryTables/queryTable2044.xml><?xml version="1.0" encoding="utf-8"?>
<queryTable xmlns="http://schemas.openxmlformats.org/spreadsheetml/2006/main" name="ExternalData_22" connectionId="1101" autoFormatId="16" applyNumberFormats="0" applyBorderFormats="0" applyFontFormats="1" applyPatternFormats="1" applyAlignmentFormats="0" applyWidthHeightFormats="0"/>
</file>

<file path=xl/queryTables/queryTable2045.xml><?xml version="1.0" encoding="utf-8"?>
<queryTable xmlns="http://schemas.openxmlformats.org/spreadsheetml/2006/main" name="ExternalData_65" connectionId="995" autoFormatId="16" applyNumberFormats="0" applyBorderFormats="0" applyFontFormats="1" applyPatternFormats="1" applyAlignmentFormats="0" applyWidthHeightFormats="0"/>
</file>

<file path=xl/queryTables/queryTable2046.xml><?xml version="1.0" encoding="utf-8"?>
<queryTable xmlns="http://schemas.openxmlformats.org/spreadsheetml/2006/main" name="ExternalData_59" connectionId="968" autoFormatId="16" applyNumberFormats="0" applyBorderFormats="0" applyFontFormats="1" applyPatternFormats="1" applyAlignmentFormats="0" applyWidthHeightFormats="0"/>
</file>

<file path=xl/queryTables/queryTable2047.xml><?xml version="1.0" encoding="utf-8"?>
<queryTable xmlns="http://schemas.openxmlformats.org/spreadsheetml/2006/main" name="DadosExternos_296" connectionId="436" autoFormatId="16" applyNumberFormats="0" applyBorderFormats="0" applyFontFormats="1" applyPatternFormats="1" applyAlignmentFormats="0" applyWidthHeightFormats="0"/>
</file>

<file path=xl/queryTables/queryTable2048.xml><?xml version="1.0" encoding="utf-8"?>
<queryTable xmlns="http://schemas.openxmlformats.org/spreadsheetml/2006/main" name="DadosExternos_326" connectionId="498" autoFormatId="16" applyNumberFormats="0" applyBorderFormats="0" applyFontFormats="1" applyPatternFormats="1" applyAlignmentFormats="0" applyWidthHeightFormats="0"/>
</file>

<file path=xl/queryTables/queryTable2049.xml><?xml version="1.0" encoding="utf-8"?>
<queryTable xmlns="http://schemas.openxmlformats.org/spreadsheetml/2006/main" name="DadosExternos_401" connectionId="395" autoFormatId="16" applyNumberFormats="0" applyBorderFormats="0" applyFontFormats="1" applyPatternFormats="1" applyAlignmentFormats="0" applyWidthHeightFormats="0"/>
</file>

<file path=xl/queryTables/queryTable2050.xml><?xml version="1.0" encoding="utf-8"?>
<queryTable xmlns="http://schemas.openxmlformats.org/spreadsheetml/2006/main" name="DadosExternos_458" connectionId="16" autoFormatId="16" applyNumberFormats="0" applyBorderFormats="0" applyFontFormats="1" applyPatternFormats="1" applyAlignmentFormats="0" applyWidthHeightFormats="0"/>
</file>

<file path=xl/queryTables/queryTable2051.xml><?xml version="1.0" encoding="utf-8"?>
<queryTable xmlns="http://schemas.openxmlformats.org/spreadsheetml/2006/main" name="DadosExternos_203" connectionId="130" autoFormatId="16" applyNumberFormats="0" applyBorderFormats="0" applyFontFormats="1" applyPatternFormats="1" applyAlignmentFormats="0" applyWidthHeightFormats="0"/>
</file>

<file path=xl/queryTables/queryTable2052.xml><?xml version="1.0" encoding="utf-8"?>
<queryTable xmlns="http://schemas.openxmlformats.org/spreadsheetml/2006/main" name="DadosExternos_198" connectionId="105" autoFormatId="16" applyNumberFormats="0" applyBorderFormats="0" applyFontFormats="1" applyPatternFormats="1" applyAlignmentFormats="0" applyWidthHeightFormats="0"/>
</file>

<file path=xl/queryTables/queryTable2053.xml><?xml version="1.0" encoding="utf-8"?>
<queryTable xmlns="http://schemas.openxmlformats.org/spreadsheetml/2006/main" name="DadosExternos_398" connectionId="350" autoFormatId="16" applyNumberFormats="0" applyBorderFormats="0" applyFontFormats="1" applyPatternFormats="1" applyAlignmentFormats="0" applyWidthHeightFormats="0"/>
</file>

<file path=xl/queryTables/queryTable2054.xml><?xml version="1.0" encoding="utf-8"?>
<queryTable xmlns="http://schemas.openxmlformats.org/spreadsheetml/2006/main" name="DadosExternos_31" connectionId="612" autoFormatId="16" applyNumberFormats="0" applyBorderFormats="0" applyFontFormats="1" applyPatternFormats="1" applyAlignmentFormats="0" applyWidthHeightFormats="0"/>
</file>

<file path=xl/queryTables/queryTable2055.xml><?xml version="1.0" encoding="utf-8"?>
<queryTable xmlns="http://schemas.openxmlformats.org/spreadsheetml/2006/main" name="DadosExternos_352" connectionId="559" autoFormatId="16" applyNumberFormats="0" applyBorderFormats="0" applyFontFormats="1" applyPatternFormats="1" applyAlignmentFormats="0" applyWidthHeightFormats="0"/>
</file>

<file path=xl/queryTables/queryTable2056.xml><?xml version="1.0" encoding="utf-8"?>
<queryTable xmlns="http://schemas.openxmlformats.org/spreadsheetml/2006/main" name="ExternalData_142" connectionId="883" autoFormatId="16" applyNumberFormats="0" applyBorderFormats="0" applyFontFormats="1" applyPatternFormats="1" applyAlignmentFormats="0" applyWidthHeightFormats="0"/>
</file>

<file path=xl/queryTables/queryTable2057.xml><?xml version="1.0" encoding="utf-8"?>
<queryTable xmlns="http://schemas.openxmlformats.org/spreadsheetml/2006/main" name="DadosExternos_409" connectionId="521" autoFormatId="16" applyNumberFormats="0" applyBorderFormats="0" applyFontFormats="1" applyPatternFormats="1" applyAlignmentFormats="0" applyWidthHeightFormats="0"/>
</file>

<file path=xl/queryTables/queryTable2058.xml><?xml version="1.0" encoding="utf-8"?>
<queryTable xmlns="http://schemas.openxmlformats.org/spreadsheetml/2006/main" name="DadosExternos_275" connectionId="357" autoFormatId="16" applyNumberFormats="0" applyBorderFormats="0" applyFontFormats="1" applyPatternFormats="1" applyAlignmentFormats="0" applyWidthHeightFormats="0"/>
</file>

<file path=xl/queryTables/queryTable2059.xml><?xml version="1.0" encoding="utf-8"?>
<queryTable xmlns="http://schemas.openxmlformats.org/spreadsheetml/2006/main" name="ExternalData_93" connectionId="1089" autoFormatId="16" applyNumberFormats="0" applyBorderFormats="0" applyFontFormats="1" applyPatternFormats="1" applyAlignmentFormats="0" applyWidthHeightFormats="0"/>
</file>

<file path=xl/queryTables/queryTable2060.xml><?xml version="1.0" encoding="utf-8"?>
<queryTable xmlns="http://schemas.openxmlformats.org/spreadsheetml/2006/main" name="DadosExternos_150" connectionId="631" autoFormatId="16" applyNumberFormats="0" applyBorderFormats="0" applyFontFormats="1" applyPatternFormats="1" applyAlignmentFormats="0" applyWidthHeightFormats="0"/>
</file>

<file path=xl/queryTables/queryTable2061.xml><?xml version="1.0" encoding="utf-8"?>
<queryTable xmlns="http://schemas.openxmlformats.org/spreadsheetml/2006/main" name="DadosExternos_181" connectionId="760" autoFormatId="16" applyNumberFormats="0" applyBorderFormats="0" applyFontFormats="1" applyPatternFormats="1" applyAlignmentFormats="0" applyWidthHeightFormats="0"/>
</file>

<file path=xl/queryTables/queryTable2062.xml><?xml version="1.0" encoding="utf-8"?>
<queryTable xmlns="http://schemas.openxmlformats.org/spreadsheetml/2006/main" name="ExternalData_129" connectionId="852" autoFormatId="16" applyNumberFormats="0" applyBorderFormats="0" applyFontFormats="1" applyPatternFormats="1" applyAlignmentFormats="0" applyWidthHeightFormats="0"/>
</file>

<file path=xl/queryTables/queryTable2063.xml><?xml version="1.0" encoding="utf-8"?>
<queryTable xmlns="http://schemas.openxmlformats.org/spreadsheetml/2006/main" name="DadosExternos_437" connectionId="691" autoFormatId="16" applyNumberFormats="0" applyBorderFormats="0" applyFontFormats="1" applyPatternFormats="1" applyAlignmentFormats="0" applyWidthHeightFormats="0"/>
</file>

<file path=xl/queryTables/queryTable2064.xml><?xml version="1.0" encoding="utf-8"?>
<queryTable xmlns="http://schemas.openxmlformats.org/spreadsheetml/2006/main" name="DadosExternos_374" connectionId="552" autoFormatId="16" applyNumberFormats="0" applyBorderFormats="0" applyFontFormats="1" applyPatternFormats="1" applyAlignmentFormats="0" applyWidthHeightFormats="0"/>
</file>

<file path=xl/queryTables/queryTable2065.xml><?xml version="1.0" encoding="utf-8"?>
<queryTable xmlns="http://schemas.openxmlformats.org/spreadsheetml/2006/main" name="DadosExternos_9" connectionId="739" autoFormatId="16" applyNumberFormats="0" applyBorderFormats="0" applyFontFormats="1" applyPatternFormats="1" applyAlignmentFormats="0" applyWidthHeightFormats="0"/>
</file>

<file path=xl/queryTables/queryTable2066.xml><?xml version="1.0" encoding="utf-8"?>
<queryTable xmlns="http://schemas.openxmlformats.org/spreadsheetml/2006/main" name="DadosExternos_319" connectionId="483" autoFormatId="16" applyNumberFormats="0" applyBorderFormats="0" applyFontFormats="1" applyPatternFormats="1" applyAlignmentFormats="0" applyWidthHeightFormats="0"/>
</file>

<file path=xl/queryTables/queryTable2067.xml><?xml version="1.0" encoding="utf-8"?>
<queryTable xmlns="http://schemas.openxmlformats.org/spreadsheetml/2006/main" name="ExternalData_153" connectionId="900" autoFormatId="16" applyNumberFormats="0" applyBorderFormats="0" applyFontFormats="1" applyPatternFormats="1" applyAlignmentFormats="0" applyWidthHeightFormats="0"/>
</file>

<file path=xl/queryTables/queryTable2068.xml><?xml version="1.0" encoding="utf-8"?>
<queryTable xmlns="http://schemas.openxmlformats.org/spreadsheetml/2006/main" name="DadosExternos_126" connectionId="401" autoFormatId="16" applyNumberFormats="0" applyBorderFormats="0" applyFontFormats="1" applyPatternFormats="1" applyAlignmentFormats="0" applyWidthHeightFormats="0"/>
</file>

<file path=xl/queryTables/queryTable2069.xml><?xml version="1.0" encoding="utf-8"?>
<queryTable xmlns="http://schemas.openxmlformats.org/spreadsheetml/2006/main" name="DadosExternos_170" connectionId="717" autoFormatId="16" applyNumberFormats="0" applyBorderFormats="0" applyFontFormats="1" applyPatternFormats="1" applyAlignmentFormats="0" applyWidthHeightFormats="0"/>
</file>

<file path=xl/tables/table1.xml><?xml version="1.0" encoding="utf-8"?>
<table xmlns="http://schemas.openxmlformats.org/spreadsheetml/2006/main" id="3" name="Tabela3" displayName="Tabela3" ref="A1:BB520" totalsRowCount="1">
  <autoFilter ref="A1:BB519">
    <filterColumn colId="3">
      <filters>
        <filter val="4"/>
      </filters>
    </filterColumn>
    <filterColumn colId="44"/>
  </autoFilter>
  <sortState ref="A2:BB519">
    <sortCondition descending="1" ref="Q1:Q519"/>
  </sortState>
  <tableColumns count="54">
    <tableColumn id="10" name="Classificação Setorial" totalsRowFunction="count" dataDxfId="171" totalsRowDxfId="42"/>
    <tableColumn id="9" name="PAPEL" dataDxfId="170" totalsRowDxfId="41"/>
    <tableColumn id="34" name="Nome" dataDxfId="169">
      <calculatedColumnFormula>LEFT([PAPEL],LEN([PAPEL])-(LEN([PAPEL])-4))</calculatedColumnFormula>
    </tableColumn>
    <tableColumn id="24" name="Ref"/>
    <tableColumn id="1" name="Capital Social" dataDxfId="168"/>
    <tableColumn id="7" name="Ações" dataDxfId="167"/>
    <tableColumn id="25" name="%Div" dataDxfId="166"/>
    <tableColumn id="29" name="% PNA (PL)" dataDxfId="165"/>
    <tableColumn id="30" name="% PNA (CS)" dataDxfId="164"/>
    <tableColumn id="47" name="% Pref. / ON" dataDxfId="163"/>
    <tableColumn id="27" name="Unit ON" dataDxfId="162"/>
    <tableColumn id="31" name="Unit PN" dataDxfId="161"/>
    <tableColumn id="32" name="Ativo || Passivo" dataDxfId="160" totalsRowDxfId="40"/>
    <tableColumn id="45" name="Ativo Circulante" dataDxfId="159" totalsRowDxfId="39"/>
    <tableColumn id="46" name="Passivo Circulante" dataDxfId="158" totalsRowDxfId="38"/>
    <tableColumn id="2" name="Patrimônio Líquido" dataDxfId="157" totalsRowDxfId="37"/>
    <tableColumn id="13" name="Lucro Líquido" dataDxfId="156" totalsRowDxfId="36"/>
    <tableColumn id="38" name="Dívida" dataDxfId="155" totalsRowDxfId="35">
      <calculatedColumnFormula>IF(Tabela3[[#This Row],[Ativo || Passivo]]&gt;0,Tabela3[[#This Row],[Ativo || Passivo]]-Tabela3[[#This Row],[Patrimônio Líquido]],0)</calculatedColumnFormula>
    </tableColumn>
    <tableColumn id="43" name="Valor de Mercado" dataDxfId="154" totalsRowDxfId="34">
      <calculatedColumnFormula>Tabela3[[#This Row],[Cotação]]*Tabela3[[#This Row],[Total Ações]]</calculatedColumnFormula>
    </tableColumn>
    <tableColumn id="48" name="Liquidez Corrente" dataDxfId="153" totalsRowDxfId="33">
      <calculatedColumnFormula>IF(Tabela3[[#This Row],[Passivo Circulante]]&gt;0,Tabela3[[#This Row],[Ativo Circulante]]/Tabela3[[#This Row],[Passivo Circulante]],0)</calculatedColumnFormula>
    </tableColumn>
    <tableColumn id="51" name="Liquidez Corrente Média" dataDxfId="152" totalsRowDxfId="32">
      <calculatedColumnFormula>SUMPRODUCT(N([Liquidez Corrente]&gt;0),N(RIGHT([PAPEL],LEN([PAPEL])-(LEN([PAPEL])-1))="3"),[Liquidez Corrente])/SUMPRODUCT(N([Liquidez Corrente]&gt;0),N(RIGHT([PAPEL],LEN([PAPEL])-(LEN([PAPEL])-1))="3"))</calculatedColumnFormula>
    </tableColumn>
    <tableColumn id="49" name="Rentabilidade s/ PL" dataDxfId="151" totalsRowDxfId="31">
      <calculatedColumnFormula>IF(Tabela3[[#This Row],[Lucro Líquido]]&gt;0,Tabela3[[#This Row],[Lucro Líquido]]/Tabela3[[#This Row],[Patrimônio Líquido]],0)</calculatedColumnFormula>
    </tableColumn>
    <tableColumn id="54" name="Rentabilidade s/ PL Média" dataDxfId="150" totalsRowDxfId="30">
      <calculatedColumnFormula>SUMPRODUCT(N([Rentabilidade s/ PL]&gt;0),N(RIGHT([PAPEL],LEN([PAPEL])-(LEN([PAPEL])-1))="3"),[Rentabilidade s/ PL])/SUMPRODUCT(N([Rentabilidade s/ PL]&gt;0),N(RIGHT([PAPEL],LEN([PAPEL])-(LEN([PAPEL])-1))="3"))</calculatedColumnFormula>
    </tableColumn>
    <tableColumn id="50" name="Dívida / PL" dataDxfId="149" totalsRowDxfId="29">
      <calculatedColumnFormula>IF(Tabela3[[#This Row],[Dívida]]&gt;0,Tabela3[[#This Row],[Dívida]]/Tabela3[[#This Row],[Patrimônio Líquido]],0)</calculatedColumnFormula>
    </tableColumn>
    <tableColumn id="55" name="Dívida / PL Média" dataDxfId="148" totalsRowDxfId="28">
      <calculatedColumnFormula>SUMPRODUCT(N([Dívida / PL]&gt;0),N(RIGHT([PAPEL],LEN([PAPEL])-(LEN([PAPEL])-1))="3"),[Dívida / PL])/SUMPRODUCT(N([Dívida / PL]&gt;0),N(RIGHT([PAPEL],LEN([PAPEL])-(LEN([PAPEL])-1))="3"))</calculatedColumnFormula>
    </tableColumn>
    <tableColumn id="39" name="Teto R. Legal" dataDxfId="147" totalsRowDxfId="27">
      <calculatedColumnFormula>Tabela3[[#This Row],[Capital Social]]*20%</calculatedColumnFormula>
    </tableColumn>
    <tableColumn id="36" name="Reserva Legal" dataDxfId="146" totalsRowDxfId="26">
      <calculatedColumnFormula>IF(([Lucro Líquido]*5%)&gt;[Teto R. Legal],[Teto R. Legal],[Lucro Líquido]*5%)</calculatedColumnFormula>
    </tableColumn>
    <tableColumn id="37" name="Lucro Distribuir" dataDxfId="145" totalsRowDxfId="25">
      <calculatedColumnFormula>IF([Lucro Líquido]&lt;0,0,[Lucro Líquido]-[Reserva Legal])</calculatedColumnFormula>
    </tableColumn>
    <tableColumn id="23" name="25 % Div" dataDxfId="144" totalsRowDxfId="24">
      <calculatedColumnFormula>Tabela3[[#This Row],[Lucro Distribuir]]*[%Div]</calculatedColumnFormula>
    </tableColumn>
    <tableColumn id="3" name="Total Ações" dataDxfId="143" totalsRowDxfId="23">
      <calculatedColumnFormula>SUMPRODUCT(N([Nome]=Tabela3[[#This Row],[Nome]]),[Ações])</calculatedColumnFormula>
    </tableColumn>
    <tableColumn id="44" name="VN" dataDxfId="142" totalsRowDxfId="22">
      <calculatedColumnFormula>[Capital Social]/[Total Ações]</calculatedColumnFormula>
    </tableColumn>
    <tableColumn id="19" name="Lucro/Ação" dataDxfId="141" totalsRowDxfId="21">
      <calculatedColumnFormula>Tabela3[[#This Row],[Lucro Líquido]]/Tabela3[[#This Row],[Total Ações]]</calculatedColumnFormula>
    </tableColumn>
    <tableColumn id="40" name="Div. Mínimo" dataDxfId="140" totalsRowDxfId="20">
      <calculatedColumnFormula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calculatedColumnFormula>
    </tableColumn>
    <tableColumn id="28" name="Div PNA (PL)" dataDxfId="139" totalsRowDxfId="19">
      <calculatedColumnFormula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calculatedColumnFormula>
    </tableColumn>
    <tableColumn id="33" name="Div PNA (CS)" dataDxfId="138" totalsRowDxfId="18">
      <calculatedColumnFormula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calculatedColumnFormula>
    </tableColumn>
    <tableColumn id="41" name="Div Base" dataDxfId="137" totalsRowDxfId="17">
      <calculatedColumnFormula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calculatedColumnFormula>
    </tableColumn>
    <tableColumn id="42" name="Total Div. Pref." dataDxfId="136" totalsRowDxfId="16">
      <calculatedColumnFormula>[Div Base]*[Ações]</calculatedColumnFormula>
    </tableColumn>
    <tableColumn id="22" name="Total" dataDxfId="135" totalsRowDxfId="15">
      <calculatedColumnFormula>SUMPRODUCT(N([Nome]=Tabela3[[#This Row],[Nome]]),[Div Base]*[Ações])</calculatedColumnFormula>
    </tableColumn>
    <tableColumn id="4" name="VPA" dataDxfId="134" totalsRowDxfId="14">
      <calculatedColumnFormula>[Patrimônio Líquido]/[Total Ações]</calculatedColumnFormula>
    </tableColumn>
    <tableColumn id="5" name="Cotação" dataDxfId="133" totalsRowDxfId="13">
      <calculatedColumnFormula>MAX(Tabela3[[#This Row],[Cotação 1]:[Cotação 5]])</calculatedColumnFormula>
    </tableColumn>
    <tableColumn id="6" name="PVPA" dataDxfId="132" totalsRowDxfId="12">
      <calculatedColumnFormula>[Cotação]/[VPA]</calculatedColumnFormula>
    </tableColumn>
    <tableColumn id="16" name="PL" dataDxfId="131">
      <calculatedColumnFormula>IF(Tabela3[[#This Row],[Lucro/Ação]]&gt;0,Tabela3[[#This Row],[Cotação]]/(Tabela3[[#This Row],[Lucro/Ação]]/[Ref]*4),0)</calculatedColumnFormula>
    </tableColumn>
    <tableColumn id="53" name="Lucro Dist./Ação" dataDxfId="130" totalsRowDxfId="11">
      <calculatedColumnFormula>[Lucro Distribuir]/[Total Ações]</calculatedColumnFormula>
    </tableColumn>
    <tableColumn id="52" name="Lucro" dataDxfId="129" totalsRowDxfId="10">
      <calculatedColumnFormula>IF([Unit ON]&gt;0,SUMPRODUCT(N([Nome]=Tabela3[[#This Row],[Nome]]),N(RIGHT([PAPEL],1)="3"),[Div Base])*[Unit ON]+SUMPRODUCT(N([Nome]=Tabela3[[#This Row],[Nome]]),N(RIGHT([PAPEL],1)="4"),[Div Base])*[Unit PN],[Div Base])</calculatedColumnFormula>
    </tableColumn>
    <tableColumn id="8" name="Comprar ?" dataDxfId="128" totalsRowDxfId="9">
      <calculatedColumnFormula>IF(AND([% A.A.]&gt;=6%,SUMPRODUCT(N([Nome]=Tabela3[[#This Row],[Nome]]),[PL])&gt;0,[Rentabilidade s/ PL]&gt;=[Rentabilidade s/ PL Média]),"Sim","Não")</calculatedColumnFormula>
    </tableColumn>
    <tableColumn id="14" name="% Yield" dataDxfId="127" totalsRowDxfId="8">
      <calculatedColumnFormula>IF([Cotação]&gt;0,Tabela3[[#This Row],[Lucro]]/Tabela3[[#This Row],[Cotação]],0)</calculatedColumnFormula>
    </tableColumn>
    <tableColumn id="12" name="% A.A." dataDxfId="126" totalsRowDxfId="7">
      <calculatedColumnFormula>((1+Tabela3[[#This Row],[% Yield]])^(1/(3*Tabela3[[#This Row],[Ref]])))^(12)-1</calculatedColumnFormula>
    </tableColumn>
    <tableColumn id="17" name="Ativos" dataDxfId="43" totalsRowDxfId="6">
      <calculatedColumnFormula>IF([Cotação]&gt;0,($BH$1/Tabela3[[#This Row],[Cotação]]-MOD($BH$1/Tabela3[[#This Row],[Cotação]],100)),)</calculatedColumnFormula>
    </tableColumn>
    <tableColumn id="18" name="Lucro Med A.A" dataDxfId="125" totalsRowDxfId="5">
      <calculatedColumnFormula>Tabela3[[#This Row],[Ativos]]*[Lucro]</calculatedColumnFormula>
    </tableColumn>
    <tableColumn id="15" name="Cotação 1" dataDxfId="124" totalsRowDxfId="4">
      <calculatedColumnFormula>SUMPRODUCT(N(Tabela1[Código]=Tabela3[[#This Row],[PAPEL]]),Tabela1[Fechamento])</calculatedColumnFormula>
    </tableColumn>
    <tableColumn id="20" name="Cotação 2" dataDxfId="123" totalsRowDxfId="3">
      <calculatedColumnFormula>SUMPRODUCT(N(Tabela17[Código]=Tabela3[[#This Row],[PAPEL]]),Tabela17[Fechamento])</calculatedColumnFormula>
    </tableColumn>
    <tableColumn id="11" name="Cotação 3" dataDxfId="122" totalsRowDxfId="2">
      <calculatedColumnFormula>SUMPRODUCT(N(Tabela176[Código]=Tabela3[[#This Row],[PAPEL]]),Tabela176[Fechamento])</calculatedColumnFormula>
    </tableColumn>
    <tableColumn id="21" name="Cotação 4" dataDxfId="121" totalsRowDxfId="1">
      <calculatedColumnFormula>SUMPRODUCT(N(Tabela1768[Código]=Tabela3[[#This Row],[PAPEL]]),Tabela1768[Fechamento])</calculatedColumnFormula>
    </tableColumn>
    <tableColumn id="26" name="Cotação 5" dataDxfId="120" totalsRowDxfId="0">
      <calculatedColumnFormula>SUMPRODUCT(N(Tabela17683[Código]=Tabela3[[#This Row],[PAPEL]]),Tabela17683[Fechamento])</calculatedColumnFormula>
    </tableColumn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id="1" name="Tabela1" displayName="Tabela1" ref="P6:V112" totalsRowShown="0" headerRowDxfId="119" dataDxfId="118">
  <autoFilter ref="P6:V112"/>
  <sortState ref="P7:V112">
    <sortCondition ref="P6:P112"/>
  </sortState>
  <tableColumns count="7">
    <tableColumn id="1" name="Código" dataDxfId="117"/>
    <tableColumn id="2" name="Ativo" dataDxfId="116">
      <calculatedColumnFormula>IF(A7="","",C7)</calculatedColumnFormula>
    </tableColumn>
    <tableColumn id="3" name="Data" dataDxfId="115">
      <calculatedColumnFormula>IF(A7="","",H7)</calculatedColumnFormula>
    </tableColumn>
    <tableColumn id="4" name="Abertura" dataDxfId="114">
      <calculatedColumnFormula>J7</calculatedColumnFormula>
    </tableColumn>
    <tableColumn id="5" name="Fechamento" dataDxfId="113">
      <calculatedColumnFormula>K7</calculatedColumnFormula>
    </tableColumn>
    <tableColumn id="6" name="Máxima" dataDxfId="112">
      <calculatedColumnFormula>L7</calculatedColumnFormula>
    </tableColumn>
    <tableColumn id="7" name="Mínima" dataDxfId="111">
      <calculatedColumnFormula>M7</calculatedColumnFormula>
    </tableColumn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id="6" name="Tabela17" displayName="Tabela17" ref="P6:V112" totalsRowShown="0" headerRowDxfId="110" dataDxfId="109">
  <autoFilter ref="P6:V112"/>
  <sortState ref="P7:V112">
    <sortCondition ref="P6:P112"/>
  </sortState>
  <tableColumns count="7">
    <tableColumn id="1" name="Código" dataDxfId="108"/>
    <tableColumn id="2" name="Ativo" dataDxfId="107">
      <calculatedColumnFormula>IF(A7="","",C7)</calculatedColumnFormula>
    </tableColumn>
    <tableColumn id="3" name="Data" dataDxfId="106">
      <calculatedColumnFormula>IF(A7="","",H7)</calculatedColumnFormula>
    </tableColumn>
    <tableColumn id="4" name="Abertura" dataDxfId="105">
      <calculatedColumnFormula>J7</calculatedColumnFormula>
    </tableColumn>
    <tableColumn id="5" name="Fechamento" dataDxfId="104">
      <calculatedColumnFormula>K7</calculatedColumnFormula>
    </tableColumn>
    <tableColumn id="6" name="Máxima" dataDxfId="103">
      <calculatedColumnFormula>L7</calculatedColumnFormula>
    </tableColumn>
    <tableColumn id="7" name="Mínima" dataDxfId="102">
      <calculatedColumnFormula>M7</calculatedColumnFormula>
    </tableColumn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id="5" name="Tabela176" displayName="Tabela176" ref="P6:V112" totalsRowShown="0" headerRowDxfId="101" dataDxfId="100">
  <autoFilter ref="P6:V112"/>
  <sortState ref="P7:V112">
    <sortCondition ref="P6:P112"/>
  </sortState>
  <tableColumns count="7">
    <tableColumn id="1" name="Código" dataDxfId="99"/>
    <tableColumn id="2" name="Ativo" dataDxfId="98">
      <calculatedColumnFormula>IF(A7="","",C7)</calculatedColumnFormula>
    </tableColumn>
    <tableColumn id="3" name="Data" dataDxfId="97">
      <calculatedColumnFormula>IF(A7="","",H7)</calculatedColumnFormula>
    </tableColumn>
    <tableColumn id="4" name="Abertura" dataDxfId="96">
      <calculatedColumnFormula>J7</calculatedColumnFormula>
    </tableColumn>
    <tableColumn id="5" name="Fechamento" dataDxfId="95">
      <calculatedColumnFormula>K7</calculatedColumnFormula>
    </tableColumn>
    <tableColumn id="6" name="Máxima" dataDxfId="94">
      <calculatedColumnFormula>L7</calculatedColumnFormula>
    </tableColumn>
    <tableColumn id="7" name="Mínima" dataDxfId="93">
      <calculatedColumnFormula>M7</calculatedColumnFormula>
    </tableColumn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id="7" name="Tabela1768" displayName="Tabela1768" ref="P6:V112" totalsRowShown="0" headerRowDxfId="92" dataDxfId="91">
  <autoFilter ref="P6:V112"/>
  <sortState ref="P7:V112">
    <sortCondition ref="P6:P112"/>
  </sortState>
  <tableColumns count="7">
    <tableColumn id="1" name="Código" dataDxfId="90"/>
    <tableColumn id="2" name="Ativo" dataDxfId="89">
      <calculatedColumnFormula>IF(A7="","",C7)</calculatedColumnFormula>
    </tableColumn>
    <tableColumn id="3" name="Data" dataDxfId="88">
      <calculatedColumnFormula>IF(A7="","",H7)</calculatedColumnFormula>
    </tableColumn>
    <tableColumn id="4" name="Abertura" dataDxfId="87">
      <calculatedColumnFormula>J7</calculatedColumnFormula>
    </tableColumn>
    <tableColumn id="5" name="Fechamento" dataDxfId="86">
      <calculatedColumnFormula>K7</calculatedColumnFormula>
    </tableColumn>
    <tableColumn id="6" name="Máxima" dataDxfId="85">
      <calculatedColumnFormula>L7</calculatedColumnFormula>
    </tableColumn>
    <tableColumn id="7" name="Mínima" dataDxfId="84">
      <calculatedColumnFormula>M7</calculatedColumnFormula>
    </tableColumn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id="2" name="Tabela17683" displayName="Tabela17683" ref="P6:V112" totalsRowShown="0" headerRowDxfId="83" dataDxfId="82">
  <autoFilter ref="P6:V112"/>
  <sortState ref="P7:V112">
    <sortCondition ref="P6:P112"/>
  </sortState>
  <tableColumns count="7">
    <tableColumn id="1" name="Código" dataDxfId="81"/>
    <tableColumn id="2" name="Ativo" dataDxfId="80">
      <calculatedColumnFormula>IF(A7="","",C7)</calculatedColumnFormula>
    </tableColumn>
    <tableColumn id="3" name="Data" dataDxfId="79">
      <calculatedColumnFormula>IF(A7="","",H7)</calculatedColumnFormula>
    </tableColumn>
    <tableColumn id="4" name="Abertura" dataDxfId="78">
      <calculatedColumnFormula>J7</calculatedColumnFormula>
    </tableColumn>
    <tableColumn id="5" name="Fechamento" dataDxfId="77">
      <calculatedColumnFormula>K7</calculatedColumnFormula>
    </tableColumn>
    <tableColumn id="6" name="Máxima" dataDxfId="76">
      <calculatedColumnFormula>L7</calculatedColumnFormula>
    </tableColumn>
    <tableColumn id="7" name="Mínima" dataDxfId="75">
      <calculatedColumnFormula>M7</calculatedColumnFormula>
    </tableColumn>
  </tableColumns>
  <tableStyleInfo name="TableStyleMedium2" showFirstColumn="0" showLastColumn="0" showRowStripes="1" showColumnStripes="0"/>
</table>
</file>

<file path=xl/tables/table7.xml><?xml version="1.0" encoding="utf-8"?>
<table xmlns="http://schemas.openxmlformats.org/spreadsheetml/2006/main" id="4" name="Table4" displayName="Table4" ref="A1:N4" totalsRowCount="1" headerRowDxfId="74" dataDxfId="73" totalsRowDxfId="72">
  <autoFilter ref="A1:N3"/>
  <tableColumns count="14">
    <tableColumn id="1" name="Data Liquidação" totalsRowLabel="Total" dataDxfId="71" totalsRowDxfId="70"/>
    <tableColumn id="16" name="Dia" dataDxfId="69" totalsRowDxfId="68">
      <calculatedColumnFormula>DAY([Data Liquidação])</calculatedColumnFormula>
    </tableColumn>
    <tableColumn id="15" name="Mês" dataDxfId="67" totalsRowDxfId="66">
      <calculatedColumnFormula>MONTH([Data Liquidação])</calculatedColumnFormula>
    </tableColumn>
    <tableColumn id="14" name="Ano" dataDxfId="65" totalsRowDxfId="64">
      <calculatedColumnFormula>YEAR([Data Liquidação])</calculatedColumnFormula>
    </tableColumn>
    <tableColumn id="7" name="Nome" dataDxfId="63" totalsRowDxfId="62"/>
    <tableColumn id="2" name="Aplicação" totalsRowFunction="sum" dataDxfId="61" totalsRowDxfId="60"/>
    <tableColumn id="3" name="Taxas" totalsRowFunction="min" dataDxfId="59" totalsRowDxfId="58"/>
    <tableColumn id="4" name="Resgates" totalsRowFunction="sum" dataDxfId="57" totalsRowDxfId="56"/>
    <tableColumn id="5" name="Dividendo" totalsRowFunction="sum" dataDxfId="55" totalsRowDxfId="54"/>
    <tableColumn id="18" name="JPC" totalsRowFunction="sum" dataDxfId="53" totalsRowDxfId="52"/>
    <tableColumn id="8" name="Quantidade" dataDxfId="51" totalsRowDxfId="50"/>
    <tableColumn id="9" name="Preço Médio" dataDxfId="49" totalsRowDxfId="48">
      <calculatedColumnFormula>SUMPRODUCT(N([Nome]=Table4[[#This Row],[Nome]]),N(DATE(YEAR([Data Liquidação]),MONTH([Data Liquidação]),DAY([Data Liquidação]))&lt;=DATE(YEAR(Table4[[#This Row],[Data Liquidação]]),MONTH(Table4[[#This Row],[Data Liquidação]]),DAY(Table4[[#This Row],[Data Liquidação]]))),[Aplicação])/SUMPRODUCT(N([Nome]=Table4[[#This Row],[Nome]]),N(DATE(YEAR([Data Liquidação]),MONTH([Data Liquidação]),DAY([Data Liquidação]))&lt;=DATE(YEAR(Table4[[#This Row],[Data Liquidação]]),MONTH(Table4[[#This Row],[Data Liquidação]]),DAY(Table4[[#This Row],[Data Liquidação]]))),[Quantidade])</calculatedColumnFormula>
    </tableColumn>
    <tableColumn id="13" name="Lucro p/ Ação" dataDxfId="47" totalsRowDxfId="46">
      <calculatedColumnFormula>IF(OR([Dividendo]&gt;0,[JPC]&gt;0),(Table4[[#This Row],[Dividendo]]+Table4[[#This Row],[JPC]])/SUMPRODUCT(N([Nome]=Table4[[#This Row],[Nome]]),N(DATE(YEAR([Data Liquidação]),MONTH([Data Liquidação]),DAY([Data Liquidação]))&lt;=DATE(YEAR(Table4[[#This Row],[Data Liquidação]]),MONTH(Table4[[#This Row],[Data Liquidação]]),DAY(Table4[[#This Row],[Data Liquidação]]))),[Quantidade]),0)</calculatedColumnFormula>
    </tableColumn>
    <tableColumn id="6" name="Rentabilidade" totalsRowFunction="custom" dataDxfId="45" totalsRowDxfId="44">
      <calculatedColumnFormula>IF([Lucro p/ Ação]&gt;0,[Lucro p/ Ação]/[Preço Médio],"")</calculatedColumnFormula>
      <totalsRowFormula>(Table4[[#Totals],[JPC]]+Table4[[#Totals],[Dividendo]])/Table4[[#Totals],[Aplicação]]</totalsRowFormula>
    </tableColumn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Tema do Office">
  <a:themeElements>
    <a:clrScheme name="Escritório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Escritório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Escritório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17" Type="http://schemas.openxmlformats.org/officeDocument/2006/relationships/hyperlink" Target="http://www.bmfbovespa.com.br/cias-listadas/empresas-listadas/ResumoEmpresaPrincipal.aspx?codigoCvm=14524&amp;idioma=pt-br" TargetMode="External"/><Relationship Id="rId299" Type="http://schemas.openxmlformats.org/officeDocument/2006/relationships/hyperlink" Target="http://www.bmfbovespa.com.br/cias-listadas/empresas-listadas/ResumoEmpresaPrincipal.aspx?codigoCvm=22470&amp;idioma=pt-br" TargetMode="External"/><Relationship Id="rId21" Type="http://schemas.openxmlformats.org/officeDocument/2006/relationships/hyperlink" Target="http://www.bmfbovespa.com.br/Cias-Listadas/Empresas-Listadas/ResumoEmpresaPrincipal.aspx?codigoCvm=4707&amp;idioma=pt-br" TargetMode="External"/><Relationship Id="rId63" Type="http://schemas.openxmlformats.org/officeDocument/2006/relationships/hyperlink" Target="http://www.bmfbovespa.com.br/cias-listadas/empresas-listadas/ResumoEmpresaPrincipal.aspx?codigoCvm=8893&amp;idioma=pt-br" TargetMode="External"/><Relationship Id="rId159" Type="http://schemas.openxmlformats.org/officeDocument/2006/relationships/hyperlink" Target="http://www.bmfbovespa.com.br/cias-listadas/empresas-listadas/ResumoEmpresaPrincipal.aspx?codigoCvm=19348&amp;idioma=pt-br" TargetMode="External"/><Relationship Id="rId324" Type="http://schemas.openxmlformats.org/officeDocument/2006/relationships/hyperlink" Target="http://www.bmfbovespa.com.br/cias-listadas/empresas-listadas/ResumoEmpresaPrincipal.aspx?codigoCvm=4146&amp;idioma=pt-br" TargetMode="External"/><Relationship Id="rId366" Type="http://schemas.openxmlformats.org/officeDocument/2006/relationships/hyperlink" Target="http://www.bmfbovespa.com.br/cias-listadas/empresas-listadas/ResumoEmpresaPrincipal.aspx?codigoCvm=4723&amp;idioma=pt-br" TargetMode="External"/><Relationship Id="rId170" Type="http://schemas.openxmlformats.org/officeDocument/2006/relationships/hyperlink" Target="http://www.bmfbovespa.com.br/cias-listadas/empresas-listadas/ResumoEmpresaPrincipal.aspx?codigoCvm=19992&amp;idioma=pt-br" TargetMode="External"/><Relationship Id="rId226" Type="http://schemas.openxmlformats.org/officeDocument/2006/relationships/hyperlink" Target="http://www.bmfbovespa.com.br/cias-listadas/empresas-listadas/ResumoEmpresaPrincipal.aspx?codigoCvm=8605&amp;idioma=pt-br" TargetMode="External"/><Relationship Id="rId433" Type="http://schemas.openxmlformats.org/officeDocument/2006/relationships/hyperlink" Target="http://www.bmfbovespa.com.br/cias-listadas/empresas-listadas/ResumoEmpresaPrincipal.aspx?codigoCvm=6173&amp;idioma=pt-br" TargetMode="External"/><Relationship Id="rId268" Type="http://schemas.openxmlformats.org/officeDocument/2006/relationships/hyperlink" Target="http://www.bmfbovespa.com.br/cias-listadas/empresas-listadas/ResumoEmpresaPrincipal.aspx?codigoCvm=23264&amp;idioma=pt-br" TargetMode="External"/><Relationship Id="rId475" Type="http://schemas.openxmlformats.org/officeDocument/2006/relationships/hyperlink" Target="http://www.bmfbovespa.com.br/cias-listadas/empresas-listadas/ResumoEmpresaPrincipal.aspx?codigoCvm=11991&amp;idioma=pt-br" TargetMode="External"/><Relationship Id="rId32" Type="http://schemas.openxmlformats.org/officeDocument/2006/relationships/hyperlink" Target="http://www.bmfbovespa.com.br/Cias-Listadas/Empresas-Listadas/ResumoEmpresaPrincipal.aspx?codigoCvm=14451&amp;idioma=pt-br" TargetMode="External"/><Relationship Id="rId74" Type="http://schemas.openxmlformats.org/officeDocument/2006/relationships/hyperlink" Target="http://www.bmfbovespa.com.br/cias-listadas/empresas-listadas/ResumoEmpresaPrincipal.aspx?codigoCvm=4820&amp;idioma=pt-br" TargetMode="External"/><Relationship Id="rId128" Type="http://schemas.openxmlformats.org/officeDocument/2006/relationships/hyperlink" Target="http://www.bmfbovespa.com.br/Cias-Listadas/Empresas-Listadas/ResumoEmpresaPrincipal.aspx?codigoCvm=18376&amp;idioma=pt-BR" TargetMode="External"/><Relationship Id="rId335" Type="http://schemas.openxmlformats.org/officeDocument/2006/relationships/hyperlink" Target="http://www.bmfbovespa.com.br/cias-listadas/empresas-listadas/ResumoEmpresaPrincipal.aspx?codigoCvm=10456&amp;idioma=pt-br" TargetMode="External"/><Relationship Id="rId377" Type="http://schemas.openxmlformats.org/officeDocument/2006/relationships/hyperlink" Target="http://www.bmfbovespa.com.br/cias-listadas/empresas-listadas/ResumoEmpresaPrincipal.aspx?codigoCvm=20478&amp;idioma=pt-br" TargetMode="External"/><Relationship Id="rId5" Type="http://schemas.openxmlformats.org/officeDocument/2006/relationships/hyperlink" Target="http://www.bmfbovespa.com.br/Cias-Listadas/Empresas-Listadas/ResumoEmpresaPrincipal.aspx?codigoCvm=1309&amp;idioma=pt-BR" TargetMode="External"/><Relationship Id="rId181" Type="http://schemas.openxmlformats.org/officeDocument/2006/relationships/hyperlink" Target="http://www.bmfbovespa.com.br/cias-listadas/empresas-listadas/ResumoEmpresaPrincipal.aspx?codigoCvm=3069&amp;idioma=pt-br" TargetMode="External"/><Relationship Id="rId237" Type="http://schemas.openxmlformats.org/officeDocument/2006/relationships/hyperlink" Target="http://www.bmfbovespa.com.br/cias-listadas/empresas-listadas/ResumoEmpresaPrincipal.aspx?codigoCvm=3182&amp;idioma=pt-br" TargetMode="External"/><Relationship Id="rId402" Type="http://schemas.openxmlformats.org/officeDocument/2006/relationships/hyperlink" Target="http://www.bmfbovespa.com.br/cias-listadas/empresas-listadas/ResumoEmpresaPrincipal.aspx?codigoCvm=19100&amp;idioma=pt-br" TargetMode="External"/><Relationship Id="rId279" Type="http://schemas.openxmlformats.org/officeDocument/2006/relationships/hyperlink" Target="http://www.bmfbovespa.com.br/cias-listadas/empresas-listadas/ResumoEmpresaPrincipal.aspx?codigoCvm=3336&amp;idioma=pt-br" TargetMode="External"/><Relationship Id="rId444" Type="http://schemas.openxmlformats.org/officeDocument/2006/relationships/hyperlink" Target="http://www.bmfbovespa.com.br/cias-listadas/empresas-listadas/ResumoEmpresaPrincipal.aspx?codigoCvm=2488&amp;idioma=pt-br" TargetMode="External"/><Relationship Id="rId486" Type="http://schemas.openxmlformats.org/officeDocument/2006/relationships/hyperlink" Target="http://www.bmfbovespa.com.br/Cias-Listadas/Empresas-Listadas/ResumoEmpresaPrincipal.aspx?codigoCvm=20150&amp;idioma=pt-BR" TargetMode="External"/><Relationship Id="rId43" Type="http://schemas.openxmlformats.org/officeDocument/2006/relationships/hyperlink" Target="http://www.bmfbovespa.com.br/cias-listadas/empresas-listadas/ResumoEmpresaPrincipal.aspx?codigoCvm=21610&amp;idioma=pt-br" TargetMode="External"/><Relationship Id="rId139" Type="http://schemas.openxmlformats.org/officeDocument/2006/relationships/hyperlink" Target="http://www.bmfbovespa.com.br/cias-listadas/empresas-listadas/ResumoEmpresaPrincipal.aspx?codigoCvm=16616&amp;idioma=pt-br" TargetMode="External"/><Relationship Id="rId290" Type="http://schemas.openxmlformats.org/officeDocument/2006/relationships/hyperlink" Target="http://www.bmfbovespa.com.br/cias-listadas/empresas-listadas/ResumoEmpresaPrincipal.aspx?codigoCvm=9415&amp;idioma=pt-br" TargetMode="External"/><Relationship Id="rId304" Type="http://schemas.openxmlformats.org/officeDocument/2006/relationships/hyperlink" Target="http://www.bmfbovespa.com.br/cias-listadas/empresas-listadas/ResumoEmpresaPrincipal.aspx?codigoCvm=14761&amp;idioma=pt-br" TargetMode="External"/><Relationship Id="rId346" Type="http://schemas.openxmlformats.org/officeDocument/2006/relationships/hyperlink" Target="http://www.bmfbovespa.com.br/cias-listadas/empresas-listadas/ResumoEmpresaPrincipal.aspx?codigoCvm=22551&amp;idioma=pt-br" TargetMode="External"/><Relationship Id="rId388" Type="http://schemas.openxmlformats.org/officeDocument/2006/relationships/hyperlink" Target="http://www.bmfbovespa.com.br/cias-listadas/empresas-listadas/ResumoEmpresaPrincipal.aspx?codigoCvm=4774&amp;idioma=pt-br" TargetMode="External"/><Relationship Id="rId85" Type="http://schemas.openxmlformats.org/officeDocument/2006/relationships/hyperlink" Target="http://www.bmfbovespa.com.br/cias-listadas/empresas-listadas/ResumoEmpresaPrincipal.aspx?codigoCvm=22357&amp;idioma=pt-br" TargetMode="External"/><Relationship Id="rId150" Type="http://schemas.openxmlformats.org/officeDocument/2006/relationships/hyperlink" Target="http://www.bmfbovespa.com.br/cias-listadas/empresas-listadas/ResumoEmpresaPrincipal.aspx?codigoCvm=1325&amp;idioma=pt-br" TargetMode="External"/><Relationship Id="rId192" Type="http://schemas.openxmlformats.org/officeDocument/2006/relationships/hyperlink" Target="http://www.bmfbovespa.com.br/cias-listadas/empresas-listadas/ResumoEmpresaPrincipal.aspx?codigoCvm=8397&amp;idioma=pt-br" TargetMode="External"/><Relationship Id="rId206" Type="http://schemas.openxmlformats.org/officeDocument/2006/relationships/hyperlink" Target="http://www.bmfbovespa.com.br/cias-listadas/empresas-listadas/ResumoEmpresaPrincipal.aspx?codigoCvm=21334&amp;idioma=pt-br" TargetMode="External"/><Relationship Id="rId413" Type="http://schemas.openxmlformats.org/officeDocument/2006/relationships/hyperlink" Target="http://www.bmfbovespa.com.br/cias-listadas/empresas-listadas/ResumoEmpresaPrincipal.aspx?codigoCvm=3174&amp;idioma=pt-br" TargetMode="External"/><Relationship Id="rId248" Type="http://schemas.openxmlformats.org/officeDocument/2006/relationships/hyperlink" Target="http://www.bmfbovespa.com.br/cias-listadas/empresas-listadas/ResumoEmpresaPrincipal.aspx?codigoCvm=21881&amp;idioma=pt-br" TargetMode="External"/><Relationship Id="rId455" Type="http://schemas.openxmlformats.org/officeDocument/2006/relationships/hyperlink" Target="http://www.bmfbovespa.com.br/cias-listadas/empresas-listadas/ResumoEmpresaPrincipal.aspx?codigoCvm=20087&amp;idioma=pt-br" TargetMode="External"/><Relationship Id="rId12" Type="http://schemas.openxmlformats.org/officeDocument/2006/relationships/hyperlink" Target="http://www.bmfbovespa.com.br/Cias-Listadas/Empresas-Listadas/ResumoEmpresaPrincipal.aspx?codigoCvm=1384&amp;idioma=pt-br" TargetMode="External"/><Relationship Id="rId108" Type="http://schemas.openxmlformats.org/officeDocument/2006/relationships/hyperlink" Target="http://www.bmfbovespa.com.br/Cias-Listadas/Empresas-Listadas/ResumoEmpresaPrincipal.aspx?codigoCvm=21113&amp;idioma=pt-BR" TargetMode="External"/><Relationship Id="rId315" Type="http://schemas.openxmlformats.org/officeDocument/2006/relationships/hyperlink" Target="http://www.bmfbovespa.com.br/cias-listadas/empresas-listadas/ResumoEmpresaPrincipal.aspx?codigoCvm=3158&amp;idioma=pt-br" TargetMode="External"/><Relationship Id="rId357" Type="http://schemas.openxmlformats.org/officeDocument/2006/relationships/hyperlink" Target="http://www.bmfbovespa.com.br/cias-listadas/empresas-listadas/ResumoEmpresaPrincipal.aspx?codigoCvm=8117&amp;idioma=pt-br" TargetMode="External"/><Relationship Id="rId54" Type="http://schemas.openxmlformats.org/officeDocument/2006/relationships/hyperlink" Target="http://www.bmfbovespa.com.br/cias-listadas/empresas-listadas/ResumoEmpresaPrincipal.aspx?codigoCvm=20842&amp;idioma=pt-br" TargetMode="External"/><Relationship Id="rId96" Type="http://schemas.openxmlformats.org/officeDocument/2006/relationships/hyperlink" Target="http://www.bmfbovespa.com.br/cias-listadas/empresas-listadas/ResumoEmpresaPrincipal.aspx?codigoCvm=17671&amp;idioma=pt-br" TargetMode="External"/><Relationship Id="rId161" Type="http://schemas.openxmlformats.org/officeDocument/2006/relationships/hyperlink" Target="http://www.bmfbovespa.com.br/cias-listadas/empresas-listadas/ResumoEmpresaPrincipal.aspx?codigoCvm=20729&amp;idioma=pt-br" TargetMode="External"/><Relationship Id="rId217" Type="http://schemas.openxmlformats.org/officeDocument/2006/relationships/hyperlink" Target="http://www.bmfbovespa.com.br/cias-listadas/empresas-listadas/ResumoEmpresaPrincipal.aspx?codigoCvm=12793&amp;idioma=pt-br" TargetMode="External"/><Relationship Id="rId399" Type="http://schemas.openxmlformats.org/officeDocument/2006/relationships/hyperlink" Target="http://www.bmfbovespa.com.br/cias-listadas/empresas-listadas/ResumoEmpresaPrincipal.aspx?codigoCvm=21180&amp;idioma=pt-br" TargetMode="External"/><Relationship Id="rId259" Type="http://schemas.openxmlformats.org/officeDocument/2006/relationships/hyperlink" Target="http://www.bmfbovespa.com.br/cias-listadas/empresas-listadas/ResumoEmpresaPrincipal.aspx?codigoCvm=20990&amp;idioma=pt-br" TargetMode="External"/><Relationship Id="rId424" Type="http://schemas.openxmlformats.org/officeDocument/2006/relationships/hyperlink" Target="http://www.bmfbovespa.com.br/cias-listadas/empresas-listadas/ResumoEmpresaPrincipal.aspx?codigoCvm=20710&amp;idioma=pt-br" TargetMode="External"/><Relationship Id="rId466" Type="http://schemas.openxmlformats.org/officeDocument/2006/relationships/hyperlink" Target="http://www.bmfbovespa.com.br/cias-listadas/empresas-listadas/ResumoEmpresaPrincipal.aspx?codigoCvm=13439&amp;idioma=pt-br" TargetMode="External"/><Relationship Id="rId23" Type="http://schemas.openxmlformats.org/officeDocument/2006/relationships/hyperlink" Target="http://www.bmfbovespa.com.br/Cias-Listadas/Empresas-Listadas/ResumoEmpresaPrincipal.aspx?codigoCvm=14311&amp;idioma=pt-BR" TargetMode="External"/><Relationship Id="rId119" Type="http://schemas.openxmlformats.org/officeDocument/2006/relationships/hyperlink" Target="http://www.bmfbovespa.com.br/cias-listadas/empresas-listadas/ResumoEmpresaPrincipal.aspx?codigoCvm=14869&amp;idioma=pt-br" TargetMode="External"/><Relationship Id="rId270" Type="http://schemas.openxmlformats.org/officeDocument/2006/relationships/hyperlink" Target="http://www.bmfbovespa.com.br/cias-listadas/empresas-listadas/ResumoEmpresaPrincipal.aspx?codigoCvm=18490&amp;idioma=pt-br" TargetMode="External"/><Relationship Id="rId326" Type="http://schemas.openxmlformats.org/officeDocument/2006/relationships/hyperlink" Target="http://www.bmfbovespa.com.br/cias-listadas/empresas-listadas/ResumoEmpresaPrincipal.aspx?codigoCvm=9539&amp;idioma=pt-br" TargetMode="External"/><Relationship Id="rId65" Type="http://schemas.openxmlformats.org/officeDocument/2006/relationships/hyperlink" Target="http://www.bmfbovespa.com.br/cias-listadas/empresas-listadas/ResumoEmpresaPrincipal.aspx?codigoCvm=18724&amp;idioma=pt-br" TargetMode="External"/><Relationship Id="rId130" Type="http://schemas.openxmlformats.org/officeDocument/2006/relationships/hyperlink" Target="http://www.bmfbovespa.com.br/Cias-Listadas/Empresas-Listadas/ResumoEmpresaPrincipal.aspx?codigoCvm=22128&amp;idioma=pt-BR" TargetMode="External"/><Relationship Id="rId368" Type="http://schemas.openxmlformats.org/officeDocument/2006/relationships/hyperlink" Target="http://www.bmfbovespa.com.br/cias-listadas/empresas-listadas/ResumoEmpresaPrincipal.aspx?codigoCvm=14460&amp;idioma=pt-br" TargetMode="External"/><Relationship Id="rId172" Type="http://schemas.openxmlformats.org/officeDocument/2006/relationships/hyperlink" Target="http://www.bmfbovespa.com.br/cias-listadas/empresas-listadas/ResumoEmpresaPrincipal.aspx?codigoCvm=12530&amp;idioma=pt-br" TargetMode="External"/><Relationship Id="rId228" Type="http://schemas.openxmlformats.org/officeDocument/2006/relationships/hyperlink" Target="http://www.bmfbovespa.com.br/cias-listadas/empresas-listadas/ResumoEmpresaPrincipal.aspx?codigoCvm=18708&amp;idioma=pt-br" TargetMode="External"/><Relationship Id="rId435" Type="http://schemas.openxmlformats.org/officeDocument/2006/relationships/hyperlink" Target="http://www.bmfbovespa.com.br/cias-listadas/empresas-listadas/ResumoEmpresaPrincipal.aspx?codigoCvm=5380&amp;idioma=pt-br" TargetMode="External"/><Relationship Id="rId477" Type="http://schemas.openxmlformats.org/officeDocument/2006/relationships/hyperlink" Target="http://www.bmfbovespa.com.br/Cias-Listadas/Empresas-Listadas/ResumoEmpresaPrincipal.aspx?codigoCvm=18350&amp;idioma=pt-BR" TargetMode="External"/><Relationship Id="rId281" Type="http://schemas.openxmlformats.org/officeDocument/2006/relationships/hyperlink" Target="http://www.bmfbovespa.com.br/cias-listadas/empresas-listadas/ResumoEmpresaPrincipal.aspx?codigoCvm=13285&amp;idioma=pt-br" TargetMode="External"/><Relationship Id="rId337" Type="http://schemas.openxmlformats.org/officeDocument/2006/relationships/hyperlink" Target="http://www.bmfbovespa.com.br/cias-listadas/empresas-listadas/ResumoEmpresaPrincipal.aspx?codigoCvm=2100&amp;idioma=pt-br" TargetMode="External"/><Relationship Id="rId34" Type="http://schemas.openxmlformats.org/officeDocument/2006/relationships/hyperlink" Target="http://www.bmfbovespa.com.br/cias-listadas/empresas-listadas/ResumoEmpresaPrincipal.aspx?codigoCvm=8540&amp;idioma=pt-br" TargetMode="External"/><Relationship Id="rId76" Type="http://schemas.openxmlformats.org/officeDocument/2006/relationships/hyperlink" Target="http://www.bmfbovespa.com.br/cias-listadas/empresas-listadas/ResumoEmpresaPrincipal.aspx?codigoCvm=3115&amp;idioma=pt-br" TargetMode="External"/><Relationship Id="rId141" Type="http://schemas.openxmlformats.org/officeDocument/2006/relationships/hyperlink" Target="http://www.bmfbovespa.com.br/Cias-Listadas/Empresas-Listadas/ResumoEmpresaPrincipal.aspx?codigoCvm=17647&amp;idioma=pt-BR" TargetMode="External"/><Relationship Id="rId379" Type="http://schemas.openxmlformats.org/officeDocument/2006/relationships/hyperlink" Target="http://www.bmfbovespa.com.br/cias-listadas/empresas-listadas/ResumoEmpresaPrincipal.aspx?codigoCvm=16306&amp;idioma=pt-br" TargetMode="External"/><Relationship Id="rId7" Type="http://schemas.openxmlformats.org/officeDocument/2006/relationships/hyperlink" Target="http://www.bmfbovespa.com.br/Cias-Listadas/Empresas-Listadas/ResumoEmpresaPrincipal.aspx?codigoCvm=1210&amp;idioma=pt-BR" TargetMode="External"/><Relationship Id="rId162" Type="http://schemas.openxmlformats.org/officeDocument/2006/relationships/hyperlink" Target="http://www.bmfbovespa.com.br/cias-listadas/empresas-listadas/ResumoEmpresaPrincipal.aspx?codigoCvm=20729&amp;idioma=pt-br" TargetMode="External"/><Relationship Id="rId183" Type="http://schemas.openxmlformats.org/officeDocument/2006/relationships/hyperlink" Target="http://www.bmfbovespa.com.br/cias-listadas/empresas-listadas/ResumoEmpresaPrincipal.aspx?codigoCvm=14320&amp;idioma=pt-br" TargetMode="External"/><Relationship Id="rId218" Type="http://schemas.openxmlformats.org/officeDocument/2006/relationships/hyperlink" Target="http://www.bmfbovespa.com.br/cias-listadas/empresas-listadas/ResumoEmpresaPrincipal.aspx?codigoCvm=12653&amp;idioma=pt-br" TargetMode="External"/><Relationship Id="rId239" Type="http://schemas.openxmlformats.org/officeDocument/2006/relationships/hyperlink" Target="http://www.bmfbovespa.com.br/cias-listadas/empresas-listadas/ResumoEmpresaPrincipal.aspx?codigoCvm=12319&amp;idioma=pt-br" TargetMode="External"/><Relationship Id="rId390" Type="http://schemas.openxmlformats.org/officeDocument/2006/relationships/hyperlink" Target="http://www.bmfbovespa.com.br/cias-listadas/empresas-listadas/ResumoEmpresaPrincipal.aspx?codigoCvm=13030&amp;idioma=pt-br" TargetMode="External"/><Relationship Id="rId404" Type="http://schemas.openxmlformats.org/officeDocument/2006/relationships/hyperlink" Target="http://www.bmfbovespa.com.br/cias-listadas/empresas-listadas/ResumoEmpresaPrincipal.aspx?codigoCvm=20044&amp;idioma=pt-br" TargetMode="External"/><Relationship Id="rId425" Type="http://schemas.openxmlformats.org/officeDocument/2006/relationships/hyperlink" Target="http://www.bmfbovespa.com.br/cias-listadas/empresas-listadas/ResumoEmpresaPrincipal.aspx?codigoCvm=8192&amp;idioma=pt-br" TargetMode="External"/><Relationship Id="rId446" Type="http://schemas.openxmlformats.org/officeDocument/2006/relationships/hyperlink" Target="http://www.bmfbovespa.com.br/cias-listadas/empresas-listadas/ResumoEmpresaPrincipal.aspx?codigoCvm=1520&amp;idioma=pt-br" TargetMode="External"/><Relationship Id="rId467" Type="http://schemas.openxmlformats.org/officeDocument/2006/relationships/hyperlink" Target="http://www.bmfbovespa.com.br/cias-listadas/empresas-listadas/ResumoEmpresaPrincipal.aspx?codigoCvm=13439&amp;idioma=pt-br" TargetMode="External"/><Relationship Id="rId250" Type="http://schemas.openxmlformats.org/officeDocument/2006/relationships/hyperlink" Target="http://www.bmfbovespa.com.br/cias-listadas/empresas-listadas/ResumoEmpresaPrincipal.aspx?codigoCvm=22497&amp;idioma=pt-br" TargetMode="External"/><Relationship Id="rId271" Type="http://schemas.openxmlformats.org/officeDocument/2006/relationships/hyperlink" Target="http://www.bmfbovespa.com.br/cias-listadas/empresas-listadas/ResumoEmpresaPrincipal.aspx?codigoCvm=18490&amp;idioma=pt-br" TargetMode="External"/><Relationship Id="rId292" Type="http://schemas.openxmlformats.org/officeDocument/2006/relationships/hyperlink" Target="http://www.bmfbovespa.com.br/cias-listadas/empresas-listadas/ResumoEmpresaPrincipal.aspx?codigoCvm=22454&amp;idioma=pt-br" TargetMode="External"/><Relationship Id="rId306" Type="http://schemas.openxmlformats.org/officeDocument/2006/relationships/hyperlink" Target="http://www.bmfbovespa.com.br/cias-listadas/empresas-listadas/ResumoEmpresaPrincipal.aspx?codigoCvm=3077&amp;idioma=pt-br" TargetMode="External"/><Relationship Id="rId488" Type="http://schemas.openxmlformats.org/officeDocument/2006/relationships/hyperlink" Target="http://www.bmfbovespa.com.br/Cias-Listadas/Empresas-Listadas/ResumoEmpresaPrincipal.aspx?codigoCvm=20150&amp;idioma=pt-BR" TargetMode="External"/><Relationship Id="rId24" Type="http://schemas.openxmlformats.org/officeDocument/2006/relationships/hyperlink" Target="http://www.bmfbovespa.com.br/Cias-Listadas/Empresas-Listadas/ResumoEmpresaPrincipal.aspx?codigoCvm=14311&amp;idioma=pt-BR" TargetMode="External"/><Relationship Id="rId45" Type="http://schemas.openxmlformats.org/officeDocument/2006/relationships/hyperlink" Target="http://www.bmfbovespa.com.br/cias-listadas/empresas-listadas/ResumoEmpresaPrincipal.aspx?codigoCvm=3891&amp;idioma=pt-br" TargetMode="External"/><Relationship Id="rId66" Type="http://schemas.openxmlformats.org/officeDocument/2006/relationships/hyperlink" Target="http://www.bmfbovespa.com.br/cias-listadas/empresas-listadas/ResumoEmpresaPrincipal.aspx?codigoCvm=18724&amp;idioma=pt-br" TargetMode="External"/><Relationship Id="rId87" Type="http://schemas.openxmlformats.org/officeDocument/2006/relationships/hyperlink" Target="http://www.bmfbovespa.com.br/cias-listadas/empresas-listadas/ResumoEmpresaPrincipal.aspx?codigoCvm=20974&amp;idioma=pt-br" TargetMode="External"/><Relationship Id="rId110" Type="http://schemas.openxmlformats.org/officeDocument/2006/relationships/hyperlink" Target="http://www.bmfbovespa.com.br/cias-listadas/empresas-listadas/ResumoEmpresaPrincipal.aspx?codigoCvm=18350&amp;idioma=pt-br" TargetMode="External"/><Relationship Id="rId131" Type="http://schemas.openxmlformats.org/officeDocument/2006/relationships/hyperlink" Target="http://www.bmfbovespa.com.br/cias-listadas/empresas-listadas/ResumoEmpresaPrincipal.aspx?codigoCvm=17485&amp;idioma=pt-br" TargetMode="External"/><Relationship Id="rId327" Type="http://schemas.openxmlformats.org/officeDocument/2006/relationships/hyperlink" Target="http://www.bmfbovespa.com.br/cias-listadas/empresas-listadas/ResumoEmpresaPrincipal.aspx?codigoCvm=9539&amp;idioma=pt-br" TargetMode="External"/><Relationship Id="rId348" Type="http://schemas.openxmlformats.org/officeDocument/2006/relationships/hyperlink" Target="http://www.bmfbovespa.com.br/cias-listadas/empresas-listadas/ResumoEmpresaPrincipal.aspx?codigoCvm=10472&amp;idioma=pt-br" TargetMode="External"/><Relationship Id="rId369" Type="http://schemas.openxmlformats.org/officeDocument/2006/relationships/hyperlink" Target="http://www.bmfbovespa.com.br/cias-listadas/empresas-listadas/ResumoEmpresaPrincipal.aspx?codigoCvm=21350&amp;idioma=pt-br" TargetMode="External"/><Relationship Id="rId152" Type="http://schemas.openxmlformats.org/officeDocument/2006/relationships/hyperlink" Target="http://www.bmfbovespa.com.br/cias-listadas/empresas-listadas/ResumoEmpresaPrincipal.aspx?codigoCvm=21199&amp;idioma=pt-br" TargetMode="External"/><Relationship Id="rId173" Type="http://schemas.openxmlformats.org/officeDocument/2006/relationships/hyperlink" Target="http://www.bmfbovespa.com.br/cias-listadas/empresas-listadas/ResumoEmpresaPrincipal.aspx?codigoCvm=20362&amp;idioma=pt-br" TargetMode="External"/><Relationship Id="rId194" Type="http://schemas.openxmlformats.org/officeDocument/2006/relationships/hyperlink" Target="http://www.bmfbovespa.com.br/cias-listadas/empresas-listadas/ResumoEmpresaPrincipal.aspx?codigoCvm=8648&amp;idioma=pt-br" TargetMode="External"/><Relationship Id="rId208" Type="http://schemas.openxmlformats.org/officeDocument/2006/relationships/hyperlink" Target="http://www.bmfbovespa.com.br/cias-listadas/empresas-listadas/ResumoEmpresaPrincipal.aspx?codigoCvm=4170&amp;idioma=pt-br" TargetMode="External"/><Relationship Id="rId229" Type="http://schemas.openxmlformats.org/officeDocument/2006/relationships/hyperlink" Target="http://www.bmfbovespa.com.br/cias-listadas/empresas-listadas/ResumoEmpresaPrincipal.aspx?codigoCvm=18708&amp;idioma=pt-br" TargetMode="External"/><Relationship Id="rId380" Type="http://schemas.openxmlformats.org/officeDocument/2006/relationships/hyperlink" Target="http://www.bmfbovespa.com.br/cias-listadas/empresas-listadas/ResumoEmpresaPrincipal.aspx?codigoCvm=10596&amp;idioma=pt-br" TargetMode="External"/><Relationship Id="rId415" Type="http://schemas.openxmlformats.org/officeDocument/2006/relationships/hyperlink" Target="http://www.bmfbovespa.com.br/cias-listadas/empresas-listadas/ResumoEmpresaPrincipal.aspx?codigoCvm=21482&amp;idioma=pt-br" TargetMode="External"/><Relationship Id="rId436" Type="http://schemas.openxmlformats.org/officeDocument/2006/relationships/hyperlink" Target="http://www.bmfbovespa.com.br/cias-listadas/empresas-listadas/ResumoEmpresaPrincipal.aspx?codigoCvm=8753&amp;idioma=pt-br" TargetMode="External"/><Relationship Id="rId457" Type="http://schemas.openxmlformats.org/officeDocument/2006/relationships/hyperlink" Target="http://www.bmfbovespa.com.br/cias-listadas/empresas-listadas/ResumoEmpresaPrincipal.aspx?codigoCvm=4448&amp;idioma=pt-br" TargetMode="External"/><Relationship Id="rId240" Type="http://schemas.openxmlformats.org/officeDocument/2006/relationships/hyperlink" Target="http://www.bmfbovespa.com.br/cias-listadas/empresas-listadas/ResumoEmpresaPrincipal.aspx?codigoCvm=12319&amp;idioma=pt-br" TargetMode="External"/><Relationship Id="rId261" Type="http://schemas.openxmlformats.org/officeDocument/2006/relationships/hyperlink" Target="http://www.bmfbovespa.com.br/cias-listadas/empresas-listadas/ResumoEmpresaPrincipal.aspx?codigoCvm=5258&amp;idioma=pt-br" TargetMode="External"/><Relationship Id="rId478" Type="http://schemas.openxmlformats.org/officeDocument/2006/relationships/hyperlink" Target="http://www.bmfbovespa.com.br/Cias-Listadas/Empresas-Listadas/ResumoEmpresaPrincipal.aspx?codigoCvm=18139&amp;idioma=pt-BR" TargetMode="External"/><Relationship Id="rId14" Type="http://schemas.openxmlformats.org/officeDocument/2006/relationships/hyperlink" Target="http://www.bmfbovespa.com.br/Cias-Listadas/Empresas-Listadas/ResumoEmpresaPrincipal.aspx?codigoCvm=14206&amp;idioma=pt-BR" TargetMode="External"/><Relationship Id="rId35" Type="http://schemas.openxmlformats.org/officeDocument/2006/relationships/hyperlink" Target="http://www.bmfbovespa.com.br/cias-listadas/empresas-listadas/ResumoEmpresaPrincipal.aspx?codigoCvm=2453&amp;idioma=pt-br" TargetMode="External"/><Relationship Id="rId56" Type="http://schemas.openxmlformats.org/officeDocument/2006/relationships/hyperlink" Target="http://www.bmfbovespa.com.br/cias-listadas/empresas-listadas/ResumoEmpresaPrincipal.aspx?codigoCvm=21091&amp;idioma=pt-br" TargetMode="External"/><Relationship Id="rId77" Type="http://schemas.openxmlformats.org/officeDocument/2006/relationships/hyperlink" Target="http://www.bmfbovespa.com.br/cias-listadas/empresas-listadas/ResumoEmpresaPrincipal.aspx?codigoCvm=3115&amp;idioma=pt-br" TargetMode="External"/><Relationship Id="rId100" Type="http://schemas.openxmlformats.org/officeDocument/2006/relationships/hyperlink" Target="http://www.bmfbovespa.com.br/Cias-Listadas/Empresas-Listadas/ResumoEmpresaPrincipal.aspx?codigoCvm=906&amp;idioma=pt-br" TargetMode="External"/><Relationship Id="rId282" Type="http://schemas.openxmlformats.org/officeDocument/2006/relationships/hyperlink" Target="http://www.bmfbovespa.com.br/cias-listadas/empresas-listadas/ResumoEmpresaPrincipal.aspx?codigoCvm=13285&amp;idioma=pt-br" TargetMode="External"/><Relationship Id="rId317" Type="http://schemas.openxmlformats.org/officeDocument/2006/relationships/hyperlink" Target="http://www.bmfbovespa.com.br/cias-listadas/empresas-listadas/ResumoEmpresaPrincipal.aspx?codigoCvm=4081&amp;idioma=pt-br" TargetMode="External"/><Relationship Id="rId338" Type="http://schemas.openxmlformats.org/officeDocument/2006/relationships/hyperlink" Target="http://www.bmfbovespa.com.br/cias-listadas/empresas-listadas/ResumoEmpresaPrincipal.aspx?codigoCvm=19615&amp;idioma=pt-br" TargetMode="External"/><Relationship Id="rId359" Type="http://schemas.openxmlformats.org/officeDocument/2006/relationships/hyperlink" Target="http://www.bmfbovespa.com.br/cias-listadas/empresas-listadas/ResumoEmpresaPrincipal.aspx?codigoCvm=8133&amp;idioma=pt-br" TargetMode="External"/><Relationship Id="rId8" Type="http://schemas.openxmlformats.org/officeDocument/2006/relationships/hyperlink" Target="http://www.bmfbovespa.com.br/Cias-Listadas/Empresas-Listadas/ResumoEmpresaPrincipal.aspx?codigoCvm=1210&amp;idioma=pt-BR" TargetMode="External"/><Relationship Id="rId98" Type="http://schemas.openxmlformats.org/officeDocument/2006/relationships/hyperlink" Target="http://www.bmfbovespa.com.br/Cias-Listadas/Empresas-Listadas/ResumoEmpresaPrincipal.aspx?codigoCvm=20958&amp;idioma=pt-br" TargetMode="External"/><Relationship Id="rId121" Type="http://schemas.openxmlformats.org/officeDocument/2006/relationships/hyperlink" Target="http://www.bmfbovespa.com.br/cias-listadas/empresas-listadas/ResumoEmpresaPrincipal.aspx?codigoCvm=18660&amp;idioma=pt-br" TargetMode="External"/><Relationship Id="rId142" Type="http://schemas.openxmlformats.org/officeDocument/2006/relationships/hyperlink" Target="http://www.bmfbovespa.com.br/cias-listadas/empresas-listadas/ResumoEmpresaPrincipal.aspx?codigoCvm=8672&amp;idioma=pt-br" TargetMode="External"/><Relationship Id="rId163" Type="http://schemas.openxmlformats.org/officeDocument/2006/relationships/hyperlink" Target="http://www.bmfbovespa.com.br/cias-listadas/empresas-listadas/ResumoEmpresaPrincipal.aspx?codigoCvm=7617&amp;idioma=pt-br" TargetMode="External"/><Relationship Id="rId184" Type="http://schemas.openxmlformats.org/officeDocument/2006/relationships/hyperlink" Target="http://www.bmfbovespa.com.br/cias-listadas/empresas-listadas/ResumoEmpresaPrincipal.aspx?codigoCvm=14320&amp;idioma=pt-br" TargetMode="External"/><Relationship Id="rId219" Type="http://schemas.openxmlformats.org/officeDocument/2006/relationships/hyperlink" Target="http://www.bmfbovespa.com.br/cias-listadas/empresas-listadas/ResumoEmpresaPrincipal.aspx?codigoCvm=12653&amp;idioma=pt-br" TargetMode="External"/><Relationship Id="rId370" Type="http://schemas.openxmlformats.org/officeDocument/2006/relationships/hyperlink" Target="http://www.bmfbovespa.com.br/cias-listadas/empresas-listadas/ResumoEmpresaPrincipal.aspx?codigoCvm=20524&amp;idioma=pt-br" TargetMode="External"/><Relationship Id="rId391" Type="http://schemas.openxmlformats.org/officeDocument/2006/relationships/hyperlink" Target="http://www.bmfbovespa.com.br/cias-listadas/empresas-listadas/ResumoEmpresaPrincipal.aspx?codigoCvm=4782&amp;idioma=pt-br" TargetMode="External"/><Relationship Id="rId405" Type="http://schemas.openxmlformats.org/officeDocument/2006/relationships/hyperlink" Target="http://www.bmfbovespa.com.br/cias-listadas/empresas-listadas/ResumoEmpresaPrincipal.aspx?codigoCvm=18597&amp;idioma=pt-br" TargetMode="External"/><Relationship Id="rId426" Type="http://schemas.openxmlformats.org/officeDocument/2006/relationships/hyperlink" Target="http://www.bmfbovespa.com.br/cias-listadas/empresas-listadas/ResumoEmpresaPrincipal.aspx?codigoCvm=8192&amp;idioma=pt-br" TargetMode="External"/><Relationship Id="rId447" Type="http://schemas.openxmlformats.org/officeDocument/2006/relationships/hyperlink" Target="http://www.bmfbovespa.com.br/cias-listadas/empresas-listadas/ResumoEmpresaPrincipal.aspx?codigoCvm=1520&amp;idioma=pt-br" TargetMode="External"/><Relationship Id="rId230" Type="http://schemas.openxmlformats.org/officeDocument/2006/relationships/hyperlink" Target="http://www.bmfbovespa.com.br/cias-listadas/empresas-listadas/ResumoEmpresaPrincipal.aspx?codigoCvm=16659&amp;idioma=pt-br" TargetMode="External"/><Relationship Id="rId251" Type="http://schemas.openxmlformats.org/officeDocument/2006/relationships/hyperlink" Target="http://www.bmfbovespa.com.br/cias-listadas/empresas-listadas/ResumoEmpresaPrincipal.aspx?codigoCvm=20141&amp;idioma=pt-br" TargetMode="External"/><Relationship Id="rId468" Type="http://schemas.openxmlformats.org/officeDocument/2006/relationships/hyperlink" Target="http://www.bmfbovespa.com.br/cias-listadas/empresas-listadas/ResumoEmpresaPrincipal.aspx?codigoCvm=13471&amp;idioma=pt-br" TargetMode="External"/><Relationship Id="rId489" Type="http://schemas.openxmlformats.org/officeDocument/2006/relationships/printerSettings" Target="../printerSettings/printerSettings1.bin"/><Relationship Id="rId25" Type="http://schemas.openxmlformats.org/officeDocument/2006/relationships/hyperlink" Target="http://www.bmfbovespa.com.br/Cias-Listadas/Empresas-Listadas/ResumoEmpresaPrincipal.aspx?codigoCvm=1228&amp;idioma=pt-BR" TargetMode="External"/><Relationship Id="rId46" Type="http://schemas.openxmlformats.org/officeDocument/2006/relationships/hyperlink" Target="http://www.bmfbovespa.com.br/cias-listadas/empresas-listadas/ResumoEmpresaPrincipal.aspx?codigoCvm=3891&amp;idioma=pt-br" TargetMode="External"/><Relationship Id="rId67" Type="http://schemas.openxmlformats.org/officeDocument/2006/relationships/hyperlink" Target="http://www.bmfbovespa.com.br/cias-listadas/empresas-listadas/ResumoEmpresaPrincipal.aspx?codigoCvm=11312&amp;idioma=pt-br" TargetMode="External"/><Relationship Id="rId272" Type="http://schemas.openxmlformats.org/officeDocument/2006/relationships/hyperlink" Target="http://www.bmfbovespa.com.br/cias-listadas/empresas-listadas/ResumoEmpresaPrincipal.aspx?codigoCvm=13765&amp;idioma=pt-br" TargetMode="External"/><Relationship Id="rId293" Type="http://schemas.openxmlformats.org/officeDocument/2006/relationships/hyperlink" Target="http://www.bmfbovespa.com.br/cias-listadas/empresas-listadas/ResumoEmpresaPrincipal.aspx?codigoCvm=1694&amp;idioma=pt-br" TargetMode="External"/><Relationship Id="rId307" Type="http://schemas.openxmlformats.org/officeDocument/2006/relationships/hyperlink" Target="http://www.bmfbovespa.com.br/cias-listadas/empresas-listadas/ResumoEmpresaPrincipal.aspx?codigoCvm=14133&amp;idioma=pt-br" TargetMode="External"/><Relationship Id="rId328" Type="http://schemas.openxmlformats.org/officeDocument/2006/relationships/hyperlink" Target="http://www.bmfbovespa.com.br/cias-listadas/empresas-listadas/ResumoEmpresaPrincipal.aspx?codigoCvm=11800&amp;idioma=pt-br" TargetMode="External"/><Relationship Id="rId349" Type="http://schemas.openxmlformats.org/officeDocument/2006/relationships/hyperlink" Target="http://www.bmfbovespa.com.br/cias-listadas/empresas-listadas/ResumoEmpresaPrincipal.aspx?codigoCvm=22438&amp;idioma=pt-br" TargetMode="External"/><Relationship Id="rId88" Type="http://schemas.openxmlformats.org/officeDocument/2006/relationships/hyperlink" Target="http://www.bmfbovespa.com.br/cias-listadas/empresas-listadas/ResumoEmpresaPrincipal.aspx?codigoCvm=13412&amp;idioma=pt-br" TargetMode="External"/><Relationship Id="rId111" Type="http://schemas.openxmlformats.org/officeDocument/2006/relationships/hyperlink" Target="http://www.bmfbovespa.com.br/cias-listadas/empresas-listadas/ResumoEmpresaPrincipal.aspx?codigoCvm=22179&amp;idioma=pt-br" TargetMode="External"/><Relationship Id="rId132" Type="http://schemas.openxmlformats.org/officeDocument/2006/relationships/hyperlink" Target="http://www.bmfbovespa.com.br/cias-listadas/empresas-listadas/ResumoEmpresaPrincipal.aspx?codigoCvm=16861&amp;idioma=pt-br" TargetMode="External"/><Relationship Id="rId153" Type="http://schemas.openxmlformats.org/officeDocument/2006/relationships/hyperlink" Target="http://www.bmfbovespa.com.br/cias-listadas/empresas-listadas/ResumoEmpresaPrincipal.aspx?codigoCvm=21199&amp;idioma=pt-br" TargetMode="External"/><Relationship Id="rId174" Type="http://schemas.openxmlformats.org/officeDocument/2006/relationships/hyperlink" Target="http://www.bmfbovespa.com.br/cias-listadas/empresas-listadas/ResumoEmpresaPrincipal.aspx?codigoCvm=20168&amp;idioma=pt-br" TargetMode="External"/><Relationship Id="rId195" Type="http://schemas.openxmlformats.org/officeDocument/2006/relationships/hyperlink" Target="http://www.bmfbovespa.com.br/cias-listadas/empresas-listadas/ResumoEmpresaPrincipal.aspx?codigoCvm=8648&amp;idioma=pt-br" TargetMode="External"/><Relationship Id="rId209" Type="http://schemas.openxmlformats.org/officeDocument/2006/relationships/hyperlink" Target="http://www.bmfbovespa.com.br/cias-listadas/empresas-listadas/ResumoEmpresaPrincipal.aspx?codigoCvm=17914&amp;idioma=pt-br" TargetMode="External"/><Relationship Id="rId360" Type="http://schemas.openxmlformats.org/officeDocument/2006/relationships/hyperlink" Target="http://www.bmfbovespa.com.br/cias-listadas/empresas-listadas/ResumoEmpresaPrincipal.aspx?codigoCvm=22055&amp;idioma=pt-br" TargetMode="External"/><Relationship Id="rId381" Type="http://schemas.openxmlformats.org/officeDocument/2006/relationships/hyperlink" Target="http://www.bmfbovespa.com.br/cias-listadas/empresas-listadas/ResumoEmpresaPrincipal.aspx?codigoCvm=10596&amp;idioma=pt-br" TargetMode="External"/><Relationship Id="rId416" Type="http://schemas.openxmlformats.org/officeDocument/2006/relationships/hyperlink" Target="http://www.bmfbovespa.com.br/cias-listadas/empresas-listadas/ResumoEmpresaPrincipal.aspx?codigoCvm=17892&amp;idioma=pt-br" TargetMode="External"/><Relationship Id="rId220" Type="http://schemas.openxmlformats.org/officeDocument/2006/relationships/hyperlink" Target="http://www.bmfbovespa.com.br/cias-listadas/empresas-listadas/ResumoEmpresaPrincipal.aspx?codigoCvm=12653&amp;idioma=pt-br" TargetMode="External"/><Relationship Id="rId241" Type="http://schemas.openxmlformats.org/officeDocument/2006/relationships/hyperlink" Target="http://www.bmfbovespa.com.br/cias-listadas/empresas-listadas/ResumoEmpresaPrincipal.aspx?codigoCvm=20036&amp;idioma=pt-br" TargetMode="External"/><Relationship Id="rId437" Type="http://schemas.openxmlformats.org/officeDocument/2006/relationships/hyperlink" Target="http://www.bmfbovespa.com.br/cias-listadas/empresas-listadas/ResumoEmpresaPrincipal.aspx?codigoCvm=8753&amp;idioma=pt-br" TargetMode="External"/><Relationship Id="rId458" Type="http://schemas.openxmlformats.org/officeDocument/2006/relationships/hyperlink" Target="http://www.bmfbovespa.com.br/cias-listadas/empresas-listadas/ResumoEmpresaPrincipal.aspx?codigoCvm=22381&amp;idioma=pt-br" TargetMode="External"/><Relationship Id="rId479" Type="http://schemas.openxmlformats.org/officeDocument/2006/relationships/hyperlink" Target="http://www.bmfbovespa.com.br/Cias-Listadas/Empresas-Listadas/ResumoEmpresaPrincipal.aspx?codigoCvm=18139&amp;idioma=pt-BR" TargetMode="External"/><Relationship Id="rId15" Type="http://schemas.openxmlformats.org/officeDocument/2006/relationships/hyperlink" Target="http://www.bmfbovespa.com.br/Cias-Listadas/Empresas-Listadas/ResumoEmpresaPrincipal.aspx?codigoCvm=4707&amp;idioma=pt-br" TargetMode="External"/><Relationship Id="rId36" Type="http://schemas.openxmlformats.org/officeDocument/2006/relationships/hyperlink" Target="http://www.bmfbovespa.com.br/cias-listadas/empresas-listadas/ResumoEmpresaPrincipal.aspx?codigoCvm=2577" TargetMode="External"/><Relationship Id="rId57" Type="http://schemas.openxmlformats.org/officeDocument/2006/relationships/hyperlink" Target="http://www.bmfbovespa.com.br/cias-listadas/empresas-listadas/ResumoEmpresaPrincipal.aspx?codigoCvm=14915&amp;idioma=pt-br" TargetMode="External"/><Relationship Id="rId262" Type="http://schemas.openxmlformats.org/officeDocument/2006/relationships/hyperlink" Target="http://www.bmfbovespa.com.br/cias-listadas/empresas-listadas/ResumoEmpresaPrincipal.aspx?codigoCvm=22500&amp;idioma=pt-br" TargetMode="External"/><Relationship Id="rId283" Type="http://schemas.openxmlformats.org/officeDocument/2006/relationships/hyperlink" Target="http://www.bmfbovespa.com.br/cias-listadas/empresas-listadas/ResumoEmpresaPrincipal.aspx?codigoCvm=20338&amp;idioma=pt-br" TargetMode="External"/><Relationship Id="rId318" Type="http://schemas.openxmlformats.org/officeDocument/2006/relationships/hyperlink" Target="http://www.bmfbovespa.com.br/cias-listadas/empresas-listadas/ResumoEmpresaPrincipal.aspx?codigoCvm=4081&amp;idioma=pt-br" TargetMode="External"/><Relationship Id="rId339" Type="http://schemas.openxmlformats.org/officeDocument/2006/relationships/hyperlink" Target="http://www.bmfbovespa.com.br/cias-listadas/empresas-listadas/ResumoEmpresaPrincipal.aspx?codigoCvm=11762&amp;idioma=pt-br" TargetMode="External"/><Relationship Id="rId490" Type="http://schemas.openxmlformats.org/officeDocument/2006/relationships/table" Target="../tables/table1.xml"/><Relationship Id="rId78" Type="http://schemas.openxmlformats.org/officeDocument/2006/relationships/hyperlink" Target="http://www.bmfbovespa.com.br/Cias-Listadas/Empresas-Listadas/ResumoEmpresaPrincipal.aspx?codigoCvm=9954&amp;idioma=pt-BR" TargetMode="External"/><Relationship Id="rId99" Type="http://schemas.openxmlformats.org/officeDocument/2006/relationships/hyperlink" Target="http://www.bmfbovespa.com.br/Cias-Listadas/Empresas-Listadas/ResumoEmpresaPrincipal.aspx?codigoCvm=20958&amp;idioma=pt-br" TargetMode="External"/><Relationship Id="rId101" Type="http://schemas.openxmlformats.org/officeDocument/2006/relationships/hyperlink" Target="http://www.bmfbovespa.com.br/Cias-Listadas/Empresas-Listadas/ResumoEmpresaPrincipal.aspx?codigoCvm=906&amp;idioma=pt-br" TargetMode="External"/><Relationship Id="rId122" Type="http://schemas.openxmlformats.org/officeDocument/2006/relationships/hyperlink" Target="http://www.bmfbovespa.com.br/cias-listadas/empresas-listadas/ResumoEmpresaPrincipal.aspx?codigoCvm=18368&amp;idioma=pt-brhttp://www.bmfbovespa.com.br/cias-listadas/empresas-listadas/ResumoEmpresaPrincipal.aspx?codigoCvm=20150&amp;idioma=pt-br" TargetMode="External"/><Relationship Id="rId143" Type="http://schemas.openxmlformats.org/officeDocument/2006/relationships/hyperlink" Target="http://www.bmfbovespa.com.br/cias-listadas/empresas-listadas/ResumoEmpresaPrincipal.aspx?codigoCvm=8672&amp;idioma=pt-br" TargetMode="External"/><Relationship Id="rId164" Type="http://schemas.openxmlformats.org/officeDocument/2006/relationships/hyperlink" Target="http://www.bmfbovespa.com.br/cias-listadas/empresas-listadas/ResumoEmpresaPrincipal.aspx?codigoCvm=7617&amp;idioma=pt-br" TargetMode="External"/><Relationship Id="rId185" Type="http://schemas.openxmlformats.org/officeDocument/2006/relationships/hyperlink" Target="http://www.bmfbovespa.com.br/cias-listadas/empresas-listadas/ResumoEmpresaPrincipal.aspx?codigoCvm=14320&amp;idioma=pt-br" TargetMode="External"/><Relationship Id="rId350" Type="http://schemas.openxmlformats.org/officeDocument/2006/relationships/hyperlink" Target="http://www.bmfbovespa.com.br/cias-listadas/empresas-listadas/ResumoEmpresaPrincipal.aspx?codigoCvm=19739&amp;idioma=pt-br" TargetMode="External"/><Relationship Id="rId371" Type="http://schemas.openxmlformats.org/officeDocument/2006/relationships/hyperlink" Target="http://www.bmfbovespa.com.br/cias-listadas/empresas-listadas/ResumoEmpresaPrincipal.aspx?codigoCvm=20770&amp;idioma=pt-br" TargetMode="External"/><Relationship Id="rId406" Type="http://schemas.openxmlformats.org/officeDocument/2006/relationships/hyperlink" Target="http://www.bmfbovespa.com.br/cias-listadas/empresas-listadas/ResumoEmpresaPrincipal.aspx?codigoCvm=18597&amp;idioma=pt-br" TargetMode="External"/><Relationship Id="rId9" Type="http://schemas.openxmlformats.org/officeDocument/2006/relationships/hyperlink" Target="http://www.bmfbovespa.com.br/cias-listadas/empresas-listadas/ResumoEmpresaPrincipal.aspx?codigoCvm=4820&amp;idioma=pt-br" TargetMode="External"/><Relationship Id="rId210" Type="http://schemas.openxmlformats.org/officeDocument/2006/relationships/hyperlink" Target="http://www.bmfbovespa.com.br/cias-listadas/empresas-listadas/ResumoEmpresaPrincipal.aspx?codigoCvm=12696&amp;idioma=pt-br" TargetMode="External"/><Relationship Id="rId392" Type="http://schemas.openxmlformats.org/officeDocument/2006/relationships/hyperlink" Target="http://www.bmfbovespa.com.br/cias-listadas/empresas-listadas/ResumoEmpresaPrincipal.aspx?codigoCvm=4782&amp;idioma=pt-br" TargetMode="External"/><Relationship Id="rId427" Type="http://schemas.openxmlformats.org/officeDocument/2006/relationships/hyperlink" Target="http://www.bmfbovespa.com.br/cias-listadas/empresas-listadas/ResumoEmpresaPrincipal.aspx?codigoCvm=22020&amp;idioma=pt-br" TargetMode="External"/><Relationship Id="rId448" Type="http://schemas.openxmlformats.org/officeDocument/2006/relationships/hyperlink" Target="http://www.bmfbovespa.com.br/cias-listadas/empresas-listadas/ResumoEmpresaPrincipal.aspx?codigoCvm=7510&amp;idioma=pt-br" TargetMode="External"/><Relationship Id="rId469" Type="http://schemas.openxmlformats.org/officeDocument/2006/relationships/hyperlink" Target="http://www.bmfbovespa.com.br/cias-listadas/empresas-listadas/ResumoEmpresaPrincipal.aspx?codigoCvm=14109&amp;idioma=pt-br" TargetMode="External"/><Relationship Id="rId26" Type="http://schemas.openxmlformats.org/officeDocument/2006/relationships/hyperlink" Target="http://www.bmfbovespa.com.br/Cias-Listadas/Empresas-Listadas/ResumoEmpresaPrincipal.aspx?codigoCvm=1228&amp;idioma=pt-BR" TargetMode="External"/><Relationship Id="rId231" Type="http://schemas.openxmlformats.org/officeDocument/2006/relationships/hyperlink" Target="http://www.bmfbovespa.com.br/cias-listadas/empresas-listadas/ResumoEmpresaPrincipal.aspx?codigoCvm=21121&amp;idioma=pt-br" TargetMode="External"/><Relationship Id="rId252" Type="http://schemas.openxmlformats.org/officeDocument/2006/relationships/hyperlink" Target="http://www.bmfbovespa.com.br/cias-listadas/empresas-listadas/ResumoEmpresaPrincipal.aspx?codigoCvm=19305&amp;idioma=pt-br" TargetMode="External"/><Relationship Id="rId273" Type="http://schemas.openxmlformats.org/officeDocument/2006/relationships/hyperlink" Target="http://www.bmfbovespa.com.br/cias-listadas/empresas-listadas/ResumoEmpresaPrincipal.aspx?codigoCvm=1570&amp;idioma=pt-br" TargetMode="External"/><Relationship Id="rId294" Type="http://schemas.openxmlformats.org/officeDocument/2006/relationships/hyperlink" Target="http://www.bmfbovespa.com.br/cias-listadas/empresas-listadas/ResumoEmpresaPrincipal.aspx?codigoCvm=22780&amp;idioma=pt-br" TargetMode="External"/><Relationship Id="rId308" Type="http://schemas.openxmlformats.org/officeDocument/2006/relationships/hyperlink" Target="http://www.bmfbovespa.com.br/cias-listadas/empresas-listadas/ResumoEmpresaPrincipal.aspx?codigoCvm=14133&amp;idioma=pt-br" TargetMode="External"/><Relationship Id="rId329" Type="http://schemas.openxmlformats.org/officeDocument/2006/relationships/hyperlink" Target="http://www.bmfbovespa.com.br/cias-listadas/empresas-listadas/ResumoEmpresaPrincipal.aspx?codigoCvm=20966&amp;idioma=pt-br" TargetMode="External"/><Relationship Id="rId480" Type="http://schemas.openxmlformats.org/officeDocument/2006/relationships/hyperlink" Target="http://www.bmfbovespa.com.br/Cias-Listadas/Empresas-Listadas/ResumoEmpresaPrincipal.aspx?codigoCvm=18139&amp;idioma=pt-BR" TargetMode="External"/><Relationship Id="rId47" Type="http://schemas.openxmlformats.org/officeDocument/2006/relationships/hyperlink" Target="http://www.bmfbovespa.com.br/cias-listadas/empresas-listadas/ResumoEmpresaPrincipal.aspx?codigoCvm=8540&amp;idioma=pt-br" TargetMode="External"/><Relationship Id="rId68" Type="http://schemas.openxmlformats.org/officeDocument/2006/relationships/hyperlink" Target="http://www.bmfbovespa.com.br/cias-listadas/empresas-listadas/ResumoEmpresaPrincipal.aspx?codigoCvm=11312&amp;idioma=pt-br" TargetMode="External"/><Relationship Id="rId89" Type="http://schemas.openxmlformats.org/officeDocument/2006/relationships/hyperlink" Target="http://www.bmfbovespa.com.br/cias-listadas/empresas-listadas/ResumoEmpresaPrincipal.aspx?codigoCvm=18465&amp;idioma=pt-br" TargetMode="External"/><Relationship Id="rId112" Type="http://schemas.openxmlformats.org/officeDocument/2006/relationships/hyperlink" Target="http://www.bmfbovespa.com.br/cias-listadas/empresas-listadas/ResumoEmpresaPrincipal.aspx?codigoCvm=3050&amp;idioma=pt-br" TargetMode="External"/><Relationship Id="rId133" Type="http://schemas.openxmlformats.org/officeDocument/2006/relationships/hyperlink" Target="http://www.bmfbovespa.com.br/cias-listadas/empresas-listadas/ResumoEmpresaPrincipal.aspx?codigoCvm=16861&amp;idioma=pt-br" TargetMode="External"/><Relationship Id="rId154" Type="http://schemas.openxmlformats.org/officeDocument/2006/relationships/hyperlink" Target="http://www.bmfbovespa.com.br/cias-listadas/empresas-listadas/ResumoEmpresaPrincipal.aspx?codigoCvm=20532&amp;idioma=pt-br" TargetMode="External"/><Relationship Id="rId175" Type="http://schemas.openxmlformats.org/officeDocument/2006/relationships/hyperlink" Target="http://www.bmfbovespa.com.br/cias-listadas/empresas-listadas/ResumoEmpresaPrincipal.aspx?codigoCvm=9512&amp;idioma=pt-br" TargetMode="External"/><Relationship Id="rId340" Type="http://schemas.openxmlformats.org/officeDocument/2006/relationships/hyperlink" Target="http://www.bmfbovespa.com.br/cias-listadas/empresas-listadas/ResumoEmpresaPrincipal.aspx?codigoCvm=5312&amp;idioma=pt-br" TargetMode="External"/><Relationship Id="rId361" Type="http://schemas.openxmlformats.org/officeDocument/2006/relationships/hyperlink" Target="http://www.bmfbovespa.com.br/cias-listadas/empresas-listadas/ResumoEmpresaPrincipal.aspx?codigoCvm=10960&amp;idioma=pt-br" TargetMode="External"/><Relationship Id="rId196" Type="http://schemas.openxmlformats.org/officeDocument/2006/relationships/hyperlink" Target="http://www.bmfbovespa.com.br/cias-listadas/empresas-listadas/ResumoEmpresaPrincipal.aspx?codigoCvm=11231&amp;idioma=pt-br" TargetMode="External"/><Relationship Id="rId200" Type="http://schemas.openxmlformats.org/officeDocument/2006/relationships/hyperlink" Target="http://www.bmfbovespa.com.br/cias-listadas/empresas-listadas/ResumoEmpresaPrincipal.aspx?codigoCvm=11398&amp;idioma=pt-br" TargetMode="External"/><Relationship Id="rId382" Type="http://schemas.openxmlformats.org/officeDocument/2006/relationships/hyperlink" Target="http://www.bmfbovespa.com.br/cias-listadas/empresas-listadas/ResumoEmpresaPrincipal.aspx?codigoCvm=20435&amp;idioma=pt-br" TargetMode="External"/><Relationship Id="rId417" Type="http://schemas.openxmlformats.org/officeDocument/2006/relationships/hyperlink" Target="http://www.bmfbovespa.com.br/cias-listadas/empresas-listadas/ResumoEmpresaPrincipal.aspx?codigoCvm=17892&amp;idioma=pt-br" TargetMode="External"/><Relationship Id="rId438" Type="http://schemas.openxmlformats.org/officeDocument/2006/relationships/hyperlink" Target="http://www.bmfbovespa.com.br/cias-listadas/empresas-listadas/ResumoEmpresaPrincipal.aspx?codigoCvm=1562&amp;idioma=pt-br" TargetMode="External"/><Relationship Id="rId459" Type="http://schemas.openxmlformats.org/officeDocument/2006/relationships/hyperlink" Target="http://www.bmfbovespa.com.br/cias-listadas/empresas-listadas/ResumoEmpresaPrincipal.aspx?codigoCvm=5150&amp;idioma=pt-br" TargetMode="External"/><Relationship Id="rId16" Type="http://schemas.openxmlformats.org/officeDocument/2006/relationships/hyperlink" Target="http://www.bmfbovespa.com.br/Cias-Listadas/Empresas-Listadas/ResumoEmpresaPrincipal.aspx?codigoCvm=4707&amp;idioma=pt-br" TargetMode="External"/><Relationship Id="rId221" Type="http://schemas.openxmlformats.org/officeDocument/2006/relationships/hyperlink" Target="http://www.bmfbovespa.com.br/cias-listadas/empresas-listadas/ResumoEmpresaPrincipal.aspx?codigoCvm=13986&amp;idioma=pt-br" TargetMode="External"/><Relationship Id="rId242" Type="http://schemas.openxmlformats.org/officeDocument/2006/relationships/hyperlink" Target="http://www.bmfbovespa.com.br/cias-listadas/empresas-listadas/ResumoEmpresaPrincipal.aspx?codigoCvm=4863&amp;idioma=pt-br" TargetMode="External"/><Relationship Id="rId263" Type="http://schemas.openxmlformats.org/officeDocument/2006/relationships/hyperlink" Target="http://www.bmfbovespa.com.br/cias-listadas/empresas-listadas/ResumoEmpresaPrincipal.aspx?codigoCvm=9342&amp;idioma=pt-br" TargetMode="External"/><Relationship Id="rId284" Type="http://schemas.openxmlformats.org/officeDocument/2006/relationships/hyperlink" Target="http://www.bmfbovespa.com.br/cias-listadas/empresas-listadas/ResumoEmpresaPrincipal.aspx?codigoCvm=22845&amp;idioma=pt-br" TargetMode="External"/><Relationship Id="rId319" Type="http://schemas.openxmlformats.org/officeDocument/2006/relationships/hyperlink" Target="http://www.bmfbovespa.com.br/cias-listadas/empresas-listadas/ResumoEmpresaPrincipal.aspx?codigoCvm=4081&amp;idioma=pt-br" TargetMode="External"/><Relationship Id="rId470" Type="http://schemas.openxmlformats.org/officeDocument/2006/relationships/hyperlink" Target="http://www.bmfbovespa.com.br/cias-listadas/empresas-listadas/ResumoEmpresaPrincipal.aspx?codigoCvm=14109&amp;idioma=pt-br" TargetMode="External"/><Relationship Id="rId37" Type="http://schemas.openxmlformats.org/officeDocument/2006/relationships/hyperlink" Target="http://www.bmfbovespa.com.br/cias-listadas/empresas-listadas/ResumoEmpresaPrincipal.aspx?codigoCvm=2577" TargetMode="External"/><Relationship Id="rId58" Type="http://schemas.openxmlformats.org/officeDocument/2006/relationships/hyperlink" Target="http://www.bmfbovespa.com.br/cias-listadas/empresas-listadas/ResumoEmpresaPrincipal.aspx?codigoCvm=2453&amp;idioma=pt-br" TargetMode="External"/><Relationship Id="rId79" Type="http://schemas.openxmlformats.org/officeDocument/2006/relationships/hyperlink" Target="http://www.bmfbovespa.com.br/Cias-Listadas/Empresas-Listadas/ResumoEmpresaPrincipal.aspx?codigoCvm=9954&amp;idioma=pt-BR" TargetMode="External"/><Relationship Id="rId102" Type="http://schemas.openxmlformats.org/officeDocument/2006/relationships/hyperlink" Target="http://www.bmfbovespa.com.br/Cias-Listadas/Empresas-Listadas/ResumoEmpresaPrincipal.aspx?codigoCvm=922&amp;idioma=pt-br" TargetMode="External"/><Relationship Id="rId123" Type="http://schemas.openxmlformats.org/officeDocument/2006/relationships/hyperlink" Target="http://www.bmfbovespa.com.br/cias-listadas/empresas-listadas/ResumoEmpresaPrincipal.aspx?codigoCvm=15784&amp;idioma=pt-br" TargetMode="External"/><Relationship Id="rId144" Type="http://schemas.openxmlformats.org/officeDocument/2006/relationships/hyperlink" Target="http://www.bmfbovespa.com.br/cias-listadas/empresas-listadas/ResumoEmpresaPrincipal.aspx?codigoCvm=12262&amp;idioma=pt-br" TargetMode="External"/><Relationship Id="rId330" Type="http://schemas.openxmlformats.org/officeDocument/2006/relationships/hyperlink" Target="http://www.bmfbovespa.com.br/cias-listadas/empresas-listadas/ResumoEmpresaPrincipal.aspx?codigoCvm=11215&amp;idioma=pt-br" TargetMode="External"/><Relationship Id="rId90" Type="http://schemas.openxmlformats.org/officeDocument/2006/relationships/hyperlink" Target="http://www.bmfbovespa.com.br/cias-listadas/empresas-listadas/ResumoEmpresaPrincipal.aspx?codigoCvm=17639&amp;idioma=pt-br" TargetMode="External"/><Relationship Id="rId165" Type="http://schemas.openxmlformats.org/officeDocument/2006/relationships/hyperlink" Target="http://www.bmfbovespa.com.br/cias-listadas/empresas-listadas/ResumoEmpresaPrincipal.aspx?codigoCvm=18414&amp;idioma=pt-br" TargetMode="External"/><Relationship Id="rId186" Type="http://schemas.openxmlformats.org/officeDocument/2006/relationships/hyperlink" Target="http://www.bmfbovespa.com.br/cias-listadas/empresas-listadas/ResumoEmpresaPrincipal.aspx?codigoCvm=3980&amp;idioma=pt-br" TargetMode="External"/><Relationship Id="rId351" Type="http://schemas.openxmlformats.org/officeDocument/2006/relationships/hyperlink" Target="http://www.bmfbovespa.com.br/cias-listadas/empresas-listadas/ResumoEmpresaPrincipal.aspx?codigoCvm=21440&amp;idioma=pt-br" TargetMode="External"/><Relationship Id="rId372" Type="http://schemas.openxmlformats.org/officeDocument/2006/relationships/hyperlink" Target="http://www.bmfbovespa.com.br/cias-listadas/empresas-listadas/ResumoEmpresaPrincipal.aspx?codigoCvm=16101&amp;idioma=pt-br" TargetMode="External"/><Relationship Id="rId393" Type="http://schemas.openxmlformats.org/officeDocument/2006/relationships/hyperlink" Target="http://www.bmfbovespa.com.br/cias-listadas/empresas-listadas/ResumoEmpresaPrincipal.aspx?codigoCvm=4782&amp;idioma=pt-br" TargetMode="External"/><Relationship Id="rId407" Type="http://schemas.openxmlformats.org/officeDocument/2006/relationships/hyperlink" Target="http://www.bmfbovespa.com.br/cias-listadas/empresas-listadas/ResumoEmpresaPrincipal.aspx?codigoCvm=22012&amp;idioma=pt-br" TargetMode="External"/><Relationship Id="rId428" Type="http://schemas.openxmlformats.org/officeDocument/2006/relationships/hyperlink" Target="http://www.bmfbovespa.com.br/cias-listadas/empresas-listadas/ResumoEmpresaPrincipal.aspx?codigoCvm=20800&amp;idioma=pt-br" TargetMode="External"/><Relationship Id="rId449" Type="http://schemas.openxmlformats.org/officeDocument/2006/relationships/hyperlink" Target="http://www.bmfbovespa.com.br/cias-listadas/empresas-listadas/ResumoEmpresaPrincipal.aspx?codigoCvm=7595&amp;idioma=pt-br" TargetMode="External"/><Relationship Id="rId211" Type="http://schemas.openxmlformats.org/officeDocument/2006/relationships/hyperlink" Target="http://www.bmfbovespa.com.br/cias-listadas/empresas-listadas/ResumoEmpresaPrincipal.aspx?codigoCvm=12696&amp;idioma=pt-br" TargetMode="External"/><Relationship Id="rId232" Type="http://schemas.openxmlformats.org/officeDocument/2006/relationships/hyperlink" Target="http://www.bmfbovespa.com.br/cias-listadas/empresas-listadas/ResumoEmpresaPrincipal.aspx?codigoCvm=21121&amp;idioma=pt-br" TargetMode="External"/><Relationship Id="rId253" Type="http://schemas.openxmlformats.org/officeDocument/2006/relationships/hyperlink" Target="http://www.bmfbovespa.com.br/cias-listadas/empresas-listadas/ResumoEmpresaPrincipal.aspx?codigoCvm=19550&amp;idioma=pt-br" TargetMode="External"/><Relationship Id="rId274" Type="http://schemas.openxmlformats.org/officeDocument/2006/relationships/hyperlink" Target="http://www.bmfbovespa.com.br/cias-listadas/empresas-listadas/ResumoEmpresaPrincipal.aspx?codigoCvm=1570&amp;idioma=pt-br" TargetMode="External"/><Relationship Id="rId295" Type="http://schemas.openxmlformats.org/officeDocument/2006/relationships/hyperlink" Target="http://www.bmfbovespa.com.br/cias-listadas/empresas-listadas/ResumoEmpresaPrincipal.aspx?codigoCvm=14346&amp;idioma=pt-br" TargetMode="External"/><Relationship Id="rId309" Type="http://schemas.openxmlformats.org/officeDocument/2006/relationships/hyperlink" Target="http://www.bmfbovespa.com.br/cias-listadas/empresas-listadas/ResumoEmpresaPrincipal.aspx?codigoCvm=8427&amp;idioma=pt-br" TargetMode="External"/><Relationship Id="rId460" Type="http://schemas.openxmlformats.org/officeDocument/2006/relationships/hyperlink" Target="http://www.bmfbovespa.com.br/cias-listadas/empresas-listadas/ResumoEmpresaPrincipal.aspx?codigoCvm=5150&amp;idioma=pt-br" TargetMode="External"/><Relationship Id="rId481" Type="http://schemas.openxmlformats.org/officeDocument/2006/relationships/hyperlink" Target="http://www.bmfbovespa.com.br/Cias-Listadas/Empresas-Listadas/ResumoEmpresaPrincipal.aspx?codigoCvm=17485&amp;idioma=pt-BR" TargetMode="External"/><Relationship Id="rId27" Type="http://schemas.openxmlformats.org/officeDocument/2006/relationships/hyperlink" Target="http://www.bmfbovespa.com.br/Cias-Listadas/Empresas-Listadas/ResumoEmpresaPrincipal.aspx?codigoCvm=19879&amp;idioma=pt-BR" TargetMode="External"/><Relationship Id="rId48" Type="http://schemas.openxmlformats.org/officeDocument/2006/relationships/hyperlink" Target="http://www.bmfbovespa.com.br/cias-listadas/empresas-listadas/ResumoEmpresaPrincipal.aspx?codigoCvm=20982&amp;idioma=pt-br" TargetMode="External"/><Relationship Id="rId69" Type="http://schemas.openxmlformats.org/officeDocument/2006/relationships/hyperlink" Target="http://www.bmfbovespa.com.br/cias-listadas/empresas-listadas/ResumoEmpresaPrincipal.aspx?codigoCvm=20575&amp;idioma=pt-br" TargetMode="External"/><Relationship Id="rId113" Type="http://schemas.openxmlformats.org/officeDocument/2006/relationships/hyperlink" Target="http://www.bmfbovespa.chttp/www.bmfbovespa.com.br/cias-listadas/empresas-listadas/ResumoEmpresaPrincipal.aspx?codigoCvm=2437&amp;idioma=pt-brhttp://www.bmfbovespa.com.br/Cias-Listadas/Empresas-Listadas/ResumoEmpresaPrincipal.aspx?codigoCvm=15253&amp;idioma=pt-br" TargetMode="External"/><Relationship Id="rId134" Type="http://schemas.openxmlformats.org/officeDocument/2006/relationships/hyperlink" Target="http://www.bmfbovespa.com.br/cias-listadas/empresas-listadas/ResumoEmpresaPrincipal.aspx?codigoCvm=19445&amp;idioma=pt-br" TargetMode="External"/><Relationship Id="rId320" Type="http://schemas.openxmlformats.org/officeDocument/2006/relationships/hyperlink" Target="http://www.bmfbovespa.com.br/cias-listadas/empresas-listadas/ResumoEmpresaPrincipal.aspx?codigoCvm=5207&amp;idioma=pt-br" TargetMode="External"/><Relationship Id="rId80" Type="http://schemas.openxmlformats.org/officeDocument/2006/relationships/hyperlink" Target="http://www.bmfbovespa.com.br/Cias-Listadas/Empresas-Listadas/ResumoEmpresaPrincipal.aspx?codigoCvm=9954&amp;idioma=pt-BR" TargetMode="External"/><Relationship Id="rId155" Type="http://schemas.openxmlformats.org/officeDocument/2006/relationships/hyperlink" Target="http://www.bmfbovespa.com.br/cias-listadas/empresas-listadas/ResumoEmpresaPrincipal.aspx?codigoCvm=20532&amp;idioma=pt-br" TargetMode="External"/><Relationship Id="rId176" Type="http://schemas.openxmlformats.org/officeDocument/2006/relationships/hyperlink" Target="http://www.bmfbovespa.com.br/cias-listadas/empresas-listadas/ResumoEmpresaPrincipal.aspx?codigoCvm=9512&amp;idioma=pt-br" TargetMode="External"/><Relationship Id="rId197" Type="http://schemas.openxmlformats.org/officeDocument/2006/relationships/hyperlink" Target="http://www.bmfbovespa.com.br/cias-listadas/empresas-listadas/ResumoEmpresaPrincipal.aspx?codigoCvm=9393&amp;idioma=pt-br" TargetMode="External"/><Relationship Id="rId341" Type="http://schemas.openxmlformats.org/officeDocument/2006/relationships/hyperlink" Target="http://www.bmfbovespa.com.br/cias-listadas/empresas-listadas/ResumoEmpresaPrincipal.aspx?codigoCvm=22519&amp;idioma=pt-br" TargetMode="External"/><Relationship Id="rId362" Type="http://schemas.openxmlformats.org/officeDocument/2006/relationships/hyperlink" Target="http://www.bmfbovespa.com.br/cias-listadas/empresas-listadas/ResumoEmpresaPrincipal.aspx?codigoCvm=10960&amp;idioma=pt-br" TargetMode="External"/><Relationship Id="rId383" Type="http://schemas.openxmlformats.org/officeDocument/2006/relationships/hyperlink" Target="http://www.bmfbovespa.com.br/cias-listadas/empresas-listadas/ResumoEmpresaPrincipal.aspx?codigoCvm=21130&amp;idioma=pt-br" TargetMode="External"/><Relationship Id="rId418" Type="http://schemas.openxmlformats.org/officeDocument/2006/relationships/hyperlink" Target="http://www.bmfbovespa.com.br/cias-listadas/empresas-listadas/ResumoEmpresaPrincipal.aspx?codigoCvm=17892&amp;idioma=pt-br" TargetMode="External"/><Relationship Id="rId439" Type="http://schemas.openxmlformats.org/officeDocument/2006/relationships/hyperlink" Target="http://www.bmfbovespa.com.br/cias-listadas/empresas-listadas/ResumoEmpresaPrincipal.aspx?codigoCvm=1562&amp;idioma=pt-br" TargetMode="External"/><Relationship Id="rId201" Type="http://schemas.openxmlformats.org/officeDocument/2006/relationships/hyperlink" Target="http://www.bmfbovespa.com.br/cias-listadas/empresas-listadas/ResumoEmpresaPrincipal.aspx?codigoCvm=4359&amp;idioma=pt-br" TargetMode="External"/><Relationship Id="rId222" Type="http://schemas.openxmlformats.org/officeDocument/2006/relationships/hyperlink" Target="http://www.bmfbovespa.com.br/cias-listadas/empresas-listadas/ResumoEmpresaPrincipal.aspx?codigoCvm=13986&amp;idioma=pt-br" TargetMode="External"/><Relationship Id="rId243" Type="http://schemas.openxmlformats.org/officeDocument/2006/relationships/hyperlink" Target="http://www.bmfbovespa.com.br/cias-listadas/empresas-listadas/ResumoEmpresaPrincipal.aspx?codigoCvm=4863&amp;idioma=pt-br" TargetMode="External"/><Relationship Id="rId264" Type="http://schemas.openxmlformats.org/officeDocument/2006/relationships/hyperlink" Target="http://www.bmfbovespa.com.br/cias-listadas/empresas-listadas/ResumoEmpresaPrincipal.aspx?codigoCvm=9342&amp;idioma=pt-br" TargetMode="External"/><Relationship Id="rId285" Type="http://schemas.openxmlformats.org/officeDocument/2006/relationships/hyperlink" Target="http://www.bmfbovespa.com.br/cias-listadas/empresas-listadas/ResumoEmpresaPrincipal.aspx?codigoCvm=20354&amp;idioma=pt-br" TargetMode="External"/><Relationship Id="rId450" Type="http://schemas.openxmlformats.org/officeDocument/2006/relationships/hyperlink" Target="http://www.bmfbovespa.com.br/cias-listadas/empresas-listadas/ResumoEmpresaPrincipal.aspx?codigoCvm=7595&amp;idioma=pt-br" TargetMode="External"/><Relationship Id="rId471" Type="http://schemas.openxmlformats.org/officeDocument/2006/relationships/hyperlink" Target="http://www.bmfbovespa.com.br/cias-listadas/empresas-listadas/ResumoEmpresaPrincipal.aspx?codigoCvm=12572&amp;idioma=pt-br" TargetMode="External"/><Relationship Id="rId17" Type="http://schemas.openxmlformats.org/officeDocument/2006/relationships/hyperlink" Target="http://www.bmfbovespa.com.br/Cias-Listadas/Empresas-Listadas/ResumoEmpresaPrincipal.aspx?codigoCvm=4707&amp;idioma=pt-br" TargetMode="External"/><Relationship Id="rId38" Type="http://schemas.openxmlformats.org/officeDocument/2006/relationships/hyperlink" Target="http://www.bmfbovespa.com.br/cias-listadas/empresas-listadas/ResumoEmpresaPrincipal.aspx?codigoCvm=14176&amp;idioma=pt-br" TargetMode="External"/><Relationship Id="rId59" Type="http://schemas.openxmlformats.org/officeDocument/2006/relationships/hyperlink" Target="http://www.bmfbovespa.com.br/cias-listadas/empresas-listadas/ResumoEmpresaPrincipal.aspx?codigoCvm=2577" TargetMode="External"/><Relationship Id="rId103" Type="http://schemas.openxmlformats.org/officeDocument/2006/relationships/hyperlink" Target="http://www.bmfbovespa.com.br/Cias-Listadas/Empresas-Listadas/ResumoEmpresaPrincipal.aspx?codigoCvm=1155&amp;idioma=pt-BR" TargetMode="External"/><Relationship Id="rId124" Type="http://schemas.openxmlformats.org/officeDocument/2006/relationships/hyperlink" Target="http://www.bmfbovespa.com.br/cias-listadas/empresas-listadas/ResumoEmpresaPrincipal.aspx?codigoCvm=16993&amp;idioma=pt-br" TargetMode="External"/><Relationship Id="rId310" Type="http://schemas.openxmlformats.org/officeDocument/2006/relationships/hyperlink" Target="http://www.bmfbovespa.com.br/cias-listadas/empresas-listadas/ResumoEmpresaPrincipal.aspx?codigoCvm=8427&amp;idioma=pt-br" TargetMode="External"/><Relationship Id="rId70" Type="http://schemas.openxmlformats.org/officeDocument/2006/relationships/hyperlink" Target="http://www.bmfbovespa.com.br/cias-listadas/empresas-listadas/ResumoEmpresaPrincipal.aspx?codigoCvm=16292&amp;idioma=pt-br" TargetMode="External"/><Relationship Id="rId91" Type="http://schemas.openxmlformats.org/officeDocument/2006/relationships/hyperlink" Target="http://www.bmfbovespa.com.br/cias-listadas/empresas-listadas/ResumoEmpresaPrincipal.aspx?codigoCvm=20516&amp;idioma=pt-br" TargetMode="External"/><Relationship Id="rId145" Type="http://schemas.openxmlformats.org/officeDocument/2006/relationships/hyperlink" Target="http://www.bmfbovespa.com.br/cias-listadas/empresas-listadas/ResumoEmpresaPrincipal.aspx?codigoCvm=12262&amp;idioma=pt-br" TargetMode="External"/><Relationship Id="rId166" Type="http://schemas.openxmlformats.org/officeDocument/2006/relationships/hyperlink" Target="http://www.bmfbovespa.com.br/cias-listadas/empresas-listadas/ResumoEmpresaPrincipal.aspx?codigoCvm=23035&amp;idioma=pt-br" TargetMode="External"/><Relationship Id="rId187" Type="http://schemas.openxmlformats.org/officeDocument/2006/relationships/hyperlink" Target="http://www.bmfbovespa.com.br/cias-listadas/empresas-listadas/ResumoEmpresaPrincipal.aspx?codigoCvm=3980&amp;idioma=pt-br" TargetMode="External"/><Relationship Id="rId331" Type="http://schemas.openxmlformats.org/officeDocument/2006/relationships/hyperlink" Target="http://www.bmfbovespa.com.br/cias-listadas/empresas-listadas/ResumoEmpresaPrincipal.aspx?codigoCvm=11215&amp;idioma=pt-br" TargetMode="External"/><Relationship Id="rId352" Type="http://schemas.openxmlformats.org/officeDocument/2006/relationships/hyperlink" Target="http://www.bmfbovespa.com.br/cias-listadas/empresas-listadas/ResumoEmpresaPrincipal.aspx?codigoCvm=22349&amp;idioma=pt-br" TargetMode="External"/><Relationship Id="rId373" Type="http://schemas.openxmlformats.org/officeDocument/2006/relationships/hyperlink" Target="http://www.bmfbovespa.com.br/cias-listadas/empresas-listadas/ResumoEmpresaPrincipal.aspx?codigoCvm=20877&amp;idioma=pt-br" TargetMode="External"/><Relationship Id="rId394" Type="http://schemas.openxmlformats.org/officeDocument/2006/relationships/hyperlink" Target="http://www.bmfbovespa.com.br/cias-listadas/empresas-listadas/ResumoEmpresaPrincipal.aspx?codigoCvm=10880&amp;idioma=pt-br" TargetMode="External"/><Relationship Id="rId408" Type="http://schemas.openxmlformats.org/officeDocument/2006/relationships/hyperlink" Target="http://www.bmfbovespa.com.br/cias-listadas/empresas-listadas/ResumoEmpresaPrincipal.aspx?codigoCvm=20028&amp;idioma=pt-br" TargetMode="External"/><Relationship Id="rId429" Type="http://schemas.openxmlformats.org/officeDocument/2006/relationships/hyperlink" Target="http://www.bmfbovespa.com.br/cias-listadas/empresas-listadas/ResumoEmpresaPrincipal.aspx?codigoCvm=11070&amp;idioma=pt-br" TargetMode="External"/><Relationship Id="rId1" Type="http://schemas.openxmlformats.org/officeDocument/2006/relationships/hyperlink" Target="http://www.bmfbovespa.com.br/cias-listadas/empresas-listadas/ResumoEmpresaPrincipal.aspx?codigoCvm=21300&amp;idioma=pt-br" TargetMode="External"/><Relationship Id="rId212" Type="http://schemas.openxmlformats.org/officeDocument/2006/relationships/hyperlink" Target="http://www.bmfbovespa.com.br/cias-listadas/empresas-listadas/ResumoEmpresaPrincipal.aspx?codigoCvm=12696&amp;idioma=pt-br" TargetMode="External"/><Relationship Id="rId233" Type="http://schemas.openxmlformats.org/officeDocument/2006/relationships/hyperlink" Target="http://www.bmfbovespa.com.br/cias-listadas/empresas-listadas/ResumoEmpresaPrincipal.aspx?codigoCvm=15458&amp;idioma=pt-br" TargetMode="External"/><Relationship Id="rId254" Type="http://schemas.openxmlformats.org/officeDocument/2006/relationships/hyperlink" Target="http://www.bmfbovespa.com.br/cias-listadas/empresas-listadas/ResumoEmpresaPrincipal.aspx?codigoCvm=12190&amp;idioma=pt-br" TargetMode="External"/><Relationship Id="rId440" Type="http://schemas.openxmlformats.org/officeDocument/2006/relationships/hyperlink" Target="http://www.bmfbovespa.com.br/cias-listadas/empresas-listadas/ResumoEmpresaPrincipal.aspx?codigoCvm=13773&amp;idioma=pt-br" TargetMode="External"/><Relationship Id="rId28" Type="http://schemas.openxmlformats.org/officeDocument/2006/relationships/hyperlink" Target="http://www.bmfbovespa.com.br/Cias-Listadas/Empresas-Listadas/ResumoEmpresaPrincipal.aspx?codigoCvm=19763&amp;idioma=pt-BR" TargetMode="External"/><Relationship Id="rId49" Type="http://schemas.openxmlformats.org/officeDocument/2006/relationships/hyperlink" Target="http://www.bmfbovespa.com.br/cias-listadas/empresas-listadas/ResumoEmpresaPrincipal.aspx?codigoCvm=20494&amp;idioma=pt-br" TargetMode="External"/><Relationship Id="rId114" Type="http://schemas.openxmlformats.org/officeDocument/2006/relationships/hyperlink" Target="http://www.bmfbovespa.com.br/cias-listadas/empresas-listadas/ResumoEmpresaPrincipal.aspx?codigoCvm=2461&amp;idioma=pt-br" TargetMode="External"/><Relationship Id="rId275" Type="http://schemas.openxmlformats.org/officeDocument/2006/relationships/hyperlink" Target="http://www.bmfbovespa.com.br/cias-listadas/empresas-listadas/ResumoEmpresaPrincipal.aspx?codigoCvm=20931&amp;idioma=pt-br" TargetMode="External"/><Relationship Id="rId296" Type="http://schemas.openxmlformats.org/officeDocument/2006/relationships/hyperlink" Target="http://www.bmfbovespa.com.br/cias-listadas/empresas-listadas/ResumoEmpresaPrincipal.aspx?codigoCvm=14346&amp;idioma=pt-br" TargetMode="External"/><Relationship Id="rId300" Type="http://schemas.openxmlformats.org/officeDocument/2006/relationships/hyperlink" Target="http://www.bmfbovespa.com.br/cias-listadas/empresas-listadas/ResumoEmpresaPrincipal.aspx?codigoCvm=6505&amp;idioma=pt-br" TargetMode="External"/><Relationship Id="rId461" Type="http://schemas.openxmlformats.org/officeDocument/2006/relationships/hyperlink" Target="http://www.bmfbovespa.com.br/cias-listadas/empresas-listadas/ResumoEmpresaPrincipal.aspx?codigoCvm=11932&amp;idioma=pt-br" TargetMode="External"/><Relationship Id="rId482" Type="http://schemas.openxmlformats.org/officeDocument/2006/relationships/hyperlink" Target="http://www.bmfbovespa.com.br/Cias-Listadas/Empresas-Listadas/ResumoEmpresaPrincipal.aspx?codigoCvm=17485&amp;idioma=pt-BR" TargetMode="External"/><Relationship Id="rId60" Type="http://schemas.openxmlformats.org/officeDocument/2006/relationships/hyperlink" Target="http://www.bmfbovespa.com.br/cias-listadas/empresas-listadas/ResumoEmpresaPrincipal.aspx?codigoCvm=14176&amp;idioma=pt-br" TargetMode="External"/><Relationship Id="rId81" Type="http://schemas.openxmlformats.org/officeDocument/2006/relationships/hyperlink" Target="http://www.bmfbovespa.com.br/Cias-Listadas/Empresas-Listadas/ResumoEmpresaPrincipal.aspx?codigoCvm=20567&amp;idioma=pt-br" TargetMode="External"/><Relationship Id="rId135" Type="http://schemas.openxmlformats.org/officeDocument/2006/relationships/hyperlink" Target="http://www.bmfbovespa.com.br/cias-listadas/empresas-listadas/ResumoEmpresaPrincipal.aspx?codigoCvm=18627&amp;idioma=pt-br" TargetMode="External"/><Relationship Id="rId156" Type="http://schemas.openxmlformats.org/officeDocument/2006/relationships/hyperlink" Target="http://www.bmfbovespa.com.br/cias-listadas/empresas-listadas/ResumoEmpresaPrincipal.aspx?codigoCvm=20532&amp;idioma=pt-br" TargetMode="External"/><Relationship Id="rId177" Type="http://schemas.openxmlformats.org/officeDocument/2006/relationships/hyperlink" Target="http://www.bmfbovespa.com.br/cias-listadas/empresas-listadas/ResumoEmpresaPrincipal.aspx?codigoCvm=9989&amp;idioma=pt-br" TargetMode="External"/><Relationship Id="rId198" Type="http://schemas.openxmlformats.org/officeDocument/2006/relationships/hyperlink" Target="http://www.bmfbovespa.com.br/cias-listadas/empresas-listadas/ResumoEmpresaPrincipal.aspx?codigoCvm=11398&amp;idioma=pt-br" TargetMode="External"/><Relationship Id="rId321" Type="http://schemas.openxmlformats.org/officeDocument/2006/relationships/hyperlink" Target="http://www.bmfbovespa.com.br/cias-listadas/empresas-listadas/ResumoEmpresaPrincipal.aspx?codigoCvm=5207&amp;idioma=pt-br" TargetMode="External"/><Relationship Id="rId342" Type="http://schemas.openxmlformats.org/officeDocument/2006/relationships/hyperlink" Target="http://www.bmfbovespa.com.br/cias-listadas/empresas-listadas/ResumoEmpresaPrincipal.aspx?codigoCvm=14621&amp;idioma=pt-br" TargetMode="External"/><Relationship Id="rId363" Type="http://schemas.openxmlformats.org/officeDocument/2006/relationships/hyperlink" Target="http://www.bmfbovespa.com.br/cias-listadas/empresas-listadas/ResumoEmpresaPrincipal.aspx?codigoCvm=10960&amp;idioma=pt-br" TargetMode="External"/><Relationship Id="rId384" Type="http://schemas.openxmlformats.org/officeDocument/2006/relationships/hyperlink" Target="http://www.bmfbovespa.com.br/cias-listadas/empresas-listadas/ResumoEmpresaPrincipal.aspx?codigoCvm=20702&amp;idioma=pt-br" TargetMode="External"/><Relationship Id="rId419" Type="http://schemas.openxmlformats.org/officeDocument/2006/relationships/hyperlink" Target="http://www.bmfbovespa.com.br/cias-listadas/empresas-listadas/ResumoEmpresaPrincipal.aspx?codigoCvm=19569&amp;idioma=pt-br" TargetMode="External"/><Relationship Id="rId202" Type="http://schemas.openxmlformats.org/officeDocument/2006/relationships/hyperlink" Target="http://www.bmfbovespa.com.br/cias-listadas/empresas-listadas/ResumoEmpresaPrincipal.aspx?codigoCvm=4359&amp;idioma=pt-br" TargetMode="External"/><Relationship Id="rId223" Type="http://schemas.openxmlformats.org/officeDocument/2006/relationships/hyperlink" Target="http://www.bmfbovespa.com.br/cias-listadas/empresas-listadas/ResumoEmpresaPrincipal.aspx?codigoCvm=13986&amp;idioma=pt-br" TargetMode="External"/><Relationship Id="rId244" Type="http://schemas.openxmlformats.org/officeDocument/2006/relationships/hyperlink" Target="http://www.bmfbovespa.com.br/cias-listadas/empresas-listadas/ResumoEmpresaPrincipal.aspx?codigoCvm=21008&amp;idioma=pt-br" TargetMode="External"/><Relationship Id="rId430" Type="http://schemas.openxmlformats.org/officeDocument/2006/relationships/hyperlink" Target="http://www.bmfbovespa.com.br/cias-listadas/empresas-listadas/ResumoEmpresaPrincipal.aspx?codigoCvm=11070&amp;idioma=pt-br" TargetMode="External"/><Relationship Id="rId18" Type="http://schemas.openxmlformats.org/officeDocument/2006/relationships/hyperlink" Target="http://www.bmfbovespa.com.br/Cias-Listadas/Empresas-Listadas/ResumoEmpresaPrincipal.aspx?codigoCvm=4707&amp;idioma=pt-br" TargetMode="External"/><Relationship Id="rId39" Type="http://schemas.openxmlformats.org/officeDocument/2006/relationships/hyperlink" Target="http://www.bmfbovespa.com.br/cias-listadas/empresas-listadas/ResumoEmpresaPrincipal.aspx?codigoCvm=94&amp;idioma=pt-br" TargetMode="External"/><Relationship Id="rId265" Type="http://schemas.openxmlformats.org/officeDocument/2006/relationships/hyperlink" Target="http://www.bmfbovespa.com.br/cias-listadas/empresas-listadas/ResumoEmpresaPrincipal.aspx?codigoCvm=20346&amp;idioma=pt-br" TargetMode="External"/><Relationship Id="rId286" Type="http://schemas.openxmlformats.org/officeDocument/2006/relationships/hyperlink" Target="http://www.bmfbovespa.com.br/cias-listadas/empresas-listadas/ResumoEmpresaPrincipal.aspx?codigoCvm=19658&amp;idioma=pt-br" TargetMode="External"/><Relationship Id="rId451" Type="http://schemas.openxmlformats.org/officeDocument/2006/relationships/hyperlink" Target="http://www.bmfbovespa.com.br/cias-listadas/empresas-listadas/ResumoEmpresaPrincipal.aspx?codigoCvm=7870&amp;idioma=pt-br" TargetMode="External"/><Relationship Id="rId472" Type="http://schemas.openxmlformats.org/officeDocument/2006/relationships/hyperlink" Target="http://www.bmfbovespa.com.br/cias-listadas/empresas-listadas/ResumoEmpresaPrincipal.aspx?codigoCvm=12572&amp;idioma=pt-br" TargetMode="External"/><Relationship Id="rId50" Type="http://schemas.openxmlformats.org/officeDocument/2006/relationships/hyperlink" Target="http://www.bmfbovespa.com.br/cias-listadas/empresas-listadas/ResumoEmpresaPrincipal.aspx?codigoCvm=21040&amp;idioma=pt-br" TargetMode="External"/><Relationship Id="rId104" Type="http://schemas.openxmlformats.org/officeDocument/2006/relationships/hyperlink" Target="http://www.bmfbovespa.com.br/Cias-Listadas/Empresas-Listadas/ResumoEmpresaPrincipal.aspx?codigoCvm=1155&amp;idioma=pt-BR" TargetMode="External"/><Relationship Id="rId125" Type="http://schemas.openxmlformats.org/officeDocument/2006/relationships/hyperlink" Target="http://www.bmfbovespa.com.br/cias-listadas/empresas-listadas/ResumoEmpresaPrincipal.aspx?codigoCvm=21237&amp;idioma=pt-br" TargetMode="External"/><Relationship Id="rId146" Type="http://schemas.openxmlformats.org/officeDocument/2006/relationships/hyperlink" Target="http://www.bmfbovespa.com.br/cias-listadas/empresas-listadas/ResumoEmpresaPrincipal.aspx?codigoCvm=20796&amp;idioma=pt-br" TargetMode="External"/><Relationship Id="rId167" Type="http://schemas.openxmlformats.org/officeDocument/2006/relationships/hyperlink" Target="http://www.bmfbovespa.com.br/cias-listadas/empresas-listadas/ResumoEmpresaPrincipal.aspx?codigoCvm=11258&amp;idioma=pt-br" TargetMode="External"/><Relationship Id="rId188" Type="http://schemas.openxmlformats.org/officeDocument/2006/relationships/hyperlink" Target="http://www.bmfbovespa.com.br/cias-listadas/empresas-listadas/ResumoEmpresaPrincipal.aspx?codigoCvm=8656&amp;idioma=pt-br" TargetMode="External"/><Relationship Id="rId311" Type="http://schemas.openxmlformats.org/officeDocument/2006/relationships/hyperlink" Target="http://www.bmfbovespa.com.br/cias-listadas/empresas-listadas/ResumoEmpresaPrincipal.aspx?codigoCvm=9040&amp;idioma=pt-br" TargetMode="External"/><Relationship Id="rId332" Type="http://schemas.openxmlformats.org/officeDocument/2006/relationships/hyperlink" Target="http://www.bmfbovespa.com.br/cias-listadas/empresas-listadas/ResumoEmpresaPrincipal.aspx?codigoCvm=11215&amp;idioma=pt-br" TargetMode="External"/><Relationship Id="rId353" Type="http://schemas.openxmlformats.org/officeDocument/2006/relationships/hyperlink" Target="http://www.bmfbovespa.com.br/cias-listadas/empresas-listadas/ResumoEmpresaPrincipal.aspx?codigoCvm=4537&amp;idioma=pt-br" TargetMode="External"/><Relationship Id="rId374" Type="http://schemas.openxmlformats.org/officeDocument/2006/relationships/hyperlink" Target="http://www.bmfbovespa.com.br/cias-listadas/empresas-listadas/ResumoEmpresaPrincipal.aspx?codigoCvm=20605&amp;idioma=pt-br" TargetMode="External"/><Relationship Id="rId395" Type="http://schemas.openxmlformats.org/officeDocument/2006/relationships/hyperlink" Target="http://www.bmfbovespa.com.br/cias-listadas/empresas-listadas/ResumoEmpresaPrincipal.aspx?codigoCvm=10880&amp;idioma=pt-br" TargetMode="External"/><Relationship Id="rId409" Type="http://schemas.openxmlformats.org/officeDocument/2006/relationships/hyperlink" Target="http://www.bmfbovespa.com.br/cias-listadas/empresas-listadas/ResumoEmpresaPrincipal.aspx?codigoCvm=19771&amp;idioma=pt-br" TargetMode="External"/><Relationship Id="rId71" Type="http://schemas.openxmlformats.org/officeDocument/2006/relationships/hyperlink" Target="http://www.bmfbovespa.com.br/cias-listadas/empresas-listadas/ResumoEmpresaPrincipal.aspx?codigoCvm=2909&amp;idioma=pt-br" TargetMode="External"/><Relationship Id="rId92" Type="http://schemas.openxmlformats.org/officeDocument/2006/relationships/hyperlink" Target="http://www.bmfbovespa.com.br/cias-listadas/empresas-listadas/ResumoEmpresaPrincipal.aspx?codigoCvm=21121&amp;idioma=pt-br" TargetMode="External"/><Relationship Id="rId213" Type="http://schemas.openxmlformats.org/officeDocument/2006/relationships/hyperlink" Target="http://www.bmfbovespa.com.br/cias-listadas/empresas-listadas/ResumoEmpresaPrincipal.aspx?codigoCvm=2429&amp;idioma=pt-br" TargetMode="External"/><Relationship Id="rId234" Type="http://schemas.openxmlformats.org/officeDocument/2006/relationships/hyperlink" Target="http://www.bmfbovespa.com.br/cias-listadas/empresas-listadas/ResumoEmpresaPrincipal.aspx?codigoCvm=15458&amp;idioma=pt-br" TargetMode="External"/><Relationship Id="rId420" Type="http://schemas.openxmlformats.org/officeDocument/2006/relationships/hyperlink" Target="http://www.bmfbovespa.com.br/cias-listadas/empresas-listadas/ResumoEmpresaPrincipal.aspx?codigoCvm=19569&amp;idioma=pt-br" TargetMode="External"/><Relationship Id="rId2" Type="http://schemas.openxmlformats.org/officeDocument/2006/relationships/hyperlink" Target="http://www.bmfbovespa.com.br/Cias-Listadas/Empresas-Listadas/ResumoEmpresaPrincipal.aspx?codigoCvm=19313&amp;idioma=pt-BR" TargetMode="External"/><Relationship Id="rId29" Type="http://schemas.openxmlformats.org/officeDocument/2006/relationships/hyperlink" Target="http://www.bmfbovespa.com.br/Cias-Listadas/Empresas-Listadas/ResumoEmpresaPrincipal.aspx?codigoCvm=1023&amp;idioma=pt-BR" TargetMode="External"/><Relationship Id="rId255" Type="http://schemas.openxmlformats.org/officeDocument/2006/relationships/hyperlink" Target="http://www.bmfbovespa.com.br/cias-listadas/empresas-listadas/ResumoEmpresaPrincipal.aspx?codigoCvm=12190&amp;idioma=pt-br" TargetMode="External"/><Relationship Id="rId276" Type="http://schemas.openxmlformats.org/officeDocument/2006/relationships/hyperlink" Target="http://www.bmfbovespa.com.br/cias-listadas/empresas-listadas/ResumoEmpresaPrincipal.aspx?codigoCvm=20788&amp;idioma=pt-br" TargetMode="External"/><Relationship Id="rId297" Type="http://schemas.openxmlformats.org/officeDocument/2006/relationships/hyperlink" Target="http://www.bmfbovespa.com.br/cias-listadas/empresas-listadas/ResumoEmpresaPrincipal.aspx?codigoCvm=1970&amp;idioma=pt-br" TargetMode="External"/><Relationship Id="rId441" Type="http://schemas.openxmlformats.org/officeDocument/2006/relationships/hyperlink" Target="http://www.bmfbovespa.com.br/cias-listadas/empresas-listadas/ResumoEmpresaPrincipal.aspx?codigoCvm=13366&amp;idioma=pt-br" TargetMode="External"/><Relationship Id="rId462" Type="http://schemas.openxmlformats.org/officeDocument/2006/relationships/hyperlink" Target="http://www.bmfbovespa.com.br/Cias-Listadas/Empresas-Listadas/ResumoEmpresaPrincipal.aspx?codigoCvm=6211&amp;idioma=pt-BR" TargetMode="External"/><Relationship Id="rId483" Type="http://schemas.openxmlformats.org/officeDocument/2006/relationships/hyperlink" Target="http://www.bmfbovespa.com.br/Cias-Listadas/Empresas-Listadas/ResumoEmpresaPrincipal.aspx?codigoCvm=14524&amp;idioma=pt-BR" TargetMode="External"/><Relationship Id="rId40" Type="http://schemas.openxmlformats.org/officeDocument/2006/relationships/hyperlink" Target="http://www.bmfbovespa.com.br/Cias-Listadas/Empresas-Listadas/ResumoEmpresaPrincipal.aspx?codigoCvm=17647&amp;idioma=pt-BR" TargetMode="External"/><Relationship Id="rId115" Type="http://schemas.openxmlformats.org/officeDocument/2006/relationships/hyperlink" Target="http://www.bmfbovespa.com.br/cias-listadas/empresas-listadas/ResumoEmpresaPrincipal.aspx?codigoCvm=2461&amp;idioma=pt-br" TargetMode="External"/><Relationship Id="rId136" Type="http://schemas.openxmlformats.org/officeDocument/2006/relationships/hyperlink" Target="http://www.bmfbovespa.com.br/cias-listadas/empresas-listadas/ResumoEmpresaPrincipal.aspx?codigoCvm=18627&amp;idioma=pt-br" TargetMode="External"/><Relationship Id="rId157" Type="http://schemas.openxmlformats.org/officeDocument/2006/relationships/hyperlink" Target="http://www.bmfbovespa.com.br/cias-listadas/empresas-listadas/ResumoEmpresaPrincipal.aspx?codigoCvm=20680&amp;idioma=pt-br" TargetMode="External"/><Relationship Id="rId178" Type="http://schemas.openxmlformats.org/officeDocument/2006/relationships/hyperlink" Target="http://www.bmfbovespa.com.br/cias-listadas/empresas-listadas/ResumoEmpresaPrincipal.aspx?codigoCvm=9989&amp;idioma=pt-br" TargetMode="External"/><Relationship Id="rId301" Type="http://schemas.openxmlformats.org/officeDocument/2006/relationships/hyperlink" Target="http://www.bmfbovespa.com.br/cias-listadas/empresas-listadas/ResumoEmpresaPrincipal.aspx?codigoCvm=6505&amp;idioma=pt-br" TargetMode="External"/><Relationship Id="rId322" Type="http://schemas.openxmlformats.org/officeDocument/2006/relationships/hyperlink" Target="http://www.bmfbovespa.com.br/cias-listadas/empresas-listadas/ResumoEmpresaPrincipal.aspx?codigoCvm=16497&amp;idioma=pt-br" TargetMode="External"/><Relationship Id="rId343" Type="http://schemas.openxmlformats.org/officeDocument/2006/relationships/hyperlink" Target="http://www.bmfbovespa.com.br/cias-listadas/empresas-listadas/ResumoEmpresaPrincipal.aspx?codigoCvm=14621&amp;idioma=pt-br" TargetMode="External"/><Relationship Id="rId364" Type="http://schemas.openxmlformats.org/officeDocument/2006/relationships/hyperlink" Target="http://www.bmfbovespa.com.br/cias-listadas/empresas-listadas/ResumoEmpresaPrincipal.aspx?codigoCvm=20265&amp;idioma=pt-br" TargetMode="External"/><Relationship Id="rId61" Type="http://schemas.openxmlformats.org/officeDocument/2006/relationships/hyperlink" Target="http://www.bmfbovespa.com.br/cias-listadas/empresas-listadas/ResumoEmpresaPrincipal.aspx?codigoCvm=22691&amp;idioma=pt-br" TargetMode="External"/><Relationship Id="rId82" Type="http://schemas.openxmlformats.org/officeDocument/2006/relationships/hyperlink" Target="http://www.bmfbovespa.com.br/Cias-Listadas/Empresas-Listadas/ResumoEmpresaPrincipal.aspx?codigoCvm=14443&amp;idioma=pt-BR" TargetMode="External"/><Relationship Id="rId199" Type="http://schemas.openxmlformats.org/officeDocument/2006/relationships/hyperlink" Target="http://www.bmfbovespa.com.br/cias-listadas/empresas-listadas/ResumoEmpresaPrincipal.aspx?codigoCvm=11398&amp;idioma=pt-br" TargetMode="External"/><Relationship Id="rId203" Type="http://schemas.openxmlformats.org/officeDocument/2006/relationships/hyperlink" Target="http://www.bmfbovespa.com.br/cias-listadas/empresas-listadas/ResumoEmpresaPrincipal.aspx?codigoCvm=16632&amp;idioma=pt-br" TargetMode="External"/><Relationship Id="rId385" Type="http://schemas.openxmlformats.org/officeDocument/2006/relationships/hyperlink" Target="http://www.bmfbovespa.com.br/cias-listadas/empresas-listadas/ResumoEmpresaPrincipal.aspx?codigoCvm=11975&amp;idioma=pt-br" TargetMode="External"/><Relationship Id="rId19" Type="http://schemas.openxmlformats.org/officeDocument/2006/relationships/hyperlink" Target="http://www.bmfbovespa.com.br/Cias-Listadas/Empresas-Listadas/ResumoEmpresaPrincipal.aspx?codigoCvm=4707&amp;idioma=pt-br" TargetMode="External"/><Relationship Id="rId224" Type="http://schemas.openxmlformats.org/officeDocument/2006/relationships/hyperlink" Target="http://www.bmfbovespa.com.br/cias-listadas/empresas-listadas/ResumoEmpresaPrincipal.aspx?codigoCvm=5770&amp;idioma=pt-br" TargetMode="External"/><Relationship Id="rId245" Type="http://schemas.openxmlformats.org/officeDocument/2006/relationships/hyperlink" Target="http://www.bmfbovespa.com.br/cias-listadas/empresas-listadas/ResumoEmpresaPrincipal.aspx?codigoCvm=20982&amp;idioma=pt-br" TargetMode="External"/><Relationship Id="rId266" Type="http://schemas.openxmlformats.org/officeDocument/2006/relationships/hyperlink" Target="http://www.bmfbovespa.com.br/cias-listadas/empresas-listadas/ResumoEmpresaPrincipal.aspx?codigoCvm=14826&amp;idioma=pt-br" TargetMode="External"/><Relationship Id="rId287" Type="http://schemas.openxmlformats.org/officeDocument/2006/relationships/hyperlink" Target="http://www.bmfbovespa.com.br/cias-listadas/empresas-listadas/ResumoEmpresaPrincipal.aspx?codigoCvm=20745&amp;idioma=pt-br" TargetMode="External"/><Relationship Id="rId410" Type="http://schemas.openxmlformats.org/officeDocument/2006/relationships/hyperlink" Target="http://www.bmfbovespa.com.br/cias-listadas/empresas-listadas/ResumoEmpresaPrincipal.aspx?codigoCvm=18821&amp;idioma=pt-br" TargetMode="External"/><Relationship Id="rId431" Type="http://schemas.openxmlformats.org/officeDocument/2006/relationships/hyperlink" Target="http://www.bmfbovespa.com.br/cias-listadas/empresas-listadas/ResumoEmpresaPrincipal.aspx?codigoCvm=20613&amp;idioma=pt-br" TargetMode="External"/><Relationship Id="rId452" Type="http://schemas.openxmlformats.org/officeDocument/2006/relationships/hyperlink" Target="http://www.bmfbovespa.com.br/cias-listadas/empresas-listadas/ResumoEmpresaPrincipal.aspx?codigoCvm=14664&amp;idioma=pt-br" TargetMode="External"/><Relationship Id="rId473" Type="http://schemas.openxmlformats.org/officeDocument/2006/relationships/hyperlink" Target="http://www.bmfbovespa.com.br/cias-listadas/empresas-listadas/ResumoEmpresaPrincipal.aspx?codigoCvm=6343&amp;idioma=pt-br" TargetMode="External"/><Relationship Id="rId30" Type="http://schemas.openxmlformats.org/officeDocument/2006/relationships/hyperlink" Target="http://www.bmfbovespa.com.br/cias-listadas/empresas-listadas/ResumoEmpresaPrincipal.aspx?codigoCvm=14915&amp;idioma=pt-br" TargetMode="External"/><Relationship Id="rId105" Type="http://schemas.openxmlformats.org/officeDocument/2006/relationships/hyperlink" Target="http://www.bmfbovespa.com.br/Cias-Listadas/Empresas-Listadas/ResumoEmpresaPrincipal.aspx?codigoCvm=1120&amp;idioma=pt-BR" TargetMode="External"/><Relationship Id="rId126" Type="http://schemas.openxmlformats.org/officeDocument/2006/relationships/hyperlink" Target="http://www.bmfbovespa.com.br/cias-listadas/empresas-listadas/ResumoEmpresaPrincipal.aspx?codigoCvm=20010&amp;idioma=pt-br" TargetMode="External"/><Relationship Id="rId147" Type="http://schemas.openxmlformats.org/officeDocument/2006/relationships/hyperlink" Target="http://www.bmfbovespa.com.br/cias-listadas/empresas-listadas/ResumoEmpresaPrincipal.aspx?codigoCvm=20796&amp;idioma=pt-br" TargetMode="External"/><Relationship Id="rId168" Type="http://schemas.openxmlformats.org/officeDocument/2006/relationships/hyperlink" Target="http://www.bmfbovespa.com.br/cias-listadas/empresas-listadas/ResumoEmpresaPrincipal.aspx?codigoCvm=11258&amp;idioma=pt-br" TargetMode="External"/><Relationship Id="rId312" Type="http://schemas.openxmlformats.org/officeDocument/2006/relationships/hyperlink" Target="http://www.bmfbovespa.com.br/cias-listadas/empresas-listadas/ResumoEmpresaPrincipal.aspx?codigoCvm=9040&amp;idioma=pt-br" TargetMode="External"/><Relationship Id="rId333" Type="http://schemas.openxmlformats.org/officeDocument/2006/relationships/hyperlink" Target="http://www.bmfbovespa.com.br/cias-listadas/empresas-listadas/ResumoEmpresaPrincipal.aspx?codigoCvm=11215&amp;idioma=pt-br" TargetMode="External"/><Relationship Id="rId354" Type="http://schemas.openxmlformats.org/officeDocument/2006/relationships/hyperlink" Target="http://www.bmfbovespa.com.br/cias-listadas/empresas-listadas/ResumoEmpresaPrincipal.aspx?codigoCvm=4537&amp;idioma=pt-br" TargetMode="External"/><Relationship Id="rId51" Type="http://schemas.openxmlformats.org/officeDocument/2006/relationships/hyperlink" Target="http://www.bmfbovespa.com.br/cias-listadas/empresas-listadas/ResumoEmpresaPrincipal.aspx?codigoCvm=19925&amp;idioma=pt-br" TargetMode="External"/><Relationship Id="rId72" Type="http://schemas.openxmlformats.org/officeDocument/2006/relationships/hyperlink" Target="http://www.bmfbovespa.com.br/cias-listadas/empresas-listadas/ResumoEmpresaPrincipal.aspx?codigoCvm=2909&amp;idioma=pt-br" TargetMode="External"/><Relationship Id="rId93" Type="http://schemas.openxmlformats.org/officeDocument/2006/relationships/hyperlink" Target="http://www.bmfbovespa.com.br/cias-listadas/empresas-listadas/ResumoEmpresaPrincipal.aspx?codigoCvm=22365&amp;idioma=pt-br" TargetMode="External"/><Relationship Id="rId189" Type="http://schemas.openxmlformats.org/officeDocument/2006/relationships/hyperlink" Target="http://www.bmfbovespa.com.br/cias-listadas/empresas-listadas/ResumoEmpresaPrincipal.aspx?codigoCvm=8656&amp;idioma=pt-br" TargetMode="External"/><Relationship Id="rId375" Type="http://schemas.openxmlformats.org/officeDocument/2006/relationships/hyperlink" Target="http://www.bmfbovespa.com.br/cias-listadas/empresas-listadas/ResumoEmpresaPrincipal.aspx?codigoCvm=7811&amp;idioma=pt-br" TargetMode="External"/><Relationship Id="rId396" Type="http://schemas.openxmlformats.org/officeDocument/2006/relationships/hyperlink" Target="http://www.bmfbovespa.com.br/cias-listadas/empresas-listadas/ResumoEmpresaPrincipal.aspx?codigoCvm=10880&amp;idioma=pt-br" TargetMode="External"/><Relationship Id="rId3" Type="http://schemas.openxmlformats.org/officeDocument/2006/relationships/hyperlink" Target="http://www.bmfbovespa.com.br/Cias-Listadas/Empresas-Listadas/ResumoEmpresaPrincipal.aspx?codigoCvm=20567&amp;idioma=pt-br" TargetMode="External"/><Relationship Id="rId214" Type="http://schemas.openxmlformats.org/officeDocument/2006/relationships/hyperlink" Target="http://www.bmfbovespa.com.br/cias-listadas/empresas-listadas/ResumoEmpresaPrincipal.aspx?codigoCvm=2429&amp;idioma=pt-br" TargetMode="External"/><Relationship Id="rId235" Type="http://schemas.openxmlformats.org/officeDocument/2006/relationships/hyperlink" Target="http://www.bmfbovespa.com.br/cias-listadas/empresas-listadas/ResumoEmpresaPrincipal.aspx?codigoCvm=3298&amp;idioma=pt-br" TargetMode="External"/><Relationship Id="rId256" Type="http://schemas.openxmlformats.org/officeDocument/2006/relationships/hyperlink" Target="http://www.bmfbovespa.com.br/cias-listadas/empresas-listadas/ResumoEmpresaPrincipal.aspx?codigoCvm=4057&amp;idioma=pt-br" TargetMode="External"/><Relationship Id="rId277" Type="http://schemas.openxmlformats.org/officeDocument/2006/relationships/hyperlink" Target="http://www.bmfbovespa.com.br/cias-listadas/empresas-listadas/ResumoEmpresaPrincipal.aspx?codigoCvm=3336&amp;idioma=pt-br" TargetMode="External"/><Relationship Id="rId298" Type="http://schemas.openxmlformats.org/officeDocument/2006/relationships/hyperlink" Target="http://www.bmfbovespa.com.br/cias-listadas/empresas-listadas/ResumoEmpresaPrincipal.aspx?codigoCvm=1970&amp;idioma=pt-br" TargetMode="External"/><Relationship Id="rId400" Type="http://schemas.openxmlformats.org/officeDocument/2006/relationships/hyperlink" Target="http://www.bmfbovespa.com.br/cias-listadas/empresas-listadas/ResumoEmpresaPrincipal.aspx?codigoCvm=20370&amp;idioma=pt-br" TargetMode="External"/><Relationship Id="rId421" Type="http://schemas.openxmlformats.org/officeDocument/2006/relationships/hyperlink" Target="http://www.bmfbovespa.com.br/cias-listadas/empresas-listadas/ResumoEmpresaPrincipal.aspx?codigoCvm=17450&amp;idioma=pt-br" TargetMode="External"/><Relationship Id="rId442" Type="http://schemas.openxmlformats.org/officeDocument/2006/relationships/hyperlink" Target="http://www.bmfbovespa.com.br/cias-listadas/empresas-listadas/ResumoEmpresaPrincipal.aspx?codigoCvm=13366&amp;idioma=pt-br" TargetMode="External"/><Relationship Id="rId463" Type="http://schemas.openxmlformats.org/officeDocument/2006/relationships/hyperlink" Target="http://www.bmfbovespa.com.br/cias-listadas/empresas-listadas/ResumoEmpresaPrincipal.aspx?codigoCvm=8575&amp;idioma=pt-br" TargetMode="External"/><Relationship Id="rId484" Type="http://schemas.openxmlformats.org/officeDocument/2006/relationships/hyperlink" Target="http://www.bmfbovespa.com.br/Cias-Listadas/Empresas-Listadas/ResumoEmpresaPrincipal.aspx?codigoCvm=14524&amp;idioma=pt-BR" TargetMode="External"/><Relationship Id="rId116" Type="http://schemas.openxmlformats.org/officeDocument/2006/relationships/hyperlink" Target="http://www.bmfbovespa.com.br/cias-listadas/empresas-listadas/ResumoEmpresaPrincipal.aspx?codigoCvm=21393&amp;idioma=pt-br" TargetMode="External"/><Relationship Id="rId137" Type="http://schemas.openxmlformats.org/officeDocument/2006/relationships/hyperlink" Target="http://www.bmfbovespa.com.br/cias-listadas/empresas-listadas/ResumoEmpresaPrincipal.aspx?codigoCvm=15636&amp;idioma=pt-br" TargetMode="External"/><Relationship Id="rId158" Type="http://schemas.openxmlformats.org/officeDocument/2006/relationships/hyperlink" Target="http://www.bmfbovespa.com.br/cias-listadas/empresas-listadas/ResumoEmpresaPrincipal.aspx?codigoCvm=20680&amp;idioma=pt-br" TargetMode="External"/><Relationship Id="rId302" Type="http://schemas.openxmlformats.org/officeDocument/2006/relationships/hyperlink" Target="http://www.bmfbovespa.com.br/cias-listadas/empresas-listadas/ResumoEmpresaPrincipal.aspx?codigoCvm=6505&amp;idioma=pt-br" TargetMode="External"/><Relationship Id="rId323" Type="http://schemas.openxmlformats.org/officeDocument/2006/relationships/hyperlink" Target="http://www.bmfbovespa.com.br/cias-listadas/empresas-listadas/ResumoEmpresaPrincipal.aspx?codigoCvm=16497&amp;idioma=pt-br" TargetMode="External"/><Relationship Id="rId344" Type="http://schemas.openxmlformats.org/officeDocument/2006/relationships/hyperlink" Target="http://www.bmfbovespa.com.br/cias-listadas/empresas-listadas/ResumoEmpresaPrincipal.aspx?codigoCvm=22551&amp;idioma=pt-br" TargetMode="External"/><Relationship Id="rId20" Type="http://schemas.openxmlformats.org/officeDocument/2006/relationships/hyperlink" Target="http://www.bmfbovespa.com.br/Cias-Listadas/Empresas-Listadas/ResumoEmpresaPrincipal.aspx?codigoCvm=4707&amp;idioma=pt-br" TargetMode="External"/><Relationship Id="rId41" Type="http://schemas.openxmlformats.org/officeDocument/2006/relationships/hyperlink" Target="http://www.bmfbovespa.com.br/cias-listadas/empresas-listadas/ResumoEmpresaPrincipal.aspx?codigoCvm=21792&amp;idioma=pt-br" TargetMode="External"/><Relationship Id="rId62" Type="http://schemas.openxmlformats.org/officeDocument/2006/relationships/hyperlink" Target="http://www.bmfbovespa.com.br/cias-listadas/empresas-listadas/ResumoEmpresaPrincipal.aspx?codigoCvm=701&amp;idioma=pt-br" TargetMode="External"/><Relationship Id="rId83" Type="http://schemas.openxmlformats.org/officeDocument/2006/relationships/hyperlink" Target="http://www.bmfbovespa.com.br/cias-listadas/empresas-listadas/ResumoEmpresaPrincipal.aspx?codigoCvm=21717&amp;idioma=pt-br" TargetMode="External"/><Relationship Id="rId179" Type="http://schemas.openxmlformats.org/officeDocument/2006/relationships/hyperlink" Target="http://www.bmfbovespa.com.br/cias-listadas/empresas-listadas/ResumoEmpresaPrincipal.aspx?codigoCvm=21342&amp;idioma=pt-br" TargetMode="External"/><Relationship Id="rId365" Type="http://schemas.openxmlformats.org/officeDocument/2006/relationships/hyperlink" Target="http://www.bmfbovespa.com.br/cias-listadas/empresas-listadas/ResumoEmpresaPrincipal.aspx?codigoCvm=4723&amp;idioma=pt-br" TargetMode="External"/><Relationship Id="rId386" Type="http://schemas.openxmlformats.org/officeDocument/2006/relationships/hyperlink" Target="http://www.bmfbovespa.com.br/cias-listadas/empresas-listadas/ResumoEmpresaPrincipal.aspx?codigoCvm=11975&amp;idioma=pt-br" TargetMode="External"/><Relationship Id="rId190" Type="http://schemas.openxmlformats.org/officeDocument/2006/relationships/hyperlink" Target="http://www.bmfbovespa.com.br/cias-listadas/empresas-listadas/ResumoEmpresaPrincipal.aspx?codigoCvm=6017&amp;idioma=pt-br" TargetMode="External"/><Relationship Id="rId204" Type="http://schemas.openxmlformats.org/officeDocument/2006/relationships/hyperlink" Target="http://www.bmfbovespa.com.br/cias-listadas/empresas-listadas/ResumoEmpresaPrincipal.aspx?codigoCvm=14559&amp;idioma=pt-br" TargetMode="External"/><Relationship Id="rId225" Type="http://schemas.openxmlformats.org/officeDocument/2006/relationships/hyperlink" Target="http://www.bmfbovespa.com.br/cias-listadas/empresas-listadas/ResumoEmpresaPrincipal.aspx?codigoCvm=13412&amp;idioma=pt-br" TargetMode="External"/><Relationship Id="rId246" Type="http://schemas.openxmlformats.org/officeDocument/2006/relationships/hyperlink" Target="http://www.bmfbovespa.com.br/cias-listadas/empresas-listadas/ResumoEmpresaPrincipal.aspx?codigoCvm=19917&amp;idioma=pt-br" TargetMode="External"/><Relationship Id="rId267" Type="http://schemas.openxmlformats.org/officeDocument/2006/relationships/hyperlink" Target="http://www.bmfbovespa.com.br/cias-listadas/empresas-listadas/ResumoEmpresaPrincipal.aspx?codigoCvm=14826&amp;idioma=pt-br" TargetMode="External"/><Relationship Id="rId288" Type="http://schemas.openxmlformats.org/officeDocument/2006/relationships/hyperlink" Target="http://www.bmfbovespa.com.br/cias-listadas/empresas-listadas/ResumoEmpresaPrincipal.aspx?codigoCvm=23310&amp;idioma=pt-br" TargetMode="External"/><Relationship Id="rId411" Type="http://schemas.openxmlformats.org/officeDocument/2006/relationships/hyperlink" Target="http://www.bmfbovespa.com.br/cias-listadas/empresas-listadas/ResumoEmpresaPrincipal.aspx?codigoCvm=19330&amp;idioma=pt-br" TargetMode="External"/><Relationship Id="rId432" Type="http://schemas.openxmlformats.org/officeDocument/2006/relationships/hyperlink" Target="http://www.bmfbovespa.com.br/cias-listadas/empresas-listadas/ResumoEmpresaPrincipal.aspx?codigoCvm=6173&amp;idioma=pt-br" TargetMode="External"/><Relationship Id="rId453" Type="http://schemas.openxmlformats.org/officeDocument/2006/relationships/hyperlink" Target="http://www.bmfbovespa.com.br/cias-listadas/empresas-listadas/ResumoEmpresaPrincipal.aspx?codigoCvm=14664&amp;idioma=pt-br" TargetMode="External"/><Relationship Id="rId474" Type="http://schemas.openxmlformats.org/officeDocument/2006/relationships/hyperlink" Target="http://www.bmfbovespa.com.br/cias-listadas/empresas-listadas/ResumoEmpresaPrincipal.aspx?codigoCvm=11991&amp;idioma=pt-br" TargetMode="External"/><Relationship Id="rId106" Type="http://schemas.openxmlformats.org/officeDocument/2006/relationships/hyperlink" Target="http://www.bmfbovespa.com.br/Cias-Listadas/Empresas-Listadas/ResumoEmpresaPrincipal.aspx?codigoCvm=1120&amp;idioma=pt-BR" TargetMode="External"/><Relationship Id="rId127" Type="http://schemas.openxmlformats.org/officeDocument/2006/relationships/hyperlink" Target="http://www.bmfbovespa.com.br/cias-listadas/empresas-listadas/ResumoEmpresaPrincipal.aspx?codigoCvm=17329&amp;idioma=pt-br" TargetMode="External"/><Relationship Id="rId313" Type="http://schemas.openxmlformats.org/officeDocument/2006/relationships/hyperlink" Target="http://www.bmfbovespa.com.br/cias-listadas/empresas-listadas/ResumoEmpresaPrincipal.aspx?codigoCvm=6629&amp;idioma=pt-br" TargetMode="External"/><Relationship Id="rId10" Type="http://schemas.openxmlformats.org/officeDocument/2006/relationships/hyperlink" Target="http://www.bmfbovespa.com.br/cias-listadas/empresas-listadas/ResumoEmpresaPrincipal.aspx?codigoCvm=4820&amp;idioma=pt-br" TargetMode="External"/><Relationship Id="rId31" Type="http://schemas.openxmlformats.org/officeDocument/2006/relationships/hyperlink" Target="http://www.bmfbovespa.com.br/Cias-Listadas/Empresas-Listadas/ResumoEmpresaPrincipal.aspx?codigoCvm=14451&amp;idioma=pt-br" TargetMode="External"/><Relationship Id="rId52" Type="http://schemas.openxmlformats.org/officeDocument/2006/relationships/hyperlink" Target="http://www.bmfbovespa.com.br/cias-listadas/empresas-listadas/ResumoEmpresaPrincipal.aspx?codigoCvm=19909&amp;idioma=pt-br" TargetMode="External"/><Relationship Id="rId73" Type="http://schemas.openxmlformats.org/officeDocument/2006/relationships/hyperlink" Target="http://www.bmfbovespa.com.br/cias-listadas/empresas-listadas/ResumoEmpresaPrincipal.aspx?codigoCvm=19836&amp;idioma=pt-br" TargetMode="External"/><Relationship Id="rId94" Type="http://schemas.openxmlformats.org/officeDocument/2006/relationships/hyperlink" Target="http://www.bmfbovespa.com.br/cias-listadas/empresas-listadas/ResumoEmpresaPrincipal.aspx?codigoCvm=4170&amp;idioma=pt-br" TargetMode="External"/><Relationship Id="rId148" Type="http://schemas.openxmlformats.org/officeDocument/2006/relationships/hyperlink" Target="http://www.bmfbovespa.com.br/cias-listadas/empresas-listadas/ResumoEmpresaPrincipal.aspx?codigoCvm=20885&amp;idioma=pt-br" TargetMode="External"/><Relationship Id="rId169" Type="http://schemas.openxmlformats.org/officeDocument/2006/relationships/hyperlink" Target="http://www.bmfbovespa.com.br/cias-listadas/empresas-listadas/ResumoEmpresaPrincipal.aspx?codigoCvm=22799&amp;idioma=pt-br" TargetMode="External"/><Relationship Id="rId334" Type="http://schemas.openxmlformats.org/officeDocument/2006/relationships/hyperlink" Target="http://www.bmfbovespa.com.br/cias-listadas/empresas-listadas/ResumoEmpresaPrincipal.aspx?codigoCvm=10456&amp;idioma=pt-br" TargetMode="External"/><Relationship Id="rId355" Type="http://schemas.openxmlformats.org/officeDocument/2006/relationships/hyperlink" Target="http://www.bmfbovespa.com.br/cias-listadas/empresas-listadas/ResumoEmpresaPrincipal.aspx?codigoCvm=4669&amp;idioma=pt-br" TargetMode="External"/><Relationship Id="rId376" Type="http://schemas.openxmlformats.org/officeDocument/2006/relationships/hyperlink" Target="http://www.bmfbovespa.com.br/cias-listadas/empresas-listadas/ResumoEmpresaPrincipal.aspx?codigoCvm=20915&amp;idioma=pt-br" TargetMode="External"/><Relationship Id="rId397" Type="http://schemas.openxmlformats.org/officeDocument/2006/relationships/hyperlink" Target="http://www.bmfbovespa.com.br/cias-listadas/empresas-listadas/ResumoEmpresaPrincipal.aspx?codigoCvm=11207&amp;idioma=pt-br" TargetMode="External"/><Relationship Id="rId4" Type="http://schemas.openxmlformats.org/officeDocument/2006/relationships/hyperlink" Target="http://www.bmfbovespa.com.br/Cias-Listadas/Empresas-Listadas/ResumoEmpresaPrincipal.aspx?codigoCvm=1309&amp;idioma=pt-BR" TargetMode="External"/><Relationship Id="rId180" Type="http://schemas.openxmlformats.org/officeDocument/2006/relationships/hyperlink" Target="http://www.bmfbovespa.com.br/cias-listadas/empresas-listadas/ResumoEmpresaPrincipal.aspx?codigoCvm=3069&amp;idioma=pt-br" TargetMode="External"/><Relationship Id="rId215" Type="http://schemas.openxmlformats.org/officeDocument/2006/relationships/hyperlink" Target="http://www.bmfbovespa.com.br/cias-listadas/empresas-listadas/ResumoEmpresaPrincipal.aspx?codigoCvm=3654&amp;idioma=pt-br" TargetMode="External"/><Relationship Id="rId236" Type="http://schemas.openxmlformats.org/officeDocument/2006/relationships/hyperlink" Target="http://www.bmfbovespa.com.br/cias-listadas/empresas-listadas/ResumoEmpresaPrincipal.aspx?codigoCvm=3298&amp;idioma=pt-br" TargetMode="External"/><Relationship Id="rId257" Type="http://schemas.openxmlformats.org/officeDocument/2006/relationships/hyperlink" Target="http://www.bmfbovespa.com.br/cias-listadas/empresas-listadas/ResumoEmpresaPrincipal.aspx?codigoCvm=8087&amp;idioma=pt-br" TargetMode="External"/><Relationship Id="rId278" Type="http://schemas.openxmlformats.org/officeDocument/2006/relationships/hyperlink" Target="http://www.bmfbovespa.com.br/cias-listadas/empresas-listadas/ResumoEmpresaPrincipal.aspx?codigoCvm=3336&amp;idioma=pt-br" TargetMode="External"/><Relationship Id="rId401" Type="http://schemas.openxmlformats.org/officeDocument/2006/relationships/hyperlink" Target="http://www.bmfbovespa.com.br/cias-listadas/empresas-listadas/ResumoEmpresaPrincipal.aspx?codigoCvm=19100&amp;idioma=pt-br" TargetMode="External"/><Relationship Id="rId422" Type="http://schemas.openxmlformats.org/officeDocument/2006/relationships/hyperlink" Target="http://www.bmfbovespa.com.br/cias-listadas/empresas-listadas/ResumoEmpresaPrincipal.aspx?codigoCvm=15369&amp;idioma=pt-br" TargetMode="External"/><Relationship Id="rId443" Type="http://schemas.openxmlformats.org/officeDocument/2006/relationships/hyperlink" Target="http://www.bmfbovespa.com.br/cias-listadas/empresas-listadas/ResumoEmpresaPrincipal.aspx?codigoCvm=2488&amp;idioma=pt-br" TargetMode="External"/><Relationship Id="rId464" Type="http://schemas.openxmlformats.org/officeDocument/2006/relationships/hyperlink" Target="http://www.bmfbovespa.com.br/cias-listadas/empresas-listadas/ResumoEmpresaPrincipal.aspx?codigoCvm=8451&amp;idioma=pt-br" TargetMode="External"/><Relationship Id="rId303" Type="http://schemas.openxmlformats.org/officeDocument/2006/relationships/hyperlink" Target="http://www.bmfbovespa.com.br/cias-listadas/empresas-listadas/ResumoEmpresaPrincipal.aspx?codigoCvm=6815&amp;idioma=pt-br" TargetMode="External"/><Relationship Id="rId485" Type="http://schemas.openxmlformats.org/officeDocument/2006/relationships/hyperlink" Target="http://www.bmfbovespa.com.br/Cias-Listadas/Empresas-Listadas/ResumoEmpresaPrincipal.aspx?codigoCvm=14524&amp;idioma=pt-BR" TargetMode="External"/><Relationship Id="rId42" Type="http://schemas.openxmlformats.org/officeDocument/2006/relationships/hyperlink" Target="http://www.bmfbovespa.com.br/cias-listadas/empresas-listadas/ResumoEmpresaPrincipal.aspx?codigoCvm=21733&amp;idioma=pt-br" TargetMode="External"/><Relationship Id="rId84" Type="http://schemas.openxmlformats.org/officeDocument/2006/relationships/hyperlink" Target="http://www.bmfbovespa.com.br/cias-listadas/empresas-listadas/ResumoEmpresaPrincipal.aspx?codigoCvm=13781&amp;idioma=pt-br" TargetMode="External"/><Relationship Id="rId138" Type="http://schemas.openxmlformats.org/officeDocument/2006/relationships/hyperlink" Target="http://www.bmfbovespa.com.br/cias-listadas/empresas-listadas/ResumoEmpresaPrincipal.aspx?codigoCvm=15636&amp;idioma=pt-br" TargetMode="External"/><Relationship Id="rId345" Type="http://schemas.openxmlformats.org/officeDocument/2006/relationships/hyperlink" Target="http://www.bmfbovespa.com.br/cias-listadas/empresas-listadas/ResumoEmpresaPrincipal.aspx?codigoCvm=22551&amp;idioma=pt-br" TargetMode="External"/><Relationship Id="rId387" Type="http://schemas.openxmlformats.org/officeDocument/2006/relationships/hyperlink" Target="http://www.bmfbovespa.com.br/cias-listadas/empresas-listadas/ResumoEmpresaPrincipal.aspx?codigoCvm=4774&amp;idioma=pt-br" TargetMode="External"/><Relationship Id="rId191" Type="http://schemas.openxmlformats.org/officeDocument/2006/relationships/hyperlink" Target="http://www.bmfbovespa.com.br/cias-listadas/empresas-listadas/ResumoEmpresaPrincipal.aspx?codigoCvm=6017&amp;idioma=pt-br" TargetMode="External"/><Relationship Id="rId205" Type="http://schemas.openxmlformats.org/officeDocument/2006/relationships/hyperlink" Target="http://www.bmfbovespa.com.br/cias-listadas/empresas-listadas/ResumoEmpresaPrincipal.aspx?codigoCvm=20621&amp;idioma=pt-br" TargetMode="External"/><Relationship Id="rId247" Type="http://schemas.openxmlformats.org/officeDocument/2006/relationships/hyperlink" Target="http://www.bmfbovespa.com.br/cias-listadas/empresas-listadas/ResumoEmpresaPrincipal.aspx?codigoCvm=19623&amp;idioma=pt-br" TargetMode="External"/><Relationship Id="rId412" Type="http://schemas.openxmlformats.org/officeDocument/2006/relationships/hyperlink" Target="http://www.bmfbovespa.com.br/cias-listadas/empresas-listadas/ResumoEmpresaPrincipal.aspx?codigoCvm=19453&amp;idioma=pt-br" TargetMode="External"/><Relationship Id="rId107" Type="http://schemas.openxmlformats.org/officeDocument/2006/relationships/hyperlink" Target="http://www.bmfbovespa.com.br/Cias-Listadas/Empresas-Listadas/ResumoEmpresaPrincipal.aspx?codigoCvm=21113&amp;idioma=pt-BR" TargetMode="External"/><Relationship Id="rId289" Type="http://schemas.openxmlformats.org/officeDocument/2006/relationships/hyperlink" Target="http://www.bmfbovespa.com.br/cias-listadas/empresas-listadas/ResumoEmpresaPrincipal.aspx?codigoCvm=9415&amp;idioma=pt-br" TargetMode="External"/><Relationship Id="rId454" Type="http://schemas.openxmlformats.org/officeDocument/2006/relationships/hyperlink" Target="http://www.bmfbovespa.com.br/cias-listadas/empresas-listadas/ResumoEmpresaPrincipal.aspx?codigoCvm=5410&amp;idioma=pt-br" TargetMode="External"/><Relationship Id="rId11" Type="http://schemas.openxmlformats.org/officeDocument/2006/relationships/hyperlink" Target="http://www.bmfbovespa.com.br/Cias-Listadas/Empresas-Listadas/ResumoEmpresaPrincipal.aspx?codigoCvm=1384&amp;idioma=pt-br" TargetMode="External"/><Relationship Id="rId53" Type="http://schemas.openxmlformats.org/officeDocument/2006/relationships/hyperlink" Target="http://www.bmfbovespa.com.br/cias-listadas/empresas-listadas/ResumoEmpresaPrincipal.aspx?codigoCvm=94&amp;idioma=pt-br" TargetMode="External"/><Relationship Id="rId149" Type="http://schemas.openxmlformats.org/officeDocument/2006/relationships/hyperlink" Target="http://www.bmfbovespa.com.br/cias-listadas/empresas-listadas/ResumoEmpresaPrincipal.aspx?codigoCvm=20885&amp;idioma=pt-br" TargetMode="External"/><Relationship Id="rId314" Type="http://schemas.openxmlformats.org/officeDocument/2006/relationships/hyperlink" Target="http://www.bmfbovespa.com.br/cias-listadas/empresas-listadas/ResumoEmpresaPrincipal.aspx?codigoCvm=6629&amp;idioma=pt-br" TargetMode="External"/><Relationship Id="rId356" Type="http://schemas.openxmlformats.org/officeDocument/2006/relationships/hyperlink" Target="http://www.bmfbovespa.com.br/cias-listadas/empresas-listadas/ResumoEmpresaPrincipal.aspx?codigoCvm=4669&amp;idioma=pt-br" TargetMode="External"/><Relationship Id="rId398" Type="http://schemas.openxmlformats.org/officeDocument/2006/relationships/hyperlink" Target="http://www.bmfbovespa.com.br/cias-listadas/empresas-listadas/ResumoEmpresaPrincipal.aspx?codigoCvm=11207&amp;idioma=pt-br" TargetMode="External"/><Relationship Id="rId95" Type="http://schemas.openxmlformats.org/officeDocument/2006/relationships/hyperlink" Target="http://www.bmfbovespa.com.br/cias-listadas/empresas-listadas/ResumoEmpresaPrincipal.aspx?codigoCvm=17671&amp;idioma=pt-br" TargetMode="External"/><Relationship Id="rId160" Type="http://schemas.openxmlformats.org/officeDocument/2006/relationships/hyperlink" Target="http://www.bmfbovespa.com.br/cias-listadas/empresas-listadas/ResumoEmpresaPrincipal.aspx?codigoCvm=19348&amp;idioma=pt-br" TargetMode="External"/><Relationship Id="rId216" Type="http://schemas.openxmlformats.org/officeDocument/2006/relationships/hyperlink" Target="http://www.bmfbovespa.com.br/cias-listadas/empresas-listadas/ResumoEmpresaPrincipal.aspx?codigoCvm=3654&amp;idioma=pt-br" TargetMode="External"/><Relationship Id="rId423" Type="http://schemas.openxmlformats.org/officeDocument/2006/relationships/hyperlink" Target="http://www.bmfbovespa.com.br/cias-listadas/empresas-listadas/ResumoEmpresaPrincipal.aspx?codigoCvm=15369&amp;idioma=pt-br" TargetMode="External"/><Relationship Id="rId258" Type="http://schemas.openxmlformats.org/officeDocument/2006/relationships/hyperlink" Target="http://www.bmfbovespa.com.br/cias-listadas/empresas-listadas/ResumoEmpresaPrincipal.aspx?codigoCvm=8087&amp;idioma=pt-br" TargetMode="External"/><Relationship Id="rId465" Type="http://schemas.openxmlformats.org/officeDocument/2006/relationships/hyperlink" Target="http://www.bmfbovespa.com.br/cias-listadas/empresas-listadas/ResumoEmpresaPrincipal.aspx?codigoCvm=8451&amp;idioma=pt-br" TargetMode="External"/><Relationship Id="rId22" Type="http://schemas.openxmlformats.org/officeDocument/2006/relationships/hyperlink" Target="http://www.bmfbovespa.com.br/Cias-Listadas/Empresas-Listadas/ResumoEmpresaPrincipal.aspx?codigoCvm=14311&amp;idioma=pt-BR" TargetMode="External"/><Relationship Id="rId64" Type="http://schemas.openxmlformats.org/officeDocument/2006/relationships/hyperlink" Target="http://www.bmfbovespa.com.br/cias-listadas/empresas-listadas/ResumoEmpresaPrincipal.aspx?codigoCvm=3298&amp;idioma=pt-br" TargetMode="External"/><Relationship Id="rId118" Type="http://schemas.openxmlformats.org/officeDocument/2006/relationships/hyperlink" Target="http://www.bmfbovespa.com.br/cias-listadas/empresas-listadas/ResumoEmpresaPrincipal.aspx?codigoCvm=14362&amp;idioma=pt-br" TargetMode="External"/><Relationship Id="rId325" Type="http://schemas.openxmlformats.org/officeDocument/2006/relationships/hyperlink" Target="http://www.bmfbovespa.com.br/cias-listadas/empresas-listadas/ResumoEmpresaPrincipal.aspx?codigoCvm=4146&amp;idioma=pt-br" TargetMode="External"/><Relationship Id="rId367" Type="http://schemas.openxmlformats.org/officeDocument/2006/relationships/hyperlink" Target="http://www.bmfbovespa.com.br/cias-listadas/empresas-listadas/ResumoEmpresaPrincipal.aspx?codigoCvm=20630&amp;idioma=pt-br" TargetMode="External"/><Relationship Id="rId171" Type="http://schemas.openxmlformats.org/officeDocument/2006/relationships/hyperlink" Target="http://www.bmfbovespa.com.br/cias-listadas/empresas-listadas/ResumoEmpresaPrincipal.aspx?codigoCvm=20656&amp;idioma=pt-br" TargetMode="External"/><Relationship Id="rId227" Type="http://schemas.openxmlformats.org/officeDocument/2006/relationships/hyperlink" Target="http://www.bmfbovespa.com.br/cias-listadas/empresas-listadas/ResumoEmpresaPrincipal.aspx?codigoCvm=8605&amp;idioma=pt-br" TargetMode="External"/><Relationship Id="rId269" Type="http://schemas.openxmlformats.org/officeDocument/2006/relationships/hyperlink" Target="http://www.bmfbovespa.com.br/cias-listadas/empresas-listadas/ResumoEmpresaPrincipal.aspx?codigoCvm=22772&amp;idioma=pt-br" TargetMode="External"/><Relationship Id="rId434" Type="http://schemas.openxmlformats.org/officeDocument/2006/relationships/hyperlink" Target="http://www.bmfbovespa.com.br/cias-listadas/empresas-listadas/ResumoEmpresaPrincipal.aspx?codigoCvm=5380&amp;idioma=pt-br" TargetMode="External"/><Relationship Id="rId476" Type="http://schemas.openxmlformats.org/officeDocument/2006/relationships/hyperlink" Target="http://www.bmfbovespa.com.br/Cias-Listadas/Empresas-Listadas/ResumoEmpresaPrincipal.aspx?codigoCvm=18350&amp;idioma=pt-BR" TargetMode="External"/><Relationship Id="rId33" Type="http://schemas.openxmlformats.org/officeDocument/2006/relationships/hyperlink" Target="http://www.bmfbovespa.com.br/Cias-Listadas/Empresas-Listadas/ResumoEmpresaPrincipal.aspx?codigoCvm=14451&amp;idioma=pt-br" TargetMode="External"/><Relationship Id="rId129" Type="http://schemas.openxmlformats.org/officeDocument/2006/relationships/hyperlink" Target="http://www.bmfbovespa.com.br/cias-listadas/empresas-listadas/ResumoEmpresaPrincipal.aspx?codigoCvm=20257&amp;idioma=pt-br" TargetMode="External"/><Relationship Id="rId280" Type="http://schemas.openxmlformats.org/officeDocument/2006/relationships/hyperlink" Target="http://www.bmfbovespa.com.br/cias-listadas/empresas-listadas/ResumoEmpresaPrincipal.aspx?codigoCvm=22136&amp;idioma=pt-br" TargetMode="External"/><Relationship Id="rId336" Type="http://schemas.openxmlformats.org/officeDocument/2006/relationships/hyperlink" Target="http://www.bmfbovespa.com.br/cias-listadas/empresas-listadas/ResumoEmpresaPrincipal.aspx?codigoCvm=2100&amp;idioma=pt-br" TargetMode="External"/><Relationship Id="rId75" Type="http://schemas.openxmlformats.org/officeDocument/2006/relationships/hyperlink" Target="http://www.bmfbovespa.com.br/cias-listadas/empresas-listadas/ResumoEmpresaPrincipal.aspx?codigoCvm=23159&amp;idioma=pt-br" TargetMode="External"/><Relationship Id="rId140" Type="http://schemas.openxmlformats.org/officeDocument/2006/relationships/hyperlink" Target="http://www.bmfbovespa.com.br/cias-listadas/empresas-listadas/ResumoEmpresaPrincipal.aspx?codigoCvm=15423&amp;idioma=pt-br" TargetMode="External"/><Relationship Id="rId182" Type="http://schemas.openxmlformats.org/officeDocument/2006/relationships/hyperlink" Target="http://www.bmfbovespa.com.br/cias-listadas/empresas-listadas/ResumoEmpresaPrincipal.aspx?codigoCvm=4030&amp;idioma=pt-br" TargetMode="External"/><Relationship Id="rId378" Type="http://schemas.openxmlformats.org/officeDocument/2006/relationships/hyperlink" Target="http://www.bmfbovespa.com.br/cias-listadas/empresas-listadas/ResumoEmpresaPrincipal.aspx?codigoCvm=20451&amp;idioma=pt-br" TargetMode="External"/><Relationship Id="rId403" Type="http://schemas.openxmlformats.org/officeDocument/2006/relationships/hyperlink" Target="http://www.bmfbovespa.com.br/cias-listadas/empresas-listadas/ResumoEmpresaPrincipal.aspx?codigoCvm=19100&amp;idioma=pt-br" TargetMode="External"/><Relationship Id="rId6" Type="http://schemas.openxmlformats.org/officeDocument/2006/relationships/hyperlink" Target="http://www.bmfbovespa.com.br/Cias-Listadas/Empresas-Listadas/ResumoEmpresaPrincipal.aspx?codigoCvm=1210&amp;idioma=pt-BR" TargetMode="External"/><Relationship Id="rId238" Type="http://schemas.openxmlformats.org/officeDocument/2006/relationships/hyperlink" Target="http://www.bmfbovespa.com.br/cias-listadas/empresas-listadas/ResumoEmpresaPrincipal.aspx?codigoCvm=3182&amp;idioma=pt-br" TargetMode="External"/><Relationship Id="rId445" Type="http://schemas.openxmlformats.org/officeDocument/2006/relationships/hyperlink" Target="http://www.bmfbovespa.com.br/cias-listadas/empresas-listadas/ResumoEmpresaPrincipal.aspx?codigoCvm=5762&amp;idioma=pt-br" TargetMode="External"/><Relationship Id="rId487" Type="http://schemas.openxmlformats.org/officeDocument/2006/relationships/hyperlink" Target="http://www.bmfbovespa.com.br/Cias-Listadas/Empresas-Listadas/ResumoEmpresaPrincipal.aspx?codigoCvm=20150&amp;idioma=pt-BR" TargetMode="External"/><Relationship Id="rId291" Type="http://schemas.openxmlformats.org/officeDocument/2006/relationships/hyperlink" Target="http://www.bmfbovespa.com.br/cias-listadas/empresas-listadas/ResumoEmpresaPrincipal.aspx?codigoCvm=9415&amp;idioma=pt-br" TargetMode="External"/><Relationship Id="rId305" Type="http://schemas.openxmlformats.org/officeDocument/2006/relationships/hyperlink" Target="http://www.bmfbovespa.com.br/cias-listadas/empresas-listadas/ResumoEmpresaPrincipal.aspx?codigoCvm=3077&amp;idioma=pt-br" TargetMode="External"/><Relationship Id="rId347" Type="http://schemas.openxmlformats.org/officeDocument/2006/relationships/hyperlink" Target="http://www.bmfbovespa.com.br/cias-listadas/empresas-listadas/ResumoEmpresaPrincipal.aspx?codigoCvm=10472&amp;idioma=pt-br" TargetMode="External"/><Relationship Id="rId44" Type="http://schemas.openxmlformats.org/officeDocument/2006/relationships/hyperlink" Target="http://www.bmfbovespa.com.br/cias-listadas/empresas-listadas/ResumoEmpresaPrincipal.aspx?codigoCvm=22217&amp;idioma=pt-br" TargetMode="External"/><Relationship Id="rId86" Type="http://schemas.openxmlformats.org/officeDocument/2006/relationships/hyperlink" Target="http://www.bmfbovespa.com.br/cias-listadas/empresas-listadas/ResumoEmpresaPrincipal.aspx?codigoCvm=11231&amp;idioma=pt-br" TargetMode="External"/><Relationship Id="rId151" Type="http://schemas.openxmlformats.org/officeDocument/2006/relationships/hyperlink" Target="http://www.bmfbovespa.com.br/cias-listadas/empresas-listadas/ResumoEmpresaPrincipal.aspx?codigoCvm=1325&amp;idioma=pt-br" TargetMode="External"/><Relationship Id="rId389" Type="http://schemas.openxmlformats.org/officeDocument/2006/relationships/hyperlink" Target="http://www.bmfbovespa.com.br/cias-listadas/empresas-listadas/ResumoEmpresaPrincipal.aspx?codigoCvm=13030&amp;idioma=pt-br" TargetMode="External"/><Relationship Id="rId193" Type="http://schemas.openxmlformats.org/officeDocument/2006/relationships/hyperlink" Target="http://www.bmfbovespa.com.br/cias-listadas/empresas-listadas/ResumoEmpresaPrincipal.aspx?codigoCvm=8397&amp;idioma=pt-br" TargetMode="External"/><Relationship Id="rId207" Type="http://schemas.openxmlformats.org/officeDocument/2006/relationships/hyperlink" Target="http://www.bmfbovespa.com.br/cias-listadas/empresas-listadas/ResumoEmpresaPrincipal.aspx?codigoCvm=20184&amp;idioma=pt-br" TargetMode="External"/><Relationship Id="rId249" Type="http://schemas.openxmlformats.org/officeDocument/2006/relationships/hyperlink" Target="http://www.bmfbovespa.com.br/cias-listadas/empresas-listadas/ResumoEmpresaPrincipal.aspx?codigoCvm=20125&amp;idioma=pt-br" TargetMode="External"/><Relationship Id="rId414" Type="http://schemas.openxmlformats.org/officeDocument/2006/relationships/hyperlink" Target="http://www.bmfbovespa.com.br/cias-listadas/empresas-listadas/ResumoEmpresaPrincipal.aspx?codigoCvm=3174&amp;idioma=pt-br" TargetMode="External"/><Relationship Id="rId456" Type="http://schemas.openxmlformats.org/officeDocument/2006/relationships/hyperlink" Target="http://www.bmfbovespa.com.br/cias-listadas/empresas-listadas/ResumoEmpresaPrincipal.aspx?codigoCvm=4448&amp;idioma=pt-br" TargetMode="External"/><Relationship Id="rId13" Type="http://schemas.openxmlformats.org/officeDocument/2006/relationships/hyperlink" Target="http://www.bmfbovespa.com.br/Cias-Listadas/Empresas-Listadas/ResumoEmpresaPrincipal.aspx?codigoCvm=14206&amp;idioma=pt-BR" TargetMode="External"/><Relationship Id="rId109" Type="http://schemas.openxmlformats.org/officeDocument/2006/relationships/hyperlink" Target="http://www.bmfbovespa.com.br/Cias-Listadas/Empresas-Listadas/ResumoEmpresaPrincipal.aspx?codigoCvm=15253&amp;idioma=pt-br" TargetMode="External"/><Relationship Id="rId260" Type="http://schemas.openxmlformats.org/officeDocument/2006/relationships/hyperlink" Target="http://www.bmfbovespa.com.br/cias-listadas/empresas-listadas/ResumoEmpresaPrincipal.aspx?codigoCvm=21431&amp;idioma=pt-br" TargetMode="External"/><Relationship Id="rId316" Type="http://schemas.openxmlformats.org/officeDocument/2006/relationships/hyperlink" Target="http://www.bmfbovespa.com.br/cias-listadas/empresas-listadas/ResumoEmpresaPrincipal.aspx?codigoCvm=3158&amp;idioma=pt-br" TargetMode="External"/><Relationship Id="rId55" Type="http://schemas.openxmlformats.org/officeDocument/2006/relationships/hyperlink" Target="http://www.bmfbovespa.com.br/cias-listadas/empresas-listadas/ResumoEmpresaPrincipal.aspx?codigoCvm=5770&amp;idioma=pt-br" TargetMode="External"/><Relationship Id="rId97" Type="http://schemas.openxmlformats.org/officeDocument/2006/relationships/hyperlink" Target="http://www.bmfbovespa.com.br/cias-listadas/empresas-listadas/ResumoEmpresaPrincipal.aspx?codigoCvm=11592&amp;idioma=pt-br" TargetMode="External"/><Relationship Id="rId120" Type="http://schemas.openxmlformats.org/officeDocument/2006/relationships/hyperlink" Target="http://www.bmfbovespa.com.br/cias-listadas/empresas-listadas/ResumoEmpresaPrincipal.aspx?codigoCvm=16608&amp;idioma=pt-br" TargetMode="External"/><Relationship Id="rId358" Type="http://schemas.openxmlformats.org/officeDocument/2006/relationships/hyperlink" Target="http://www.bmfbovespa.com.br/cias-listadas/empresas-listadas/ResumoEmpresaPrincipal.aspx?codigoCvm=8117&amp;idioma=pt-br" TargetMode="External"/></Relationships>
</file>

<file path=xl/worksheets/_rels/sheet2.xml.rels><?xml version="1.0" encoding="UTF-8" standalone="yes"?>
<Relationships xmlns="http://schemas.openxmlformats.org/package/2006/relationships"><Relationship Id="rId117" Type="http://schemas.openxmlformats.org/officeDocument/2006/relationships/queryTable" Target="../queryTables/queryTable114.xml"/><Relationship Id="rId21" Type="http://schemas.openxmlformats.org/officeDocument/2006/relationships/queryTable" Target="../queryTables/queryTable18.xml"/><Relationship Id="rId42" Type="http://schemas.openxmlformats.org/officeDocument/2006/relationships/queryTable" Target="../queryTables/queryTable39.xml"/><Relationship Id="rId63" Type="http://schemas.openxmlformats.org/officeDocument/2006/relationships/queryTable" Target="../queryTables/queryTable60.xml"/><Relationship Id="rId84" Type="http://schemas.openxmlformats.org/officeDocument/2006/relationships/queryTable" Target="../queryTables/queryTable81.xml"/><Relationship Id="rId138" Type="http://schemas.openxmlformats.org/officeDocument/2006/relationships/queryTable" Target="../queryTables/queryTable135.xml"/><Relationship Id="rId159" Type="http://schemas.openxmlformats.org/officeDocument/2006/relationships/queryTable" Target="../queryTables/queryTable156.xml"/><Relationship Id="rId170" Type="http://schemas.openxmlformats.org/officeDocument/2006/relationships/queryTable" Target="../queryTables/queryTable167.xml"/><Relationship Id="rId191" Type="http://schemas.openxmlformats.org/officeDocument/2006/relationships/queryTable" Target="../queryTables/queryTable188.xml"/><Relationship Id="rId205" Type="http://schemas.openxmlformats.org/officeDocument/2006/relationships/queryTable" Target="../queryTables/queryTable202.xml"/><Relationship Id="rId226" Type="http://schemas.openxmlformats.org/officeDocument/2006/relationships/queryTable" Target="../queryTables/queryTable223.xml"/><Relationship Id="rId247" Type="http://schemas.openxmlformats.org/officeDocument/2006/relationships/queryTable" Target="../queryTables/queryTable244.xml"/><Relationship Id="rId107" Type="http://schemas.openxmlformats.org/officeDocument/2006/relationships/queryTable" Target="../queryTables/queryTable104.xml"/><Relationship Id="rId11" Type="http://schemas.openxmlformats.org/officeDocument/2006/relationships/queryTable" Target="../queryTables/queryTable8.xml"/><Relationship Id="rId32" Type="http://schemas.openxmlformats.org/officeDocument/2006/relationships/queryTable" Target="../queryTables/queryTable29.xml"/><Relationship Id="rId53" Type="http://schemas.openxmlformats.org/officeDocument/2006/relationships/queryTable" Target="../queryTables/queryTable50.xml"/><Relationship Id="rId74" Type="http://schemas.openxmlformats.org/officeDocument/2006/relationships/queryTable" Target="../queryTables/queryTable71.xml"/><Relationship Id="rId128" Type="http://schemas.openxmlformats.org/officeDocument/2006/relationships/queryTable" Target="../queryTables/queryTable125.xml"/><Relationship Id="rId149" Type="http://schemas.openxmlformats.org/officeDocument/2006/relationships/queryTable" Target="../queryTables/queryTable146.xml"/><Relationship Id="rId5" Type="http://schemas.openxmlformats.org/officeDocument/2006/relationships/queryTable" Target="../queryTables/queryTable2.xml"/><Relationship Id="rId95" Type="http://schemas.openxmlformats.org/officeDocument/2006/relationships/queryTable" Target="../queryTables/queryTable92.xml"/><Relationship Id="rId160" Type="http://schemas.openxmlformats.org/officeDocument/2006/relationships/queryTable" Target="../queryTables/queryTable157.xml"/><Relationship Id="rId181" Type="http://schemas.openxmlformats.org/officeDocument/2006/relationships/queryTable" Target="../queryTables/queryTable178.xml"/><Relationship Id="rId216" Type="http://schemas.openxmlformats.org/officeDocument/2006/relationships/queryTable" Target="../queryTables/queryTable213.xml"/><Relationship Id="rId237" Type="http://schemas.openxmlformats.org/officeDocument/2006/relationships/queryTable" Target="../queryTables/queryTable234.xml"/><Relationship Id="rId22" Type="http://schemas.openxmlformats.org/officeDocument/2006/relationships/queryTable" Target="../queryTables/queryTable19.xml"/><Relationship Id="rId43" Type="http://schemas.openxmlformats.org/officeDocument/2006/relationships/queryTable" Target="../queryTables/queryTable40.xml"/><Relationship Id="rId64" Type="http://schemas.openxmlformats.org/officeDocument/2006/relationships/queryTable" Target="../queryTables/queryTable61.xml"/><Relationship Id="rId118" Type="http://schemas.openxmlformats.org/officeDocument/2006/relationships/queryTable" Target="../queryTables/queryTable115.xml"/><Relationship Id="rId139" Type="http://schemas.openxmlformats.org/officeDocument/2006/relationships/queryTable" Target="../queryTables/queryTable136.xml"/><Relationship Id="rId85" Type="http://schemas.openxmlformats.org/officeDocument/2006/relationships/queryTable" Target="../queryTables/queryTable82.xml"/><Relationship Id="rId150" Type="http://schemas.openxmlformats.org/officeDocument/2006/relationships/queryTable" Target="../queryTables/queryTable147.xml"/><Relationship Id="rId171" Type="http://schemas.openxmlformats.org/officeDocument/2006/relationships/queryTable" Target="../queryTables/queryTable168.xml"/><Relationship Id="rId192" Type="http://schemas.openxmlformats.org/officeDocument/2006/relationships/queryTable" Target="../queryTables/queryTable189.xml"/><Relationship Id="rId206" Type="http://schemas.openxmlformats.org/officeDocument/2006/relationships/queryTable" Target="../queryTables/queryTable203.xml"/><Relationship Id="rId227" Type="http://schemas.openxmlformats.org/officeDocument/2006/relationships/queryTable" Target="../queryTables/queryTable224.xml"/><Relationship Id="rId248" Type="http://schemas.openxmlformats.org/officeDocument/2006/relationships/queryTable" Target="../queryTables/queryTable245.xml"/><Relationship Id="rId12" Type="http://schemas.openxmlformats.org/officeDocument/2006/relationships/queryTable" Target="../queryTables/queryTable9.xml"/><Relationship Id="rId17" Type="http://schemas.openxmlformats.org/officeDocument/2006/relationships/queryTable" Target="../queryTables/queryTable14.xml"/><Relationship Id="rId33" Type="http://schemas.openxmlformats.org/officeDocument/2006/relationships/queryTable" Target="../queryTables/queryTable30.xml"/><Relationship Id="rId38" Type="http://schemas.openxmlformats.org/officeDocument/2006/relationships/queryTable" Target="../queryTables/queryTable35.xml"/><Relationship Id="rId59" Type="http://schemas.openxmlformats.org/officeDocument/2006/relationships/queryTable" Target="../queryTables/queryTable56.xml"/><Relationship Id="rId103" Type="http://schemas.openxmlformats.org/officeDocument/2006/relationships/queryTable" Target="../queryTables/queryTable100.xml"/><Relationship Id="rId108" Type="http://schemas.openxmlformats.org/officeDocument/2006/relationships/queryTable" Target="../queryTables/queryTable105.xml"/><Relationship Id="rId124" Type="http://schemas.openxmlformats.org/officeDocument/2006/relationships/queryTable" Target="../queryTables/queryTable121.xml"/><Relationship Id="rId129" Type="http://schemas.openxmlformats.org/officeDocument/2006/relationships/queryTable" Target="../queryTables/queryTable126.xml"/><Relationship Id="rId54" Type="http://schemas.openxmlformats.org/officeDocument/2006/relationships/queryTable" Target="../queryTables/queryTable51.xml"/><Relationship Id="rId70" Type="http://schemas.openxmlformats.org/officeDocument/2006/relationships/queryTable" Target="../queryTables/queryTable67.xml"/><Relationship Id="rId75" Type="http://schemas.openxmlformats.org/officeDocument/2006/relationships/queryTable" Target="../queryTables/queryTable72.xml"/><Relationship Id="rId91" Type="http://schemas.openxmlformats.org/officeDocument/2006/relationships/queryTable" Target="../queryTables/queryTable88.xml"/><Relationship Id="rId96" Type="http://schemas.openxmlformats.org/officeDocument/2006/relationships/queryTable" Target="../queryTables/queryTable93.xml"/><Relationship Id="rId140" Type="http://schemas.openxmlformats.org/officeDocument/2006/relationships/queryTable" Target="../queryTables/queryTable137.xml"/><Relationship Id="rId145" Type="http://schemas.openxmlformats.org/officeDocument/2006/relationships/queryTable" Target="../queryTables/queryTable142.xml"/><Relationship Id="rId161" Type="http://schemas.openxmlformats.org/officeDocument/2006/relationships/queryTable" Target="../queryTables/queryTable158.xml"/><Relationship Id="rId166" Type="http://schemas.openxmlformats.org/officeDocument/2006/relationships/queryTable" Target="../queryTables/queryTable163.xml"/><Relationship Id="rId182" Type="http://schemas.openxmlformats.org/officeDocument/2006/relationships/queryTable" Target="../queryTables/queryTable179.xml"/><Relationship Id="rId187" Type="http://schemas.openxmlformats.org/officeDocument/2006/relationships/queryTable" Target="../queryTables/queryTable184.xml"/><Relationship Id="rId217" Type="http://schemas.openxmlformats.org/officeDocument/2006/relationships/queryTable" Target="../queryTables/queryTable214.xml"/><Relationship Id="rId1" Type="http://schemas.openxmlformats.org/officeDocument/2006/relationships/printerSettings" Target="../printerSettings/printerSettings2.bin"/><Relationship Id="rId6" Type="http://schemas.openxmlformats.org/officeDocument/2006/relationships/queryTable" Target="../queryTables/queryTable3.xml"/><Relationship Id="rId212" Type="http://schemas.openxmlformats.org/officeDocument/2006/relationships/queryTable" Target="../queryTables/queryTable209.xml"/><Relationship Id="rId233" Type="http://schemas.openxmlformats.org/officeDocument/2006/relationships/queryTable" Target="../queryTables/queryTable230.xml"/><Relationship Id="rId238" Type="http://schemas.openxmlformats.org/officeDocument/2006/relationships/queryTable" Target="../queryTables/queryTable235.xml"/><Relationship Id="rId23" Type="http://schemas.openxmlformats.org/officeDocument/2006/relationships/queryTable" Target="../queryTables/queryTable20.xml"/><Relationship Id="rId28" Type="http://schemas.openxmlformats.org/officeDocument/2006/relationships/queryTable" Target="../queryTables/queryTable25.xml"/><Relationship Id="rId49" Type="http://schemas.openxmlformats.org/officeDocument/2006/relationships/queryTable" Target="../queryTables/queryTable46.xml"/><Relationship Id="rId114" Type="http://schemas.openxmlformats.org/officeDocument/2006/relationships/queryTable" Target="../queryTables/queryTable111.xml"/><Relationship Id="rId119" Type="http://schemas.openxmlformats.org/officeDocument/2006/relationships/queryTable" Target="../queryTables/queryTable116.xml"/><Relationship Id="rId44" Type="http://schemas.openxmlformats.org/officeDocument/2006/relationships/queryTable" Target="../queryTables/queryTable41.xml"/><Relationship Id="rId60" Type="http://schemas.openxmlformats.org/officeDocument/2006/relationships/queryTable" Target="../queryTables/queryTable57.xml"/><Relationship Id="rId65" Type="http://schemas.openxmlformats.org/officeDocument/2006/relationships/queryTable" Target="../queryTables/queryTable62.xml"/><Relationship Id="rId81" Type="http://schemas.openxmlformats.org/officeDocument/2006/relationships/queryTable" Target="../queryTables/queryTable78.xml"/><Relationship Id="rId86" Type="http://schemas.openxmlformats.org/officeDocument/2006/relationships/queryTable" Target="../queryTables/queryTable83.xml"/><Relationship Id="rId130" Type="http://schemas.openxmlformats.org/officeDocument/2006/relationships/queryTable" Target="../queryTables/queryTable127.xml"/><Relationship Id="rId135" Type="http://schemas.openxmlformats.org/officeDocument/2006/relationships/queryTable" Target="../queryTables/queryTable132.xml"/><Relationship Id="rId151" Type="http://schemas.openxmlformats.org/officeDocument/2006/relationships/queryTable" Target="../queryTables/queryTable148.xml"/><Relationship Id="rId156" Type="http://schemas.openxmlformats.org/officeDocument/2006/relationships/queryTable" Target="../queryTables/queryTable153.xml"/><Relationship Id="rId177" Type="http://schemas.openxmlformats.org/officeDocument/2006/relationships/queryTable" Target="../queryTables/queryTable174.xml"/><Relationship Id="rId198" Type="http://schemas.openxmlformats.org/officeDocument/2006/relationships/queryTable" Target="../queryTables/queryTable195.xml"/><Relationship Id="rId172" Type="http://schemas.openxmlformats.org/officeDocument/2006/relationships/queryTable" Target="../queryTables/queryTable169.xml"/><Relationship Id="rId193" Type="http://schemas.openxmlformats.org/officeDocument/2006/relationships/queryTable" Target="../queryTables/queryTable190.xml"/><Relationship Id="rId202" Type="http://schemas.openxmlformats.org/officeDocument/2006/relationships/queryTable" Target="../queryTables/queryTable199.xml"/><Relationship Id="rId207" Type="http://schemas.openxmlformats.org/officeDocument/2006/relationships/queryTable" Target="../queryTables/queryTable204.xml"/><Relationship Id="rId223" Type="http://schemas.openxmlformats.org/officeDocument/2006/relationships/queryTable" Target="../queryTables/queryTable220.xml"/><Relationship Id="rId228" Type="http://schemas.openxmlformats.org/officeDocument/2006/relationships/queryTable" Target="../queryTables/queryTable225.xml"/><Relationship Id="rId244" Type="http://schemas.openxmlformats.org/officeDocument/2006/relationships/queryTable" Target="../queryTables/queryTable241.xml"/><Relationship Id="rId13" Type="http://schemas.openxmlformats.org/officeDocument/2006/relationships/queryTable" Target="../queryTables/queryTable10.xml"/><Relationship Id="rId18" Type="http://schemas.openxmlformats.org/officeDocument/2006/relationships/queryTable" Target="../queryTables/queryTable15.xml"/><Relationship Id="rId39" Type="http://schemas.openxmlformats.org/officeDocument/2006/relationships/queryTable" Target="../queryTables/queryTable36.xml"/><Relationship Id="rId109" Type="http://schemas.openxmlformats.org/officeDocument/2006/relationships/queryTable" Target="../queryTables/queryTable106.xml"/><Relationship Id="rId34" Type="http://schemas.openxmlformats.org/officeDocument/2006/relationships/queryTable" Target="../queryTables/queryTable31.xml"/><Relationship Id="rId50" Type="http://schemas.openxmlformats.org/officeDocument/2006/relationships/queryTable" Target="../queryTables/queryTable47.xml"/><Relationship Id="rId55" Type="http://schemas.openxmlformats.org/officeDocument/2006/relationships/queryTable" Target="../queryTables/queryTable52.xml"/><Relationship Id="rId76" Type="http://schemas.openxmlformats.org/officeDocument/2006/relationships/queryTable" Target="../queryTables/queryTable73.xml"/><Relationship Id="rId97" Type="http://schemas.openxmlformats.org/officeDocument/2006/relationships/queryTable" Target="../queryTables/queryTable94.xml"/><Relationship Id="rId104" Type="http://schemas.openxmlformats.org/officeDocument/2006/relationships/queryTable" Target="../queryTables/queryTable101.xml"/><Relationship Id="rId120" Type="http://schemas.openxmlformats.org/officeDocument/2006/relationships/queryTable" Target="../queryTables/queryTable117.xml"/><Relationship Id="rId125" Type="http://schemas.openxmlformats.org/officeDocument/2006/relationships/queryTable" Target="../queryTables/queryTable122.xml"/><Relationship Id="rId141" Type="http://schemas.openxmlformats.org/officeDocument/2006/relationships/queryTable" Target="../queryTables/queryTable138.xml"/><Relationship Id="rId146" Type="http://schemas.openxmlformats.org/officeDocument/2006/relationships/queryTable" Target="../queryTables/queryTable143.xml"/><Relationship Id="rId167" Type="http://schemas.openxmlformats.org/officeDocument/2006/relationships/queryTable" Target="../queryTables/queryTable164.xml"/><Relationship Id="rId188" Type="http://schemas.openxmlformats.org/officeDocument/2006/relationships/queryTable" Target="../queryTables/queryTable185.xml"/><Relationship Id="rId7" Type="http://schemas.openxmlformats.org/officeDocument/2006/relationships/queryTable" Target="../queryTables/queryTable4.xml"/><Relationship Id="rId71" Type="http://schemas.openxmlformats.org/officeDocument/2006/relationships/queryTable" Target="../queryTables/queryTable68.xml"/><Relationship Id="rId92" Type="http://schemas.openxmlformats.org/officeDocument/2006/relationships/queryTable" Target="../queryTables/queryTable89.xml"/><Relationship Id="rId162" Type="http://schemas.openxmlformats.org/officeDocument/2006/relationships/queryTable" Target="../queryTables/queryTable159.xml"/><Relationship Id="rId183" Type="http://schemas.openxmlformats.org/officeDocument/2006/relationships/queryTable" Target="../queryTables/queryTable180.xml"/><Relationship Id="rId213" Type="http://schemas.openxmlformats.org/officeDocument/2006/relationships/queryTable" Target="../queryTables/queryTable210.xml"/><Relationship Id="rId218" Type="http://schemas.openxmlformats.org/officeDocument/2006/relationships/queryTable" Target="../queryTables/queryTable215.xml"/><Relationship Id="rId234" Type="http://schemas.openxmlformats.org/officeDocument/2006/relationships/queryTable" Target="../queryTables/queryTable231.xml"/><Relationship Id="rId239" Type="http://schemas.openxmlformats.org/officeDocument/2006/relationships/queryTable" Target="../queryTables/queryTable236.xml"/><Relationship Id="rId2" Type="http://schemas.openxmlformats.org/officeDocument/2006/relationships/vmlDrawing" Target="../drawings/vmlDrawing1.vml"/><Relationship Id="rId29" Type="http://schemas.openxmlformats.org/officeDocument/2006/relationships/queryTable" Target="../queryTables/queryTable26.xml"/><Relationship Id="rId24" Type="http://schemas.openxmlformats.org/officeDocument/2006/relationships/queryTable" Target="../queryTables/queryTable21.xml"/><Relationship Id="rId40" Type="http://schemas.openxmlformats.org/officeDocument/2006/relationships/queryTable" Target="../queryTables/queryTable37.xml"/><Relationship Id="rId45" Type="http://schemas.openxmlformats.org/officeDocument/2006/relationships/queryTable" Target="../queryTables/queryTable42.xml"/><Relationship Id="rId66" Type="http://schemas.openxmlformats.org/officeDocument/2006/relationships/queryTable" Target="../queryTables/queryTable63.xml"/><Relationship Id="rId87" Type="http://schemas.openxmlformats.org/officeDocument/2006/relationships/queryTable" Target="../queryTables/queryTable84.xml"/><Relationship Id="rId110" Type="http://schemas.openxmlformats.org/officeDocument/2006/relationships/queryTable" Target="../queryTables/queryTable107.xml"/><Relationship Id="rId115" Type="http://schemas.openxmlformats.org/officeDocument/2006/relationships/queryTable" Target="../queryTables/queryTable112.xml"/><Relationship Id="rId131" Type="http://schemas.openxmlformats.org/officeDocument/2006/relationships/queryTable" Target="../queryTables/queryTable128.xml"/><Relationship Id="rId136" Type="http://schemas.openxmlformats.org/officeDocument/2006/relationships/queryTable" Target="../queryTables/queryTable133.xml"/><Relationship Id="rId157" Type="http://schemas.openxmlformats.org/officeDocument/2006/relationships/queryTable" Target="../queryTables/queryTable154.xml"/><Relationship Id="rId178" Type="http://schemas.openxmlformats.org/officeDocument/2006/relationships/queryTable" Target="../queryTables/queryTable175.xml"/><Relationship Id="rId61" Type="http://schemas.openxmlformats.org/officeDocument/2006/relationships/queryTable" Target="../queryTables/queryTable58.xml"/><Relationship Id="rId82" Type="http://schemas.openxmlformats.org/officeDocument/2006/relationships/queryTable" Target="../queryTables/queryTable79.xml"/><Relationship Id="rId152" Type="http://schemas.openxmlformats.org/officeDocument/2006/relationships/queryTable" Target="../queryTables/queryTable149.xml"/><Relationship Id="rId173" Type="http://schemas.openxmlformats.org/officeDocument/2006/relationships/queryTable" Target="../queryTables/queryTable170.xml"/><Relationship Id="rId194" Type="http://schemas.openxmlformats.org/officeDocument/2006/relationships/queryTable" Target="../queryTables/queryTable191.xml"/><Relationship Id="rId199" Type="http://schemas.openxmlformats.org/officeDocument/2006/relationships/queryTable" Target="../queryTables/queryTable196.xml"/><Relationship Id="rId203" Type="http://schemas.openxmlformats.org/officeDocument/2006/relationships/queryTable" Target="../queryTables/queryTable200.xml"/><Relationship Id="rId208" Type="http://schemas.openxmlformats.org/officeDocument/2006/relationships/queryTable" Target="../queryTables/queryTable205.xml"/><Relationship Id="rId229" Type="http://schemas.openxmlformats.org/officeDocument/2006/relationships/queryTable" Target="../queryTables/queryTable226.xml"/><Relationship Id="rId19" Type="http://schemas.openxmlformats.org/officeDocument/2006/relationships/queryTable" Target="../queryTables/queryTable16.xml"/><Relationship Id="rId224" Type="http://schemas.openxmlformats.org/officeDocument/2006/relationships/queryTable" Target="../queryTables/queryTable221.xml"/><Relationship Id="rId240" Type="http://schemas.openxmlformats.org/officeDocument/2006/relationships/queryTable" Target="../queryTables/queryTable237.xml"/><Relationship Id="rId245" Type="http://schemas.openxmlformats.org/officeDocument/2006/relationships/queryTable" Target="../queryTables/queryTable242.xml"/><Relationship Id="rId14" Type="http://schemas.openxmlformats.org/officeDocument/2006/relationships/queryTable" Target="../queryTables/queryTable11.xml"/><Relationship Id="rId30" Type="http://schemas.openxmlformats.org/officeDocument/2006/relationships/queryTable" Target="../queryTables/queryTable27.xml"/><Relationship Id="rId35" Type="http://schemas.openxmlformats.org/officeDocument/2006/relationships/queryTable" Target="../queryTables/queryTable32.xml"/><Relationship Id="rId56" Type="http://schemas.openxmlformats.org/officeDocument/2006/relationships/queryTable" Target="../queryTables/queryTable53.xml"/><Relationship Id="rId77" Type="http://schemas.openxmlformats.org/officeDocument/2006/relationships/queryTable" Target="../queryTables/queryTable74.xml"/><Relationship Id="rId100" Type="http://schemas.openxmlformats.org/officeDocument/2006/relationships/queryTable" Target="../queryTables/queryTable97.xml"/><Relationship Id="rId105" Type="http://schemas.openxmlformats.org/officeDocument/2006/relationships/queryTable" Target="../queryTables/queryTable102.xml"/><Relationship Id="rId126" Type="http://schemas.openxmlformats.org/officeDocument/2006/relationships/queryTable" Target="../queryTables/queryTable123.xml"/><Relationship Id="rId147" Type="http://schemas.openxmlformats.org/officeDocument/2006/relationships/queryTable" Target="../queryTables/queryTable144.xml"/><Relationship Id="rId168" Type="http://schemas.openxmlformats.org/officeDocument/2006/relationships/queryTable" Target="../queryTables/queryTable165.xml"/><Relationship Id="rId8" Type="http://schemas.openxmlformats.org/officeDocument/2006/relationships/queryTable" Target="../queryTables/queryTable5.xml"/><Relationship Id="rId51" Type="http://schemas.openxmlformats.org/officeDocument/2006/relationships/queryTable" Target="../queryTables/queryTable48.xml"/><Relationship Id="rId72" Type="http://schemas.openxmlformats.org/officeDocument/2006/relationships/queryTable" Target="../queryTables/queryTable69.xml"/><Relationship Id="rId93" Type="http://schemas.openxmlformats.org/officeDocument/2006/relationships/queryTable" Target="../queryTables/queryTable90.xml"/><Relationship Id="rId98" Type="http://schemas.openxmlformats.org/officeDocument/2006/relationships/queryTable" Target="../queryTables/queryTable95.xml"/><Relationship Id="rId121" Type="http://schemas.openxmlformats.org/officeDocument/2006/relationships/queryTable" Target="../queryTables/queryTable118.xml"/><Relationship Id="rId142" Type="http://schemas.openxmlformats.org/officeDocument/2006/relationships/queryTable" Target="../queryTables/queryTable139.xml"/><Relationship Id="rId163" Type="http://schemas.openxmlformats.org/officeDocument/2006/relationships/queryTable" Target="../queryTables/queryTable160.xml"/><Relationship Id="rId184" Type="http://schemas.openxmlformats.org/officeDocument/2006/relationships/queryTable" Target="../queryTables/queryTable181.xml"/><Relationship Id="rId189" Type="http://schemas.openxmlformats.org/officeDocument/2006/relationships/queryTable" Target="../queryTables/queryTable186.xml"/><Relationship Id="rId219" Type="http://schemas.openxmlformats.org/officeDocument/2006/relationships/queryTable" Target="../queryTables/queryTable216.xml"/><Relationship Id="rId3" Type="http://schemas.openxmlformats.org/officeDocument/2006/relationships/table" Target="../tables/table2.xml"/><Relationship Id="rId214" Type="http://schemas.openxmlformats.org/officeDocument/2006/relationships/queryTable" Target="../queryTables/queryTable211.xml"/><Relationship Id="rId230" Type="http://schemas.openxmlformats.org/officeDocument/2006/relationships/queryTable" Target="../queryTables/queryTable227.xml"/><Relationship Id="rId235" Type="http://schemas.openxmlformats.org/officeDocument/2006/relationships/queryTable" Target="../queryTables/queryTable232.xml"/><Relationship Id="rId25" Type="http://schemas.openxmlformats.org/officeDocument/2006/relationships/queryTable" Target="../queryTables/queryTable22.xml"/><Relationship Id="rId46" Type="http://schemas.openxmlformats.org/officeDocument/2006/relationships/queryTable" Target="../queryTables/queryTable43.xml"/><Relationship Id="rId67" Type="http://schemas.openxmlformats.org/officeDocument/2006/relationships/queryTable" Target="../queryTables/queryTable64.xml"/><Relationship Id="rId116" Type="http://schemas.openxmlformats.org/officeDocument/2006/relationships/queryTable" Target="../queryTables/queryTable113.xml"/><Relationship Id="rId137" Type="http://schemas.openxmlformats.org/officeDocument/2006/relationships/queryTable" Target="../queryTables/queryTable134.xml"/><Relationship Id="rId158" Type="http://schemas.openxmlformats.org/officeDocument/2006/relationships/queryTable" Target="../queryTables/queryTable155.xml"/><Relationship Id="rId20" Type="http://schemas.openxmlformats.org/officeDocument/2006/relationships/queryTable" Target="../queryTables/queryTable17.xml"/><Relationship Id="rId41" Type="http://schemas.openxmlformats.org/officeDocument/2006/relationships/queryTable" Target="../queryTables/queryTable38.xml"/><Relationship Id="rId62" Type="http://schemas.openxmlformats.org/officeDocument/2006/relationships/queryTable" Target="../queryTables/queryTable59.xml"/><Relationship Id="rId83" Type="http://schemas.openxmlformats.org/officeDocument/2006/relationships/queryTable" Target="../queryTables/queryTable80.xml"/><Relationship Id="rId88" Type="http://schemas.openxmlformats.org/officeDocument/2006/relationships/queryTable" Target="../queryTables/queryTable85.xml"/><Relationship Id="rId111" Type="http://schemas.openxmlformats.org/officeDocument/2006/relationships/queryTable" Target="../queryTables/queryTable108.xml"/><Relationship Id="rId132" Type="http://schemas.openxmlformats.org/officeDocument/2006/relationships/queryTable" Target="../queryTables/queryTable129.xml"/><Relationship Id="rId153" Type="http://schemas.openxmlformats.org/officeDocument/2006/relationships/queryTable" Target="../queryTables/queryTable150.xml"/><Relationship Id="rId174" Type="http://schemas.openxmlformats.org/officeDocument/2006/relationships/queryTable" Target="../queryTables/queryTable171.xml"/><Relationship Id="rId179" Type="http://schemas.openxmlformats.org/officeDocument/2006/relationships/queryTable" Target="../queryTables/queryTable176.xml"/><Relationship Id="rId195" Type="http://schemas.openxmlformats.org/officeDocument/2006/relationships/queryTable" Target="../queryTables/queryTable192.xml"/><Relationship Id="rId209" Type="http://schemas.openxmlformats.org/officeDocument/2006/relationships/queryTable" Target="../queryTables/queryTable206.xml"/><Relationship Id="rId190" Type="http://schemas.openxmlformats.org/officeDocument/2006/relationships/queryTable" Target="../queryTables/queryTable187.xml"/><Relationship Id="rId204" Type="http://schemas.openxmlformats.org/officeDocument/2006/relationships/queryTable" Target="../queryTables/queryTable201.xml"/><Relationship Id="rId220" Type="http://schemas.openxmlformats.org/officeDocument/2006/relationships/queryTable" Target="../queryTables/queryTable217.xml"/><Relationship Id="rId225" Type="http://schemas.openxmlformats.org/officeDocument/2006/relationships/queryTable" Target="../queryTables/queryTable222.xml"/><Relationship Id="rId241" Type="http://schemas.openxmlformats.org/officeDocument/2006/relationships/queryTable" Target="../queryTables/queryTable238.xml"/><Relationship Id="rId246" Type="http://schemas.openxmlformats.org/officeDocument/2006/relationships/queryTable" Target="../queryTables/queryTable243.xml"/><Relationship Id="rId15" Type="http://schemas.openxmlformats.org/officeDocument/2006/relationships/queryTable" Target="../queryTables/queryTable12.xml"/><Relationship Id="rId36" Type="http://schemas.openxmlformats.org/officeDocument/2006/relationships/queryTable" Target="../queryTables/queryTable33.xml"/><Relationship Id="rId57" Type="http://schemas.openxmlformats.org/officeDocument/2006/relationships/queryTable" Target="../queryTables/queryTable54.xml"/><Relationship Id="rId106" Type="http://schemas.openxmlformats.org/officeDocument/2006/relationships/queryTable" Target="../queryTables/queryTable103.xml"/><Relationship Id="rId127" Type="http://schemas.openxmlformats.org/officeDocument/2006/relationships/queryTable" Target="../queryTables/queryTable124.xml"/><Relationship Id="rId10" Type="http://schemas.openxmlformats.org/officeDocument/2006/relationships/queryTable" Target="../queryTables/queryTable7.xml"/><Relationship Id="rId31" Type="http://schemas.openxmlformats.org/officeDocument/2006/relationships/queryTable" Target="../queryTables/queryTable28.xml"/><Relationship Id="rId52" Type="http://schemas.openxmlformats.org/officeDocument/2006/relationships/queryTable" Target="../queryTables/queryTable49.xml"/><Relationship Id="rId73" Type="http://schemas.openxmlformats.org/officeDocument/2006/relationships/queryTable" Target="../queryTables/queryTable70.xml"/><Relationship Id="rId78" Type="http://schemas.openxmlformats.org/officeDocument/2006/relationships/queryTable" Target="../queryTables/queryTable75.xml"/><Relationship Id="rId94" Type="http://schemas.openxmlformats.org/officeDocument/2006/relationships/queryTable" Target="../queryTables/queryTable91.xml"/><Relationship Id="rId99" Type="http://schemas.openxmlformats.org/officeDocument/2006/relationships/queryTable" Target="../queryTables/queryTable96.xml"/><Relationship Id="rId101" Type="http://schemas.openxmlformats.org/officeDocument/2006/relationships/queryTable" Target="../queryTables/queryTable98.xml"/><Relationship Id="rId122" Type="http://schemas.openxmlformats.org/officeDocument/2006/relationships/queryTable" Target="../queryTables/queryTable119.xml"/><Relationship Id="rId143" Type="http://schemas.openxmlformats.org/officeDocument/2006/relationships/queryTable" Target="../queryTables/queryTable140.xml"/><Relationship Id="rId148" Type="http://schemas.openxmlformats.org/officeDocument/2006/relationships/queryTable" Target="../queryTables/queryTable145.xml"/><Relationship Id="rId164" Type="http://schemas.openxmlformats.org/officeDocument/2006/relationships/queryTable" Target="../queryTables/queryTable161.xml"/><Relationship Id="rId169" Type="http://schemas.openxmlformats.org/officeDocument/2006/relationships/queryTable" Target="../queryTables/queryTable166.xml"/><Relationship Id="rId185" Type="http://schemas.openxmlformats.org/officeDocument/2006/relationships/queryTable" Target="../queryTables/queryTable182.xml"/><Relationship Id="rId4" Type="http://schemas.openxmlformats.org/officeDocument/2006/relationships/queryTable" Target="../queryTables/queryTable1.xml"/><Relationship Id="rId9" Type="http://schemas.openxmlformats.org/officeDocument/2006/relationships/queryTable" Target="../queryTables/queryTable6.xml"/><Relationship Id="rId180" Type="http://schemas.openxmlformats.org/officeDocument/2006/relationships/queryTable" Target="../queryTables/queryTable177.xml"/><Relationship Id="rId210" Type="http://schemas.openxmlformats.org/officeDocument/2006/relationships/queryTable" Target="../queryTables/queryTable207.xml"/><Relationship Id="rId215" Type="http://schemas.openxmlformats.org/officeDocument/2006/relationships/queryTable" Target="../queryTables/queryTable212.xml"/><Relationship Id="rId236" Type="http://schemas.openxmlformats.org/officeDocument/2006/relationships/queryTable" Target="../queryTables/queryTable233.xml"/><Relationship Id="rId26" Type="http://schemas.openxmlformats.org/officeDocument/2006/relationships/queryTable" Target="../queryTables/queryTable23.xml"/><Relationship Id="rId231" Type="http://schemas.openxmlformats.org/officeDocument/2006/relationships/queryTable" Target="../queryTables/queryTable228.xml"/><Relationship Id="rId47" Type="http://schemas.openxmlformats.org/officeDocument/2006/relationships/queryTable" Target="../queryTables/queryTable44.xml"/><Relationship Id="rId68" Type="http://schemas.openxmlformats.org/officeDocument/2006/relationships/queryTable" Target="../queryTables/queryTable65.xml"/><Relationship Id="rId89" Type="http://schemas.openxmlformats.org/officeDocument/2006/relationships/queryTable" Target="../queryTables/queryTable86.xml"/><Relationship Id="rId112" Type="http://schemas.openxmlformats.org/officeDocument/2006/relationships/queryTable" Target="../queryTables/queryTable109.xml"/><Relationship Id="rId133" Type="http://schemas.openxmlformats.org/officeDocument/2006/relationships/queryTable" Target="../queryTables/queryTable130.xml"/><Relationship Id="rId154" Type="http://schemas.openxmlformats.org/officeDocument/2006/relationships/queryTable" Target="../queryTables/queryTable151.xml"/><Relationship Id="rId175" Type="http://schemas.openxmlformats.org/officeDocument/2006/relationships/queryTable" Target="../queryTables/queryTable172.xml"/><Relationship Id="rId196" Type="http://schemas.openxmlformats.org/officeDocument/2006/relationships/queryTable" Target="../queryTables/queryTable193.xml"/><Relationship Id="rId200" Type="http://schemas.openxmlformats.org/officeDocument/2006/relationships/queryTable" Target="../queryTables/queryTable197.xml"/><Relationship Id="rId16" Type="http://schemas.openxmlformats.org/officeDocument/2006/relationships/queryTable" Target="../queryTables/queryTable13.xml"/><Relationship Id="rId221" Type="http://schemas.openxmlformats.org/officeDocument/2006/relationships/queryTable" Target="../queryTables/queryTable218.xml"/><Relationship Id="rId242" Type="http://schemas.openxmlformats.org/officeDocument/2006/relationships/queryTable" Target="../queryTables/queryTable239.xml"/><Relationship Id="rId37" Type="http://schemas.openxmlformats.org/officeDocument/2006/relationships/queryTable" Target="../queryTables/queryTable34.xml"/><Relationship Id="rId58" Type="http://schemas.openxmlformats.org/officeDocument/2006/relationships/queryTable" Target="../queryTables/queryTable55.xml"/><Relationship Id="rId79" Type="http://schemas.openxmlformats.org/officeDocument/2006/relationships/queryTable" Target="../queryTables/queryTable76.xml"/><Relationship Id="rId102" Type="http://schemas.openxmlformats.org/officeDocument/2006/relationships/queryTable" Target="../queryTables/queryTable99.xml"/><Relationship Id="rId123" Type="http://schemas.openxmlformats.org/officeDocument/2006/relationships/queryTable" Target="../queryTables/queryTable120.xml"/><Relationship Id="rId144" Type="http://schemas.openxmlformats.org/officeDocument/2006/relationships/queryTable" Target="../queryTables/queryTable141.xml"/><Relationship Id="rId90" Type="http://schemas.openxmlformats.org/officeDocument/2006/relationships/queryTable" Target="../queryTables/queryTable87.xml"/><Relationship Id="rId165" Type="http://schemas.openxmlformats.org/officeDocument/2006/relationships/queryTable" Target="../queryTables/queryTable162.xml"/><Relationship Id="rId186" Type="http://schemas.openxmlformats.org/officeDocument/2006/relationships/queryTable" Target="../queryTables/queryTable183.xml"/><Relationship Id="rId211" Type="http://schemas.openxmlformats.org/officeDocument/2006/relationships/queryTable" Target="../queryTables/queryTable208.xml"/><Relationship Id="rId232" Type="http://schemas.openxmlformats.org/officeDocument/2006/relationships/queryTable" Target="../queryTables/queryTable229.xml"/><Relationship Id="rId27" Type="http://schemas.openxmlformats.org/officeDocument/2006/relationships/queryTable" Target="../queryTables/queryTable24.xml"/><Relationship Id="rId48" Type="http://schemas.openxmlformats.org/officeDocument/2006/relationships/queryTable" Target="../queryTables/queryTable45.xml"/><Relationship Id="rId69" Type="http://schemas.openxmlformats.org/officeDocument/2006/relationships/queryTable" Target="../queryTables/queryTable66.xml"/><Relationship Id="rId113" Type="http://schemas.openxmlformats.org/officeDocument/2006/relationships/queryTable" Target="../queryTables/queryTable110.xml"/><Relationship Id="rId134" Type="http://schemas.openxmlformats.org/officeDocument/2006/relationships/queryTable" Target="../queryTables/queryTable131.xml"/><Relationship Id="rId80" Type="http://schemas.openxmlformats.org/officeDocument/2006/relationships/queryTable" Target="../queryTables/queryTable77.xml"/><Relationship Id="rId155" Type="http://schemas.openxmlformats.org/officeDocument/2006/relationships/queryTable" Target="../queryTables/queryTable152.xml"/><Relationship Id="rId176" Type="http://schemas.openxmlformats.org/officeDocument/2006/relationships/queryTable" Target="../queryTables/queryTable173.xml"/><Relationship Id="rId197" Type="http://schemas.openxmlformats.org/officeDocument/2006/relationships/queryTable" Target="../queryTables/queryTable194.xml"/><Relationship Id="rId201" Type="http://schemas.openxmlformats.org/officeDocument/2006/relationships/queryTable" Target="../queryTables/queryTable198.xml"/><Relationship Id="rId222" Type="http://schemas.openxmlformats.org/officeDocument/2006/relationships/queryTable" Target="../queryTables/queryTable219.xml"/><Relationship Id="rId243" Type="http://schemas.openxmlformats.org/officeDocument/2006/relationships/queryTable" Target="../queryTables/queryTable240.xml"/></Relationships>
</file>

<file path=xl/worksheets/_rels/sheet3.xml.rels><?xml version="1.0" encoding="UTF-8" standalone="yes"?>
<Relationships xmlns="http://schemas.openxmlformats.org/package/2006/relationships"><Relationship Id="rId117" Type="http://schemas.openxmlformats.org/officeDocument/2006/relationships/queryTable" Target="../queryTables/queryTable359.xml"/><Relationship Id="rId299" Type="http://schemas.openxmlformats.org/officeDocument/2006/relationships/queryTable" Target="../queryTables/queryTable541.xml"/><Relationship Id="rId303" Type="http://schemas.openxmlformats.org/officeDocument/2006/relationships/queryTable" Target="../queryTables/queryTable545.xml"/><Relationship Id="rId21" Type="http://schemas.openxmlformats.org/officeDocument/2006/relationships/queryTable" Target="../queryTables/queryTable263.xml"/><Relationship Id="rId42" Type="http://schemas.openxmlformats.org/officeDocument/2006/relationships/queryTable" Target="../queryTables/queryTable284.xml"/><Relationship Id="rId63" Type="http://schemas.openxmlformats.org/officeDocument/2006/relationships/queryTable" Target="../queryTables/queryTable305.xml"/><Relationship Id="rId84" Type="http://schemas.openxmlformats.org/officeDocument/2006/relationships/queryTable" Target="../queryTables/queryTable326.xml"/><Relationship Id="rId138" Type="http://schemas.openxmlformats.org/officeDocument/2006/relationships/queryTable" Target="../queryTables/queryTable380.xml"/><Relationship Id="rId159" Type="http://schemas.openxmlformats.org/officeDocument/2006/relationships/queryTable" Target="../queryTables/queryTable401.xml"/><Relationship Id="rId324" Type="http://schemas.openxmlformats.org/officeDocument/2006/relationships/queryTable" Target="../queryTables/queryTable566.xml"/><Relationship Id="rId345" Type="http://schemas.openxmlformats.org/officeDocument/2006/relationships/queryTable" Target="../queryTables/queryTable587.xml"/><Relationship Id="rId170" Type="http://schemas.openxmlformats.org/officeDocument/2006/relationships/queryTable" Target="../queryTables/queryTable412.xml"/><Relationship Id="rId191" Type="http://schemas.openxmlformats.org/officeDocument/2006/relationships/queryTable" Target="../queryTables/queryTable433.xml"/><Relationship Id="rId205" Type="http://schemas.openxmlformats.org/officeDocument/2006/relationships/queryTable" Target="../queryTables/queryTable447.xml"/><Relationship Id="rId226" Type="http://schemas.openxmlformats.org/officeDocument/2006/relationships/queryTable" Target="../queryTables/queryTable468.xml"/><Relationship Id="rId247" Type="http://schemas.openxmlformats.org/officeDocument/2006/relationships/queryTable" Target="../queryTables/queryTable489.xml"/><Relationship Id="rId107" Type="http://schemas.openxmlformats.org/officeDocument/2006/relationships/queryTable" Target="../queryTables/queryTable349.xml"/><Relationship Id="rId268" Type="http://schemas.openxmlformats.org/officeDocument/2006/relationships/queryTable" Target="../queryTables/queryTable510.xml"/><Relationship Id="rId289" Type="http://schemas.openxmlformats.org/officeDocument/2006/relationships/queryTable" Target="../queryTables/queryTable531.xml"/><Relationship Id="rId11" Type="http://schemas.openxmlformats.org/officeDocument/2006/relationships/queryTable" Target="../queryTables/queryTable253.xml"/><Relationship Id="rId32" Type="http://schemas.openxmlformats.org/officeDocument/2006/relationships/queryTable" Target="../queryTables/queryTable274.xml"/><Relationship Id="rId53" Type="http://schemas.openxmlformats.org/officeDocument/2006/relationships/queryTable" Target="../queryTables/queryTable295.xml"/><Relationship Id="rId74" Type="http://schemas.openxmlformats.org/officeDocument/2006/relationships/queryTable" Target="../queryTables/queryTable316.xml"/><Relationship Id="rId128" Type="http://schemas.openxmlformats.org/officeDocument/2006/relationships/queryTable" Target="../queryTables/queryTable370.xml"/><Relationship Id="rId149" Type="http://schemas.openxmlformats.org/officeDocument/2006/relationships/queryTable" Target="../queryTables/queryTable391.xml"/><Relationship Id="rId314" Type="http://schemas.openxmlformats.org/officeDocument/2006/relationships/queryTable" Target="../queryTables/queryTable556.xml"/><Relationship Id="rId335" Type="http://schemas.openxmlformats.org/officeDocument/2006/relationships/queryTable" Target="../queryTables/queryTable577.xml"/><Relationship Id="rId5" Type="http://schemas.openxmlformats.org/officeDocument/2006/relationships/queryTable" Target="../queryTables/queryTable247.xml"/><Relationship Id="rId95" Type="http://schemas.openxmlformats.org/officeDocument/2006/relationships/queryTable" Target="../queryTables/queryTable337.xml"/><Relationship Id="rId160" Type="http://schemas.openxmlformats.org/officeDocument/2006/relationships/queryTable" Target="../queryTables/queryTable402.xml"/><Relationship Id="rId181" Type="http://schemas.openxmlformats.org/officeDocument/2006/relationships/queryTable" Target="../queryTables/queryTable423.xml"/><Relationship Id="rId216" Type="http://schemas.openxmlformats.org/officeDocument/2006/relationships/queryTable" Target="../queryTables/queryTable458.xml"/><Relationship Id="rId237" Type="http://schemas.openxmlformats.org/officeDocument/2006/relationships/queryTable" Target="../queryTables/queryTable479.xml"/><Relationship Id="rId258" Type="http://schemas.openxmlformats.org/officeDocument/2006/relationships/queryTable" Target="../queryTables/queryTable500.xml"/><Relationship Id="rId279" Type="http://schemas.openxmlformats.org/officeDocument/2006/relationships/queryTable" Target="../queryTables/queryTable521.xml"/><Relationship Id="rId22" Type="http://schemas.openxmlformats.org/officeDocument/2006/relationships/queryTable" Target="../queryTables/queryTable264.xml"/><Relationship Id="rId43" Type="http://schemas.openxmlformats.org/officeDocument/2006/relationships/queryTable" Target="../queryTables/queryTable285.xml"/><Relationship Id="rId64" Type="http://schemas.openxmlformats.org/officeDocument/2006/relationships/queryTable" Target="../queryTables/queryTable306.xml"/><Relationship Id="rId118" Type="http://schemas.openxmlformats.org/officeDocument/2006/relationships/queryTable" Target="../queryTables/queryTable360.xml"/><Relationship Id="rId139" Type="http://schemas.openxmlformats.org/officeDocument/2006/relationships/queryTable" Target="../queryTables/queryTable381.xml"/><Relationship Id="rId290" Type="http://schemas.openxmlformats.org/officeDocument/2006/relationships/queryTable" Target="../queryTables/queryTable532.xml"/><Relationship Id="rId304" Type="http://schemas.openxmlformats.org/officeDocument/2006/relationships/queryTable" Target="../queryTables/queryTable546.xml"/><Relationship Id="rId325" Type="http://schemas.openxmlformats.org/officeDocument/2006/relationships/queryTable" Target="../queryTables/queryTable567.xml"/><Relationship Id="rId346" Type="http://schemas.openxmlformats.org/officeDocument/2006/relationships/queryTable" Target="../queryTables/queryTable588.xml"/><Relationship Id="rId85" Type="http://schemas.openxmlformats.org/officeDocument/2006/relationships/queryTable" Target="../queryTables/queryTable327.xml"/><Relationship Id="rId150" Type="http://schemas.openxmlformats.org/officeDocument/2006/relationships/queryTable" Target="../queryTables/queryTable392.xml"/><Relationship Id="rId171" Type="http://schemas.openxmlformats.org/officeDocument/2006/relationships/queryTable" Target="../queryTables/queryTable413.xml"/><Relationship Id="rId192" Type="http://schemas.openxmlformats.org/officeDocument/2006/relationships/queryTable" Target="../queryTables/queryTable434.xml"/><Relationship Id="rId206" Type="http://schemas.openxmlformats.org/officeDocument/2006/relationships/queryTable" Target="../queryTables/queryTable448.xml"/><Relationship Id="rId227" Type="http://schemas.openxmlformats.org/officeDocument/2006/relationships/queryTable" Target="../queryTables/queryTable469.xml"/><Relationship Id="rId248" Type="http://schemas.openxmlformats.org/officeDocument/2006/relationships/queryTable" Target="../queryTables/queryTable490.xml"/><Relationship Id="rId269" Type="http://schemas.openxmlformats.org/officeDocument/2006/relationships/queryTable" Target="../queryTables/queryTable511.xml"/><Relationship Id="rId12" Type="http://schemas.openxmlformats.org/officeDocument/2006/relationships/queryTable" Target="../queryTables/queryTable254.xml"/><Relationship Id="rId33" Type="http://schemas.openxmlformats.org/officeDocument/2006/relationships/queryTable" Target="../queryTables/queryTable275.xml"/><Relationship Id="rId108" Type="http://schemas.openxmlformats.org/officeDocument/2006/relationships/queryTable" Target="../queryTables/queryTable350.xml"/><Relationship Id="rId129" Type="http://schemas.openxmlformats.org/officeDocument/2006/relationships/queryTable" Target="../queryTables/queryTable371.xml"/><Relationship Id="rId280" Type="http://schemas.openxmlformats.org/officeDocument/2006/relationships/queryTable" Target="../queryTables/queryTable522.xml"/><Relationship Id="rId315" Type="http://schemas.openxmlformats.org/officeDocument/2006/relationships/queryTable" Target="../queryTables/queryTable557.xml"/><Relationship Id="rId336" Type="http://schemas.openxmlformats.org/officeDocument/2006/relationships/queryTable" Target="../queryTables/queryTable578.xml"/><Relationship Id="rId54" Type="http://schemas.openxmlformats.org/officeDocument/2006/relationships/queryTable" Target="../queryTables/queryTable296.xml"/><Relationship Id="rId75" Type="http://schemas.openxmlformats.org/officeDocument/2006/relationships/queryTable" Target="../queryTables/queryTable317.xml"/><Relationship Id="rId96" Type="http://schemas.openxmlformats.org/officeDocument/2006/relationships/queryTable" Target="../queryTables/queryTable338.xml"/><Relationship Id="rId140" Type="http://schemas.openxmlformats.org/officeDocument/2006/relationships/queryTable" Target="../queryTables/queryTable382.xml"/><Relationship Id="rId161" Type="http://schemas.openxmlformats.org/officeDocument/2006/relationships/queryTable" Target="../queryTables/queryTable403.xml"/><Relationship Id="rId182" Type="http://schemas.openxmlformats.org/officeDocument/2006/relationships/queryTable" Target="../queryTables/queryTable424.xml"/><Relationship Id="rId217" Type="http://schemas.openxmlformats.org/officeDocument/2006/relationships/queryTable" Target="../queryTables/queryTable459.xml"/><Relationship Id="rId6" Type="http://schemas.openxmlformats.org/officeDocument/2006/relationships/queryTable" Target="../queryTables/queryTable248.xml"/><Relationship Id="rId238" Type="http://schemas.openxmlformats.org/officeDocument/2006/relationships/queryTable" Target="../queryTables/queryTable480.xml"/><Relationship Id="rId259" Type="http://schemas.openxmlformats.org/officeDocument/2006/relationships/queryTable" Target="../queryTables/queryTable501.xml"/><Relationship Id="rId23" Type="http://schemas.openxmlformats.org/officeDocument/2006/relationships/queryTable" Target="../queryTables/queryTable265.xml"/><Relationship Id="rId119" Type="http://schemas.openxmlformats.org/officeDocument/2006/relationships/queryTable" Target="../queryTables/queryTable361.xml"/><Relationship Id="rId270" Type="http://schemas.openxmlformats.org/officeDocument/2006/relationships/queryTable" Target="../queryTables/queryTable512.xml"/><Relationship Id="rId291" Type="http://schemas.openxmlformats.org/officeDocument/2006/relationships/queryTable" Target="../queryTables/queryTable533.xml"/><Relationship Id="rId305" Type="http://schemas.openxmlformats.org/officeDocument/2006/relationships/queryTable" Target="../queryTables/queryTable547.xml"/><Relationship Id="rId326" Type="http://schemas.openxmlformats.org/officeDocument/2006/relationships/queryTable" Target="../queryTables/queryTable568.xml"/><Relationship Id="rId347" Type="http://schemas.openxmlformats.org/officeDocument/2006/relationships/queryTable" Target="../queryTables/queryTable589.xml"/><Relationship Id="rId44" Type="http://schemas.openxmlformats.org/officeDocument/2006/relationships/queryTable" Target="../queryTables/queryTable286.xml"/><Relationship Id="rId65" Type="http://schemas.openxmlformats.org/officeDocument/2006/relationships/queryTable" Target="../queryTables/queryTable307.xml"/><Relationship Id="rId86" Type="http://schemas.openxmlformats.org/officeDocument/2006/relationships/queryTable" Target="../queryTables/queryTable328.xml"/><Relationship Id="rId130" Type="http://schemas.openxmlformats.org/officeDocument/2006/relationships/queryTable" Target="../queryTables/queryTable372.xml"/><Relationship Id="rId151" Type="http://schemas.openxmlformats.org/officeDocument/2006/relationships/queryTable" Target="../queryTables/queryTable393.xml"/><Relationship Id="rId172" Type="http://schemas.openxmlformats.org/officeDocument/2006/relationships/queryTable" Target="../queryTables/queryTable414.xml"/><Relationship Id="rId193" Type="http://schemas.openxmlformats.org/officeDocument/2006/relationships/queryTable" Target="../queryTables/queryTable435.xml"/><Relationship Id="rId207" Type="http://schemas.openxmlformats.org/officeDocument/2006/relationships/queryTable" Target="../queryTables/queryTable449.xml"/><Relationship Id="rId228" Type="http://schemas.openxmlformats.org/officeDocument/2006/relationships/queryTable" Target="../queryTables/queryTable470.xml"/><Relationship Id="rId249" Type="http://schemas.openxmlformats.org/officeDocument/2006/relationships/queryTable" Target="../queryTables/queryTable491.xml"/><Relationship Id="rId13" Type="http://schemas.openxmlformats.org/officeDocument/2006/relationships/queryTable" Target="../queryTables/queryTable255.xml"/><Relationship Id="rId109" Type="http://schemas.openxmlformats.org/officeDocument/2006/relationships/queryTable" Target="../queryTables/queryTable351.xml"/><Relationship Id="rId260" Type="http://schemas.openxmlformats.org/officeDocument/2006/relationships/queryTable" Target="../queryTables/queryTable502.xml"/><Relationship Id="rId281" Type="http://schemas.openxmlformats.org/officeDocument/2006/relationships/queryTable" Target="../queryTables/queryTable523.xml"/><Relationship Id="rId316" Type="http://schemas.openxmlformats.org/officeDocument/2006/relationships/queryTable" Target="../queryTables/queryTable558.xml"/><Relationship Id="rId337" Type="http://schemas.openxmlformats.org/officeDocument/2006/relationships/queryTable" Target="../queryTables/queryTable579.xml"/><Relationship Id="rId34" Type="http://schemas.openxmlformats.org/officeDocument/2006/relationships/queryTable" Target="../queryTables/queryTable276.xml"/><Relationship Id="rId55" Type="http://schemas.openxmlformats.org/officeDocument/2006/relationships/queryTable" Target="../queryTables/queryTable297.xml"/><Relationship Id="rId76" Type="http://schemas.openxmlformats.org/officeDocument/2006/relationships/queryTable" Target="../queryTables/queryTable318.xml"/><Relationship Id="rId97" Type="http://schemas.openxmlformats.org/officeDocument/2006/relationships/queryTable" Target="../queryTables/queryTable339.xml"/><Relationship Id="rId120" Type="http://schemas.openxmlformats.org/officeDocument/2006/relationships/queryTable" Target="../queryTables/queryTable362.xml"/><Relationship Id="rId141" Type="http://schemas.openxmlformats.org/officeDocument/2006/relationships/queryTable" Target="../queryTables/queryTable383.xml"/><Relationship Id="rId7" Type="http://schemas.openxmlformats.org/officeDocument/2006/relationships/queryTable" Target="../queryTables/queryTable249.xml"/><Relationship Id="rId162" Type="http://schemas.openxmlformats.org/officeDocument/2006/relationships/queryTable" Target="../queryTables/queryTable404.xml"/><Relationship Id="rId183" Type="http://schemas.openxmlformats.org/officeDocument/2006/relationships/queryTable" Target="../queryTables/queryTable425.xml"/><Relationship Id="rId218" Type="http://schemas.openxmlformats.org/officeDocument/2006/relationships/queryTable" Target="../queryTables/queryTable460.xml"/><Relationship Id="rId239" Type="http://schemas.openxmlformats.org/officeDocument/2006/relationships/queryTable" Target="../queryTables/queryTable481.xml"/><Relationship Id="rId250" Type="http://schemas.openxmlformats.org/officeDocument/2006/relationships/queryTable" Target="../queryTables/queryTable492.xml"/><Relationship Id="rId271" Type="http://schemas.openxmlformats.org/officeDocument/2006/relationships/queryTable" Target="../queryTables/queryTable513.xml"/><Relationship Id="rId292" Type="http://schemas.openxmlformats.org/officeDocument/2006/relationships/queryTable" Target="../queryTables/queryTable534.xml"/><Relationship Id="rId306" Type="http://schemas.openxmlformats.org/officeDocument/2006/relationships/queryTable" Target="../queryTables/queryTable548.xml"/><Relationship Id="rId24" Type="http://schemas.openxmlformats.org/officeDocument/2006/relationships/queryTable" Target="../queryTables/queryTable266.xml"/><Relationship Id="rId45" Type="http://schemas.openxmlformats.org/officeDocument/2006/relationships/queryTable" Target="../queryTables/queryTable287.xml"/><Relationship Id="rId66" Type="http://schemas.openxmlformats.org/officeDocument/2006/relationships/queryTable" Target="../queryTables/queryTable308.xml"/><Relationship Id="rId87" Type="http://schemas.openxmlformats.org/officeDocument/2006/relationships/queryTable" Target="../queryTables/queryTable329.xml"/><Relationship Id="rId110" Type="http://schemas.openxmlformats.org/officeDocument/2006/relationships/queryTable" Target="../queryTables/queryTable352.xml"/><Relationship Id="rId131" Type="http://schemas.openxmlformats.org/officeDocument/2006/relationships/queryTable" Target="../queryTables/queryTable373.xml"/><Relationship Id="rId327" Type="http://schemas.openxmlformats.org/officeDocument/2006/relationships/queryTable" Target="../queryTables/queryTable569.xml"/><Relationship Id="rId348" Type="http://schemas.openxmlformats.org/officeDocument/2006/relationships/queryTable" Target="../queryTables/queryTable590.xml"/><Relationship Id="rId152" Type="http://schemas.openxmlformats.org/officeDocument/2006/relationships/queryTable" Target="../queryTables/queryTable394.xml"/><Relationship Id="rId173" Type="http://schemas.openxmlformats.org/officeDocument/2006/relationships/queryTable" Target="../queryTables/queryTable415.xml"/><Relationship Id="rId194" Type="http://schemas.openxmlformats.org/officeDocument/2006/relationships/queryTable" Target="../queryTables/queryTable436.xml"/><Relationship Id="rId208" Type="http://schemas.openxmlformats.org/officeDocument/2006/relationships/queryTable" Target="../queryTables/queryTable450.xml"/><Relationship Id="rId229" Type="http://schemas.openxmlformats.org/officeDocument/2006/relationships/queryTable" Target="../queryTables/queryTable471.xml"/><Relationship Id="rId240" Type="http://schemas.openxmlformats.org/officeDocument/2006/relationships/queryTable" Target="../queryTables/queryTable482.xml"/><Relationship Id="rId261" Type="http://schemas.openxmlformats.org/officeDocument/2006/relationships/queryTable" Target="../queryTables/queryTable503.xml"/><Relationship Id="rId14" Type="http://schemas.openxmlformats.org/officeDocument/2006/relationships/queryTable" Target="../queryTables/queryTable256.xml"/><Relationship Id="rId35" Type="http://schemas.openxmlformats.org/officeDocument/2006/relationships/queryTable" Target="../queryTables/queryTable277.xml"/><Relationship Id="rId56" Type="http://schemas.openxmlformats.org/officeDocument/2006/relationships/queryTable" Target="../queryTables/queryTable298.xml"/><Relationship Id="rId77" Type="http://schemas.openxmlformats.org/officeDocument/2006/relationships/queryTable" Target="../queryTables/queryTable319.xml"/><Relationship Id="rId100" Type="http://schemas.openxmlformats.org/officeDocument/2006/relationships/queryTable" Target="../queryTables/queryTable342.xml"/><Relationship Id="rId282" Type="http://schemas.openxmlformats.org/officeDocument/2006/relationships/queryTable" Target="../queryTables/queryTable524.xml"/><Relationship Id="rId317" Type="http://schemas.openxmlformats.org/officeDocument/2006/relationships/queryTable" Target="../queryTables/queryTable559.xml"/><Relationship Id="rId338" Type="http://schemas.openxmlformats.org/officeDocument/2006/relationships/queryTable" Target="../queryTables/queryTable580.xml"/><Relationship Id="rId8" Type="http://schemas.openxmlformats.org/officeDocument/2006/relationships/queryTable" Target="../queryTables/queryTable250.xml"/><Relationship Id="rId98" Type="http://schemas.openxmlformats.org/officeDocument/2006/relationships/queryTable" Target="../queryTables/queryTable340.xml"/><Relationship Id="rId121" Type="http://schemas.openxmlformats.org/officeDocument/2006/relationships/queryTable" Target="../queryTables/queryTable363.xml"/><Relationship Id="rId142" Type="http://schemas.openxmlformats.org/officeDocument/2006/relationships/queryTable" Target="../queryTables/queryTable384.xml"/><Relationship Id="rId163" Type="http://schemas.openxmlformats.org/officeDocument/2006/relationships/queryTable" Target="../queryTables/queryTable405.xml"/><Relationship Id="rId184" Type="http://schemas.openxmlformats.org/officeDocument/2006/relationships/queryTable" Target="../queryTables/queryTable426.xml"/><Relationship Id="rId219" Type="http://schemas.openxmlformats.org/officeDocument/2006/relationships/queryTable" Target="../queryTables/queryTable461.xml"/><Relationship Id="rId230" Type="http://schemas.openxmlformats.org/officeDocument/2006/relationships/queryTable" Target="../queryTables/queryTable472.xml"/><Relationship Id="rId251" Type="http://schemas.openxmlformats.org/officeDocument/2006/relationships/queryTable" Target="../queryTables/queryTable493.xml"/><Relationship Id="rId25" Type="http://schemas.openxmlformats.org/officeDocument/2006/relationships/queryTable" Target="../queryTables/queryTable267.xml"/><Relationship Id="rId46" Type="http://schemas.openxmlformats.org/officeDocument/2006/relationships/queryTable" Target="../queryTables/queryTable288.xml"/><Relationship Id="rId67" Type="http://schemas.openxmlformats.org/officeDocument/2006/relationships/queryTable" Target="../queryTables/queryTable309.xml"/><Relationship Id="rId272" Type="http://schemas.openxmlformats.org/officeDocument/2006/relationships/queryTable" Target="../queryTables/queryTable514.xml"/><Relationship Id="rId293" Type="http://schemas.openxmlformats.org/officeDocument/2006/relationships/queryTable" Target="../queryTables/queryTable535.xml"/><Relationship Id="rId307" Type="http://schemas.openxmlformats.org/officeDocument/2006/relationships/queryTable" Target="../queryTables/queryTable549.xml"/><Relationship Id="rId328" Type="http://schemas.openxmlformats.org/officeDocument/2006/relationships/queryTable" Target="../queryTables/queryTable570.xml"/><Relationship Id="rId349" Type="http://schemas.openxmlformats.org/officeDocument/2006/relationships/queryTable" Target="../queryTables/queryTable591.xml"/><Relationship Id="rId20" Type="http://schemas.openxmlformats.org/officeDocument/2006/relationships/queryTable" Target="../queryTables/queryTable262.xml"/><Relationship Id="rId41" Type="http://schemas.openxmlformats.org/officeDocument/2006/relationships/queryTable" Target="../queryTables/queryTable283.xml"/><Relationship Id="rId62" Type="http://schemas.openxmlformats.org/officeDocument/2006/relationships/queryTable" Target="../queryTables/queryTable304.xml"/><Relationship Id="rId83" Type="http://schemas.openxmlformats.org/officeDocument/2006/relationships/queryTable" Target="../queryTables/queryTable325.xml"/><Relationship Id="rId88" Type="http://schemas.openxmlformats.org/officeDocument/2006/relationships/queryTable" Target="../queryTables/queryTable330.xml"/><Relationship Id="rId111" Type="http://schemas.openxmlformats.org/officeDocument/2006/relationships/queryTable" Target="../queryTables/queryTable353.xml"/><Relationship Id="rId132" Type="http://schemas.openxmlformats.org/officeDocument/2006/relationships/queryTable" Target="../queryTables/queryTable374.xml"/><Relationship Id="rId153" Type="http://schemas.openxmlformats.org/officeDocument/2006/relationships/queryTable" Target="../queryTables/queryTable395.xml"/><Relationship Id="rId174" Type="http://schemas.openxmlformats.org/officeDocument/2006/relationships/queryTable" Target="../queryTables/queryTable416.xml"/><Relationship Id="rId179" Type="http://schemas.openxmlformats.org/officeDocument/2006/relationships/queryTable" Target="../queryTables/queryTable421.xml"/><Relationship Id="rId195" Type="http://schemas.openxmlformats.org/officeDocument/2006/relationships/queryTable" Target="../queryTables/queryTable437.xml"/><Relationship Id="rId209" Type="http://schemas.openxmlformats.org/officeDocument/2006/relationships/queryTable" Target="../queryTables/queryTable451.xml"/><Relationship Id="rId190" Type="http://schemas.openxmlformats.org/officeDocument/2006/relationships/queryTable" Target="../queryTables/queryTable432.xml"/><Relationship Id="rId204" Type="http://schemas.openxmlformats.org/officeDocument/2006/relationships/queryTable" Target="../queryTables/queryTable446.xml"/><Relationship Id="rId220" Type="http://schemas.openxmlformats.org/officeDocument/2006/relationships/queryTable" Target="../queryTables/queryTable462.xml"/><Relationship Id="rId225" Type="http://schemas.openxmlformats.org/officeDocument/2006/relationships/queryTable" Target="../queryTables/queryTable467.xml"/><Relationship Id="rId241" Type="http://schemas.openxmlformats.org/officeDocument/2006/relationships/queryTable" Target="../queryTables/queryTable483.xml"/><Relationship Id="rId246" Type="http://schemas.openxmlformats.org/officeDocument/2006/relationships/queryTable" Target="../queryTables/queryTable488.xml"/><Relationship Id="rId267" Type="http://schemas.openxmlformats.org/officeDocument/2006/relationships/queryTable" Target="../queryTables/queryTable509.xml"/><Relationship Id="rId288" Type="http://schemas.openxmlformats.org/officeDocument/2006/relationships/queryTable" Target="../queryTables/queryTable530.xml"/><Relationship Id="rId15" Type="http://schemas.openxmlformats.org/officeDocument/2006/relationships/queryTable" Target="../queryTables/queryTable257.xml"/><Relationship Id="rId36" Type="http://schemas.openxmlformats.org/officeDocument/2006/relationships/queryTable" Target="../queryTables/queryTable278.xml"/><Relationship Id="rId57" Type="http://schemas.openxmlformats.org/officeDocument/2006/relationships/queryTable" Target="../queryTables/queryTable299.xml"/><Relationship Id="rId106" Type="http://schemas.openxmlformats.org/officeDocument/2006/relationships/queryTable" Target="../queryTables/queryTable348.xml"/><Relationship Id="rId127" Type="http://schemas.openxmlformats.org/officeDocument/2006/relationships/queryTable" Target="../queryTables/queryTable369.xml"/><Relationship Id="rId262" Type="http://schemas.openxmlformats.org/officeDocument/2006/relationships/queryTable" Target="../queryTables/queryTable504.xml"/><Relationship Id="rId283" Type="http://schemas.openxmlformats.org/officeDocument/2006/relationships/queryTable" Target="../queryTables/queryTable525.xml"/><Relationship Id="rId313" Type="http://schemas.openxmlformats.org/officeDocument/2006/relationships/queryTable" Target="../queryTables/queryTable555.xml"/><Relationship Id="rId318" Type="http://schemas.openxmlformats.org/officeDocument/2006/relationships/queryTable" Target="../queryTables/queryTable560.xml"/><Relationship Id="rId339" Type="http://schemas.openxmlformats.org/officeDocument/2006/relationships/queryTable" Target="../queryTables/queryTable581.xml"/><Relationship Id="rId10" Type="http://schemas.openxmlformats.org/officeDocument/2006/relationships/queryTable" Target="../queryTables/queryTable252.xml"/><Relationship Id="rId31" Type="http://schemas.openxmlformats.org/officeDocument/2006/relationships/queryTable" Target="../queryTables/queryTable273.xml"/><Relationship Id="rId52" Type="http://schemas.openxmlformats.org/officeDocument/2006/relationships/queryTable" Target="../queryTables/queryTable294.xml"/><Relationship Id="rId73" Type="http://schemas.openxmlformats.org/officeDocument/2006/relationships/queryTable" Target="../queryTables/queryTable315.xml"/><Relationship Id="rId78" Type="http://schemas.openxmlformats.org/officeDocument/2006/relationships/queryTable" Target="../queryTables/queryTable320.xml"/><Relationship Id="rId94" Type="http://schemas.openxmlformats.org/officeDocument/2006/relationships/queryTable" Target="../queryTables/queryTable336.xml"/><Relationship Id="rId99" Type="http://schemas.openxmlformats.org/officeDocument/2006/relationships/queryTable" Target="../queryTables/queryTable341.xml"/><Relationship Id="rId101" Type="http://schemas.openxmlformats.org/officeDocument/2006/relationships/queryTable" Target="../queryTables/queryTable343.xml"/><Relationship Id="rId122" Type="http://schemas.openxmlformats.org/officeDocument/2006/relationships/queryTable" Target="../queryTables/queryTable364.xml"/><Relationship Id="rId143" Type="http://schemas.openxmlformats.org/officeDocument/2006/relationships/queryTable" Target="../queryTables/queryTable385.xml"/><Relationship Id="rId148" Type="http://schemas.openxmlformats.org/officeDocument/2006/relationships/queryTable" Target="../queryTables/queryTable390.xml"/><Relationship Id="rId164" Type="http://schemas.openxmlformats.org/officeDocument/2006/relationships/queryTable" Target="../queryTables/queryTable406.xml"/><Relationship Id="rId169" Type="http://schemas.openxmlformats.org/officeDocument/2006/relationships/queryTable" Target="../queryTables/queryTable411.xml"/><Relationship Id="rId185" Type="http://schemas.openxmlformats.org/officeDocument/2006/relationships/queryTable" Target="../queryTables/queryTable427.xml"/><Relationship Id="rId334" Type="http://schemas.openxmlformats.org/officeDocument/2006/relationships/queryTable" Target="../queryTables/queryTable576.xml"/><Relationship Id="rId350" Type="http://schemas.openxmlformats.org/officeDocument/2006/relationships/queryTable" Target="../queryTables/queryTable592.xml"/><Relationship Id="rId4" Type="http://schemas.openxmlformats.org/officeDocument/2006/relationships/queryTable" Target="../queryTables/queryTable246.xml"/><Relationship Id="rId9" Type="http://schemas.openxmlformats.org/officeDocument/2006/relationships/queryTable" Target="../queryTables/queryTable251.xml"/><Relationship Id="rId180" Type="http://schemas.openxmlformats.org/officeDocument/2006/relationships/queryTable" Target="../queryTables/queryTable422.xml"/><Relationship Id="rId210" Type="http://schemas.openxmlformats.org/officeDocument/2006/relationships/queryTable" Target="../queryTables/queryTable452.xml"/><Relationship Id="rId215" Type="http://schemas.openxmlformats.org/officeDocument/2006/relationships/queryTable" Target="../queryTables/queryTable457.xml"/><Relationship Id="rId236" Type="http://schemas.openxmlformats.org/officeDocument/2006/relationships/queryTable" Target="../queryTables/queryTable478.xml"/><Relationship Id="rId257" Type="http://schemas.openxmlformats.org/officeDocument/2006/relationships/queryTable" Target="../queryTables/queryTable499.xml"/><Relationship Id="rId278" Type="http://schemas.openxmlformats.org/officeDocument/2006/relationships/queryTable" Target="../queryTables/queryTable520.xml"/><Relationship Id="rId26" Type="http://schemas.openxmlformats.org/officeDocument/2006/relationships/queryTable" Target="../queryTables/queryTable268.xml"/><Relationship Id="rId231" Type="http://schemas.openxmlformats.org/officeDocument/2006/relationships/queryTable" Target="../queryTables/queryTable473.xml"/><Relationship Id="rId252" Type="http://schemas.openxmlformats.org/officeDocument/2006/relationships/queryTable" Target="../queryTables/queryTable494.xml"/><Relationship Id="rId273" Type="http://schemas.openxmlformats.org/officeDocument/2006/relationships/queryTable" Target="../queryTables/queryTable515.xml"/><Relationship Id="rId294" Type="http://schemas.openxmlformats.org/officeDocument/2006/relationships/queryTable" Target="../queryTables/queryTable536.xml"/><Relationship Id="rId308" Type="http://schemas.openxmlformats.org/officeDocument/2006/relationships/queryTable" Target="../queryTables/queryTable550.xml"/><Relationship Id="rId329" Type="http://schemas.openxmlformats.org/officeDocument/2006/relationships/queryTable" Target="../queryTables/queryTable571.xml"/><Relationship Id="rId47" Type="http://schemas.openxmlformats.org/officeDocument/2006/relationships/queryTable" Target="../queryTables/queryTable289.xml"/><Relationship Id="rId68" Type="http://schemas.openxmlformats.org/officeDocument/2006/relationships/queryTable" Target="../queryTables/queryTable310.xml"/><Relationship Id="rId89" Type="http://schemas.openxmlformats.org/officeDocument/2006/relationships/queryTable" Target="../queryTables/queryTable331.xml"/><Relationship Id="rId112" Type="http://schemas.openxmlformats.org/officeDocument/2006/relationships/queryTable" Target="../queryTables/queryTable354.xml"/><Relationship Id="rId133" Type="http://schemas.openxmlformats.org/officeDocument/2006/relationships/queryTable" Target="../queryTables/queryTable375.xml"/><Relationship Id="rId154" Type="http://schemas.openxmlformats.org/officeDocument/2006/relationships/queryTable" Target="../queryTables/queryTable396.xml"/><Relationship Id="rId175" Type="http://schemas.openxmlformats.org/officeDocument/2006/relationships/queryTable" Target="../queryTables/queryTable417.xml"/><Relationship Id="rId340" Type="http://schemas.openxmlformats.org/officeDocument/2006/relationships/queryTable" Target="../queryTables/queryTable582.xml"/><Relationship Id="rId196" Type="http://schemas.openxmlformats.org/officeDocument/2006/relationships/queryTable" Target="../queryTables/queryTable438.xml"/><Relationship Id="rId200" Type="http://schemas.openxmlformats.org/officeDocument/2006/relationships/queryTable" Target="../queryTables/queryTable442.xml"/><Relationship Id="rId16" Type="http://schemas.openxmlformats.org/officeDocument/2006/relationships/queryTable" Target="../queryTables/queryTable258.xml"/><Relationship Id="rId221" Type="http://schemas.openxmlformats.org/officeDocument/2006/relationships/queryTable" Target="../queryTables/queryTable463.xml"/><Relationship Id="rId242" Type="http://schemas.openxmlformats.org/officeDocument/2006/relationships/queryTable" Target="../queryTables/queryTable484.xml"/><Relationship Id="rId263" Type="http://schemas.openxmlformats.org/officeDocument/2006/relationships/queryTable" Target="../queryTables/queryTable505.xml"/><Relationship Id="rId284" Type="http://schemas.openxmlformats.org/officeDocument/2006/relationships/queryTable" Target="../queryTables/queryTable526.xml"/><Relationship Id="rId319" Type="http://schemas.openxmlformats.org/officeDocument/2006/relationships/queryTable" Target="../queryTables/queryTable561.xml"/><Relationship Id="rId37" Type="http://schemas.openxmlformats.org/officeDocument/2006/relationships/queryTable" Target="../queryTables/queryTable279.xml"/><Relationship Id="rId58" Type="http://schemas.openxmlformats.org/officeDocument/2006/relationships/queryTable" Target="../queryTables/queryTable300.xml"/><Relationship Id="rId79" Type="http://schemas.openxmlformats.org/officeDocument/2006/relationships/queryTable" Target="../queryTables/queryTable321.xml"/><Relationship Id="rId102" Type="http://schemas.openxmlformats.org/officeDocument/2006/relationships/queryTable" Target="../queryTables/queryTable344.xml"/><Relationship Id="rId123" Type="http://schemas.openxmlformats.org/officeDocument/2006/relationships/queryTable" Target="../queryTables/queryTable365.xml"/><Relationship Id="rId144" Type="http://schemas.openxmlformats.org/officeDocument/2006/relationships/queryTable" Target="../queryTables/queryTable386.xml"/><Relationship Id="rId330" Type="http://schemas.openxmlformats.org/officeDocument/2006/relationships/queryTable" Target="../queryTables/queryTable572.xml"/><Relationship Id="rId90" Type="http://schemas.openxmlformats.org/officeDocument/2006/relationships/queryTable" Target="../queryTables/queryTable332.xml"/><Relationship Id="rId165" Type="http://schemas.openxmlformats.org/officeDocument/2006/relationships/queryTable" Target="../queryTables/queryTable407.xml"/><Relationship Id="rId186" Type="http://schemas.openxmlformats.org/officeDocument/2006/relationships/queryTable" Target="../queryTables/queryTable428.xml"/><Relationship Id="rId351" Type="http://schemas.openxmlformats.org/officeDocument/2006/relationships/queryTable" Target="../queryTables/queryTable593.xml"/><Relationship Id="rId211" Type="http://schemas.openxmlformats.org/officeDocument/2006/relationships/queryTable" Target="../queryTables/queryTable453.xml"/><Relationship Id="rId232" Type="http://schemas.openxmlformats.org/officeDocument/2006/relationships/queryTable" Target="../queryTables/queryTable474.xml"/><Relationship Id="rId253" Type="http://schemas.openxmlformats.org/officeDocument/2006/relationships/queryTable" Target="../queryTables/queryTable495.xml"/><Relationship Id="rId274" Type="http://schemas.openxmlformats.org/officeDocument/2006/relationships/queryTable" Target="../queryTables/queryTable516.xml"/><Relationship Id="rId295" Type="http://schemas.openxmlformats.org/officeDocument/2006/relationships/queryTable" Target="../queryTables/queryTable537.xml"/><Relationship Id="rId309" Type="http://schemas.openxmlformats.org/officeDocument/2006/relationships/queryTable" Target="../queryTables/queryTable551.xml"/><Relationship Id="rId27" Type="http://schemas.openxmlformats.org/officeDocument/2006/relationships/queryTable" Target="../queryTables/queryTable269.xml"/><Relationship Id="rId48" Type="http://schemas.openxmlformats.org/officeDocument/2006/relationships/queryTable" Target="../queryTables/queryTable290.xml"/><Relationship Id="rId69" Type="http://schemas.openxmlformats.org/officeDocument/2006/relationships/queryTable" Target="../queryTables/queryTable311.xml"/><Relationship Id="rId113" Type="http://schemas.openxmlformats.org/officeDocument/2006/relationships/queryTable" Target="../queryTables/queryTable355.xml"/><Relationship Id="rId134" Type="http://schemas.openxmlformats.org/officeDocument/2006/relationships/queryTable" Target="../queryTables/queryTable376.xml"/><Relationship Id="rId320" Type="http://schemas.openxmlformats.org/officeDocument/2006/relationships/queryTable" Target="../queryTables/queryTable562.xml"/><Relationship Id="rId80" Type="http://schemas.openxmlformats.org/officeDocument/2006/relationships/queryTable" Target="../queryTables/queryTable322.xml"/><Relationship Id="rId155" Type="http://schemas.openxmlformats.org/officeDocument/2006/relationships/queryTable" Target="../queryTables/queryTable397.xml"/><Relationship Id="rId176" Type="http://schemas.openxmlformats.org/officeDocument/2006/relationships/queryTable" Target="../queryTables/queryTable418.xml"/><Relationship Id="rId197" Type="http://schemas.openxmlformats.org/officeDocument/2006/relationships/queryTable" Target="../queryTables/queryTable439.xml"/><Relationship Id="rId341" Type="http://schemas.openxmlformats.org/officeDocument/2006/relationships/queryTable" Target="../queryTables/queryTable583.xml"/><Relationship Id="rId201" Type="http://schemas.openxmlformats.org/officeDocument/2006/relationships/queryTable" Target="../queryTables/queryTable443.xml"/><Relationship Id="rId222" Type="http://schemas.openxmlformats.org/officeDocument/2006/relationships/queryTable" Target="../queryTables/queryTable464.xml"/><Relationship Id="rId243" Type="http://schemas.openxmlformats.org/officeDocument/2006/relationships/queryTable" Target="../queryTables/queryTable485.xml"/><Relationship Id="rId264" Type="http://schemas.openxmlformats.org/officeDocument/2006/relationships/queryTable" Target="../queryTables/queryTable506.xml"/><Relationship Id="rId285" Type="http://schemas.openxmlformats.org/officeDocument/2006/relationships/queryTable" Target="../queryTables/queryTable527.xml"/><Relationship Id="rId17" Type="http://schemas.openxmlformats.org/officeDocument/2006/relationships/queryTable" Target="../queryTables/queryTable259.xml"/><Relationship Id="rId38" Type="http://schemas.openxmlformats.org/officeDocument/2006/relationships/queryTable" Target="../queryTables/queryTable280.xml"/><Relationship Id="rId59" Type="http://schemas.openxmlformats.org/officeDocument/2006/relationships/queryTable" Target="../queryTables/queryTable301.xml"/><Relationship Id="rId103" Type="http://schemas.openxmlformats.org/officeDocument/2006/relationships/queryTable" Target="../queryTables/queryTable345.xml"/><Relationship Id="rId124" Type="http://schemas.openxmlformats.org/officeDocument/2006/relationships/queryTable" Target="../queryTables/queryTable366.xml"/><Relationship Id="rId310" Type="http://schemas.openxmlformats.org/officeDocument/2006/relationships/queryTable" Target="../queryTables/queryTable552.xml"/><Relationship Id="rId70" Type="http://schemas.openxmlformats.org/officeDocument/2006/relationships/queryTable" Target="../queryTables/queryTable312.xml"/><Relationship Id="rId91" Type="http://schemas.openxmlformats.org/officeDocument/2006/relationships/queryTable" Target="../queryTables/queryTable333.xml"/><Relationship Id="rId145" Type="http://schemas.openxmlformats.org/officeDocument/2006/relationships/queryTable" Target="../queryTables/queryTable387.xml"/><Relationship Id="rId166" Type="http://schemas.openxmlformats.org/officeDocument/2006/relationships/queryTable" Target="../queryTables/queryTable408.xml"/><Relationship Id="rId187" Type="http://schemas.openxmlformats.org/officeDocument/2006/relationships/queryTable" Target="../queryTables/queryTable429.xml"/><Relationship Id="rId331" Type="http://schemas.openxmlformats.org/officeDocument/2006/relationships/queryTable" Target="../queryTables/queryTable573.xml"/><Relationship Id="rId352" Type="http://schemas.openxmlformats.org/officeDocument/2006/relationships/queryTable" Target="../queryTables/queryTable594.xml"/><Relationship Id="rId1" Type="http://schemas.openxmlformats.org/officeDocument/2006/relationships/printerSettings" Target="../printerSettings/printerSettings3.bin"/><Relationship Id="rId212" Type="http://schemas.openxmlformats.org/officeDocument/2006/relationships/queryTable" Target="../queryTables/queryTable454.xml"/><Relationship Id="rId233" Type="http://schemas.openxmlformats.org/officeDocument/2006/relationships/queryTable" Target="../queryTables/queryTable475.xml"/><Relationship Id="rId254" Type="http://schemas.openxmlformats.org/officeDocument/2006/relationships/queryTable" Target="../queryTables/queryTable496.xml"/><Relationship Id="rId28" Type="http://schemas.openxmlformats.org/officeDocument/2006/relationships/queryTable" Target="../queryTables/queryTable270.xml"/><Relationship Id="rId49" Type="http://schemas.openxmlformats.org/officeDocument/2006/relationships/queryTable" Target="../queryTables/queryTable291.xml"/><Relationship Id="rId114" Type="http://schemas.openxmlformats.org/officeDocument/2006/relationships/queryTable" Target="../queryTables/queryTable356.xml"/><Relationship Id="rId275" Type="http://schemas.openxmlformats.org/officeDocument/2006/relationships/queryTable" Target="../queryTables/queryTable517.xml"/><Relationship Id="rId296" Type="http://schemas.openxmlformats.org/officeDocument/2006/relationships/queryTable" Target="../queryTables/queryTable538.xml"/><Relationship Id="rId300" Type="http://schemas.openxmlformats.org/officeDocument/2006/relationships/queryTable" Target="../queryTables/queryTable542.xml"/><Relationship Id="rId60" Type="http://schemas.openxmlformats.org/officeDocument/2006/relationships/queryTable" Target="../queryTables/queryTable302.xml"/><Relationship Id="rId81" Type="http://schemas.openxmlformats.org/officeDocument/2006/relationships/queryTable" Target="../queryTables/queryTable323.xml"/><Relationship Id="rId135" Type="http://schemas.openxmlformats.org/officeDocument/2006/relationships/queryTable" Target="../queryTables/queryTable377.xml"/><Relationship Id="rId156" Type="http://schemas.openxmlformats.org/officeDocument/2006/relationships/queryTable" Target="../queryTables/queryTable398.xml"/><Relationship Id="rId177" Type="http://schemas.openxmlformats.org/officeDocument/2006/relationships/queryTable" Target="../queryTables/queryTable419.xml"/><Relationship Id="rId198" Type="http://schemas.openxmlformats.org/officeDocument/2006/relationships/queryTable" Target="../queryTables/queryTable440.xml"/><Relationship Id="rId321" Type="http://schemas.openxmlformats.org/officeDocument/2006/relationships/queryTable" Target="../queryTables/queryTable563.xml"/><Relationship Id="rId342" Type="http://schemas.openxmlformats.org/officeDocument/2006/relationships/queryTable" Target="../queryTables/queryTable584.xml"/><Relationship Id="rId202" Type="http://schemas.openxmlformats.org/officeDocument/2006/relationships/queryTable" Target="../queryTables/queryTable444.xml"/><Relationship Id="rId223" Type="http://schemas.openxmlformats.org/officeDocument/2006/relationships/queryTable" Target="../queryTables/queryTable465.xml"/><Relationship Id="rId244" Type="http://schemas.openxmlformats.org/officeDocument/2006/relationships/queryTable" Target="../queryTables/queryTable486.xml"/><Relationship Id="rId18" Type="http://schemas.openxmlformats.org/officeDocument/2006/relationships/queryTable" Target="../queryTables/queryTable260.xml"/><Relationship Id="rId39" Type="http://schemas.openxmlformats.org/officeDocument/2006/relationships/queryTable" Target="../queryTables/queryTable281.xml"/><Relationship Id="rId265" Type="http://schemas.openxmlformats.org/officeDocument/2006/relationships/queryTable" Target="../queryTables/queryTable507.xml"/><Relationship Id="rId286" Type="http://schemas.openxmlformats.org/officeDocument/2006/relationships/queryTable" Target="../queryTables/queryTable528.xml"/><Relationship Id="rId50" Type="http://schemas.openxmlformats.org/officeDocument/2006/relationships/queryTable" Target="../queryTables/queryTable292.xml"/><Relationship Id="rId104" Type="http://schemas.openxmlformats.org/officeDocument/2006/relationships/queryTable" Target="../queryTables/queryTable346.xml"/><Relationship Id="rId125" Type="http://schemas.openxmlformats.org/officeDocument/2006/relationships/queryTable" Target="../queryTables/queryTable367.xml"/><Relationship Id="rId146" Type="http://schemas.openxmlformats.org/officeDocument/2006/relationships/queryTable" Target="../queryTables/queryTable388.xml"/><Relationship Id="rId167" Type="http://schemas.openxmlformats.org/officeDocument/2006/relationships/queryTable" Target="../queryTables/queryTable409.xml"/><Relationship Id="rId188" Type="http://schemas.openxmlformats.org/officeDocument/2006/relationships/queryTable" Target="../queryTables/queryTable430.xml"/><Relationship Id="rId311" Type="http://schemas.openxmlformats.org/officeDocument/2006/relationships/queryTable" Target="../queryTables/queryTable553.xml"/><Relationship Id="rId332" Type="http://schemas.openxmlformats.org/officeDocument/2006/relationships/queryTable" Target="../queryTables/queryTable574.xml"/><Relationship Id="rId71" Type="http://schemas.openxmlformats.org/officeDocument/2006/relationships/queryTable" Target="../queryTables/queryTable313.xml"/><Relationship Id="rId92" Type="http://schemas.openxmlformats.org/officeDocument/2006/relationships/queryTable" Target="../queryTables/queryTable334.xml"/><Relationship Id="rId213" Type="http://schemas.openxmlformats.org/officeDocument/2006/relationships/queryTable" Target="../queryTables/queryTable455.xml"/><Relationship Id="rId234" Type="http://schemas.openxmlformats.org/officeDocument/2006/relationships/queryTable" Target="../queryTables/queryTable476.xml"/><Relationship Id="rId2" Type="http://schemas.openxmlformats.org/officeDocument/2006/relationships/vmlDrawing" Target="../drawings/vmlDrawing2.vml"/><Relationship Id="rId29" Type="http://schemas.openxmlformats.org/officeDocument/2006/relationships/queryTable" Target="../queryTables/queryTable271.xml"/><Relationship Id="rId255" Type="http://schemas.openxmlformats.org/officeDocument/2006/relationships/queryTable" Target="../queryTables/queryTable497.xml"/><Relationship Id="rId276" Type="http://schemas.openxmlformats.org/officeDocument/2006/relationships/queryTable" Target="../queryTables/queryTable518.xml"/><Relationship Id="rId297" Type="http://schemas.openxmlformats.org/officeDocument/2006/relationships/queryTable" Target="../queryTables/queryTable539.xml"/><Relationship Id="rId40" Type="http://schemas.openxmlformats.org/officeDocument/2006/relationships/queryTable" Target="../queryTables/queryTable282.xml"/><Relationship Id="rId115" Type="http://schemas.openxmlformats.org/officeDocument/2006/relationships/queryTable" Target="../queryTables/queryTable357.xml"/><Relationship Id="rId136" Type="http://schemas.openxmlformats.org/officeDocument/2006/relationships/queryTable" Target="../queryTables/queryTable378.xml"/><Relationship Id="rId157" Type="http://schemas.openxmlformats.org/officeDocument/2006/relationships/queryTable" Target="../queryTables/queryTable399.xml"/><Relationship Id="rId178" Type="http://schemas.openxmlformats.org/officeDocument/2006/relationships/queryTable" Target="../queryTables/queryTable420.xml"/><Relationship Id="rId301" Type="http://schemas.openxmlformats.org/officeDocument/2006/relationships/queryTable" Target="../queryTables/queryTable543.xml"/><Relationship Id="rId322" Type="http://schemas.openxmlformats.org/officeDocument/2006/relationships/queryTable" Target="../queryTables/queryTable564.xml"/><Relationship Id="rId343" Type="http://schemas.openxmlformats.org/officeDocument/2006/relationships/queryTable" Target="../queryTables/queryTable585.xml"/><Relationship Id="rId61" Type="http://schemas.openxmlformats.org/officeDocument/2006/relationships/queryTable" Target="../queryTables/queryTable303.xml"/><Relationship Id="rId82" Type="http://schemas.openxmlformats.org/officeDocument/2006/relationships/queryTable" Target="../queryTables/queryTable324.xml"/><Relationship Id="rId199" Type="http://schemas.openxmlformats.org/officeDocument/2006/relationships/queryTable" Target="../queryTables/queryTable441.xml"/><Relationship Id="rId203" Type="http://schemas.openxmlformats.org/officeDocument/2006/relationships/queryTable" Target="../queryTables/queryTable445.xml"/><Relationship Id="rId19" Type="http://schemas.openxmlformats.org/officeDocument/2006/relationships/queryTable" Target="../queryTables/queryTable261.xml"/><Relationship Id="rId224" Type="http://schemas.openxmlformats.org/officeDocument/2006/relationships/queryTable" Target="../queryTables/queryTable466.xml"/><Relationship Id="rId245" Type="http://schemas.openxmlformats.org/officeDocument/2006/relationships/queryTable" Target="../queryTables/queryTable487.xml"/><Relationship Id="rId266" Type="http://schemas.openxmlformats.org/officeDocument/2006/relationships/queryTable" Target="../queryTables/queryTable508.xml"/><Relationship Id="rId287" Type="http://schemas.openxmlformats.org/officeDocument/2006/relationships/queryTable" Target="../queryTables/queryTable529.xml"/><Relationship Id="rId30" Type="http://schemas.openxmlformats.org/officeDocument/2006/relationships/queryTable" Target="../queryTables/queryTable272.xml"/><Relationship Id="rId105" Type="http://schemas.openxmlformats.org/officeDocument/2006/relationships/queryTable" Target="../queryTables/queryTable347.xml"/><Relationship Id="rId126" Type="http://schemas.openxmlformats.org/officeDocument/2006/relationships/queryTable" Target="../queryTables/queryTable368.xml"/><Relationship Id="rId147" Type="http://schemas.openxmlformats.org/officeDocument/2006/relationships/queryTable" Target="../queryTables/queryTable389.xml"/><Relationship Id="rId168" Type="http://schemas.openxmlformats.org/officeDocument/2006/relationships/queryTable" Target="../queryTables/queryTable410.xml"/><Relationship Id="rId312" Type="http://schemas.openxmlformats.org/officeDocument/2006/relationships/queryTable" Target="../queryTables/queryTable554.xml"/><Relationship Id="rId333" Type="http://schemas.openxmlformats.org/officeDocument/2006/relationships/queryTable" Target="../queryTables/queryTable575.xml"/><Relationship Id="rId51" Type="http://schemas.openxmlformats.org/officeDocument/2006/relationships/queryTable" Target="../queryTables/queryTable293.xml"/><Relationship Id="rId72" Type="http://schemas.openxmlformats.org/officeDocument/2006/relationships/queryTable" Target="../queryTables/queryTable314.xml"/><Relationship Id="rId93" Type="http://schemas.openxmlformats.org/officeDocument/2006/relationships/queryTable" Target="../queryTables/queryTable335.xml"/><Relationship Id="rId189" Type="http://schemas.openxmlformats.org/officeDocument/2006/relationships/queryTable" Target="../queryTables/queryTable431.xml"/><Relationship Id="rId3" Type="http://schemas.openxmlformats.org/officeDocument/2006/relationships/table" Target="../tables/table3.xml"/><Relationship Id="rId214" Type="http://schemas.openxmlformats.org/officeDocument/2006/relationships/queryTable" Target="../queryTables/queryTable456.xml"/><Relationship Id="rId235" Type="http://schemas.openxmlformats.org/officeDocument/2006/relationships/queryTable" Target="../queryTables/queryTable477.xml"/><Relationship Id="rId256" Type="http://schemas.openxmlformats.org/officeDocument/2006/relationships/queryTable" Target="../queryTables/queryTable498.xml"/><Relationship Id="rId277" Type="http://schemas.openxmlformats.org/officeDocument/2006/relationships/queryTable" Target="../queryTables/queryTable519.xml"/><Relationship Id="rId298" Type="http://schemas.openxmlformats.org/officeDocument/2006/relationships/queryTable" Target="../queryTables/queryTable540.xml"/><Relationship Id="rId116" Type="http://schemas.openxmlformats.org/officeDocument/2006/relationships/queryTable" Target="../queryTables/queryTable358.xml"/><Relationship Id="rId137" Type="http://schemas.openxmlformats.org/officeDocument/2006/relationships/queryTable" Target="../queryTables/queryTable379.xml"/><Relationship Id="rId158" Type="http://schemas.openxmlformats.org/officeDocument/2006/relationships/queryTable" Target="../queryTables/queryTable400.xml"/><Relationship Id="rId302" Type="http://schemas.openxmlformats.org/officeDocument/2006/relationships/queryTable" Target="../queryTables/queryTable544.xml"/><Relationship Id="rId323" Type="http://schemas.openxmlformats.org/officeDocument/2006/relationships/queryTable" Target="../queryTables/queryTable565.xml"/><Relationship Id="rId344" Type="http://schemas.openxmlformats.org/officeDocument/2006/relationships/queryTable" Target="../queryTables/queryTable586.xml"/></Relationships>
</file>

<file path=xl/worksheets/_rels/sheet4.xml.rels><?xml version="1.0" encoding="UTF-8" standalone="yes"?>
<Relationships xmlns="http://schemas.openxmlformats.org/package/2006/relationships"><Relationship Id="rId117" Type="http://schemas.openxmlformats.org/officeDocument/2006/relationships/queryTable" Target="../queryTables/queryTable708.xml"/><Relationship Id="rId299" Type="http://schemas.openxmlformats.org/officeDocument/2006/relationships/queryTable" Target="../queryTables/queryTable890.xml"/><Relationship Id="rId21" Type="http://schemas.openxmlformats.org/officeDocument/2006/relationships/queryTable" Target="../queryTables/queryTable612.xml"/><Relationship Id="rId63" Type="http://schemas.openxmlformats.org/officeDocument/2006/relationships/queryTable" Target="../queryTables/queryTable654.xml"/><Relationship Id="rId159" Type="http://schemas.openxmlformats.org/officeDocument/2006/relationships/queryTable" Target="../queryTables/queryTable750.xml"/><Relationship Id="rId324" Type="http://schemas.openxmlformats.org/officeDocument/2006/relationships/queryTable" Target="../queryTables/queryTable915.xml"/><Relationship Id="rId366" Type="http://schemas.openxmlformats.org/officeDocument/2006/relationships/queryTable" Target="../queryTables/queryTable957.xml"/><Relationship Id="rId170" Type="http://schemas.openxmlformats.org/officeDocument/2006/relationships/queryTable" Target="../queryTables/queryTable761.xml"/><Relationship Id="rId226" Type="http://schemas.openxmlformats.org/officeDocument/2006/relationships/queryTable" Target="../queryTables/queryTable817.xml"/><Relationship Id="rId433" Type="http://schemas.openxmlformats.org/officeDocument/2006/relationships/queryTable" Target="../queryTables/queryTable1024.xml"/><Relationship Id="rId268" Type="http://schemas.openxmlformats.org/officeDocument/2006/relationships/queryTable" Target="../queryTables/queryTable859.xml"/><Relationship Id="rId32" Type="http://schemas.openxmlformats.org/officeDocument/2006/relationships/queryTable" Target="../queryTables/queryTable623.xml"/><Relationship Id="rId74" Type="http://schemas.openxmlformats.org/officeDocument/2006/relationships/queryTable" Target="../queryTables/queryTable665.xml"/><Relationship Id="rId128" Type="http://schemas.openxmlformats.org/officeDocument/2006/relationships/queryTable" Target="../queryTables/queryTable719.xml"/><Relationship Id="rId335" Type="http://schemas.openxmlformats.org/officeDocument/2006/relationships/queryTable" Target="../queryTables/queryTable926.xml"/><Relationship Id="rId377" Type="http://schemas.openxmlformats.org/officeDocument/2006/relationships/queryTable" Target="../queryTables/queryTable968.xml"/><Relationship Id="rId5" Type="http://schemas.openxmlformats.org/officeDocument/2006/relationships/queryTable" Target="../queryTables/queryTable596.xml"/><Relationship Id="rId181" Type="http://schemas.openxmlformats.org/officeDocument/2006/relationships/queryTable" Target="../queryTables/queryTable772.xml"/><Relationship Id="rId237" Type="http://schemas.openxmlformats.org/officeDocument/2006/relationships/queryTable" Target="../queryTables/queryTable828.xml"/><Relationship Id="rId402" Type="http://schemas.openxmlformats.org/officeDocument/2006/relationships/queryTable" Target="../queryTables/queryTable993.xml"/><Relationship Id="rId279" Type="http://schemas.openxmlformats.org/officeDocument/2006/relationships/queryTable" Target="../queryTables/queryTable870.xml"/><Relationship Id="rId43" Type="http://schemas.openxmlformats.org/officeDocument/2006/relationships/queryTable" Target="../queryTables/queryTable634.xml"/><Relationship Id="rId139" Type="http://schemas.openxmlformats.org/officeDocument/2006/relationships/queryTable" Target="../queryTables/queryTable730.xml"/><Relationship Id="rId290" Type="http://schemas.openxmlformats.org/officeDocument/2006/relationships/queryTable" Target="../queryTables/queryTable881.xml"/><Relationship Id="rId304" Type="http://schemas.openxmlformats.org/officeDocument/2006/relationships/queryTable" Target="../queryTables/queryTable895.xml"/><Relationship Id="rId346" Type="http://schemas.openxmlformats.org/officeDocument/2006/relationships/queryTable" Target="../queryTables/queryTable937.xml"/><Relationship Id="rId388" Type="http://schemas.openxmlformats.org/officeDocument/2006/relationships/queryTable" Target="../queryTables/queryTable979.xml"/><Relationship Id="rId85" Type="http://schemas.openxmlformats.org/officeDocument/2006/relationships/queryTable" Target="../queryTables/queryTable676.xml"/><Relationship Id="rId150" Type="http://schemas.openxmlformats.org/officeDocument/2006/relationships/queryTable" Target="../queryTables/queryTable741.xml"/><Relationship Id="rId192" Type="http://schemas.openxmlformats.org/officeDocument/2006/relationships/queryTable" Target="../queryTables/queryTable783.xml"/><Relationship Id="rId206" Type="http://schemas.openxmlformats.org/officeDocument/2006/relationships/queryTable" Target="../queryTables/queryTable797.xml"/><Relationship Id="rId413" Type="http://schemas.openxmlformats.org/officeDocument/2006/relationships/queryTable" Target="../queryTables/queryTable1004.xml"/><Relationship Id="rId248" Type="http://schemas.openxmlformats.org/officeDocument/2006/relationships/queryTable" Target="../queryTables/queryTable839.xml"/><Relationship Id="rId12" Type="http://schemas.openxmlformats.org/officeDocument/2006/relationships/queryTable" Target="../queryTables/queryTable603.xml"/><Relationship Id="rId33" Type="http://schemas.openxmlformats.org/officeDocument/2006/relationships/queryTable" Target="../queryTables/queryTable624.xml"/><Relationship Id="rId108" Type="http://schemas.openxmlformats.org/officeDocument/2006/relationships/queryTable" Target="../queryTables/queryTable699.xml"/><Relationship Id="rId129" Type="http://schemas.openxmlformats.org/officeDocument/2006/relationships/queryTable" Target="../queryTables/queryTable720.xml"/><Relationship Id="rId280" Type="http://schemas.openxmlformats.org/officeDocument/2006/relationships/queryTable" Target="../queryTables/queryTable871.xml"/><Relationship Id="rId315" Type="http://schemas.openxmlformats.org/officeDocument/2006/relationships/queryTable" Target="../queryTables/queryTable906.xml"/><Relationship Id="rId336" Type="http://schemas.openxmlformats.org/officeDocument/2006/relationships/queryTable" Target="../queryTables/queryTable927.xml"/><Relationship Id="rId357" Type="http://schemas.openxmlformats.org/officeDocument/2006/relationships/queryTable" Target="../queryTables/queryTable948.xml"/><Relationship Id="rId54" Type="http://schemas.openxmlformats.org/officeDocument/2006/relationships/queryTable" Target="../queryTables/queryTable645.xml"/><Relationship Id="rId75" Type="http://schemas.openxmlformats.org/officeDocument/2006/relationships/queryTable" Target="../queryTables/queryTable666.xml"/><Relationship Id="rId96" Type="http://schemas.openxmlformats.org/officeDocument/2006/relationships/queryTable" Target="../queryTables/queryTable687.xml"/><Relationship Id="rId140" Type="http://schemas.openxmlformats.org/officeDocument/2006/relationships/queryTable" Target="../queryTables/queryTable731.xml"/><Relationship Id="rId161" Type="http://schemas.openxmlformats.org/officeDocument/2006/relationships/queryTable" Target="../queryTables/queryTable752.xml"/><Relationship Id="rId182" Type="http://schemas.openxmlformats.org/officeDocument/2006/relationships/queryTable" Target="../queryTables/queryTable773.xml"/><Relationship Id="rId217" Type="http://schemas.openxmlformats.org/officeDocument/2006/relationships/queryTable" Target="../queryTables/queryTable808.xml"/><Relationship Id="rId378" Type="http://schemas.openxmlformats.org/officeDocument/2006/relationships/queryTable" Target="../queryTables/queryTable969.xml"/><Relationship Id="rId399" Type="http://schemas.openxmlformats.org/officeDocument/2006/relationships/queryTable" Target="../queryTables/queryTable990.xml"/><Relationship Id="rId403" Type="http://schemas.openxmlformats.org/officeDocument/2006/relationships/queryTable" Target="../queryTables/queryTable994.xml"/><Relationship Id="rId6" Type="http://schemas.openxmlformats.org/officeDocument/2006/relationships/queryTable" Target="../queryTables/queryTable597.xml"/><Relationship Id="rId238" Type="http://schemas.openxmlformats.org/officeDocument/2006/relationships/queryTable" Target="../queryTables/queryTable829.xml"/><Relationship Id="rId259" Type="http://schemas.openxmlformats.org/officeDocument/2006/relationships/queryTable" Target="../queryTables/queryTable850.xml"/><Relationship Id="rId424" Type="http://schemas.openxmlformats.org/officeDocument/2006/relationships/queryTable" Target="../queryTables/queryTable1015.xml"/><Relationship Id="rId23" Type="http://schemas.openxmlformats.org/officeDocument/2006/relationships/queryTable" Target="../queryTables/queryTable614.xml"/><Relationship Id="rId119" Type="http://schemas.openxmlformats.org/officeDocument/2006/relationships/queryTable" Target="../queryTables/queryTable710.xml"/><Relationship Id="rId270" Type="http://schemas.openxmlformats.org/officeDocument/2006/relationships/queryTable" Target="../queryTables/queryTable861.xml"/><Relationship Id="rId291" Type="http://schemas.openxmlformats.org/officeDocument/2006/relationships/queryTable" Target="../queryTables/queryTable882.xml"/><Relationship Id="rId305" Type="http://schemas.openxmlformats.org/officeDocument/2006/relationships/queryTable" Target="../queryTables/queryTable896.xml"/><Relationship Id="rId326" Type="http://schemas.openxmlformats.org/officeDocument/2006/relationships/queryTable" Target="../queryTables/queryTable917.xml"/><Relationship Id="rId347" Type="http://schemas.openxmlformats.org/officeDocument/2006/relationships/queryTable" Target="../queryTables/queryTable938.xml"/><Relationship Id="rId44" Type="http://schemas.openxmlformats.org/officeDocument/2006/relationships/queryTable" Target="../queryTables/queryTable635.xml"/><Relationship Id="rId65" Type="http://schemas.openxmlformats.org/officeDocument/2006/relationships/queryTable" Target="../queryTables/queryTable656.xml"/><Relationship Id="rId86" Type="http://schemas.openxmlformats.org/officeDocument/2006/relationships/queryTable" Target="../queryTables/queryTable677.xml"/><Relationship Id="rId130" Type="http://schemas.openxmlformats.org/officeDocument/2006/relationships/queryTable" Target="../queryTables/queryTable721.xml"/><Relationship Id="rId151" Type="http://schemas.openxmlformats.org/officeDocument/2006/relationships/queryTable" Target="../queryTables/queryTable742.xml"/><Relationship Id="rId368" Type="http://schemas.openxmlformats.org/officeDocument/2006/relationships/queryTable" Target="../queryTables/queryTable959.xml"/><Relationship Id="rId389" Type="http://schemas.openxmlformats.org/officeDocument/2006/relationships/queryTable" Target="../queryTables/queryTable980.xml"/><Relationship Id="rId172" Type="http://schemas.openxmlformats.org/officeDocument/2006/relationships/queryTable" Target="../queryTables/queryTable763.xml"/><Relationship Id="rId193" Type="http://schemas.openxmlformats.org/officeDocument/2006/relationships/queryTable" Target="../queryTables/queryTable784.xml"/><Relationship Id="rId207" Type="http://schemas.openxmlformats.org/officeDocument/2006/relationships/queryTable" Target="../queryTables/queryTable798.xml"/><Relationship Id="rId228" Type="http://schemas.openxmlformats.org/officeDocument/2006/relationships/queryTable" Target="../queryTables/queryTable819.xml"/><Relationship Id="rId249" Type="http://schemas.openxmlformats.org/officeDocument/2006/relationships/queryTable" Target="../queryTables/queryTable840.xml"/><Relationship Id="rId414" Type="http://schemas.openxmlformats.org/officeDocument/2006/relationships/queryTable" Target="../queryTables/queryTable1005.xml"/><Relationship Id="rId435" Type="http://schemas.openxmlformats.org/officeDocument/2006/relationships/queryTable" Target="../queryTables/queryTable1026.xml"/><Relationship Id="rId13" Type="http://schemas.openxmlformats.org/officeDocument/2006/relationships/queryTable" Target="../queryTables/queryTable604.xml"/><Relationship Id="rId109" Type="http://schemas.openxmlformats.org/officeDocument/2006/relationships/queryTable" Target="../queryTables/queryTable700.xml"/><Relationship Id="rId260" Type="http://schemas.openxmlformats.org/officeDocument/2006/relationships/queryTable" Target="../queryTables/queryTable851.xml"/><Relationship Id="rId281" Type="http://schemas.openxmlformats.org/officeDocument/2006/relationships/queryTable" Target="../queryTables/queryTable872.xml"/><Relationship Id="rId316" Type="http://schemas.openxmlformats.org/officeDocument/2006/relationships/queryTable" Target="../queryTables/queryTable907.xml"/><Relationship Id="rId337" Type="http://schemas.openxmlformats.org/officeDocument/2006/relationships/queryTable" Target="../queryTables/queryTable928.xml"/><Relationship Id="rId34" Type="http://schemas.openxmlformats.org/officeDocument/2006/relationships/queryTable" Target="../queryTables/queryTable625.xml"/><Relationship Id="rId55" Type="http://schemas.openxmlformats.org/officeDocument/2006/relationships/queryTable" Target="../queryTables/queryTable646.xml"/><Relationship Id="rId76" Type="http://schemas.openxmlformats.org/officeDocument/2006/relationships/queryTable" Target="../queryTables/queryTable667.xml"/><Relationship Id="rId97" Type="http://schemas.openxmlformats.org/officeDocument/2006/relationships/queryTable" Target="../queryTables/queryTable688.xml"/><Relationship Id="rId120" Type="http://schemas.openxmlformats.org/officeDocument/2006/relationships/queryTable" Target="../queryTables/queryTable711.xml"/><Relationship Id="rId141" Type="http://schemas.openxmlformats.org/officeDocument/2006/relationships/queryTable" Target="../queryTables/queryTable732.xml"/><Relationship Id="rId358" Type="http://schemas.openxmlformats.org/officeDocument/2006/relationships/queryTable" Target="../queryTables/queryTable949.xml"/><Relationship Id="rId379" Type="http://schemas.openxmlformats.org/officeDocument/2006/relationships/queryTable" Target="../queryTables/queryTable970.xml"/><Relationship Id="rId7" Type="http://schemas.openxmlformats.org/officeDocument/2006/relationships/queryTable" Target="../queryTables/queryTable598.xml"/><Relationship Id="rId162" Type="http://schemas.openxmlformats.org/officeDocument/2006/relationships/queryTable" Target="../queryTables/queryTable753.xml"/><Relationship Id="rId183" Type="http://schemas.openxmlformats.org/officeDocument/2006/relationships/queryTable" Target="../queryTables/queryTable774.xml"/><Relationship Id="rId218" Type="http://schemas.openxmlformats.org/officeDocument/2006/relationships/queryTable" Target="../queryTables/queryTable809.xml"/><Relationship Id="rId239" Type="http://schemas.openxmlformats.org/officeDocument/2006/relationships/queryTable" Target="../queryTables/queryTable830.xml"/><Relationship Id="rId390" Type="http://schemas.openxmlformats.org/officeDocument/2006/relationships/queryTable" Target="../queryTables/queryTable981.xml"/><Relationship Id="rId404" Type="http://schemas.openxmlformats.org/officeDocument/2006/relationships/queryTable" Target="../queryTables/queryTable995.xml"/><Relationship Id="rId425" Type="http://schemas.openxmlformats.org/officeDocument/2006/relationships/queryTable" Target="../queryTables/queryTable1016.xml"/><Relationship Id="rId250" Type="http://schemas.openxmlformats.org/officeDocument/2006/relationships/queryTable" Target="../queryTables/queryTable841.xml"/><Relationship Id="rId271" Type="http://schemas.openxmlformats.org/officeDocument/2006/relationships/queryTable" Target="../queryTables/queryTable862.xml"/><Relationship Id="rId292" Type="http://schemas.openxmlformats.org/officeDocument/2006/relationships/queryTable" Target="../queryTables/queryTable883.xml"/><Relationship Id="rId306" Type="http://schemas.openxmlformats.org/officeDocument/2006/relationships/queryTable" Target="../queryTables/queryTable897.xml"/><Relationship Id="rId24" Type="http://schemas.openxmlformats.org/officeDocument/2006/relationships/queryTable" Target="../queryTables/queryTable615.xml"/><Relationship Id="rId45" Type="http://schemas.openxmlformats.org/officeDocument/2006/relationships/queryTable" Target="../queryTables/queryTable636.xml"/><Relationship Id="rId66" Type="http://schemas.openxmlformats.org/officeDocument/2006/relationships/queryTable" Target="../queryTables/queryTable657.xml"/><Relationship Id="rId87" Type="http://schemas.openxmlformats.org/officeDocument/2006/relationships/queryTable" Target="../queryTables/queryTable678.xml"/><Relationship Id="rId110" Type="http://schemas.openxmlformats.org/officeDocument/2006/relationships/queryTable" Target="../queryTables/queryTable701.xml"/><Relationship Id="rId131" Type="http://schemas.openxmlformats.org/officeDocument/2006/relationships/queryTable" Target="../queryTables/queryTable722.xml"/><Relationship Id="rId327" Type="http://schemas.openxmlformats.org/officeDocument/2006/relationships/queryTable" Target="../queryTables/queryTable918.xml"/><Relationship Id="rId348" Type="http://schemas.openxmlformats.org/officeDocument/2006/relationships/queryTable" Target="../queryTables/queryTable939.xml"/><Relationship Id="rId369" Type="http://schemas.openxmlformats.org/officeDocument/2006/relationships/queryTable" Target="../queryTables/queryTable960.xml"/><Relationship Id="rId152" Type="http://schemas.openxmlformats.org/officeDocument/2006/relationships/queryTable" Target="../queryTables/queryTable743.xml"/><Relationship Id="rId173" Type="http://schemas.openxmlformats.org/officeDocument/2006/relationships/queryTable" Target="../queryTables/queryTable764.xml"/><Relationship Id="rId194" Type="http://schemas.openxmlformats.org/officeDocument/2006/relationships/queryTable" Target="../queryTables/queryTable785.xml"/><Relationship Id="rId208" Type="http://schemas.openxmlformats.org/officeDocument/2006/relationships/queryTable" Target="../queryTables/queryTable799.xml"/><Relationship Id="rId229" Type="http://schemas.openxmlformats.org/officeDocument/2006/relationships/queryTable" Target="../queryTables/queryTable820.xml"/><Relationship Id="rId380" Type="http://schemas.openxmlformats.org/officeDocument/2006/relationships/queryTable" Target="../queryTables/queryTable971.xml"/><Relationship Id="rId415" Type="http://schemas.openxmlformats.org/officeDocument/2006/relationships/queryTable" Target="../queryTables/queryTable1006.xml"/><Relationship Id="rId436" Type="http://schemas.openxmlformats.org/officeDocument/2006/relationships/queryTable" Target="../queryTables/queryTable1027.xml"/><Relationship Id="rId240" Type="http://schemas.openxmlformats.org/officeDocument/2006/relationships/queryTable" Target="../queryTables/queryTable831.xml"/><Relationship Id="rId261" Type="http://schemas.openxmlformats.org/officeDocument/2006/relationships/queryTable" Target="../queryTables/queryTable852.xml"/><Relationship Id="rId14" Type="http://schemas.openxmlformats.org/officeDocument/2006/relationships/queryTable" Target="../queryTables/queryTable605.xml"/><Relationship Id="rId35" Type="http://schemas.openxmlformats.org/officeDocument/2006/relationships/queryTable" Target="../queryTables/queryTable626.xml"/><Relationship Id="rId56" Type="http://schemas.openxmlformats.org/officeDocument/2006/relationships/queryTable" Target="../queryTables/queryTable647.xml"/><Relationship Id="rId77" Type="http://schemas.openxmlformats.org/officeDocument/2006/relationships/queryTable" Target="../queryTables/queryTable668.xml"/><Relationship Id="rId100" Type="http://schemas.openxmlformats.org/officeDocument/2006/relationships/queryTable" Target="../queryTables/queryTable691.xml"/><Relationship Id="rId282" Type="http://schemas.openxmlformats.org/officeDocument/2006/relationships/queryTable" Target="../queryTables/queryTable873.xml"/><Relationship Id="rId317" Type="http://schemas.openxmlformats.org/officeDocument/2006/relationships/queryTable" Target="../queryTables/queryTable908.xml"/><Relationship Id="rId338" Type="http://schemas.openxmlformats.org/officeDocument/2006/relationships/queryTable" Target="../queryTables/queryTable929.xml"/><Relationship Id="rId359" Type="http://schemas.openxmlformats.org/officeDocument/2006/relationships/queryTable" Target="../queryTables/queryTable950.xml"/><Relationship Id="rId8" Type="http://schemas.openxmlformats.org/officeDocument/2006/relationships/queryTable" Target="../queryTables/queryTable599.xml"/><Relationship Id="rId98" Type="http://schemas.openxmlformats.org/officeDocument/2006/relationships/queryTable" Target="../queryTables/queryTable689.xml"/><Relationship Id="rId121" Type="http://schemas.openxmlformats.org/officeDocument/2006/relationships/queryTable" Target="../queryTables/queryTable712.xml"/><Relationship Id="rId142" Type="http://schemas.openxmlformats.org/officeDocument/2006/relationships/queryTable" Target="../queryTables/queryTable733.xml"/><Relationship Id="rId163" Type="http://schemas.openxmlformats.org/officeDocument/2006/relationships/queryTable" Target="../queryTables/queryTable754.xml"/><Relationship Id="rId184" Type="http://schemas.openxmlformats.org/officeDocument/2006/relationships/queryTable" Target="../queryTables/queryTable775.xml"/><Relationship Id="rId219" Type="http://schemas.openxmlformats.org/officeDocument/2006/relationships/queryTable" Target="../queryTables/queryTable810.xml"/><Relationship Id="rId370" Type="http://schemas.openxmlformats.org/officeDocument/2006/relationships/queryTable" Target="../queryTables/queryTable961.xml"/><Relationship Id="rId391" Type="http://schemas.openxmlformats.org/officeDocument/2006/relationships/queryTable" Target="../queryTables/queryTable982.xml"/><Relationship Id="rId405" Type="http://schemas.openxmlformats.org/officeDocument/2006/relationships/queryTable" Target="../queryTables/queryTable996.xml"/><Relationship Id="rId426" Type="http://schemas.openxmlformats.org/officeDocument/2006/relationships/queryTable" Target="../queryTables/queryTable1017.xml"/><Relationship Id="rId230" Type="http://schemas.openxmlformats.org/officeDocument/2006/relationships/queryTable" Target="../queryTables/queryTable821.xml"/><Relationship Id="rId251" Type="http://schemas.openxmlformats.org/officeDocument/2006/relationships/queryTable" Target="../queryTables/queryTable842.xml"/><Relationship Id="rId25" Type="http://schemas.openxmlformats.org/officeDocument/2006/relationships/queryTable" Target="../queryTables/queryTable616.xml"/><Relationship Id="rId46" Type="http://schemas.openxmlformats.org/officeDocument/2006/relationships/queryTable" Target="../queryTables/queryTable637.xml"/><Relationship Id="rId67" Type="http://schemas.openxmlformats.org/officeDocument/2006/relationships/queryTable" Target="../queryTables/queryTable658.xml"/><Relationship Id="rId272" Type="http://schemas.openxmlformats.org/officeDocument/2006/relationships/queryTable" Target="../queryTables/queryTable863.xml"/><Relationship Id="rId293" Type="http://schemas.openxmlformats.org/officeDocument/2006/relationships/queryTable" Target="../queryTables/queryTable884.xml"/><Relationship Id="rId307" Type="http://schemas.openxmlformats.org/officeDocument/2006/relationships/queryTable" Target="../queryTables/queryTable898.xml"/><Relationship Id="rId328" Type="http://schemas.openxmlformats.org/officeDocument/2006/relationships/queryTable" Target="../queryTables/queryTable919.xml"/><Relationship Id="rId349" Type="http://schemas.openxmlformats.org/officeDocument/2006/relationships/queryTable" Target="../queryTables/queryTable940.xml"/><Relationship Id="rId88" Type="http://schemas.openxmlformats.org/officeDocument/2006/relationships/queryTable" Target="../queryTables/queryTable679.xml"/><Relationship Id="rId111" Type="http://schemas.openxmlformats.org/officeDocument/2006/relationships/queryTable" Target="../queryTables/queryTable702.xml"/><Relationship Id="rId132" Type="http://schemas.openxmlformats.org/officeDocument/2006/relationships/queryTable" Target="../queryTables/queryTable723.xml"/><Relationship Id="rId153" Type="http://schemas.openxmlformats.org/officeDocument/2006/relationships/queryTable" Target="../queryTables/queryTable744.xml"/><Relationship Id="rId174" Type="http://schemas.openxmlformats.org/officeDocument/2006/relationships/queryTable" Target="../queryTables/queryTable765.xml"/><Relationship Id="rId195" Type="http://schemas.openxmlformats.org/officeDocument/2006/relationships/queryTable" Target="../queryTables/queryTable786.xml"/><Relationship Id="rId209" Type="http://schemas.openxmlformats.org/officeDocument/2006/relationships/queryTable" Target="../queryTables/queryTable800.xml"/><Relationship Id="rId360" Type="http://schemas.openxmlformats.org/officeDocument/2006/relationships/queryTable" Target="../queryTables/queryTable951.xml"/><Relationship Id="rId381" Type="http://schemas.openxmlformats.org/officeDocument/2006/relationships/queryTable" Target="../queryTables/queryTable972.xml"/><Relationship Id="rId416" Type="http://schemas.openxmlformats.org/officeDocument/2006/relationships/queryTable" Target="../queryTables/queryTable1007.xml"/><Relationship Id="rId220" Type="http://schemas.openxmlformats.org/officeDocument/2006/relationships/queryTable" Target="../queryTables/queryTable811.xml"/><Relationship Id="rId241" Type="http://schemas.openxmlformats.org/officeDocument/2006/relationships/queryTable" Target="../queryTables/queryTable832.xml"/><Relationship Id="rId437" Type="http://schemas.openxmlformats.org/officeDocument/2006/relationships/queryTable" Target="../queryTables/queryTable1028.xml"/><Relationship Id="rId15" Type="http://schemas.openxmlformats.org/officeDocument/2006/relationships/queryTable" Target="../queryTables/queryTable606.xml"/><Relationship Id="rId36" Type="http://schemas.openxmlformats.org/officeDocument/2006/relationships/queryTable" Target="../queryTables/queryTable627.xml"/><Relationship Id="rId57" Type="http://schemas.openxmlformats.org/officeDocument/2006/relationships/queryTable" Target="../queryTables/queryTable648.xml"/><Relationship Id="rId262" Type="http://schemas.openxmlformats.org/officeDocument/2006/relationships/queryTable" Target="../queryTables/queryTable853.xml"/><Relationship Id="rId283" Type="http://schemas.openxmlformats.org/officeDocument/2006/relationships/queryTable" Target="../queryTables/queryTable874.xml"/><Relationship Id="rId318" Type="http://schemas.openxmlformats.org/officeDocument/2006/relationships/queryTable" Target="../queryTables/queryTable909.xml"/><Relationship Id="rId339" Type="http://schemas.openxmlformats.org/officeDocument/2006/relationships/queryTable" Target="../queryTables/queryTable930.xml"/><Relationship Id="rId78" Type="http://schemas.openxmlformats.org/officeDocument/2006/relationships/queryTable" Target="../queryTables/queryTable669.xml"/><Relationship Id="rId99" Type="http://schemas.openxmlformats.org/officeDocument/2006/relationships/queryTable" Target="../queryTables/queryTable690.xml"/><Relationship Id="rId101" Type="http://schemas.openxmlformats.org/officeDocument/2006/relationships/queryTable" Target="../queryTables/queryTable692.xml"/><Relationship Id="rId122" Type="http://schemas.openxmlformats.org/officeDocument/2006/relationships/queryTable" Target="../queryTables/queryTable713.xml"/><Relationship Id="rId143" Type="http://schemas.openxmlformats.org/officeDocument/2006/relationships/queryTable" Target="../queryTables/queryTable734.xml"/><Relationship Id="rId164" Type="http://schemas.openxmlformats.org/officeDocument/2006/relationships/queryTable" Target="../queryTables/queryTable755.xml"/><Relationship Id="rId185" Type="http://schemas.openxmlformats.org/officeDocument/2006/relationships/queryTable" Target="../queryTables/queryTable776.xml"/><Relationship Id="rId350" Type="http://schemas.openxmlformats.org/officeDocument/2006/relationships/queryTable" Target="../queryTables/queryTable941.xml"/><Relationship Id="rId371" Type="http://schemas.openxmlformats.org/officeDocument/2006/relationships/queryTable" Target="../queryTables/queryTable962.xml"/><Relationship Id="rId406" Type="http://schemas.openxmlformats.org/officeDocument/2006/relationships/queryTable" Target="../queryTables/queryTable997.xml"/><Relationship Id="rId9" Type="http://schemas.openxmlformats.org/officeDocument/2006/relationships/queryTable" Target="../queryTables/queryTable600.xml"/><Relationship Id="rId210" Type="http://schemas.openxmlformats.org/officeDocument/2006/relationships/queryTable" Target="../queryTables/queryTable801.xml"/><Relationship Id="rId392" Type="http://schemas.openxmlformats.org/officeDocument/2006/relationships/queryTable" Target="../queryTables/queryTable983.xml"/><Relationship Id="rId427" Type="http://schemas.openxmlformats.org/officeDocument/2006/relationships/queryTable" Target="../queryTables/queryTable1018.xml"/><Relationship Id="rId26" Type="http://schemas.openxmlformats.org/officeDocument/2006/relationships/queryTable" Target="../queryTables/queryTable617.xml"/><Relationship Id="rId231" Type="http://schemas.openxmlformats.org/officeDocument/2006/relationships/queryTable" Target="../queryTables/queryTable822.xml"/><Relationship Id="rId252" Type="http://schemas.openxmlformats.org/officeDocument/2006/relationships/queryTable" Target="../queryTables/queryTable843.xml"/><Relationship Id="rId273" Type="http://schemas.openxmlformats.org/officeDocument/2006/relationships/queryTable" Target="../queryTables/queryTable864.xml"/><Relationship Id="rId294" Type="http://schemas.openxmlformats.org/officeDocument/2006/relationships/queryTable" Target="../queryTables/queryTable885.xml"/><Relationship Id="rId308" Type="http://schemas.openxmlformats.org/officeDocument/2006/relationships/queryTable" Target="../queryTables/queryTable899.xml"/><Relationship Id="rId329" Type="http://schemas.openxmlformats.org/officeDocument/2006/relationships/queryTable" Target="../queryTables/queryTable920.xml"/><Relationship Id="rId47" Type="http://schemas.openxmlformats.org/officeDocument/2006/relationships/queryTable" Target="../queryTables/queryTable638.xml"/><Relationship Id="rId68" Type="http://schemas.openxmlformats.org/officeDocument/2006/relationships/queryTable" Target="../queryTables/queryTable659.xml"/><Relationship Id="rId89" Type="http://schemas.openxmlformats.org/officeDocument/2006/relationships/queryTable" Target="../queryTables/queryTable680.xml"/><Relationship Id="rId112" Type="http://schemas.openxmlformats.org/officeDocument/2006/relationships/queryTable" Target="../queryTables/queryTable703.xml"/><Relationship Id="rId133" Type="http://schemas.openxmlformats.org/officeDocument/2006/relationships/queryTable" Target="../queryTables/queryTable724.xml"/><Relationship Id="rId154" Type="http://schemas.openxmlformats.org/officeDocument/2006/relationships/queryTable" Target="../queryTables/queryTable745.xml"/><Relationship Id="rId175" Type="http://schemas.openxmlformats.org/officeDocument/2006/relationships/queryTable" Target="../queryTables/queryTable766.xml"/><Relationship Id="rId340" Type="http://schemas.openxmlformats.org/officeDocument/2006/relationships/queryTable" Target="../queryTables/queryTable931.xml"/><Relationship Id="rId361" Type="http://schemas.openxmlformats.org/officeDocument/2006/relationships/queryTable" Target="../queryTables/queryTable952.xml"/><Relationship Id="rId196" Type="http://schemas.openxmlformats.org/officeDocument/2006/relationships/queryTable" Target="../queryTables/queryTable787.xml"/><Relationship Id="rId200" Type="http://schemas.openxmlformats.org/officeDocument/2006/relationships/queryTable" Target="../queryTables/queryTable791.xml"/><Relationship Id="rId382" Type="http://schemas.openxmlformats.org/officeDocument/2006/relationships/queryTable" Target="../queryTables/queryTable973.xml"/><Relationship Id="rId417" Type="http://schemas.openxmlformats.org/officeDocument/2006/relationships/queryTable" Target="../queryTables/queryTable1008.xml"/><Relationship Id="rId438" Type="http://schemas.openxmlformats.org/officeDocument/2006/relationships/queryTable" Target="../queryTables/queryTable1029.xml"/><Relationship Id="rId16" Type="http://schemas.openxmlformats.org/officeDocument/2006/relationships/queryTable" Target="../queryTables/queryTable607.xml"/><Relationship Id="rId221" Type="http://schemas.openxmlformats.org/officeDocument/2006/relationships/queryTable" Target="../queryTables/queryTable812.xml"/><Relationship Id="rId242" Type="http://schemas.openxmlformats.org/officeDocument/2006/relationships/queryTable" Target="../queryTables/queryTable833.xml"/><Relationship Id="rId263" Type="http://schemas.openxmlformats.org/officeDocument/2006/relationships/queryTable" Target="../queryTables/queryTable854.xml"/><Relationship Id="rId284" Type="http://schemas.openxmlformats.org/officeDocument/2006/relationships/queryTable" Target="../queryTables/queryTable875.xml"/><Relationship Id="rId319" Type="http://schemas.openxmlformats.org/officeDocument/2006/relationships/queryTable" Target="../queryTables/queryTable910.xml"/><Relationship Id="rId37" Type="http://schemas.openxmlformats.org/officeDocument/2006/relationships/queryTable" Target="../queryTables/queryTable628.xml"/><Relationship Id="rId58" Type="http://schemas.openxmlformats.org/officeDocument/2006/relationships/queryTable" Target="../queryTables/queryTable649.xml"/><Relationship Id="rId79" Type="http://schemas.openxmlformats.org/officeDocument/2006/relationships/queryTable" Target="../queryTables/queryTable670.xml"/><Relationship Id="rId102" Type="http://schemas.openxmlformats.org/officeDocument/2006/relationships/queryTable" Target="../queryTables/queryTable693.xml"/><Relationship Id="rId123" Type="http://schemas.openxmlformats.org/officeDocument/2006/relationships/queryTable" Target="../queryTables/queryTable714.xml"/><Relationship Id="rId144" Type="http://schemas.openxmlformats.org/officeDocument/2006/relationships/queryTable" Target="../queryTables/queryTable735.xml"/><Relationship Id="rId330" Type="http://schemas.openxmlformats.org/officeDocument/2006/relationships/queryTable" Target="../queryTables/queryTable921.xml"/><Relationship Id="rId90" Type="http://schemas.openxmlformats.org/officeDocument/2006/relationships/queryTable" Target="../queryTables/queryTable681.xml"/><Relationship Id="rId165" Type="http://schemas.openxmlformats.org/officeDocument/2006/relationships/queryTable" Target="../queryTables/queryTable756.xml"/><Relationship Id="rId186" Type="http://schemas.openxmlformats.org/officeDocument/2006/relationships/queryTable" Target="../queryTables/queryTable777.xml"/><Relationship Id="rId351" Type="http://schemas.openxmlformats.org/officeDocument/2006/relationships/queryTable" Target="../queryTables/queryTable942.xml"/><Relationship Id="rId372" Type="http://schemas.openxmlformats.org/officeDocument/2006/relationships/queryTable" Target="../queryTables/queryTable963.xml"/><Relationship Id="rId393" Type="http://schemas.openxmlformats.org/officeDocument/2006/relationships/queryTable" Target="../queryTables/queryTable984.xml"/><Relationship Id="rId407" Type="http://schemas.openxmlformats.org/officeDocument/2006/relationships/queryTable" Target="../queryTables/queryTable998.xml"/><Relationship Id="rId428" Type="http://schemas.openxmlformats.org/officeDocument/2006/relationships/queryTable" Target="../queryTables/queryTable1019.xml"/><Relationship Id="rId211" Type="http://schemas.openxmlformats.org/officeDocument/2006/relationships/queryTable" Target="../queryTables/queryTable802.xml"/><Relationship Id="rId232" Type="http://schemas.openxmlformats.org/officeDocument/2006/relationships/queryTable" Target="../queryTables/queryTable823.xml"/><Relationship Id="rId253" Type="http://schemas.openxmlformats.org/officeDocument/2006/relationships/queryTable" Target="../queryTables/queryTable844.xml"/><Relationship Id="rId274" Type="http://schemas.openxmlformats.org/officeDocument/2006/relationships/queryTable" Target="../queryTables/queryTable865.xml"/><Relationship Id="rId295" Type="http://schemas.openxmlformats.org/officeDocument/2006/relationships/queryTable" Target="../queryTables/queryTable886.xml"/><Relationship Id="rId309" Type="http://schemas.openxmlformats.org/officeDocument/2006/relationships/queryTable" Target="../queryTables/queryTable900.xml"/><Relationship Id="rId27" Type="http://schemas.openxmlformats.org/officeDocument/2006/relationships/queryTable" Target="../queryTables/queryTable618.xml"/><Relationship Id="rId48" Type="http://schemas.openxmlformats.org/officeDocument/2006/relationships/queryTable" Target="../queryTables/queryTable639.xml"/><Relationship Id="rId69" Type="http://schemas.openxmlformats.org/officeDocument/2006/relationships/queryTable" Target="../queryTables/queryTable660.xml"/><Relationship Id="rId113" Type="http://schemas.openxmlformats.org/officeDocument/2006/relationships/queryTable" Target="../queryTables/queryTable704.xml"/><Relationship Id="rId134" Type="http://schemas.openxmlformats.org/officeDocument/2006/relationships/queryTable" Target="../queryTables/queryTable725.xml"/><Relationship Id="rId320" Type="http://schemas.openxmlformats.org/officeDocument/2006/relationships/queryTable" Target="../queryTables/queryTable911.xml"/><Relationship Id="rId80" Type="http://schemas.openxmlformats.org/officeDocument/2006/relationships/queryTable" Target="../queryTables/queryTable671.xml"/><Relationship Id="rId155" Type="http://schemas.openxmlformats.org/officeDocument/2006/relationships/queryTable" Target="../queryTables/queryTable746.xml"/><Relationship Id="rId176" Type="http://schemas.openxmlformats.org/officeDocument/2006/relationships/queryTable" Target="../queryTables/queryTable767.xml"/><Relationship Id="rId197" Type="http://schemas.openxmlformats.org/officeDocument/2006/relationships/queryTable" Target="../queryTables/queryTable788.xml"/><Relationship Id="rId341" Type="http://schemas.openxmlformats.org/officeDocument/2006/relationships/queryTable" Target="../queryTables/queryTable932.xml"/><Relationship Id="rId362" Type="http://schemas.openxmlformats.org/officeDocument/2006/relationships/queryTable" Target="../queryTables/queryTable953.xml"/><Relationship Id="rId383" Type="http://schemas.openxmlformats.org/officeDocument/2006/relationships/queryTable" Target="../queryTables/queryTable974.xml"/><Relationship Id="rId418" Type="http://schemas.openxmlformats.org/officeDocument/2006/relationships/queryTable" Target="../queryTables/queryTable1009.xml"/><Relationship Id="rId439" Type="http://schemas.openxmlformats.org/officeDocument/2006/relationships/queryTable" Target="../queryTables/queryTable1030.xml"/><Relationship Id="rId201" Type="http://schemas.openxmlformats.org/officeDocument/2006/relationships/queryTable" Target="../queryTables/queryTable792.xml"/><Relationship Id="rId222" Type="http://schemas.openxmlformats.org/officeDocument/2006/relationships/queryTable" Target="../queryTables/queryTable813.xml"/><Relationship Id="rId243" Type="http://schemas.openxmlformats.org/officeDocument/2006/relationships/queryTable" Target="../queryTables/queryTable834.xml"/><Relationship Id="rId264" Type="http://schemas.openxmlformats.org/officeDocument/2006/relationships/queryTable" Target="../queryTables/queryTable855.xml"/><Relationship Id="rId285" Type="http://schemas.openxmlformats.org/officeDocument/2006/relationships/queryTable" Target="../queryTables/queryTable876.xml"/><Relationship Id="rId17" Type="http://schemas.openxmlformats.org/officeDocument/2006/relationships/queryTable" Target="../queryTables/queryTable608.xml"/><Relationship Id="rId38" Type="http://schemas.openxmlformats.org/officeDocument/2006/relationships/queryTable" Target="../queryTables/queryTable629.xml"/><Relationship Id="rId59" Type="http://schemas.openxmlformats.org/officeDocument/2006/relationships/queryTable" Target="../queryTables/queryTable650.xml"/><Relationship Id="rId103" Type="http://schemas.openxmlformats.org/officeDocument/2006/relationships/queryTable" Target="../queryTables/queryTable694.xml"/><Relationship Id="rId124" Type="http://schemas.openxmlformats.org/officeDocument/2006/relationships/queryTable" Target="../queryTables/queryTable715.xml"/><Relationship Id="rId310" Type="http://schemas.openxmlformats.org/officeDocument/2006/relationships/queryTable" Target="../queryTables/queryTable901.xml"/><Relationship Id="rId70" Type="http://schemas.openxmlformats.org/officeDocument/2006/relationships/queryTable" Target="../queryTables/queryTable661.xml"/><Relationship Id="rId91" Type="http://schemas.openxmlformats.org/officeDocument/2006/relationships/queryTable" Target="../queryTables/queryTable682.xml"/><Relationship Id="rId145" Type="http://schemas.openxmlformats.org/officeDocument/2006/relationships/queryTable" Target="../queryTables/queryTable736.xml"/><Relationship Id="rId166" Type="http://schemas.openxmlformats.org/officeDocument/2006/relationships/queryTable" Target="../queryTables/queryTable757.xml"/><Relationship Id="rId187" Type="http://schemas.openxmlformats.org/officeDocument/2006/relationships/queryTable" Target="../queryTables/queryTable778.xml"/><Relationship Id="rId331" Type="http://schemas.openxmlformats.org/officeDocument/2006/relationships/queryTable" Target="../queryTables/queryTable922.xml"/><Relationship Id="rId352" Type="http://schemas.openxmlformats.org/officeDocument/2006/relationships/queryTable" Target="../queryTables/queryTable943.xml"/><Relationship Id="rId373" Type="http://schemas.openxmlformats.org/officeDocument/2006/relationships/queryTable" Target="../queryTables/queryTable964.xml"/><Relationship Id="rId394" Type="http://schemas.openxmlformats.org/officeDocument/2006/relationships/queryTable" Target="../queryTables/queryTable985.xml"/><Relationship Id="rId408" Type="http://schemas.openxmlformats.org/officeDocument/2006/relationships/queryTable" Target="../queryTables/queryTable999.xml"/><Relationship Id="rId429" Type="http://schemas.openxmlformats.org/officeDocument/2006/relationships/queryTable" Target="../queryTables/queryTable1020.xml"/><Relationship Id="rId1" Type="http://schemas.openxmlformats.org/officeDocument/2006/relationships/printerSettings" Target="../printerSettings/printerSettings4.bin"/><Relationship Id="rId212" Type="http://schemas.openxmlformats.org/officeDocument/2006/relationships/queryTable" Target="../queryTables/queryTable803.xml"/><Relationship Id="rId233" Type="http://schemas.openxmlformats.org/officeDocument/2006/relationships/queryTable" Target="../queryTables/queryTable824.xml"/><Relationship Id="rId254" Type="http://schemas.openxmlformats.org/officeDocument/2006/relationships/queryTable" Target="../queryTables/queryTable845.xml"/><Relationship Id="rId440" Type="http://schemas.openxmlformats.org/officeDocument/2006/relationships/queryTable" Target="../queryTables/queryTable1031.xml"/><Relationship Id="rId28" Type="http://schemas.openxmlformats.org/officeDocument/2006/relationships/queryTable" Target="../queryTables/queryTable619.xml"/><Relationship Id="rId49" Type="http://schemas.openxmlformats.org/officeDocument/2006/relationships/queryTable" Target="../queryTables/queryTable640.xml"/><Relationship Id="rId114" Type="http://schemas.openxmlformats.org/officeDocument/2006/relationships/queryTable" Target="../queryTables/queryTable705.xml"/><Relationship Id="rId275" Type="http://schemas.openxmlformats.org/officeDocument/2006/relationships/queryTable" Target="../queryTables/queryTable866.xml"/><Relationship Id="rId296" Type="http://schemas.openxmlformats.org/officeDocument/2006/relationships/queryTable" Target="../queryTables/queryTable887.xml"/><Relationship Id="rId300" Type="http://schemas.openxmlformats.org/officeDocument/2006/relationships/queryTable" Target="../queryTables/queryTable891.xml"/><Relationship Id="rId60" Type="http://schemas.openxmlformats.org/officeDocument/2006/relationships/queryTable" Target="../queryTables/queryTable651.xml"/><Relationship Id="rId81" Type="http://schemas.openxmlformats.org/officeDocument/2006/relationships/queryTable" Target="../queryTables/queryTable672.xml"/><Relationship Id="rId135" Type="http://schemas.openxmlformats.org/officeDocument/2006/relationships/queryTable" Target="../queryTables/queryTable726.xml"/><Relationship Id="rId156" Type="http://schemas.openxmlformats.org/officeDocument/2006/relationships/queryTable" Target="../queryTables/queryTable747.xml"/><Relationship Id="rId177" Type="http://schemas.openxmlformats.org/officeDocument/2006/relationships/queryTable" Target="../queryTables/queryTable768.xml"/><Relationship Id="rId198" Type="http://schemas.openxmlformats.org/officeDocument/2006/relationships/queryTable" Target="../queryTables/queryTable789.xml"/><Relationship Id="rId321" Type="http://schemas.openxmlformats.org/officeDocument/2006/relationships/queryTable" Target="../queryTables/queryTable912.xml"/><Relationship Id="rId342" Type="http://schemas.openxmlformats.org/officeDocument/2006/relationships/queryTable" Target="../queryTables/queryTable933.xml"/><Relationship Id="rId363" Type="http://schemas.openxmlformats.org/officeDocument/2006/relationships/queryTable" Target="../queryTables/queryTable954.xml"/><Relationship Id="rId384" Type="http://schemas.openxmlformats.org/officeDocument/2006/relationships/queryTable" Target="../queryTables/queryTable975.xml"/><Relationship Id="rId419" Type="http://schemas.openxmlformats.org/officeDocument/2006/relationships/queryTable" Target="../queryTables/queryTable1010.xml"/><Relationship Id="rId202" Type="http://schemas.openxmlformats.org/officeDocument/2006/relationships/queryTable" Target="../queryTables/queryTable793.xml"/><Relationship Id="rId223" Type="http://schemas.openxmlformats.org/officeDocument/2006/relationships/queryTable" Target="../queryTables/queryTable814.xml"/><Relationship Id="rId244" Type="http://schemas.openxmlformats.org/officeDocument/2006/relationships/queryTable" Target="../queryTables/queryTable835.xml"/><Relationship Id="rId430" Type="http://schemas.openxmlformats.org/officeDocument/2006/relationships/queryTable" Target="../queryTables/queryTable1021.xml"/><Relationship Id="rId18" Type="http://schemas.openxmlformats.org/officeDocument/2006/relationships/queryTable" Target="../queryTables/queryTable609.xml"/><Relationship Id="rId39" Type="http://schemas.openxmlformats.org/officeDocument/2006/relationships/queryTable" Target="../queryTables/queryTable630.xml"/><Relationship Id="rId265" Type="http://schemas.openxmlformats.org/officeDocument/2006/relationships/queryTable" Target="../queryTables/queryTable856.xml"/><Relationship Id="rId286" Type="http://schemas.openxmlformats.org/officeDocument/2006/relationships/queryTable" Target="../queryTables/queryTable877.xml"/><Relationship Id="rId50" Type="http://schemas.openxmlformats.org/officeDocument/2006/relationships/queryTable" Target="../queryTables/queryTable641.xml"/><Relationship Id="rId104" Type="http://schemas.openxmlformats.org/officeDocument/2006/relationships/queryTable" Target="../queryTables/queryTable695.xml"/><Relationship Id="rId125" Type="http://schemas.openxmlformats.org/officeDocument/2006/relationships/queryTable" Target="../queryTables/queryTable716.xml"/><Relationship Id="rId146" Type="http://schemas.openxmlformats.org/officeDocument/2006/relationships/queryTable" Target="../queryTables/queryTable737.xml"/><Relationship Id="rId167" Type="http://schemas.openxmlformats.org/officeDocument/2006/relationships/queryTable" Target="../queryTables/queryTable758.xml"/><Relationship Id="rId188" Type="http://schemas.openxmlformats.org/officeDocument/2006/relationships/queryTable" Target="../queryTables/queryTable779.xml"/><Relationship Id="rId311" Type="http://schemas.openxmlformats.org/officeDocument/2006/relationships/queryTable" Target="../queryTables/queryTable902.xml"/><Relationship Id="rId332" Type="http://schemas.openxmlformats.org/officeDocument/2006/relationships/queryTable" Target="../queryTables/queryTable923.xml"/><Relationship Id="rId353" Type="http://schemas.openxmlformats.org/officeDocument/2006/relationships/queryTable" Target="../queryTables/queryTable944.xml"/><Relationship Id="rId374" Type="http://schemas.openxmlformats.org/officeDocument/2006/relationships/queryTable" Target="../queryTables/queryTable965.xml"/><Relationship Id="rId395" Type="http://schemas.openxmlformats.org/officeDocument/2006/relationships/queryTable" Target="../queryTables/queryTable986.xml"/><Relationship Id="rId409" Type="http://schemas.openxmlformats.org/officeDocument/2006/relationships/queryTable" Target="../queryTables/queryTable1000.xml"/><Relationship Id="rId71" Type="http://schemas.openxmlformats.org/officeDocument/2006/relationships/queryTable" Target="../queryTables/queryTable662.xml"/><Relationship Id="rId92" Type="http://schemas.openxmlformats.org/officeDocument/2006/relationships/queryTable" Target="../queryTables/queryTable683.xml"/><Relationship Id="rId213" Type="http://schemas.openxmlformats.org/officeDocument/2006/relationships/queryTable" Target="../queryTables/queryTable804.xml"/><Relationship Id="rId234" Type="http://schemas.openxmlformats.org/officeDocument/2006/relationships/queryTable" Target="../queryTables/queryTable825.xml"/><Relationship Id="rId420" Type="http://schemas.openxmlformats.org/officeDocument/2006/relationships/queryTable" Target="../queryTables/queryTable1011.xml"/><Relationship Id="rId2" Type="http://schemas.openxmlformats.org/officeDocument/2006/relationships/vmlDrawing" Target="../drawings/vmlDrawing3.vml"/><Relationship Id="rId29" Type="http://schemas.openxmlformats.org/officeDocument/2006/relationships/queryTable" Target="../queryTables/queryTable620.xml"/><Relationship Id="rId255" Type="http://schemas.openxmlformats.org/officeDocument/2006/relationships/queryTable" Target="../queryTables/queryTable846.xml"/><Relationship Id="rId276" Type="http://schemas.openxmlformats.org/officeDocument/2006/relationships/queryTable" Target="../queryTables/queryTable867.xml"/><Relationship Id="rId297" Type="http://schemas.openxmlformats.org/officeDocument/2006/relationships/queryTable" Target="../queryTables/queryTable888.xml"/><Relationship Id="rId40" Type="http://schemas.openxmlformats.org/officeDocument/2006/relationships/queryTable" Target="../queryTables/queryTable631.xml"/><Relationship Id="rId115" Type="http://schemas.openxmlformats.org/officeDocument/2006/relationships/queryTable" Target="../queryTables/queryTable706.xml"/><Relationship Id="rId136" Type="http://schemas.openxmlformats.org/officeDocument/2006/relationships/queryTable" Target="../queryTables/queryTable727.xml"/><Relationship Id="rId157" Type="http://schemas.openxmlformats.org/officeDocument/2006/relationships/queryTable" Target="../queryTables/queryTable748.xml"/><Relationship Id="rId178" Type="http://schemas.openxmlformats.org/officeDocument/2006/relationships/queryTable" Target="../queryTables/queryTable769.xml"/><Relationship Id="rId301" Type="http://schemas.openxmlformats.org/officeDocument/2006/relationships/queryTable" Target="../queryTables/queryTable892.xml"/><Relationship Id="rId322" Type="http://schemas.openxmlformats.org/officeDocument/2006/relationships/queryTable" Target="../queryTables/queryTable913.xml"/><Relationship Id="rId343" Type="http://schemas.openxmlformats.org/officeDocument/2006/relationships/queryTable" Target="../queryTables/queryTable934.xml"/><Relationship Id="rId364" Type="http://schemas.openxmlformats.org/officeDocument/2006/relationships/queryTable" Target="../queryTables/queryTable955.xml"/><Relationship Id="rId61" Type="http://schemas.openxmlformats.org/officeDocument/2006/relationships/queryTable" Target="../queryTables/queryTable652.xml"/><Relationship Id="rId82" Type="http://schemas.openxmlformats.org/officeDocument/2006/relationships/queryTable" Target="../queryTables/queryTable673.xml"/><Relationship Id="rId199" Type="http://schemas.openxmlformats.org/officeDocument/2006/relationships/queryTable" Target="../queryTables/queryTable790.xml"/><Relationship Id="rId203" Type="http://schemas.openxmlformats.org/officeDocument/2006/relationships/queryTable" Target="../queryTables/queryTable794.xml"/><Relationship Id="rId385" Type="http://schemas.openxmlformats.org/officeDocument/2006/relationships/queryTable" Target="../queryTables/queryTable976.xml"/><Relationship Id="rId19" Type="http://schemas.openxmlformats.org/officeDocument/2006/relationships/queryTable" Target="../queryTables/queryTable610.xml"/><Relationship Id="rId224" Type="http://schemas.openxmlformats.org/officeDocument/2006/relationships/queryTable" Target="../queryTables/queryTable815.xml"/><Relationship Id="rId245" Type="http://schemas.openxmlformats.org/officeDocument/2006/relationships/queryTable" Target="../queryTables/queryTable836.xml"/><Relationship Id="rId266" Type="http://schemas.openxmlformats.org/officeDocument/2006/relationships/queryTable" Target="../queryTables/queryTable857.xml"/><Relationship Id="rId287" Type="http://schemas.openxmlformats.org/officeDocument/2006/relationships/queryTable" Target="../queryTables/queryTable878.xml"/><Relationship Id="rId410" Type="http://schemas.openxmlformats.org/officeDocument/2006/relationships/queryTable" Target="../queryTables/queryTable1001.xml"/><Relationship Id="rId431" Type="http://schemas.openxmlformats.org/officeDocument/2006/relationships/queryTable" Target="../queryTables/queryTable1022.xml"/><Relationship Id="rId30" Type="http://schemas.openxmlformats.org/officeDocument/2006/relationships/queryTable" Target="../queryTables/queryTable621.xml"/><Relationship Id="rId105" Type="http://schemas.openxmlformats.org/officeDocument/2006/relationships/queryTable" Target="../queryTables/queryTable696.xml"/><Relationship Id="rId126" Type="http://schemas.openxmlformats.org/officeDocument/2006/relationships/queryTable" Target="../queryTables/queryTable717.xml"/><Relationship Id="rId147" Type="http://schemas.openxmlformats.org/officeDocument/2006/relationships/queryTable" Target="../queryTables/queryTable738.xml"/><Relationship Id="rId168" Type="http://schemas.openxmlformats.org/officeDocument/2006/relationships/queryTable" Target="../queryTables/queryTable759.xml"/><Relationship Id="rId312" Type="http://schemas.openxmlformats.org/officeDocument/2006/relationships/queryTable" Target="../queryTables/queryTable903.xml"/><Relationship Id="rId333" Type="http://schemas.openxmlformats.org/officeDocument/2006/relationships/queryTable" Target="../queryTables/queryTable924.xml"/><Relationship Id="rId354" Type="http://schemas.openxmlformats.org/officeDocument/2006/relationships/queryTable" Target="../queryTables/queryTable945.xml"/><Relationship Id="rId51" Type="http://schemas.openxmlformats.org/officeDocument/2006/relationships/queryTable" Target="../queryTables/queryTable642.xml"/><Relationship Id="rId72" Type="http://schemas.openxmlformats.org/officeDocument/2006/relationships/queryTable" Target="../queryTables/queryTable663.xml"/><Relationship Id="rId93" Type="http://schemas.openxmlformats.org/officeDocument/2006/relationships/queryTable" Target="../queryTables/queryTable684.xml"/><Relationship Id="rId189" Type="http://schemas.openxmlformats.org/officeDocument/2006/relationships/queryTable" Target="../queryTables/queryTable780.xml"/><Relationship Id="rId375" Type="http://schemas.openxmlformats.org/officeDocument/2006/relationships/queryTable" Target="../queryTables/queryTable966.xml"/><Relationship Id="rId396" Type="http://schemas.openxmlformats.org/officeDocument/2006/relationships/queryTable" Target="../queryTables/queryTable987.xml"/><Relationship Id="rId3" Type="http://schemas.openxmlformats.org/officeDocument/2006/relationships/table" Target="../tables/table4.xml"/><Relationship Id="rId214" Type="http://schemas.openxmlformats.org/officeDocument/2006/relationships/queryTable" Target="../queryTables/queryTable805.xml"/><Relationship Id="rId235" Type="http://schemas.openxmlformats.org/officeDocument/2006/relationships/queryTable" Target="../queryTables/queryTable826.xml"/><Relationship Id="rId256" Type="http://schemas.openxmlformats.org/officeDocument/2006/relationships/queryTable" Target="../queryTables/queryTable847.xml"/><Relationship Id="rId277" Type="http://schemas.openxmlformats.org/officeDocument/2006/relationships/queryTable" Target="../queryTables/queryTable868.xml"/><Relationship Id="rId298" Type="http://schemas.openxmlformats.org/officeDocument/2006/relationships/queryTable" Target="../queryTables/queryTable889.xml"/><Relationship Id="rId400" Type="http://schemas.openxmlformats.org/officeDocument/2006/relationships/queryTable" Target="../queryTables/queryTable991.xml"/><Relationship Id="rId421" Type="http://schemas.openxmlformats.org/officeDocument/2006/relationships/queryTable" Target="../queryTables/queryTable1012.xml"/><Relationship Id="rId116" Type="http://schemas.openxmlformats.org/officeDocument/2006/relationships/queryTable" Target="../queryTables/queryTable707.xml"/><Relationship Id="rId137" Type="http://schemas.openxmlformats.org/officeDocument/2006/relationships/queryTable" Target="../queryTables/queryTable728.xml"/><Relationship Id="rId158" Type="http://schemas.openxmlformats.org/officeDocument/2006/relationships/queryTable" Target="../queryTables/queryTable749.xml"/><Relationship Id="rId302" Type="http://schemas.openxmlformats.org/officeDocument/2006/relationships/queryTable" Target="../queryTables/queryTable893.xml"/><Relationship Id="rId323" Type="http://schemas.openxmlformats.org/officeDocument/2006/relationships/queryTable" Target="../queryTables/queryTable914.xml"/><Relationship Id="rId344" Type="http://schemas.openxmlformats.org/officeDocument/2006/relationships/queryTable" Target="../queryTables/queryTable935.xml"/><Relationship Id="rId20" Type="http://schemas.openxmlformats.org/officeDocument/2006/relationships/queryTable" Target="../queryTables/queryTable611.xml"/><Relationship Id="rId41" Type="http://schemas.openxmlformats.org/officeDocument/2006/relationships/queryTable" Target="../queryTables/queryTable632.xml"/><Relationship Id="rId62" Type="http://schemas.openxmlformats.org/officeDocument/2006/relationships/queryTable" Target="../queryTables/queryTable653.xml"/><Relationship Id="rId83" Type="http://schemas.openxmlformats.org/officeDocument/2006/relationships/queryTable" Target="../queryTables/queryTable674.xml"/><Relationship Id="rId179" Type="http://schemas.openxmlformats.org/officeDocument/2006/relationships/queryTable" Target="../queryTables/queryTable770.xml"/><Relationship Id="rId365" Type="http://schemas.openxmlformats.org/officeDocument/2006/relationships/queryTable" Target="../queryTables/queryTable956.xml"/><Relationship Id="rId386" Type="http://schemas.openxmlformats.org/officeDocument/2006/relationships/queryTable" Target="../queryTables/queryTable977.xml"/><Relationship Id="rId190" Type="http://schemas.openxmlformats.org/officeDocument/2006/relationships/queryTable" Target="../queryTables/queryTable781.xml"/><Relationship Id="rId204" Type="http://schemas.openxmlformats.org/officeDocument/2006/relationships/queryTable" Target="../queryTables/queryTable795.xml"/><Relationship Id="rId225" Type="http://schemas.openxmlformats.org/officeDocument/2006/relationships/queryTable" Target="../queryTables/queryTable816.xml"/><Relationship Id="rId246" Type="http://schemas.openxmlformats.org/officeDocument/2006/relationships/queryTable" Target="../queryTables/queryTable837.xml"/><Relationship Id="rId267" Type="http://schemas.openxmlformats.org/officeDocument/2006/relationships/queryTable" Target="../queryTables/queryTable858.xml"/><Relationship Id="rId288" Type="http://schemas.openxmlformats.org/officeDocument/2006/relationships/queryTable" Target="../queryTables/queryTable879.xml"/><Relationship Id="rId411" Type="http://schemas.openxmlformats.org/officeDocument/2006/relationships/queryTable" Target="../queryTables/queryTable1002.xml"/><Relationship Id="rId432" Type="http://schemas.openxmlformats.org/officeDocument/2006/relationships/queryTable" Target="../queryTables/queryTable1023.xml"/><Relationship Id="rId106" Type="http://schemas.openxmlformats.org/officeDocument/2006/relationships/queryTable" Target="../queryTables/queryTable697.xml"/><Relationship Id="rId127" Type="http://schemas.openxmlformats.org/officeDocument/2006/relationships/queryTable" Target="../queryTables/queryTable718.xml"/><Relationship Id="rId313" Type="http://schemas.openxmlformats.org/officeDocument/2006/relationships/queryTable" Target="../queryTables/queryTable904.xml"/><Relationship Id="rId10" Type="http://schemas.openxmlformats.org/officeDocument/2006/relationships/queryTable" Target="../queryTables/queryTable601.xml"/><Relationship Id="rId31" Type="http://schemas.openxmlformats.org/officeDocument/2006/relationships/queryTable" Target="../queryTables/queryTable622.xml"/><Relationship Id="rId52" Type="http://schemas.openxmlformats.org/officeDocument/2006/relationships/queryTable" Target="../queryTables/queryTable643.xml"/><Relationship Id="rId73" Type="http://schemas.openxmlformats.org/officeDocument/2006/relationships/queryTable" Target="../queryTables/queryTable664.xml"/><Relationship Id="rId94" Type="http://schemas.openxmlformats.org/officeDocument/2006/relationships/queryTable" Target="../queryTables/queryTable685.xml"/><Relationship Id="rId148" Type="http://schemas.openxmlformats.org/officeDocument/2006/relationships/queryTable" Target="../queryTables/queryTable739.xml"/><Relationship Id="rId169" Type="http://schemas.openxmlformats.org/officeDocument/2006/relationships/queryTable" Target="../queryTables/queryTable760.xml"/><Relationship Id="rId334" Type="http://schemas.openxmlformats.org/officeDocument/2006/relationships/queryTable" Target="../queryTables/queryTable925.xml"/><Relationship Id="rId355" Type="http://schemas.openxmlformats.org/officeDocument/2006/relationships/queryTable" Target="../queryTables/queryTable946.xml"/><Relationship Id="rId376" Type="http://schemas.openxmlformats.org/officeDocument/2006/relationships/queryTable" Target="../queryTables/queryTable967.xml"/><Relationship Id="rId397" Type="http://schemas.openxmlformats.org/officeDocument/2006/relationships/queryTable" Target="../queryTables/queryTable988.xml"/><Relationship Id="rId4" Type="http://schemas.openxmlformats.org/officeDocument/2006/relationships/queryTable" Target="../queryTables/queryTable595.xml"/><Relationship Id="rId180" Type="http://schemas.openxmlformats.org/officeDocument/2006/relationships/queryTable" Target="../queryTables/queryTable771.xml"/><Relationship Id="rId215" Type="http://schemas.openxmlformats.org/officeDocument/2006/relationships/queryTable" Target="../queryTables/queryTable806.xml"/><Relationship Id="rId236" Type="http://schemas.openxmlformats.org/officeDocument/2006/relationships/queryTable" Target="../queryTables/queryTable827.xml"/><Relationship Id="rId257" Type="http://schemas.openxmlformats.org/officeDocument/2006/relationships/queryTable" Target="../queryTables/queryTable848.xml"/><Relationship Id="rId278" Type="http://schemas.openxmlformats.org/officeDocument/2006/relationships/queryTable" Target="../queryTables/queryTable869.xml"/><Relationship Id="rId401" Type="http://schemas.openxmlformats.org/officeDocument/2006/relationships/queryTable" Target="../queryTables/queryTable992.xml"/><Relationship Id="rId422" Type="http://schemas.openxmlformats.org/officeDocument/2006/relationships/queryTable" Target="../queryTables/queryTable1013.xml"/><Relationship Id="rId303" Type="http://schemas.openxmlformats.org/officeDocument/2006/relationships/queryTable" Target="../queryTables/queryTable894.xml"/><Relationship Id="rId42" Type="http://schemas.openxmlformats.org/officeDocument/2006/relationships/queryTable" Target="../queryTables/queryTable633.xml"/><Relationship Id="rId84" Type="http://schemas.openxmlformats.org/officeDocument/2006/relationships/queryTable" Target="../queryTables/queryTable675.xml"/><Relationship Id="rId138" Type="http://schemas.openxmlformats.org/officeDocument/2006/relationships/queryTable" Target="../queryTables/queryTable729.xml"/><Relationship Id="rId345" Type="http://schemas.openxmlformats.org/officeDocument/2006/relationships/queryTable" Target="../queryTables/queryTable936.xml"/><Relationship Id="rId387" Type="http://schemas.openxmlformats.org/officeDocument/2006/relationships/queryTable" Target="../queryTables/queryTable978.xml"/><Relationship Id="rId191" Type="http://schemas.openxmlformats.org/officeDocument/2006/relationships/queryTable" Target="../queryTables/queryTable782.xml"/><Relationship Id="rId205" Type="http://schemas.openxmlformats.org/officeDocument/2006/relationships/queryTable" Target="../queryTables/queryTable796.xml"/><Relationship Id="rId247" Type="http://schemas.openxmlformats.org/officeDocument/2006/relationships/queryTable" Target="../queryTables/queryTable838.xml"/><Relationship Id="rId412" Type="http://schemas.openxmlformats.org/officeDocument/2006/relationships/queryTable" Target="../queryTables/queryTable1003.xml"/><Relationship Id="rId107" Type="http://schemas.openxmlformats.org/officeDocument/2006/relationships/queryTable" Target="../queryTables/queryTable698.xml"/><Relationship Id="rId289" Type="http://schemas.openxmlformats.org/officeDocument/2006/relationships/queryTable" Target="../queryTables/queryTable880.xml"/><Relationship Id="rId11" Type="http://schemas.openxmlformats.org/officeDocument/2006/relationships/queryTable" Target="../queryTables/queryTable602.xml"/><Relationship Id="rId53" Type="http://schemas.openxmlformats.org/officeDocument/2006/relationships/queryTable" Target="../queryTables/queryTable644.xml"/><Relationship Id="rId149" Type="http://schemas.openxmlformats.org/officeDocument/2006/relationships/queryTable" Target="../queryTables/queryTable740.xml"/><Relationship Id="rId314" Type="http://schemas.openxmlformats.org/officeDocument/2006/relationships/queryTable" Target="../queryTables/queryTable905.xml"/><Relationship Id="rId356" Type="http://schemas.openxmlformats.org/officeDocument/2006/relationships/queryTable" Target="../queryTables/queryTable947.xml"/><Relationship Id="rId398" Type="http://schemas.openxmlformats.org/officeDocument/2006/relationships/queryTable" Target="../queryTables/queryTable989.xml"/><Relationship Id="rId95" Type="http://schemas.openxmlformats.org/officeDocument/2006/relationships/queryTable" Target="../queryTables/queryTable686.xml"/><Relationship Id="rId160" Type="http://schemas.openxmlformats.org/officeDocument/2006/relationships/queryTable" Target="../queryTables/queryTable751.xml"/><Relationship Id="rId216" Type="http://schemas.openxmlformats.org/officeDocument/2006/relationships/queryTable" Target="../queryTables/queryTable807.xml"/><Relationship Id="rId423" Type="http://schemas.openxmlformats.org/officeDocument/2006/relationships/queryTable" Target="../queryTables/queryTable1014.xml"/><Relationship Id="rId258" Type="http://schemas.openxmlformats.org/officeDocument/2006/relationships/queryTable" Target="../queryTables/queryTable849.xml"/><Relationship Id="rId22" Type="http://schemas.openxmlformats.org/officeDocument/2006/relationships/queryTable" Target="../queryTables/queryTable613.xml"/><Relationship Id="rId64" Type="http://schemas.openxmlformats.org/officeDocument/2006/relationships/queryTable" Target="../queryTables/queryTable655.xml"/><Relationship Id="rId118" Type="http://schemas.openxmlformats.org/officeDocument/2006/relationships/queryTable" Target="../queryTables/queryTable709.xml"/><Relationship Id="rId325" Type="http://schemas.openxmlformats.org/officeDocument/2006/relationships/queryTable" Target="../queryTables/queryTable916.xml"/><Relationship Id="rId367" Type="http://schemas.openxmlformats.org/officeDocument/2006/relationships/queryTable" Target="../queryTables/queryTable958.xml"/><Relationship Id="rId171" Type="http://schemas.openxmlformats.org/officeDocument/2006/relationships/queryTable" Target="../queryTables/queryTable762.xml"/><Relationship Id="rId227" Type="http://schemas.openxmlformats.org/officeDocument/2006/relationships/queryTable" Target="../queryTables/queryTable818.xml"/><Relationship Id="rId269" Type="http://schemas.openxmlformats.org/officeDocument/2006/relationships/queryTable" Target="../queryTables/queryTable860.xml"/><Relationship Id="rId434" Type="http://schemas.openxmlformats.org/officeDocument/2006/relationships/queryTable" Target="../queryTables/queryTable1025.xml"/></Relationships>
</file>

<file path=xl/worksheets/_rels/sheet5.xml.rels><?xml version="1.0" encoding="UTF-8" standalone="yes"?>
<Relationships xmlns="http://schemas.openxmlformats.org/package/2006/relationships"><Relationship Id="rId117" Type="http://schemas.openxmlformats.org/officeDocument/2006/relationships/queryTable" Target="../queryTables/queryTable1145.xml"/><Relationship Id="rId299" Type="http://schemas.openxmlformats.org/officeDocument/2006/relationships/queryTable" Target="../queryTables/queryTable1327.xml"/><Relationship Id="rId21" Type="http://schemas.openxmlformats.org/officeDocument/2006/relationships/queryTable" Target="../queryTables/queryTable1049.xml"/><Relationship Id="rId63" Type="http://schemas.openxmlformats.org/officeDocument/2006/relationships/queryTable" Target="../queryTables/queryTable1091.xml"/><Relationship Id="rId159" Type="http://schemas.openxmlformats.org/officeDocument/2006/relationships/queryTable" Target="../queryTables/queryTable1187.xml"/><Relationship Id="rId324" Type="http://schemas.openxmlformats.org/officeDocument/2006/relationships/queryTable" Target="../queryTables/queryTable1352.xml"/><Relationship Id="rId366" Type="http://schemas.openxmlformats.org/officeDocument/2006/relationships/queryTable" Target="../queryTables/queryTable1394.xml"/><Relationship Id="rId170" Type="http://schemas.openxmlformats.org/officeDocument/2006/relationships/queryTable" Target="../queryTables/queryTable1198.xml"/><Relationship Id="rId226" Type="http://schemas.openxmlformats.org/officeDocument/2006/relationships/queryTable" Target="../queryTables/queryTable1254.xml"/><Relationship Id="rId433" Type="http://schemas.openxmlformats.org/officeDocument/2006/relationships/queryTable" Target="../queryTables/queryTable1461.xml"/><Relationship Id="rId268" Type="http://schemas.openxmlformats.org/officeDocument/2006/relationships/queryTable" Target="../queryTables/queryTable1296.xml"/><Relationship Id="rId475" Type="http://schemas.openxmlformats.org/officeDocument/2006/relationships/queryTable" Target="../queryTables/queryTable1503.xml"/><Relationship Id="rId32" Type="http://schemas.openxmlformats.org/officeDocument/2006/relationships/queryTable" Target="../queryTables/queryTable1060.xml"/><Relationship Id="rId74" Type="http://schemas.openxmlformats.org/officeDocument/2006/relationships/queryTable" Target="../queryTables/queryTable1102.xml"/><Relationship Id="rId128" Type="http://schemas.openxmlformats.org/officeDocument/2006/relationships/queryTable" Target="../queryTables/queryTable1156.xml"/><Relationship Id="rId335" Type="http://schemas.openxmlformats.org/officeDocument/2006/relationships/queryTable" Target="../queryTables/queryTable1363.xml"/><Relationship Id="rId377" Type="http://schemas.openxmlformats.org/officeDocument/2006/relationships/queryTable" Target="../queryTables/queryTable1405.xml"/><Relationship Id="rId500" Type="http://schemas.openxmlformats.org/officeDocument/2006/relationships/queryTable" Target="../queryTables/queryTable1528.xml"/><Relationship Id="rId5" Type="http://schemas.openxmlformats.org/officeDocument/2006/relationships/queryTable" Target="../queryTables/queryTable1033.xml"/><Relationship Id="rId181" Type="http://schemas.openxmlformats.org/officeDocument/2006/relationships/queryTable" Target="../queryTables/queryTable1209.xml"/><Relationship Id="rId237" Type="http://schemas.openxmlformats.org/officeDocument/2006/relationships/queryTable" Target="../queryTables/queryTable1265.xml"/><Relationship Id="rId402" Type="http://schemas.openxmlformats.org/officeDocument/2006/relationships/queryTable" Target="../queryTables/queryTable1430.xml"/><Relationship Id="rId279" Type="http://schemas.openxmlformats.org/officeDocument/2006/relationships/queryTable" Target="../queryTables/queryTable1307.xml"/><Relationship Id="rId444" Type="http://schemas.openxmlformats.org/officeDocument/2006/relationships/queryTable" Target="../queryTables/queryTable1472.xml"/><Relationship Id="rId486" Type="http://schemas.openxmlformats.org/officeDocument/2006/relationships/queryTable" Target="../queryTables/queryTable1514.xml"/><Relationship Id="rId43" Type="http://schemas.openxmlformats.org/officeDocument/2006/relationships/queryTable" Target="../queryTables/queryTable1071.xml"/><Relationship Id="rId139" Type="http://schemas.openxmlformats.org/officeDocument/2006/relationships/queryTable" Target="../queryTables/queryTable1167.xml"/><Relationship Id="rId290" Type="http://schemas.openxmlformats.org/officeDocument/2006/relationships/queryTable" Target="../queryTables/queryTable1318.xml"/><Relationship Id="rId304" Type="http://schemas.openxmlformats.org/officeDocument/2006/relationships/queryTable" Target="../queryTables/queryTable1332.xml"/><Relationship Id="rId346" Type="http://schemas.openxmlformats.org/officeDocument/2006/relationships/queryTable" Target="../queryTables/queryTable1374.xml"/><Relationship Id="rId388" Type="http://schemas.openxmlformats.org/officeDocument/2006/relationships/queryTable" Target="../queryTables/queryTable1416.xml"/><Relationship Id="rId85" Type="http://schemas.openxmlformats.org/officeDocument/2006/relationships/queryTable" Target="../queryTables/queryTable1113.xml"/><Relationship Id="rId150" Type="http://schemas.openxmlformats.org/officeDocument/2006/relationships/queryTable" Target="../queryTables/queryTable1178.xml"/><Relationship Id="rId192" Type="http://schemas.openxmlformats.org/officeDocument/2006/relationships/queryTable" Target="../queryTables/queryTable1220.xml"/><Relationship Id="rId206" Type="http://schemas.openxmlformats.org/officeDocument/2006/relationships/queryTable" Target="../queryTables/queryTable1234.xml"/><Relationship Id="rId413" Type="http://schemas.openxmlformats.org/officeDocument/2006/relationships/queryTable" Target="../queryTables/queryTable1441.xml"/><Relationship Id="rId248" Type="http://schemas.openxmlformats.org/officeDocument/2006/relationships/queryTable" Target="../queryTables/queryTable1276.xml"/><Relationship Id="rId455" Type="http://schemas.openxmlformats.org/officeDocument/2006/relationships/queryTable" Target="../queryTables/queryTable1483.xml"/><Relationship Id="rId497" Type="http://schemas.openxmlformats.org/officeDocument/2006/relationships/queryTable" Target="../queryTables/queryTable1525.xml"/><Relationship Id="rId12" Type="http://schemas.openxmlformats.org/officeDocument/2006/relationships/queryTable" Target="../queryTables/queryTable1040.xml"/><Relationship Id="rId108" Type="http://schemas.openxmlformats.org/officeDocument/2006/relationships/queryTable" Target="../queryTables/queryTable1136.xml"/><Relationship Id="rId315" Type="http://schemas.openxmlformats.org/officeDocument/2006/relationships/queryTable" Target="../queryTables/queryTable1343.xml"/><Relationship Id="rId357" Type="http://schemas.openxmlformats.org/officeDocument/2006/relationships/queryTable" Target="../queryTables/queryTable1385.xml"/><Relationship Id="rId54" Type="http://schemas.openxmlformats.org/officeDocument/2006/relationships/queryTable" Target="../queryTables/queryTable1082.xml"/><Relationship Id="rId96" Type="http://schemas.openxmlformats.org/officeDocument/2006/relationships/queryTable" Target="../queryTables/queryTable1124.xml"/><Relationship Id="rId161" Type="http://schemas.openxmlformats.org/officeDocument/2006/relationships/queryTable" Target="../queryTables/queryTable1189.xml"/><Relationship Id="rId217" Type="http://schemas.openxmlformats.org/officeDocument/2006/relationships/queryTable" Target="../queryTables/queryTable1245.xml"/><Relationship Id="rId399" Type="http://schemas.openxmlformats.org/officeDocument/2006/relationships/queryTable" Target="../queryTables/queryTable1427.xml"/><Relationship Id="rId259" Type="http://schemas.openxmlformats.org/officeDocument/2006/relationships/queryTable" Target="../queryTables/queryTable1287.xml"/><Relationship Id="rId424" Type="http://schemas.openxmlformats.org/officeDocument/2006/relationships/queryTable" Target="../queryTables/queryTable1452.xml"/><Relationship Id="rId466" Type="http://schemas.openxmlformats.org/officeDocument/2006/relationships/queryTable" Target="../queryTables/queryTable1494.xml"/><Relationship Id="rId23" Type="http://schemas.openxmlformats.org/officeDocument/2006/relationships/queryTable" Target="../queryTables/queryTable1051.xml"/><Relationship Id="rId119" Type="http://schemas.openxmlformats.org/officeDocument/2006/relationships/queryTable" Target="../queryTables/queryTable1147.xml"/><Relationship Id="rId270" Type="http://schemas.openxmlformats.org/officeDocument/2006/relationships/queryTable" Target="../queryTables/queryTable1298.xml"/><Relationship Id="rId326" Type="http://schemas.openxmlformats.org/officeDocument/2006/relationships/queryTable" Target="../queryTables/queryTable1354.xml"/><Relationship Id="rId65" Type="http://schemas.openxmlformats.org/officeDocument/2006/relationships/queryTable" Target="../queryTables/queryTable1093.xml"/><Relationship Id="rId130" Type="http://schemas.openxmlformats.org/officeDocument/2006/relationships/queryTable" Target="../queryTables/queryTable1158.xml"/><Relationship Id="rId368" Type="http://schemas.openxmlformats.org/officeDocument/2006/relationships/queryTable" Target="../queryTables/queryTable1396.xml"/><Relationship Id="rId172" Type="http://schemas.openxmlformats.org/officeDocument/2006/relationships/queryTable" Target="../queryTables/queryTable1200.xml"/><Relationship Id="rId228" Type="http://schemas.openxmlformats.org/officeDocument/2006/relationships/queryTable" Target="../queryTables/queryTable1256.xml"/><Relationship Id="rId435" Type="http://schemas.openxmlformats.org/officeDocument/2006/relationships/queryTable" Target="../queryTables/queryTable1463.xml"/><Relationship Id="rId477" Type="http://schemas.openxmlformats.org/officeDocument/2006/relationships/queryTable" Target="../queryTables/queryTable1505.xml"/><Relationship Id="rId281" Type="http://schemas.openxmlformats.org/officeDocument/2006/relationships/queryTable" Target="../queryTables/queryTable1309.xml"/><Relationship Id="rId337" Type="http://schemas.openxmlformats.org/officeDocument/2006/relationships/queryTable" Target="../queryTables/queryTable1365.xml"/><Relationship Id="rId502" Type="http://schemas.openxmlformats.org/officeDocument/2006/relationships/queryTable" Target="../queryTables/queryTable1530.xml"/><Relationship Id="rId34" Type="http://schemas.openxmlformats.org/officeDocument/2006/relationships/queryTable" Target="../queryTables/queryTable1062.xml"/><Relationship Id="rId76" Type="http://schemas.openxmlformats.org/officeDocument/2006/relationships/queryTable" Target="../queryTables/queryTable1104.xml"/><Relationship Id="rId141" Type="http://schemas.openxmlformats.org/officeDocument/2006/relationships/queryTable" Target="../queryTables/queryTable1169.xml"/><Relationship Id="rId379" Type="http://schemas.openxmlformats.org/officeDocument/2006/relationships/queryTable" Target="../queryTables/queryTable1407.xml"/><Relationship Id="rId7" Type="http://schemas.openxmlformats.org/officeDocument/2006/relationships/queryTable" Target="../queryTables/queryTable1035.xml"/><Relationship Id="rId183" Type="http://schemas.openxmlformats.org/officeDocument/2006/relationships/queryTable" Target="../queryTables/queryTable1211.xml"/><Relationship Id="rId239" Type="http://schemas.openxmlformats.org/officeDocument/2006/relationships/queryTable" Target="../queryTables/queryTable1267.xml"/><Relationship Id="rId390" Type="http://schemas.openxmlformats.org/officeDocument/2006/relationships/queryTable" Target="../queryTables/queryTable1418.xml"/><Relationship Id="rId404" Type="http://schemas.openxmlformats.org/officeDocument/2006/relationships/queryTable" Target="../queryTables/queryTable1432.xml"/><Relationship Id="rId446" Type="http://schemas.openxmlformats.org/officeDocument/2006/relationships/queryTable" Target="../queryTables/queryTable1474.xml"/><Relationship Id="rId250" Type="http://schemas.openxmlformats.org/officeDocument/2006/relationships/queryTable" Target="../queryTables/queryTable1278.xml"/><Relationship Id="rId292" Type="http://schemas.openxmlformats.org/officeDocument/2006/relationships/queryTable" Target="../queryTables/queryTable1320.xml"/><Relationship Id="rId306" Type="http://schemas.openxmlformats.org/officeDocument/2006/relationships/queryTable" Target="../queryTables/queryTable1334.xml"/><Relationship Id="rId488" Type="http://schemas.openxmlformats.org/officeDocument/2006/relationships/queryTable" Target="../queryTables/queryTable1516.xml"/><Relationship Id="rId45" Type="http://schemas.openxmlformats.org/officeDocument/2006/relationships/queryTable" Target="../queryTables/queryTable1073.xml"/><Relationship Id="rId87" Type="http://schemas.openxmlformats.org/officeDocument/2006/relationships/queryTable" Target="../queryTables/queryTable1115.xml"/><Relationship Id="rId110" Type="http://schemas.openxmlformats.org/officeDocument/2006/relationships/queryTable" Target="../queryTables/queryTable1138.xml"/><Relationship Id="rId348" Type="http://schemas.openxmlformats.org/officeDocument/2006/relationships/queryTable" Target="../queryTables/queryTable1376.xml"/><Relationship Id="rId152" Type="http://schemas.openxmlformats.org/officeDocument/2006/relationships/queryTable" Target="../queryTables/queryTable1180.xml"/><Relationship Id="rId173" Type="http://schemas.openxmlformats.org/officeDocument/2006/relationships/queryTable" Target="../queryTables/queryTable1201.xml"/><Relationship Id="rId194" Type="http://schemas.openxmlformats.org/officeDocument/2006/relationships/queryTable" Target="../queryTables/queryTable1222.xml"/><Relationship Id="rId208" Type="http://schemas.openxmlformats.org/officeDocument/2006/relationships/queryTable" Target="../queryTables/queryTable1236.xml"/><Relationship Id="rId229" Type="http://schemas.openxmlformats.org/officeDocument/2006/relationships/queryTable" Target="../queryTables/queryTable1257.xml"/><Relationship Id="rId380" Type="http://schemas.openxmlformats.org/officeDocument/2006/relationships/queryTable" Target="../queryTables/queryTable1408.xml"/><Relationship Id="rId415" Type="http://schemas.openxmlformats.org/officeDocument/2006/relationships/queryTable" Target="../queryTables/queryTable1443.xml"/><Relationship Id="rId436" Type="http://schemas.openxmlformats.org/officeDocument/2006/relationships/queryTable" Target="../queryTables/queryTable1464.xml"/><Relationship Id="rId457" Type="http://schemas.openxmlformats.org/officeDocument/2006/relationships/queryTable" Target="../queryTables/queryTable1485.xml"/><Relationship Id="rId240" Type="http://schemas.openxmlformats.org/officeDocument/2006/relationships/queryTable" Target="../queryTables/queryTable1268.xml"/><Relationship Id="rId261" Type="http://schemas.openxmlformats.org/officeDocument/2006/relationships/queryTable" Target="../queryTables/queryTable1289.xml"/><Relationship Id="rId478" Type="http://schemas.openxmlformats.org/officeDocument/2006/relationships/queryTable" Target="../queryTables/queryTable1506.xml"/><Relationship Id="rId499" Type="http://schemas.openxmlformats.org/officeDocument/2006/relationships/queryTable" Target="../queryTables/queryTable1527.xml"/><Relationship Id="rId14" Type="http://schemas.openxmlformats.org/officeDocument/2006/relationships/queryTable" Target="../queryTables/queryTable1042.xml"/><Relationship Id="rId35" Type="http://schemas.openxmlformats.org/officeDocument/2006/relationships/queryTable" Target="../queryTables/queryTable1063.xml"/><Relationship Id="rId56" Type="http://schemas.openxmlformats.org/officeDocument/2006/relationships/queryTable" Target="../queryTables/queryTable1084.xml"/><Relationship Id="rId77" Type="http://schemas.openxmlformats.org/officeDocument/2006/relationships/queryTable" Target="../queryTables/queryTable1105.xml"/><Relationship Id="rId100" Type="http://schemas.openxmlformats.org/officeDocument/2006/relationships/queryTable" Target="../queryTables/queryTable1128.xml"/><Relationship Id="rId282" Type="http://schemas.openxmlformats.org/officeDocument/2006/relationships/queryTable" Target="../queryTables/queryTable1310.xml"/><Relationship Id="rId317" Type="http://schemas.openxmlformats.org/officeDocument/2006/relationships/queryTable" Target="../queryTables/queryTable1345.xml"/><Relationship Id="rId338" Type="http://schemas.openxmlformats.org/officeDocument/2006/relationships/queryTable" Target="../queryTables/queryTable1366.xml"/><Relationship Id="rId359" Type="http://schemas.openxmlformats.org/officeDocument/2006/relationships/queryTable" Target="../queryTables/queryTable1387.xml"/><Relationship Id="rId503" Type="http://schemas.openxmlformats.org/officeDocument/2006/relationships/queryTable" Target="../queryTables/queryTable1531.xml"/><Relationship Id="rId8" Type="http://schemas.openxmlformats.org/officeDocument/2006/relationships/queryTable" Target="../queryTables/queryTable1036.xml"/><Relationship Id="rId98" Type="http://schemas.openxmlformats.org/officeDocument/2006/relationships/queryTable" Target="../queryTables/queryTable1126.xml"/><Relationship Id="rId121" Type="http://schemas.openxmlformats.org/officeDocument/2006/relationships/queryTable" Target="../queryTables/queryTable1149.xml"/><Relationship Id="rId142" Type="http://schemas.openxmlformats.org/officeDocument/2006/relationships/queryTable" Target="../queryTables/queryTable1170.xml"/><Relationship Id="rId163" Type="http://schemas.openxmlformats.org/officeDocument/2006/relationships/queryTable" Target="../queryTables/queryTable1191.xml"/><Relationship Id="rId184" Type="http://schemas.openxmlformats.org/officeDocument/2006/relationships/queryTable" Target="../queryTables/queryTable1212.xml"/><Relationship Id="rId219" Type="http://schemas.openxmlformats.org/officeDocument/2006/relationships/queryTable" Target="../queryTables/queryTable1247.xml"/><Relationship Id="rId370" Type="http://schemas.openxmlformats.org/officeDocument/2006/relationships/queryTable" Target="../queryTables/queryTable1398.xml"/><Relationship Id="rId391" Type="http://schemas.openxmlformats.org/officeDocument/2006/relationships/queryTable" Target="../queryTables/queryTable1419.xml"/><Relationship Id="rId405" Type="http://schemas.openxmlformats.org/officeDocument/2006/relationships/queryTable" Target="../queryTables/queryTable1433.xml"/><Relationship Id="rId426" Type="http://schemas.openxmlformats.org/officeDocument/2006/relationships/queryTable" Target="../queryTables/queryTable1454.xml"/><Relationship Id="rId447" Type="http://schemas.openxmlformats.org/officeDocument/2006/relationships/queryTable" Target="../queryTables/queryTable1475.xml"/><Relationship Id="rId230" Type="http://schemas.openxmlformats.org/officeDocument/2006/relationships/queryTable" Target="../queryTables/queryTable1258.xml"/><Relationship Id="rId251" Type="http://schemas.openxmlformats.org/officeDocument/2006/relationships/queryTable" Target="../queryTables/queryTable1279.xml"/><Relationship Id="rId468" Type="http://schemas.openxmlformats.org/officeDocument/2006/relationships/queryTable" Target="../queryTables/queryTable1496.xml"/><Relationship Id="rId489" Type="http://schemas.openxmlformats.org/officeDocument/2006/relationships/queryTable" Target="../queryTables/queryTable1517.xml"/><Relationship Id="rId25" Type="http://schemas.openxmlformats.org/officeDocument/2006/relationships/queryTable" Target="../queryTables/queryTable1053.xml"/><Relationship Id="rId46" Type="http://schemas.openxmlformats.org/officeDocument/2006/relationships/queryTable" Target="../queryTables/queryTable1074.xml"/><Relationship Id="rId67" Type="http://schemas.openxmlformats.org/officeDocument/2006/relationships/queryTable" Target="../queryTables/queryTable1095.xml"/><Relationship Id="rId272" Type="http://schemas.openxmlformats.org/officeDocument/2006/relationships/queryTable" Target="../queryTables/queryTable1300.xml"/><Relationship Id="rId293" Type="http://schemas.openxmlformats.org/officeDocument/2006/relationships/queryTable" Target="../queryTables/queryTable1321.xml"/><Relationship Id="rId307" Type="http://schemas.openxmlformats.org/officeDocument/2006/relationships/queryTable" Target="../queryTables/queryTable1335.xml"/><Relationship Id="rId328" Type="http://schemas.openxmlformats.org/officeDocument/2006/relationships/queryTable" Target="../queryTables/queryTable1356.xml"/><Relationship Id="rId349" Type="http://schemas.openxmlformats.org/officeDocument/2006/relationships/queryTable" Target="../queryTables/queryTable1377.xml"/><Relationship Id="rId88" Type="http://schemas.openxmlformats.org/officeDocument/2006/relationships/queryTable" Target="../queryTables/queryTable1116.xml"/><Relationship Id="rId111" Type="http://schemas.openxmlformats.org/officeDocument/2006/relationships/queryTable" Target="../queryTables/queryTable1139.xml"/><Relationship Id="rId132" Type="http://schemas.openxmlformats.org/officeDocument/2006/relationships/queryTable" Target="../queryTables/queryTable1160.xml"/><Relationship Id="rId153" Type="http://schemas.openxmlformats.org/officeDocument/2006/relationships/queryTable" Target="../queryTables/queryTable1181.xml"/><Relationship Id="rId174" Type="http://schemas.openxmlformats.org/officeDocument/2006/relationships/queryTable" Target="../queryTables/queryTable1202.xml"/><Relationship Id="rId195" Type="http://schemas.openxmlformats.org/officeDocument/2006/relationships/queryTable" Target="../queryTables/queryTable1223.xml"/><Relationship Id="rId209" Type="http://schemas.openxmlformats.org/officeDocument/2006/relationships/queryTable" Target="../queryTables/queryTable1237.xml"/><Relationship Id="rId360" Type="http://schemas.openxmlformats.org/officeDocument/2006/relationships/queryTable" Target="../queryTables/queryTable1388.xml"/><Relationship Id="rId381" Type="http://schemas.openxmlformats.org/officeDocument/2006/relationships/queryTable" Target="../queryTables/queryTable1409.xml"/><Relationship Id="rId416" Type="http://schemas.openxmlformats.org/officeDocument/2006/relationships/queryTable" Target="../queryTables/queryTable1444.xml"/><Relationship Id="rId220" Type="http://schemas.openxmlformats.org/officeDocument/2006/relationships/queryTable" Target="../queryTables/queryTable1248.xml"/><Relationship Id="rId241" Type="http://schemas.openxmlformats.org/officeDocument/2006/relationships/queryTable" Target="../queryTables/queryTable1269.xml"/><Relationship Id="rId437" Type="http://schemas.openxmlformats.org/officeDocument/2006/relationships/queryTable" Target="../queryTables/queryTable1465.xml"/><Relationship Id="rId458" Type="http://schemas.openxmlformats.org/officeDocument/2006/relationships/queryTable" Target="../queryTables/queryTable1486.xml"/><Relationship Id="rId479" Type="http://schemas.openxmlformats.org/officeDocument/2006/relationships/queryTable" Target="../queryTables/queryTable1507.xml"/><Relationship Id="rId15" Type="http://schemas.openxmlformats.org/officeDocument/2006/relationships/queryTable" Target="../queryTables/queryTable1043.xml"/><Relationship Id="rId36" Type="http://schemas.openxmlformats.org/officeDocument/2006/relationships/queryTable" Target="../queryTables/queryTable1064.xml"/><Relationship Id="rId57" Type="http://schemas.openxmlformats.org/officeDocument/2006/relationships/queryTable" Target="../queryTables/queryTable1085.xml"/><Relationship Id="rId262" Type="http://schemas.openxmlformats.org/officeDocument/2006/relationships/queryTable" Target="../queryTables/queryTable1290.xml"/><Relationship Id="rId283" Type="http://schemas.openxmlformats.org/officeDocument/2006/relationships/queryTable" Target="../queryTables/queryTable1311.xml"/><Relationship Id="rId318" Type="http://schemas.openxmlformats.org/officeDocument/2006/relationships/queryTable" Target="../queryTables/queryTable1346.xml"/><Relationship Id="rId339" Type="http://schemas.openxmlformats.org/officeDocument/2006/relationships/queryTable" Target="../queryTables/queryTable1367.xml"/><Relationship Id="rId490" Type="http://schemas.openxmlformats.org/officeDocument/2006/relationships/queryTable" Target="../queryTables/queryTable1518.xml"/><Relationship Id="rId504" Type="http://schemas.openxmlformats.org/officeDocument/2006/relationships/queryTable" Target="../queryTables/queryTable1532.xml"/><Relationship Id="rId78" Type="http://schemas.openxmlformats.org/officeDocument/2006/relationships/queryTable" Target="../queryTables/queryTable1106.xml"/><Relationship Id="rId99" Type="http://schemas.openxmlformats.org/officeDocument/2006/relationships/queryTable" Target="../queryTables/queryTable1127.xml"/><Relationship Id="rId101" Type="http://schemas.openxmlformats.org/officeDocument/2006/relationships/queryTable" Target="../queryTables/queryTable1129.xml"/><Relationship Id="rId122" Type="http://schemas.openxmlformats.org/officeDocument/2006/relationships/queryTable" Target="../queryTables/queryTable1150.xml"/><Relationship Id="rId143" Type="http://schemas.openxmlformats.org/officeDocument/2006/relationships/queryTable" Target="../queryTables/queryTable1171.xml"/><Relationship Id="rId164" Type="http://schemas.openxmlformats.org/officeDocument/2006/relationships/queryTable" Target="../queryTables/queryTable1192.xml"/><Relationship Id="rId185" Type="http://schemas.openxmlformats.org/officeDocument/2006/relationships/queryTable" Target="../queryTables/queryTable1213.xml"/><Relationship Id="rId350" Type="http://schemas.openxmlformats.org/officeDocument/2006/relationships/queryTable" Target="../queryTables/queryTable1378.xml"/><Relationship Id="rId371" Type="http://schemas.openxmlformats.org/officeDocument/2006/relationships/queryTable" Target="../queryTables/queryTable1399.xml"/><Relationship Id="rId406" Type="http://schemas.openxmlformats.org/officeDocument/2006/relationships/queryTable" Target="../queryTables/queryTable1434.xml"/><Relationship Id="rId9" Type="http://schemas.openxmlformats.org/officeDocument/2006/relationships/queryTable" Target="../queryTables/queryTable1037.xml"/><Relationship Id="rId210" Type="http://schemas.openxmlformats.org/officeDocument/2006/relationships/queryTable" Target="../queryTables/queryTable1238.xml"/><Relationship Id="rId392" Type="http://schemas.openxmlformats.org/officeDocument/2006/relationships/queryTable" Target="../queryTables/queryTable1420.xml"/><Relationship Id="rId427" Type="http://schemas.openxmlformats.org/officeDocument/2006/relationships/queryTable" Target="../queryTables/queryTable1455.xml"/><Relationship Id="rId448" Type="http://schemas.openxmlformats.org/officeDocument/2006/relationships/queryTable" Target="../queryTables/queryTable1476.xml"/><Relationship Id="rId469" Type="http://schemas.openxmlformats.org/officeDocument/2006/relationships/queryTable" Target="../queryTables/queryTable1497.xml"/><Relationship Id="rId26" Type="http://schemas.openxmlformats.org/officeDocument/2006/relationships/queryTable" Target="../queryTables/queryTable1054.xml"/><Relationship Id="rId231" Type="http://schemas.openxmlformats.org/officeDocument/2006/relationships/queryTable" Target="../queryTables/queryTable1259.xml"/><Relationship Id="rId252" Type="http://schemas.openxmlformats.org/officeDocument/2006/relationships/queryTable" Target="../queryTables/queryTable1280.xml"/><Relationship Id="rId273" Type="http://schemas.openxmlformats.org/officeDocument/2006/relationships/queryTable" Target="../queryTables/queryTable1301.xml"/><Relationship Id="rId294" Type="http://schemas.openxmlformats.org/officeDocument/2006/relationships/queryTable" Target="../queryTables/queryTable1322.xml"/><Relationship Id="rId308" Type="http://schemas.openxmlformats.org/officeDocument/2006/relationships/queryTable" Target="../queryTables/queryTable1336.xml"/><Relationship Id="rId329" Type="http://schemas.openxmlformats.org/officeDocument/2006/relationships/queryTable" Target="../queryTables/queryTable1357.xml"/><Relationship Id="rId480" Type="http://schemas.openxmlformats.org/officeDocument/2006/relationships/queryTable" Target="../queryTables/queryTable1508.xml"/><Relationship Id="rId47" Type="http://schemas.openxmlformats.org/officeDocument/2006/relationships/queryTable" Target="../queryTables/queryTable1075.xml"/><Relationship Id="rId68" Type="http://schemas.openxmlformats.org/officeDocument/2006/relationships/queryTable" Target="../queryTables/queryTable1096.xml"/><Relationship Id="rId89" Type="http://schemas.openxmlformats.org/officeDocument/2006/relationships/queryTable" Target="../queryTables/queryTable1117.xml"/><Relationship Id="rId112" Type="http://schemas.openxmlformats.org/officeDocument/2006/relationships/queryTable" Target="../queryTables/queryTable1140.xml"/><Relationship Id="rId133" Type="http://schemas.openxmlformats.org/officeDocument/2006/relationships/queryTable" Target="../queryTables/queryTable1161.xml"/><Relationship Id="rId154" Type="http://schemas.openxmlformats.org/officeDocument/2006/relationships/queryTable" Target="../queryTables/queryTable1182.xml"/><Relationship Id="rId175" Type="http://schemas.openxmlformats.org/officeDocument/2006/relationships/queryTable" Target="../queryTables/queryTable1203.xml"/><Relationship Id="rId340" Type="http://schemas.openxmlformats.org/officeDocument/2006/relationships/queryTable" Target="../queryTables/queryTable1368.xml"/><Relationship Id="rId361" Type="http://schemas.openxmlformats.org/officeDocument/2006/relationships/queryTable" Target="../queryTables/queryTable1389.xml"/><Relationship Id="rId196" Type="http://schemas.openxmlformats.org/officeDocument/2006/relationships/queryTable" Target="../queryTables/queryTable1224.xml"/><Relationship Id="rId200" Type="http://schemas.openxmlformats.org/officeDocument/2006/relationships/queryTable" Target="../queryTables/queryTable1228.xml"/><Relationship Id="rId382" Type="http://schemas.openxmlformats.org/officeDocument/2006/relationships/queryTable" Target="../queryTables/queryTable1410.xml"/><Relationship Id="rId417" Type="http://schemas.openxmlformats.org/officeDocument/2006/relationships/queryTable" Target="../queryTables/queryTable1445.xml"/><Relationship Id="rId438" Type="http://schemas.openxmlformats.org/officeDocument/2006/relationships/queryTable" Target="../queryTables/queryTable1466.xml"/><Relationship Id="rId459" Type="http://schemas.openxmlformats.org/officeDocument/2006/relationships/queryTable" Target="../queryTables/queryTable1487.xml"/><Relationship Id="rId16" Type="http://schemas.openxmlformats.org/officeDocument/2006/relationships/queryTable" Target="../queryTables/queryTable1044.xml"/><Relationship Id="rId221" Type="http://schemas.openxmlformats.org/officeDocument/2006/relationships/queryTable" Target="../queryTables/queryTable1249.xml"/><Relationship Id="rId242" Type="http://schemas.openxmlformats.org/officeDocument/2006/relationships/queryTable" Target="../queryTables/queryTable1270.xml"/><Relationship Id="rId263" Type="http://schemas.openxmlformats.org/officeDocument/2006/relationships/queryTable" Target="../queryTables/queryTable1291.xml"/><Relationship Id="rId284" Type="http://schemas.openxmlformats.org/officeDocument/2006/relationships/queryTable" Target="../queryTables/queryTable1312.xml"/><Relationship Id="rId319" Type="http://schemas.openxmlformats.org/officeDocument/2006/relationships/queryTable" Target="../queryTables/queryTable1347.xml"/><Relationship Id="rId470" Type="http://schemas.openxmlformats.org/officeDocument/2006/relationships/queryTable" Target="../queryTables/queryTable1498.xml"/><Relationship Id="rId491" Type="http://schemas.openxmlformats.org/officeDocument/2006/relationships/queryTable" Target="../queryTables/queryTable1519.xml"/><Relationship Id="rId505" Type="http://schemas.openxmlformats.org/officeDocument/2006/relationships/queryTable" Target="../queryTables/queryTable1533.xml"/><Relationship Id="rId37" Type="http://schemas.openxmlformats.org/officeDocument/2006/relationships/queryTable" Target="../queryTables/queryTable1065.xml"/><Relationship Id="rId58" Type="http://schemas.openxmlformats.org/officeDocument/2006/relationships/queryTable" Target="../queryTables/queryTable1086.xml"/><Relationship Id="rId79" Type="http://schemas.openxmlformats.org/officeDocument/2006/relationships/queryTable" Target="../queryTables/queryTable1107.xml"/><Relationship Id="rId102" Type="http://schemas.openxmlformats.org/officeDocument/2006/relationships/queryTable" Target="../queryTables/queryTable1130.xml"/><Relationship Id="rId123" Type="http://schemas.openxmlformats.org/officeDocument/2006/relationships/queryTable" Target="../queryTables/queryTable1151.xml"/><Relationship Id="rId144" Type="http://schemas.openxmlformats.org/officeDocument/2006/relationships/queryTable" Target="../queryTables/queryTable1172.xml"/><Relationship Id="rId330" Type="http://schemas.openxmlformats.org/officeDocument/2006/relationships/queryTable" Target="../queryTables/queryTable1358.xml"/><Relationship Id="rId90" Type="http://schemas.openxmlformats.org/officeDocument/2006/relationships/queryTable" Target="../queryTables/queryTable1118.xml"/><Relationship Id="rId165" Type="http://schemas.openxmlformats.org/officeDocument/2006/relationships/queryTable" Target="../queryTables/queryTable1193.xml"/><Relationship Id="rId186" Type="http://schemas.openxmlformats.org/officeDocument/2006/relationships/queryTable" Target="../queryTables/queryTable1214.xml"/><Relationship Id="rId351" Type="http://schemas.openxmlformats.org/officeDocument/2006/relationships/queryTable" Target="../queryTables/queryTable1379.xml"/><Relationship Id="rId372" Type="http://schemas.openxmlformats.org/officeDocument/2006/relationships/queryTable" Target="../queryTables/queryTable1400.xml"/><Relationship Id="rId393" Type="http://schemas.openxmlformats.org/officeDocument/2006/relationships/queryTable" Target="../queryTables/queryTable1421.xml"/><Relationship Id="rId407" Type="http://schemas.openxmlformats.org/officeDocument/2006/relationships/queryTable" Target="../queryTables/queryTable1435.xml"/><Relationship Id="rId428" Type="http://schemas.openxmlformats.org/officeDocument/2006/relationships/queryTable" Target="../queryTables/queryTable1456.xml"/><Relationship Id="rId449" Type="http://schemas.openxmlformats.org/officeDocument/2006/relationships/queryTable" Target="../queryTables/queryTable1477.xml"/><Relationship Id="rId211" Type="http://schemas.openxmlformats.org/officeDocument/2006/relationships/queryTable" Target="../queryTables/queryTable1239.xml"/><Relationship Id="rId232" Type="http://schemas.openxmlformats.org/officeDocument/2006/relationships/queryTable" Target="../queryTables/queryTable1260.xml"/><Relationship Id="rId253" Type="http://schemas.openxmlformats.org/officeDocument/2006/relationships/queryTable" Target="../queryTables/queryTable1281.xml"/><Relationship Id="rId274" Type="http://schemas.openxmlformats.org/officeDocument/2006/relationships/queryTable" Target="../queryTables/queryTable1302.xml"/><Relationship Id="rId295" Type="http://schemas.openxmlformats.org/officeDocument/2006/relationships/queryTable" Target="../queryTables/queryTable1323.xml"/><Relationship Id="rId309" Type="http://schemas.openxmlformats.org/officeDocument/2006/relationships/queryTable" Target="../queryTables/queryTable1337.xml"/><Relationship Id="rId460" Type="http://schemas.openxmlformats.org/officeDocument/2006/relationships/queryTable" Target="../queryTables/queryTable1488.xml"/><Relationship Id="rId481" Type="http://schemas.openxmlformats.org/officeDocument/2006/relationships/queryTable" Target="../queryTables/queryTable1509.xml"/><Relationship Id="rId27" Type="http://schemas.openxmlformats.org/officeDocument/2006/relationships/queryTable" Target="../queryTables/queryTable1055.xml"/><Relationship Id="rId48" Type="http://schemas.openxmlformats.org/officeDocument/2006/relationships/queryTable" Target="../queryTables/queryTable1076.xml"/><Relationship Id="rId69" Type="http://schemas.openxmlformats.org/officeDocument/2006/relationships/queryTable" Target="../queryTables/queryTable1097.xml"/><Relationship Id="rId113" Type="http://schemas.openxmlformats.org/officeDocument/2006/relationships/queryTable" Target="../queryTables/queryTable1141.xml"/><Relationship Id="rId134" Type="http://schemas.openxmlformats.org/officeDocument/2006/relationships/queryTable" Target="../queryTables/queryTable1162.xml"/><Relationship Id="rId320" Type="http://schemas.openxmlformats.org/officeDocument/2006/relationships/queryTable" Target="../queryTables/queryTable1348.xml"/><Relationship Id="rId80" Type="http://schemas.openxmlformats.org/officeDocument/2006/relationships/queryTable" Target="../queryTables/queryTable1108.xml"/><Relationship Id="rId155" Type="http://schemas.openxmlformats.org/officeDocument/2006/relationships/queryTable" Target="../queryTables/queryTable1183.xml"/><Relationship Id="rId176" Type="http://schemas.openxmlformats.org/officeDocument/2006/relationships/queryTable" Target="../queryTables/queryTable1204.xml"/><Relationship Id="rId197" Type="http://schemas.openxmlformats.org/officeDocument/2006/relationships/queryTable" Target="../queryTables/queryTable1225.xml"/><Relationship Id="rId341" Type="http://schemas.openxmlformats.org/officeDocument/2006/relationships/queryTable" Target="../queryTables/queryTable1369.xml"/><Relationship Id="rId362" Type="http://schemas.openxmlformats.org/officeDocument/2006/relationships/queryTable" Target="../queryTables/queryTable1390.xml"/><Relationship Id="rId383" Type="http://schemas.openxmlformats.org/officeDocument/2006/relationships/queryTable" Target="../queryTables/queryTable1411.xml"/><Relationship Id="rId418" Type="http://schemas.openxmlformats.org/officeDocument/2006/relationships/queryTable" Target="../queryTables/queryTable1446.xml"/><Relationship Id="rId439" Type="http://schemas.openxmlformats.org/officeDocument/2006/relationships/queryTable" Target="../queryTables/queryTable1467.xml"/><Relationship Id="rId201" Type="http://schemas.openxmlformats.org/officeDocument/2006/relationships/queryTable" Target="../queryTables/queryTable1229.xml"/><Relationship Id="rId222" Type="http://schemas.openxmlformats.org/officeDocument/2006/relationships/queryTable" Target="../queryTables/queryTable1250.xml"/><Relationship Id="rId243" Type="http://schemas.openxmlformats.org/officeDocument/2006/relationships/queryTable" Target="../queryTables/queryTable1271.xml"/><Relationship Id="rId264" Type="http://schemas.openxmlformats.org/officeDocument/2006/relationships/queryTable" Target="../queryTables/queryTable1292.xml"/><Relationship Id="rId285" Type="http://schemas.openxmlformats.org/officeDocument/2006/relationships/queryTable" Target="../queryTables/queryTable1313.xml"/><Relationship Id="rId450" Type="http://schemas.openxmlformats.org/officeDocument/2006/relationships/queryTable" Target="../queryTables/queryTable1478.xml"/><Relationship Id="rId471" Type="http://schemas.openxmlformats.org/officeDocument/2006/relationships/queryTable" Target="../queryTables/queryTable1499.xml"/><Relationship Id="rId506" Type="http://schemas.openxmlformats.org/officeDocument/2006/relationships/queryTable" Target="../queryTables/queryTable1534.xml"/><Relationship Id="rId17" Type="http://schemas.openxmlformats.org/officeDocument/2006/relationships/queryTable" Target="../queryTables/queryTable1045.xml"/><Relationship Id="rId38" Type="http://schemas.openxmlformats.org/officeDocument/2006/relationships/queryTable" Target="../queryTables/queryTable1066.xml"/><Relationship Id="rId59" Type="http://schemas.openxmlformats.org/officeDocument/2006/relationships/queryTable" Target="../queryTables/queryTable1087.xml"/><Relationship Id="rId103" Type="http://schemas.openxmlformats.org/officeDocument/2006/relationships/queryTable" Target="../queryTables/queryTable1131.xml"/><Relationship Id="rId124" Type="http://schemas.openxmlformats.org/officeDocument/2006/relationships/queryTable" Target="../queryTables/queryTable1152.xml"/><Relationship Id="rId310" Type="http://schemas.openxmlformats.org/officeDocument/2006/relationships/queryTable" Target="../queryTables/queryTable1338.xml"/><Relationship Id="rId492" Type="http://schemas.openxmlformats.org/officeDocument/2006/relationships/queryTable" Target="../queryTables/queryTable1520.xml"/><Relationship Id="rId70" Type="http://schemas.openxmlformats.org/officeDocument/2006/relationships/queryTable" Target="../queryTables/queryTable1098.xml"/><Relationship Id="rId91" Type="http://schemas.openxmlformats.org/officeDocument/2006/relationships/queryTable" Target="../queryTables/queryTable1119.xml"/><Relationship Id="rId145" Type="http://schemas.openxmlformats.org/officeDocument/2006/relationships/queryTable" Target="../queryTables/queryTable1173.xml"/><Relationship Id="rId166" Type="http://schemas.openxmlformats.org/officeDocument/2006/relationships/queryTable" Target="../queryTables/queryTable1194.xml"/><Relationship Id="rId187" Type="http://schemas.openxmlformats.org/officeDocument/2006/relationships/queryTable" Target="../queryTables/queryTable1215.xml"/><Relationship Id="rId331" Type="http://schemas.openxmlformats.org/officeDocument/2006/relationships/queryTable" Target="../queryTables/queryTable1359.xml"/><Relationship Id="rId352" Type="http://schemas.openxmlformats.org/officeDocument/2006/relationships/queryTable" Target="../queryTables/queryTable1380.xml"/><Relationship Id="rId373" Type="http://schemas.openxmlformats.org/officeDocument/2006/relationships/queryTable" Target="../queryTables/queryTable1401.xml"/><Relationship Id="rId394" Type="http://schemas.openxmlformats.org/officeDocument/2006/relationships/queryTable" Target="../queryTables/queryTable1422.xml"/><Relationship Id="rId408" Type="http://schemas.openxmlformats.org/officeDocument/2006/relationships/queryTable" Target="../queryTables/queryTable1436.xml"/><Relationship Id="rId429" Type="http://schemas.openxmlformats.org/officeDocument/2006/relationships/queryTable" Target="../queryTables/queryTable1457.xml"/><Relationship Id="rId1" Type="http://schemas.openxmlformats.org/officeDocument/2006/relationships/printerSettings" Target="../printerSettings/printerSettings5.bin"/><Relationship Id="rId212" Type="http://schemas.openxmlformats.org/officeDocument/2006/relationships/queryTable" Target="../queryTables/queryTable1240.xml"/><Relationship Id="rId233" Type="http://schemas.openxmlformats.org/officeDocument/2006/relationships/queryTable" Target="../queryTables/queryTable1261.xml"/><Relationship Id="rId254" Type="http://schemas.openxmlformats.org/officeDocument/2006/relationships/queryTable" Target="../queryTables/queryTable1282.xml"/><Relationship Id="rId440" Type="http://schemas.openxmlformats.org/officeDocument/2006/relationships/queryTable" Target="../queryTables/queryTable1468.xml"/><Relationship Id="rId28" Type="http://schemas.openxmlformats.org/officeDocument/2006/relationships/queryTable" Target="../queryTables/queryTable1056.xml"/><Relationship Id="rId49" Type="http://schemas.openxmlformats.org/officeDocument/2006/relationships/queryTable" Target="../queryTables/queryTable1077.xml"/><Relationship Id="rId114" Type="http://schemas.openxmlformats.org/officeDocument/2006/relationships/queryTable" Target="../queryTables/queryTable1142.xml"/><Relationship Id="rId275" Type="http://schemas.openxmlformats.org/officeDocument/2006/relationships/queryTable" Target="../queryTables/queryTable1303.xml"/><Relationship Id="rId296" Type="http://schemas.openxmlformats.org/officeDocument/2006/relationships/queryTable" Target="../queryTables/queryTable1324.xml"/><Relationship Id="rId300" Type="http://schemas.openxmlformats.org/officeDocument/2006/relationships/queryTable" Target="../queryTables/queryTable1328.xml"/><Relationship Id="rId461" Type="http://schemas.openxmlformats.org/officeDocument/2006/relationships/queryTable" Target="../queryTables/queryTable1489.xml"/><Relationship Id="rId482" Type="http://schemas.openxmlformats.org/officeDocument/2006/relationships/queryTable" Target="../queryTables/queryTable1510.xml"/><Relationship Id="rId60" Type="http://schemas.openxmlformats.org/officeDocument/2006/relationships/queryTable" Target="../queryTables/queryTable1088.xml"/><Relationship Id="rId81" Type="http://schemas.openxmlformats.org/officeDocument/2006/relationships/queryTable" Target="../queryTables/queryTable1109.xml"/><Relationship Id="rId135" Type="http://schemas.openxmlformats.org/officeDocument/2006/relationships/queryTable" Target="../queryTables/queryTable1163.xml"/><Relationship Id="rId156" Type="http://schemas.openxmlformats.org/officeDocument/2006/relationships/queryTable" Target="../queryTables/queryTable1184.xml"/><Relationship Id="rId177" Type="http://schemas.openxmlformats.org/officeDocument/2006/relationships/queryTable" Target="../queryTables/queryTable1205.xml"/><Relationship Id="rId198" Type="http://schemas.openxmlformats.org/officeDocument/2006/relationships/queryTable" Target="../queryTables/queryTable1226.xml"/><Relationship Id="rId321" Type="http://schemas.openxmlformats.org/officeDocument/2006/relationships/queryTable" Target="../queryTables/queryTable1349.xml"/><Relationship Id="rId342" Type="http://schemas.openxmlformats.org/officeDocument/2006/relationships/queryTable" Target="../queryTables/queryTable1370.xml"/><Relationship Id="rId363" Type="http://schemas.openxmlformats.org/officeDocument/2006/relationships/queryTable" Target="../queryTables/queryTable1391.xml"/><Relationship Id="rId384" Type="http://schemas.openxmlformats.org/officeDocument/2006/relationships/queryTable" Target="../queryTables/queryTable1412.xml"/><Relationship Id="rId419" Type="http://schemas.openxmlformats.org/officeDocument/2006/relationships/queryTable" Target="../queryTables/queryTable1447.xml"/><Relationship Id="rId202" Type="http://schemas.openxmlformats.org/officeDocument/2006/relationships/queryTable" Target="../queryTables/queryTable1230.xml"/><Relationship Id="rId223" Type="http://schemas.openxmlformats.org/officeDocument/2006/relationships/queryTable" Target="../queryTables/queryTable1251.xml"/><Relationship Id="rId244" Type="http://schemas.openxmlformats.org/officeDocument/2006/relationships/queryTable" Target="../queryTables/queryTable1272.xml"/><Relationship Id="rId430" Type="http://schemas.openxmlformats.org/officeDocument/2006/relationships/queryTable" Target="../queryTables/queryTable1458.xml"/><Relationship Id="rId18" Type="http://schemas.openxmlformats.org/officeDocument/2006/relationships/queryTable" Target="../queryTables/queryTable1046.xml"/><Relationship Id="rId39" Type="http://schemas.openxmlformats.org/officeDocument/2006/relationships/queryTable" Target="../queryTables/queryTable1067.xml"/><Relationship Id="rId265" Type="http://schemas.openxmlformats.org/officeDocument/2006/relationships/queryTable" Target="../queryTables/queryTable1293.xml"/><Relationship Id="rId286" Type="http://schemas.openxmlformats.org/officeDocument/2006/relationships/queryTable" Target="../queryTables/queryTable1314.xml"/><Relationship Id="rId451" Type="http://schemas.openxmlformats.org/officeDocument/2006/relationships/queryTable" Target="../queryTables/queryTable1479.xml"/><Relationship Id="rId472" Type="http://schemas.openxmlformats.org/officeDocument/2006/relationships/queryTable" Target="../queryTables/queryTable1500.xml"/><Relationship Id="rId493" Type="http://schemas.openxmlformats.org/officeDocument/2006/relationships/queryTable" Target="../queryTables/queryTable1521.xml"/><Relationship Id="rId507" Type="http://schemas.openxmlformats.org/officeDocument/2006/relationships/queryTable" Target="../queryTables/queryTable1535.xml"/><Relationship Id="rId50" Type="http://schemas.openxmlformats.org/officeDocument/2006/relationships/queryTable" Target="../queryTables/queryTable1078.xml"/><Relationship Id="rId104" Type="http://schemas.openxmlformats.org/officeDocument/2006/relationships/queryTable" Target="../queryTables/queryTable1132.xml"/><Relationship Id="rId125" Type="http://schemas.openxmlformats.org/officeDocument/2006/relationships/queryTable" Target="../queryTables/queryTable1153.xml"/><Relationship Id="rId146" Type="http://schemas.openxmlformats.org/officeDocument/2006/relationships/queryTable" Target="../queryTables/queryTable1174.xml"/><Relationship Id="rId167" Type="http://schemas.openxmlformats.org/officeDocument/2006/relationships/queryTable" Target="../queryTables/queryTable1195.xml"/><Relationship Id="rId188" Type="http://schemas.openxmlformats.org/officeDocument/2006/relationships/queryTable" Target="../queryTables/queryTable1216.xml"/><Relationship Id="rId311" Type="http://schemas.openxmlformats.org/officeDocument/2006/relationships/queryTable" Target="../queryTables/queryTable1339.xml"/><Relationship Id="rId332" Type="http://schemas.openxmlformats.org/officeDocument/2006/relationships/queryTable" Target="../queryTables/queryTable1360.xml"/><Relationship Id="rId353" Type="http://schemas.openxmlformats.org/officeDocument/2006/relationships/queryTable" Target="../queryTables/queryTable1381.xml"/><Relationship Id="rId374" Type="http://schemas.openxmlformats.org/officeDocument/2006/relationships/queryTable" Target="../queryTables/queryTable1402.xml"/><Relationship Id="rId395" Type="http://schemas.openxmlformats.org/officeDocument/2006/relationships/queryTable" Target="../queryTables/queryTable1423.xml"/><Relationship Id="rId409" Type="http://schemas.openxmlformats.org/officeDocument/2006/relationships/queryTable" Target="../queryTables/queryTable1437.xml"/><Relationship Id="rId71" Type="http://schemas.openxmlformats.org/officeDocument/2006/relationships/queryTable" Target="../queryTables/queryTable1099.xml"/><Relationship Id="rId92" Type="http://schemas.openxmlformats.org/officeDocument/2006/relationships/queryTable" Target="../queryTables/queryTable1120.xml"/><Relationship Id="rId213" Type="http://schemas.openxmlformats.org/officeDocument/2006/relationships/queryTable" Target="../queryTables/queryTable1241.xml"/><Relationship Id="rId234" Type="http://schemas.openxmlformats.org/officeDocument/2006/relationships/queryTable" Target="../queryTables/queryTable1262.xml"/><Relationship Id="rId420" Type="http://schemas.openxmlformats.org/officeDocument/2006/relationships/queryTable" Target="../queryTables/queryTable1448.xml"/><Relationship Id="rId2" Type="http://schemas.openxmlformats.org/officeDocument/2006/relationships/vmlDrawing" Target="../drawings/vmlDrawing4.vml"/><Relationship Id="rId29" Type="http://schemas.openxmlformats.org/officeDocument/2006/relationships/queryTable" Target="../queryTables/queryTable1057.xml"/><Relationship Id="rId255" Type="http://schemas.openxmlformats.org/officeDocument/2006/relationships/queryTable" Target="../queryTables/queryTable1283.xml"/><Relationship Id="rId276" Type="http://schemas.openxmlformats.org/officeDocument/2006/relationships/queryTable" Target="../queryTables/queryTable1304.xml"/><Relationship Id="rId297" Type="http://schemas.openxmlformats.org/officeDocument/2006/relationships/queryTable" Target="../queryTables/queryTable1325.xml"/><Relationship Id="rId441" Type="http://schemas.openxmlformats.org/officeDocument/2006/relationships/queryTable" Target="../queryTables/queryTable1469.xml"/><Relationship Id="rId462" Type="http://schemas.openxmlformats.org/officeDocument/2006/relationships/queryTable" Target="../queryTables/queryTable1490.xml"/><Relationship Id="rId483" Type="http://schemas.openxmlformats.org/officeDocument/2006/relationships/queryTable" Target="../queryTables/queryTable1511.xml"/><Relationship Id="rId40" Type="http://schemas.openxmlformats.org/officeDocument/2006/relationships/queryTable" Target="../queryTables/queryTable1068.xml"/><Relationship Id="rId115" Type="http://schemas.openxmlformats.org/officeDocument/2006/relationships/queryTable" Target="../queryTables/queryTable1143.xml"/><Relationship Id="rId136" Type="http://schemas.openxmlformats.org/officeDocument/2006/relationships/queryTable" Target="../queryTables/queryTable1164.xml"/><Relationship Id="rId157" Type="http://schemas.openxmlformats.org/officeDocument/2006/relationships/queryTable" Target="../queryTables/queryTable1185.xml"/><Relationship Id="rId178" Type="http://schemas.openxmlformats.org/officeDocument/2006/relationships/queryTable" Target="../queryTables/queryTable1206.xml"/><Relationship Id="rId301" Type="http://schemas.openxmlformats.org/officeDocument/2006/relationships/queryTable" Target="../queryTables/queryTable1329.xml"/><Relationship Id="rId322" Type="http://schemas.openxmlformats.org/officeDocument/2006/relationships/queryTable" Target="../queryTables/queryTable1350.xml"/><Relationship Id="rId343" Type="http://schemas.openxmlformats.org/officeDocument/2006/relationships/queryTable" Target="../queryTables/queryTable1371.xml"/><Relationship Id="rId364" Type="http://schemas.openxmlformats.org/officeDocument/2006/relationships/queryTable" Target="../queryTables/queryTable1392.xml"/><Relationship Id="rId61" Type="http://schemas.openxmlformats.org/officeDocument/2006/relationships/queryTable" Target="../queryTables/queryTable1089.xml"/><Relationship Id="rId82" Type="http://schemas.openxmlformats.org/officeDocument/2006/relationships/queryTable" Target="../queryTables/queryTable1110.xml"/><Relationship Id="rId199" Type="http://schemas.openxmlformats.org/officeDocument/2006/relationships/queryTable" Target="../queryTables/queryTable1227.xml"/><Relationship Id="rId203" Type="http://schemas.openxmlformats.org/officeDocument/2006/relationships/queryTable" Target="../queryTables/queryTable1231.xml"/><Relationship Id="rId385" Type="http://schemas.openxmlformats.org/officeDocument/2006/relationships/queryTable" Target="../queryTables/queryTable1413.xml"/><Relationship Id="rId19" Type="http://schemas.openxmlformats.org/officeDocument/2006/relationships/queryTable" Target="../queryTables/queryTable1047.xml"/><Relationship Id="rId224" Type="http://schemas.openxmlformats.org/officeDocument/2006/relationships/queryTable" Target="../queryTables/queryTable1252.xml"/><Relationship Id="rId245" Type="http://schemas.openxmlformats.org/officeDocument/2006/relationships/queryTable" Target="../queryTables/queryTable1273.xml"/><Relationship Id="rId266" Type="http://schemas.openxmlformats.org/officeDocument/2006/relationships/queryTable" Target="../queryTables/queryTable1294.xml"/><Relationship Id="rId287" Type="http://schemas.openxmlformats.org/officeDocument/2006/relationships/queryTable" Target="../queryTables/queryTable1315.xml"/><Relationship Id="rId410" Type="http://schemas.openxmlformats.org/officeDocument/2006/relationships/queryTable" Target="../queryTables/queryTable1438.xml"/><Relationship Id="rId431" Type="http://schemas.openxmlformats.org/officeDocument/2006/relationships/queryTable" Target="../queryTables/queryTable1459.xml"/><Relationship Id="rId452" Type="http://schemas.openxmlformats.org/officeDocument/2006/relationships/queryTable" Target="../queryTables/queryTable1480.xml"/><Relationship Id="rId473" Type="http://schemas.openxmlformats.org/officeDocument/2006/relationships/queryTable" Target="../queryTables/queryTable1501.xml"/><Relationship Id="rId494" Type="http://schemas.openxmlformats.org/officeDocument/2006/relationships/queryTable" Target="../queryTables/queryTable1522.xml"/><Relationship Id="rId508" Type="http://schemas.openxmlformats.org/officeDocument/2006/relationships/queryTable" Target="../queryTables/queryTable1536.xml"/><Relationship Id="rId30" Type="http://schemas.openxmlformats.org/officeDocument/2006/relationships/queryTable" Target="../queryTables/queryTable1058.xml"/><Relationship Id="rId105" Type="http://schemas.openxmlformats.org/officeDocument/2006/relationships/queryTable" Target="../queryTables/queryTable1133.xml"/><Relationship Id="rId126" Type="http://schemas.openxmlformats.org/officeDocument/2006/relationships/queryTable" Target="../queryTables/queryTable1154.xml"/><Relationship Id="rId147" Type="http://schemas.openxmlformats.org/officeDocument/2006/relationships/queryTable" Target="../queryTables/queryTable1175.xml"/><Relationship Id="rId168" Type="http://schemas.openxmlformats.org/officeDocument/2006/relationships/queryTable" Target="../queryTables/queryTable1196.xml"/><Relationship Id="rId312" Type="http://schemas.openxmlformats.org/officeDocument/2006/relationships/queryTable" Target="../queryTables/queryTable1340.xml"/><Relationship Id="rId333" Type="http://schemas.openxmlformats.org/officeDocument/2006/relationships/queryTable" Target="../queryTables/queryTable1361.xml"/><Relationship Id="rId354" Type="http://schemas.openxmlformats.org/officeDocument/2006/relationships/queryTable" Target="../queryTables/queryTable1382.xml"/><Relationship Id="rId51" Type="http://schemas.openxmlformats.org/officeDocument/2006/relationships/queryTable" Target="../queryTables/queryTable1079.xml"/><Relationship Id="rId72" Type="http://schemas.openxmlformats.org/officeDocument/2006/relationships/queryTable" Target="../queryTables/queryTable1100.xml"/><Relationship Id="rId93" Type="http://schemas.openxmlformats.org/officeDocument/2006/relationships/queryTable" Target="../queryTables/queryTable1121.xml"/><Relationship Id="rId189" Type="http://schemas.openxmlformats.org/officeDocument/2006/relationships/queryTable" Target="../queryTables/queryTable1217.xml"/><Relationship Id="rId375" Type="http://schemas.openxmlformats.org/officeDocument/2006/relationships/queryTable" Target="../queryTables/queryTable1403.xml"/><Relationship Id="rId396" Type="http://schemas.openxmlformats.org/officeDocument/2006/relationships/queryTable" Target="../queryTables/queryTable1424.xml"/><Relationship Id="rId3" Type="http://schemas.openxmlformats.org/officeDocument/2006/relationships/table" Target="../tables/table5.xml"/><Relationship Id="rId214" Type="http://schemas.openxmlformats.org/officeDocument/2006/relationships/queryTable" Target="../queryTables/queryTable1242.xml"/><Relationship Id="rId235" Type="http://schemas.openxmlformats.org/officeDocument/2006/relationships/queryTable" Target="../queryTables/queryTable1263.xml"/><Relationship Id="rId256" Type="http://schemas.openxmlformats.org/officeDocument/2006/relationships/queryTable" Target="../queryTables/queryTable1284.xml"/><Relationship Id="rId277" Type="http://schemas.openxmlformats.org/officeDocument/2006/relationships/queryTable" Target="../queryTables/queryTable1305.xml"/><Relationship Id="rId298" Type="http://schemas.openxmlformats.org/officeDocument/2006/relationships/queryTable" Target="../queryTables/queryTable1326.xml"/><Relationship Id="rId400" Type="http://schemas.openxmlformats.org/officeDocument/2006/relationships/queryTable" Target="../queryTables/queryTable1428.xml"/><Relationship Id="rId421" Type="http://schemas.openxmlformats.org/officeDocument/2006/relationships/queryTable" Target="../queryTables/queryTable1449.xml"/><Relationship Id="rId442" Type="http://schemas.openxmlformats.org/officeDocument/2006/relationships/queryTable" Target="../queryTables/queryTable1470.xml"/><Relationship Id="rId463" Type="http://schemas.openxmlformats.org/officeDocument/2006/relationships/queryTable" Target="../queryTables/queryTable1491.xml"/><Relationship Id="rId484" Type="http://schemas.openxmlformats.org/officeDocument/2006/relationships/queryTable" Target="../queryTables/queryTable1512.xml"/><Relationship Id="rId116" Type="http://schemas.openxmlformats.org/officeDocument/2006/relationships/queryTable" Target="../queryTables/queryTable1144.xml"/><Relationship Id="rId137" Type="http://schemas.openxmlformats.org/officeDocument/2006/relationships/queryTable" Target="../queryTables/queryTable1165.xml"/><Relationship Id="rId158" Type="http://schemas.openxmlformats.org/officeDocument/2006/relationships/queryTable" Target="../queryTables/queryTable1186.xml"/><Relationship Id="rId302" Type="http://schemas.openxmlformats.org/officeDocument/2006/relationships/queryTable" Target="../queryTables/queryTable1330.xml"/><Relationship Id="rId323" Type="http://schemas.openxmlformats.org/officeDocument/2006/relationships/queryTable" Target="../queryTables/queryTable1351.xml"/><Relationship Id="rId344" Type="http://schemas.openxmlformats.org/officeDocument/2006/relationships/queryTable" Target="../queryTables/queryTable1372.xml"/><Relationship Id="rId20" Type="http://schemas.openxmlformats.org/officeDocument/2006/relationships/queryTable" Target="../queryTables/queryTable1048.xml"/><Relationship Id="rId41" Type="http://schemas.openxmlformats.org/officeDocument/2006/relationships/queryTable" Target="../queryTables/queryTable1069.xml"/><Relationship Id="rId62" Type="http://schemas.openxmlformats.org/officeDocument/2006/relationships/queryTable" Target="../queryTables/queryTable1090.xml"/><Relationship Id="rId83" Type="http://schemas.openxmlformats.org/officeDocument/2006/relationships/queryTable" Target="../queryTables/queryTable1111.xml"/><Relationship Id="rId179" Type="http://schemas.openxmlformats.org/officeDocument/2006/relationships/queryTable" Target="../queryTables/queryTable1207.xml"/><Relationship Id="rId365" Type="http://schemas.openxmlformats.org/officeDocument/2006/relationships/queryTable" Target="../queryTables/queryTable1393.xml"/><Relationship Id="rId386" Type="http://schemas.openxmlformats.org/officeDocument/2006/relationships/queryTable" Target="../queryTables/queryTable1414.xml"/><Relationship Id="rId190" Type="http://schemas.openxmlformats.org/officeDocument/2006/relationships/queryTable" Target="../queryTables/queryTable1218.xml"/><Relationship Id="rId204" Type="http://schemas.openxmlformats.org/officeDocument/2006/relationships/queryTable" Target="../queryTables/queryTable1232.xml"/><Relationship Id="rId225" Type="http://schemas.openxmlformats.org/officeDocument/2006/relationships/queryTable" Target="../queryTables/queryTable1253.xml"/><Relationship Id="rId246" Type="http://schemas.openxmlformats.org/officeDocument/2006/relationships/queryTable" Target="../queryTables/queryTable1274.xml"/><Relationship Id="rId267" Type="http://schemas.openxmlformats.org/officeDocument/2006/relationships/queryTable" Target="../queryTables/queryTable1295.xml"/><Relationship Id="rId288" Type="http://schemas.openxmlformats.org/officeDocument/2006/relationships/queryTable" Target="../queryTables/queryTable1316.xml"/><Relationship Id="rId411" Type="http://schemas.openxmlformats.org/officeDocument/2006/relationships/queryTable" Target="../queryTables/queryTable1439.xml"/><Relationship Id="rId432" Type="http://schemas.openxmlformats.org/officeDocument/2006/relationships/queryTable" Target="../queryTables/queryTable1460.xml"/><Relationship Id="rId453" Type="http://schemas.openxmlformats.org/officeDocument/2006/relationships/queryTable" Target="../queryTables/queryTable1481.xml"/><Relationship Id="rId474" Type="http://schemas.openxmlformats.org/officeDocument/2006/relationships/queryTable" Target="../queryTables/queryTable1502.xml"/><Relationship Id="rId106" Type="http://schemas.openxmlformats.org/officeDocument/2006/relationships/queryTable" Target="../queryTables/queryTable1134.xml"/><Relationship Id="rId127" Type="http://schemas.openxmlformats.org/officeDocument/2006/relationships/queryTable" Target="../queryTables/queryTable1155.xml"/><Relationship Id="rId313" Type="http://schemas.openxmlformats.org/officeDocument/2006/relationships/queryTable" Target="../queryTables/queryTable1341.xml"/><Relationship Id="rId495" Type="http://schemas.openxmlformats.org/officeDocument/2006/relationships/queryTable" Target="../queryTables/queryTable1523.xml"/><Relationship Id="rId10" Type="http://schemas.openxmlformats.org/officeDocument/2006/relationships/queryTable" Target="../queryTables/queryTable1038.xml"/><Relationship Id="rId31" Type="http://schemas.openxmlformats.org/officeDocument/2006/relationships/queryTable" Target="../queryTables/queryTable1059.xml"/><Relationship Id="rId52" Type="http://schemas.openxmlformats.org/officeDocument/2006/relationships/queryTable" Target="../queryTables/queryTable1080.xml"/><Relationship Id="rId73" Type="http://schemas.openxmlformats.org/officeDocument/2006/relationships/queryTable" Target="../queryTables/queryTable1101.xml"/><Relationship Id="rId94" Type="http://schemas.openxmlformats.org/officeDocument/2006/relationships/queryTable" Target="../queryTables/queryTable1122.xml"/><Relationship Id="rId148" Type="http://schemas.openxmlformats.org/officeDocument/2006/relationships/queryTable" Target="../queryTables/queryTable1176.xml"/><Relationship Id="rId169" Type="http://schemas.openxmlformats.org/officeDocument/2006/relationships/queryTable" Target="../queryTables/queryTable1197.xml"/><Relationship Id="rId334" Type="http://schemas.openxmlformats.org/officeDocument/2006/relationships/queryTable" Target="../queryTables/queryTable1362.xml"/><Relationship Id="rId355" Type="http://schemas.openxmlformats.org/officeDocument/2006/relationships/queryTable" Target="../queryTables/queryTable1383.xml"/><Relationship Id="rId376" Type="http://schemas.openxmlformats.org/officeDocument/2006/relationships/queryTable" Target="../queryTables/queryTable1404.xml"/><Relationship Id="rId397" Type="http://schemas.openxmlformats.org/officeDocument/2006/relationships/queryTable" Target="../queryTables/queryTable1425.xml"/><Relationship Id="rId4" Type="http://schemas.openxmlformats.org/officeDocument/2006/relationships/queryTable" Target="../queryTables/queryTable1032.xml"/><Relationship Id="rId180" Type="http://schemas.openxmlformats.org/officeDocument/2006/relationships/queryTable" Target="../queryTables/queryTable1208.xml"/><Relationship Id="rId215" Type="http://schemas.openxmlformats.org/officeDocument/2006/relationships/queryTable" Target="../queryTables/queryTable1243.xml"/><Relationship Id="rId236" Type="http://schemas.openxmlformats.org/officeDocument/2006/relationships/queryTable" Target="../queryTables/queryTable1264.xml"/><Relationship Id="rId257" Type="http://schemas.openxmlformats.org/officeDocument/2006/relationships/queryTable" Target="../queryTables/queryTable1285.xml"/><Relationship Id="rId278" Type="http://schemas.openxmlformats.org/officeDocument/2006/relationships/queryTable" Target="../queryTables/queryTable1306.xml"/><Relationship Id="rId401" Type="http://schemas.openxmlformats.org/officeDocument/2006/relationships/queryTable" Target="../queryTables/queryTable1429.xml"/><Relationship Id="rId422" Type="http://schemas.openxmlformats.org/officeDocument/2006/relationships/queryTable" Target="../queryTables/queryTable1450.xml"/><Relationship Id="rId443" Type="http://schemas.openxmlformats.org/officeDocument/2006/relationships/queryTable" Target="../queryTables/queryTable1471.xml"/><Relationship Id="rId464" Type="http://schemas.openxmlformats.org/officeDocument/2006/relationships/queryTable" Target="../queryTables/queryTable1492.xml"/><Relationship Id="rId303" Type="http://schemas.openxmlformats.org/officeDocument/2006/relationships/queryTable" Target="../queryTables/queryTable1331.xml"/><Relationship Id="rId485" Type="http://schemas.openxmlformats.org/officeDocument/2006/relationships/queryTable" Target="../queryTables/queryTable1513.xml"/><Relationship Id="rId42" Type="http://schemas.openxmlformats.org/officeDocument/2006/relationships/queryTable" Target="../queryTables/queryTable1070.xml"/><Relationship Id="rId84" Type="http://schemas.openxmlformats.org/officeDocument/2006/relationships/queryTable" Target="../queryTables/queryTable1112.xml"/><Relationship Id="rId138" Type="http://schemas.openxmlformats.org/officeDocument/2006/relationships/queryTable" Target="../queryTables/queryTable1166.xml"/><Relationship Id="rId345" Type="http://schemas.openxmlformats.org/officeDocument/2006/relationships/queryTable" Target="../queryTables/queryTable1373.xml"/><Relationship Id="rId387" Type="http://schemas.openxmlformats.org/officeDocument/2006/relationships/queryTable" Target="../queryTables/queryTable1415.xml"/><Relationship Id="rId191" Type="http://schemas.openxmlformats.org/officeDocument/2006/relationships/queryTable" Target="../queryTables/queryTable1219.xml"/><Relationship Id="rId205" Type="http://schemas.openxmlformats.org/officeDocument/2006/relationships/queryTable" Target="../queryTables/queryTable1233.xml"/><Relationship Id="rId247" Type="http://schemas.openxmlformats.org/officeDocument/2006/relationships/queryTable" Target="../queryTables/queryTable1275.xml"/><Relationship Id="rId412" Type="http://schemas.openxmlformats.org/officeDocument/2006/relationships/queryTable" Target="../queryTables/queryTable1440.xml"/><Relationship Id="rId107" Type="http://schemas.openxmlformats.org/officeDocument/2006/relationships/queryTable" Target="../queryTables/queryTable1135.xml"/><Relationship Id="rId289" Type="http://schemas.openxmlformats.org/officeDocument/2006/relationships/queryTable" Target="../queryTables/queryTable1317.xml"/><Relationship Id="rId454" Type="http://schemas.openxmlformats.org/officeDocument/2006/relationships/queryTable" Target="../queryTables/queryTable1482.xml"/><Relationship Id="rId496" Type="http://schemas.openxmlformats.org/officeDocument/2006/relationships/queryTable" Target="../queryTables/queryTable1524.xml"/><Relationship Id="rId11" Type="http://schemas.openxmlformats.org/officeDocument/2006/relationships/queryTable" Target="../queryTables/queryTable1039.xml"/><Relationship Id="rId53" Type="http://schemas.openxmlformats.org/officeDocument/2006/relationships/queryTable" Target="../queryTables/queryTable1081.xml"/><Relationship Id="rId149" Type="http://schemas.openxmlformats.org/officeDocument/2006/relationships/queryTable" Target="../queryTables/queryTable1177.xml"/><Relationship Id="rId314" Type="http://schemas.openxmlformats.org/officeDocument/2006/relationships/queryTable" Target="../queryTables/queryTable1342.xml"/><Relationship Id="rId356" Type="http://schemas.openxmlformats.org/officeDocument/2006/relationships/queryTable" Target="../queryTables/queryTable1384.xml"/><Relationship Id="rId398" Type="http://schemas.openxmlformats.org/officeDocument/2006/relationships/queryTable" Target="../queryTables/queryTable1426.xml"/><Relationship Id="rId95" Type="http://schemas.openxmlformats.org/officeDocument/2006/relationships/queryTable" Target="../queryTables/queryTable1123.xml"/><Relationship Id="rId160" Type="http://schemas.openxmlformats.org/officeDocument/2006/relationships/queryTable" Target="../queryTables/queryTable1188.xml"/><Relationship Id="rId216" Type="http://schemas.openxmlformats.org/officeDocument/2006/relationships/queryTable" Target="../queryTables/queryTable1244.xml"/><Relationship Id="rId423" Type="http://schemas.openxmlformats.org/officeDocument/2006/relationships/queryTable" Target="../queryTables/queryTable1451.xml"/><Relationship Id="rId258" Type="http://schemas.openxmlformats.org/officeDocument/2006/relationships/queryTable" Target="../queryTables/queryTable1286.xml"/><Relationship Id="rId465" Type="http://schemas.openxmlformats.org/officeDocument/2006/relationships/queryTable" Target="../queryTables/queryTable1493.xml"/><Relationship Id="rId22" Type="http://schemas.openxmlformats.org/officeDocument/2006/relationships/queryTable" Target="../queryTables/queryTable1050.xml"/><Relationship Id="rId64" Type="http://schemas.openxmlformats.org/officeDocument/2006/relationships/queryTable" Target="../queryTables/queryTable1092.xml"/><Relationship Id="rId118" Type="http://schemas.openxmlformats.org/officeDocument/2006/relationships/queryTable" Target="../queryTables/queryTable1146.xml"/><Relationship Id="rId325" Type="http://schemas.openxmlformats.org/officeDocument/2006/relationships/queryTable" Target="../queryTables/queryTable1353.xml"/><Relationship Id="rId367" Type="http://schemas.openxmlformats.org/officeDocument/2006/relationships/queryTable" Target="../queryTables/queryTable1395.xml"/><Relationship Id="rId171" Type="http://schemas.openxmlformats.org/officeDocument/2006/relationships/queryTable" Target="../queryTables/queryTable1199.xml"/><Relationship Id="rId227" Type="http://schemas.openxmlformats.org/officeDocument/2006/relationships/queryTable" Target="../queryTables/queryTable1255.xml"/><Relationship Id="rId269" Type="http://schemas.openxmlformats.org/officeDocument/2006/relationships/queryTable" Target="../queryTables/queryTable1297.xml"/><Relationship Id="rId434" Type="http://schemas.openxmlformats.org/officeDocument/2006/relationships/queryTable" Target="../queryTables/queryTable1462.xml"/><Relationship Id="rId476" Type="http://schemas.openxmlformats.org/officeDocument/2006/relationships/queryTable" Target="../queryTables/queryTable1504.xml"/><Relationship Id="rId33" Type="http://schemas.openxmlformats.org/officeDocument/2006/relationships/queryTable" Target="../queryTables/queryTable1061.xml"/><Relationship Id="rId129" Type="http://schemas.openxmlformats.org/officeDocument/2006/relationships/queryTable" Target="../queryTables/queryTable1157.xml"/><Relationship Id="rId280" Type="http://schemas.openxmlformats.org/officeDocument/2006/relationships/queryTable" Target="../queryTables/queryTable1308.xml"/><Relationship Id="rId336" Type="http://schemas.openxmlformats.org/officeDocument/2006/relationships/queryTable" Target="../queryTables/queryTable1364.xml"/><Relationship Id="rId501" Type="http://schemas.openxmlformats.org/officeDocument/2006/relationships/queryTable" Target="../queryTables/queryTable1529.xml"/><Relationship Id="rId75" Type="http://schemas.openxmlformats.org/officeDocument/2006/relationships/queryTable" Target="../queryTables/queryTable1103.xml"/><Relationship Id="rId140" Type="http://schemas.openxmlformats.org/officeDocument/2006/relationships/queryTable" Target="../queryTables/queryTable1168.xml"/><Relationship Id="rId182" Type="http://schemas.openxmlformats.org/officeDocument/2006/relationships/queryTable" Target="../queryTables/queryTable1210.xml"/><Relationship Id="rId378" Type="http://schemas.openxmlformats.org/officeDocument/2006/relationships/queryTable" Target="../queryTables/queryTable1406.xml"/><Relationship Id="rId403" Type="http://schemas.openxmlformats.org/officeDocument/2006/relationships/queryTable" Target="../queryTables/queryTable1431.xml"/><Relationship Id="rId6" Type="http://schemas.openxmlformats.org/officeDocument/2006/relationships/queryTable" Target="../queryTables/queryTable1034.xml"/><Relationship Id="rId238" Type="http://schemas.openxmlformats.org/officeDocument/2006/relationships/queryTable" Target="../queryTables/queryTable1266.xml"/><Relationship Id="rId445" Type="http://schemas.openxmlformats.org/officeDocument/2006/relationships/queryTable" Target="../queryTables/queryTable1473.xml"/><Relationship Id="rId487" Type="http://schemas.openxmlformats.org/officeDocument/2006/relationships/queryTable" Target="../queryTables/queryTable1515.xml"/><Relationship Id="rId291" Type="http://schemas.openxmlformats.org/officeDocument/2006/relationships/queryTable" Target="../queryTables/queryTable1319.xml"/><Relationship Id="rId305" Type="http://schemas.openxmlformats.org/officeDocument/2006/relationships/queryTable" Target="../queryTables/queryTable1333.xml"/><Relationship Id="rId347" Type="http://schemas.openxmlformats.org/officeDocument/2006/relationships/queryTable" Target="../queryTables/queryTable1375.xml"/><Relationship Id="rId44" Type="http://schemas.openxmlformats.org/officeDocument/2006/relationships/queryTable" Target="../queryTables/queryTable1072.xml"/><Relationship Id="rId86" Type="http://schemas.openxmlformats.org/officeDocument/2006/relationships/queryTable" Target="../queryTables/queryTable1114.xml"/><Relationship Id="rId151" Type="http://schemas.openxmlformats.org/officeDocument/2006/relationships/queryTable" Target="../queryTables/queryTable1179.xml"/><Relationship Id="rId389" Type="http://schemas.openxmlformats.org/officeDocument/2006/relationships/queryTable" Target="../queryTables/queryTable1417.xml"/><Relationship Id="rId193" Type="http://schemas.openxmlformats.org/officeDocument/2006/relationships/queryTable" Target="../queryTables/queryTable1221.xml"/><Relationship Id="rId207" Type="http://schemas.openxmlformats.org/officeDocument/2006/relationships/queryTable" Target="../queryTables/queryTable1235.xml"/><Relationship Id="rId249" Type="http://schemas.openxmlformats.org/officeDocument/2006/relationships/queryTable" Target="../queryTables/queryTable1277.xml"/><Relationship Id="rId414" Type="http://schemas.openxmlformats.org/officeDocument/2006/relationships/queryTable" Target="../queryTables/queryTable1442.xml"/><Relationship Id="rId456" Type="http://schemas.openxmlformats.org/officeDocument/2006/relationships/queryTable" Target="../queryTables/queryTable1484.xml"/><Relationship Id="rId498" Type="http://schemas.openxmlformats.org/officeDocument/2006/relationships/queryTable" Target="../queryTables/queryTable1526.xml"/><Relationship Id="rId13" Type="http://schemas.openxmlformats.org/officeDocument/2006/relationships/queryTable" Target="../queryTables/queryTable1041.xml"/><Relationship Id="rId109" Type="http://schemas.openxmlformats.org/officeDocument/2006/relationships/queryTable" Target="../queryTables/queryTable1137.xml"/><Relationship Id="rId260" Type="http://schemas.openxmlformats.org/officeDocument/2006/relationships/queryTable" Target="../queryTables/queryTable1288.xml"/><Relationship Id="rId316" Type="http://schemas.openxmlformats.org/officeDocument/2006/relationships/queryTable" Target="../queryTables/queryTable1344.xml"/><Relationship Id="rId55" Type="http://schemas.openxmlformats.org/officeDocument/2006/relationships/queryTable" Target="../queryTables/queryTable1083.xml"/><Relationship Id="rId97" Type="http://schemas.openxmlformats.org/officeDocument/2006/relationships/queryTable" Target="../queryTables/queryTable1125.xml"/><Relationship Id="rId120" Type="http://schemas.openxmlformats.org/officeDocument/2006/relationships/queryTable" Target="../queryTables/queryTable1148.xml"/><Relationship Id="rId358" Type="http://schemas.openxmlformats.org/officeDocument/2006/relationships/queryTable" Target="../queryTables/queryTable1386.xml"/><Relationship Id="rId162" Type="http://schemas.openxmlformats.org/officeDocument/2006/relationships/queryTable" Target="../queryTables/queryTable1190.xml"/><Relationship Id="rId218" Type="http://schemas.openxmlformats.org/officeDocument/2006/relationships/queryTable" Target="../queryTables/queryTable1246.xml"/><Relationship Id="rId425" Type="http://schemas.openxmlformats.org/officeDocument/2006/relationships/queryTable" Target="../queryTables/queryTable1453.xml"/><Relationship Id="rId467" Type="http://schemas.openxmlformats.org/officeDocument/2006/relationships/queryTable" Target="../queryTables/queryTable1495.xml"/><Relationship Id="rId271" Type="http://schemas.openxmlformats.org/officeDocument/2006/relationships/queryTable" Target="../queryTables/queryTable1299.xml"/><Relationship Id="rId24" Type="http://schemas.openxmlformats.org/officeDocument/2006/relationships/queryTable" Target="../queryTables/queryTable1052.xml"/><Relationship Id="rId66" Type="http://schemas.openxmlformats.org/officeDocument/2006/relationships/queryTable" Target="../queryTables/queryTable1094.xml"/><Relationship Id="rId131" Type="http://schemas.openxmlformats.org/officeDocument/2006/relationships/queryTable" Target="../queryTables/queryTable1159.xml"/><Relationship Id="rId327" Type="http://schemas.openxmlformats.org/officeDocument/2006/relationships/queryTable" Target="../queryTables/queryTable1355.xml"/><Relationship Id="rId369" Type="http://schemas.openxmlformats.org/officeDocument/2006/relationships/queryTable" Target="../queryTables/queryTable1397.xml"/></Relationships>
</file>

<file path=xl/worksheets/_rels/sheet6.xml.rels><?xml version="1.0" encoding="UTF-8" standalone="yes"?>
<Relationships xmlns="http://schemas.openxmlformats.org/package/2006/relationships"><Relationship Id="rId117" Type="http://schemas.openxmlformats.org/officeDocument/2006/relationships/queryTable" Target="../queryTables/queryTable1650.xml"/><Relationship Id="rId299" Type="http://schemas.openxmlformats.org/officeDocument/2006/relationships/queryTable" Target="../queryTables/queryTable1832.xml"/><Relationship Id="rId21" Type="http://schemas.openxmlformats.org/officeDocument/2006/relationships/queryTable" Target="../queryTables/queryTable1554.xml"/><Relationship Id="rId63" Type="http://schemas.openxmlformats.org/officeDocument/2006/relationships/queryTable" Target="../queryTables/queryTable1596.xml"/><Relationship Id="rId159" Type="http://schemas.openxmlformats.org/officeDocument/2006/relationships/queryTable" Target="../queryTables/queryTable1692.xml"/><Relationship Id="rId324" Type="http://schemas.openxmlformats.org/officeDocument/2006/relationships/queryTable" Target="../queryTables/queryTable1857.xml"/><Relationship Id="rId366" Type="http://schemas.openxmlformats.org/officeDocument/2006/relationships/queryTable" Target="../queryTables/queryTable1899.xml"/><Relationship Id="rId531" Type="http://schemas.openxmlformats.org/officeDocument/2006/relationships/queryTable" Target="../queryTables/queryTable2064.xml"/><Relationship Id="rId170" Type="http://schemas.openxmlformats.org/officeDocument/2006/relationships/queryTable" Target="../queryTables/queryTable1703.xml"/><Relationship Id="rId226" Type="http://schemas.openxmlformats.org/officeDocument/2006/relationships/queryTable" Target="../queryTables/queryTable1759.xml"/><Relationship Id="rId433" Type="http://schemas.openxmlformats.org/officeDocument/2006/relationships/queryTable" Target="../queryTables/queryTable1966.xml"/><Relationship Id="rId268" Type="http://schemas.openxmlformats.org/officeDocument/2006/relationships/queryTable" Target="../queryTables/queryTable1801.xml"/><Relationship Id="rId475" Type="http://schemas.openxmlformats.org/officeDocument/2006/relationships/queryTable" Target="../queryTables/queryTable2008.xml"/><Relationship Id="rId32" Type="http://schemas.openxmlformats.org/officeDocument/2006/relationships/queryTable" Target="../queryTables/queryTable1565.xml"/><Relationship Id="rId74" Type="http://schemas.openxmlformats.org/officeDocument/2006/relationships/queryTable" Target="../queryTables/queryTable1607.xml"/><Relationship Id="rId128" Type="http://schemas.openxmlformats.org/officeDocument/2006/relationships/queryTable" Target="../queryTables/queryTable1661.xml"/><Relationship Id="rId335" Type="http://schemas.openxmlformats.org/officeDocument/2006/relationships/queryTable" Target="../queryTables/queryTable1868.xml"/><Relationship Id="rId377" Type="http://schemas.openxmlformats.org/officeDocument/2006/relationships/queryTable" Target="../queryTables/queryTable1910.xml"/><Relationship Id="rId500" Type="http://schemas.openxmlformats.org/officeDocument/2006/relationships/queryTable" Target="../queryTables/queryTable2033.xml"/><Relationship Id="rId5" Type="http://schemas.openxmlformats.org/officeDocument/2006/relationships/queryTable" Target="../queryTables/queryTable1538.xml"/><Relationship Id="rId181" Type="http://schemas.openxmlformats.org/officeDocument/2006/relationships/queryTable" Target="../queryTables/queryTable1714.xml"/><Relationship Id="rId237" Type="http://schemas.openxmlformats.org/officeDocument/2006/relationships/queryTable" Target="../queryTables/queryTable1770.xml"/><Relationship Id="rId402" Type="http://schemas.openxmlformats.org/officeDocument/2006/relationships/queryTable" Target="../queryTables/queryTable1935.xml"/><Relationship Id="rId279" Type="http://schemas.openxmlformats.org/officeDocument/2006/relationships/queryTable" Target="../queryTables/queryTable1812.xml"/><Relationship Id="rId444" Type="http://schemas.openxmlformats.org/officeDocument/2006/relationships/queryTable" Target="../queryTables/queryTable1977.xml"/><Relationship Id="rId486" Type="http://schemas.openxmlformats.org/officeDocument/2006/relationships/queryTable" Target="../queryTables/queryTable2019.xml"/><Relationship Id="rId43" Type="http://schemas.openxmlformats.org/officeDocument/2006/relationships/queryTable" Target="../queryTables/queryTable1576.xml"/><Relationship Id="rId139" Type="http://schemas.openxmlformats.org/officeDocument/2006/relationships/queryTable" Target="../queryTables/queryTable1672.xml"/><Relationship Id="rId290" Type="http://schemas.openxmlformats.org/officeDocument/2006/relationships/queryTable" Target="../queryTables/queryTable1823.xml"/><Relationship Id="rId304" Type="http://schemas.openxmlformats.org/officeDocument/2006/relationships/queryTable" Target="../queryTables/queryTable1837.xml"/><Relationship Id="rId346" Type="http://schemas.openxmlformats.org/officeDocument/2006/relationships/queryTable" Target="../queryTables/queryTable1879.xml"/><Relationship Id="rId388" Type="http://schemas.openxmlformats.org/officeDocument/2006/relationships/queryTable" Target="../queryTables/queryTable1921.xml"/><Relationship Id="rId511" Type="http://schemas.openxmlformats.org/officeDocument/2006/relationships/queryTable" Target="../queryTables/queryTable2044.xml"/><Relationship Id="rId85" Type="http://schemas.openxmlformats.org/officeDocument/2006/relationships/queryTable" Target="../queryTables/queryTable1618.xml"/><Relationship Id="rId150" Type="http://schemas.openxmlformats.org/officeDocument/2006/relationships/queryTable" Target="../queryTables/queryTable1683.xml"/><Relationship Id="rId192" Type="http://schemas.openxmlformats.org/officeDocument/2006/relationships/queryTable" Target="../queryTables/queryTable1725.xml"/><Relationship Id="rId206" Type="http://schemas.openxmlformats.org/officeDocument/2006/relationships/queryTable" Target="../queryTables/queryTable1739.xml"/><Relationship Id="rId413" Type="http://schemas.openxmlformats.org/officeDocument/2006/relationships/queryTable" Target="../queryTables/queryTable1946.xml"/><Relationship Id="rId248" Type="http://schemas.openxmlformats.org/officeDocument/2006/relationships/queryTable" Target="../queryTables/queryTable1781.xml"/><Relationship Id="rId455" Type="http://schemas.openxmlformats.org/officeDocument/2006/relationships/queryTable" Target="../queryTables/queryTable1988.xml"/><Relationship Id="rId497" Type="http://schemas.openxmlformats.org/officeDocument/2006/relationships/queryTable" Target="../queryTables/queryTable2030.xml"/><Relationship Id="rId12" Type="http://schemas.openxmlformats.org/officeDocument/2006/relationships/queryTable" Target="../queryTables/queryTable1545.xml"/><Relationship Id="rId108" Type="http://schemas.openxmlformats.org/officeDocument/2006/relationships/queryTable" Target="../queryTables/queryTable1641.xml"/><Relationship Id="rId315" Type="http://schemas.openxmlformats.org/officeDocument/2006/relationships/queryTable" Target="../queryTables/queryTable1848.xml"/><Relationship Id="rId357" Type="http://schemas.openxmlformats.org/officeDocument/2006/relationships/queryTable" Target="../queryTables/queryTable1890.xml"/><Relationship Id="rId522" Type="http://schemas.openxmlformats.org/officeDocument/2006/relationships/queryTable" Target="../queryTables/queryTable2055.xml"/><Relationship Id="rId54" Type="http://schemas.openxmlformats.org/officeDocument/2006/relationships/queryTable" Target="../queryTables/queryTable1587.xml"/><Relationship Id="rId96" Type="http://schemas.openxmlformats.org/officeDocument/2006/relationships/queryTable" Target="../queryTables/queryTable1629.xml"/><Relationship Id="rId161" Type="http://schemas.openxmlformats.org/officeDocument/2006/relationships/queryTable" Target="../queryTables/queryTable1694.xml"/><Relationship Id="rId217" Type="http://schemas.openxmlformats.org/officeDocument/2006/relationships/queryTable" Target="../queryTables/queryTable1750.xml"/><Relationship Id="rId399" Type="http://schemas.openxmlformats.org/officeDocument/2006/relationships/queryTable" Target="../queryTables/queryTable1932.xml"/><Relationship Id="rId259" Type="http://schemas.openxmlformats.org/officeDocument/2006/relationships/queryTable" Target="../queryTables/queryTable1792.xml"/><Relationship Id="rId424" Type="http://schemas.openxmlformats.org/officeDocument/2006/relationships/queryTable" Target="../queryTables/queryTable1957.xml"/><Relationship Id="rId466" Type="http://schemas.openxmlformats.org/officeDocument/2006/relationships/queryTable" Target="../queryTables/queryTable1999.xml"/><Relationship Id="rId23" Type="http://schemas.openxmlformats.org/officeDocument/2006/relationships/queryTable" Target="../queryTables/queryTable1556.xml"/><Relationship Id="rId119" Type="http://schemas.openxmlformats.org/officeDocument/2006/relationships/queryTable" Target="../queryTables/queryTable1652.xml"/><Relationship Id="rId270" Type="http://schemas.openxmlformats.org/officeDocument/2006/relationships/queryTable" Target="../queryTables/queryTable1803.xml"/><Relationship Id="rId326" Type="http://schemas.openxmlformats.org/officeDocument/2006/relationships/queryTable" Target="../queryTables/queryTable1859.xml"/><Relationship Id="rId533" Type="http://schemas.openxmlformats.org/officeDocument/2006/relationships/queryTable" Target="../queryTables/queryTable2066.xml"/><Relationship Id="rId65" Type="http://schemas.openxmlformats.org/officeDocument/2006/relationships/queryTable" Target="../queryTables/queryTable1598.xml"/><Relationship Id="rId130" Type="http://schemas.openxmlformats.org/officeDocument/2006/relationships/queryTable" Target="../queryTables/queryTable1663.xml"/><Relationship Id="rId368" Type="http://schemas.openxmlformats.org/officeDocument/2006/relationships/queryTable" Target="../queryTables/queryTable1901.xml"/><Relationship Id="rId172" Type="http://schemas.openxmlformats.org/officeDocument/2006/relationships/queryTable" Target="../queryTables/queryTable1705.xml"/><Relationship Id="rId228" Type="http://schemas.openxmlformats.org/officeDocument/2006/relationships/queryTable" Target="../queryTables/queryTable1761.xml"/><Relationship Id="rId435" Type="http://schemas.openxmlformats.org/officeDocument/2006/relationships/queryTable" Target="../queryTables/queryTable1968.xml"/><Relationship Id="rId477" Type="http://schemas.openxmlformats.org/officeDocument/2006/relationships/queryTable" Target="../queryTables/queryTable2010.xml"/><Relationship Id="rId281" Type="http://schemas.openxmlformats.org/officeDocument/2006/relationships/queryTable" Target="../queryTables/queryTable1814.xml"/><Relationship Id="rId337" Type="http://schemas.openxmlformats.org/officeDocument/2006/relationships/queryTable" Target="../queryTables/queryTable1870.xml"/><Relationship Id="rId502" Type="http://schemas.openxmlformats.org/officeDocument/2006/relationships/queryTable" Target="../queryTables/queryTable2035.xml"/><Relationship Id="rId34" Type="http://schemas.openxmlformats.org/officeDocument/2006/relationships/queryTable" Target="../queryTables/queryTable1567.xml"/><Relationship Id="rId76" Type="http://schemas.openxmlformats.org/officeDocument/2006/relationships/queryTable" Target="../queryTables/queryTable1609.xml"/><Relationship Id="rId141" Type="http://schemas.openxmlformats.org/officeDocument/2006/relationships/queryTable" Target="../queryTables/queryTable1674.xml"/><Relationship Id="rId379" Type="http://schemas.openxmlformats.org/officeDocument/2006/relationships/queryTable" Target="../queryTables/queryTable1912.xml"/><Relationship Id="rId7" Type="http://schemas.openxmlformats.org/officeDocument/2006/relationships/queryTable" Target="../queryTables/queryTable1540.xml"/><Relationship Id="rId183" Type="http://schemas.openxmlformats.org/officeDocument/2006/relationships/queryTable" Target="../queryTables/queryTable1716.xml"/><Relationship Id="rId239" Type="http://schemas.openxmlformats.org/officeDocument/2006/relationships/queryTable" Target="../queryTables/queryTable1772.xml"/><Relationship Id="rId390" Type="http://schemas.openxmlformats.org/officeDocument/2006/relationships/queryTable" Target="../queryTables/queryTable1923.xml"/><Relationship Id="rId404" Type="http://schemas.openxmlformats.org/officeDocument/2006/relationships/queryTable" Target="../queryTables/queryTable1937.xml"/><Relationship Id="rId446" Type="http://schemas.openxmlformats.org/officeDocument/2006/relationships/queryTable" Target="../queryTables/queryTable1979.xml"/><Relationship Id="rId250" Type="http://schemas.openxmlformats.org/officeDocument/2006/relationships/queryTable" Target="../queryTables/queryTable1783.xml"/><Relationship Id="rId292" Type="http://schemas.openxmlformats.org/officeDocument/2006/relationships/queryTable" Target="../queryTables/queryTable1825.xml"/><Relationship Id="rId306" Type="http://schemas.openxmlformats.org/officeDocument/2006/relationships/queryTable" Target="../queryTables/queryTable1839.xml"/><Relationship Id="rId488" Type="http://schemas.openxmlformats.org/officeDocument/2006/relationships/queryTable" Target="../queryTables/queryTable2021.xml"/><Relationship Id="rId45" Type="http://schemas.openxmlformats.org/officeDocument/2006/relationships/queryTable" Target="../queryTables/queryTable1578.xml"/><Relationship Id="rId87" Type="http://schemas.openxmlformats.org/officeDocument/2006/relationships/queryTable" Target="../queryTables/queryTable1620.xml"/><Relationship Id="rId110" Type="http://schemas.openxmlformats.org/officeDocument/2006/relationships/queryTable" Target="../queryTables/queryTable1643.xml"/><Relationship Id="rId348" Type="http://schemas.openxmlformats.org/officeDocument/2006/relationships/queryTable" Target="../queryTables/queryTable1881.xml"/><Relationship Id="rId513" Type="http://schemas.openxmlformats.org/officeDocument/2006/relationships/queryTable" Target="../queryTables/queryTable2046.xml"/><Relationship Id="rId152" Type="http://schemas.openxmlformats.org/officeDocument/2006/relationships/queryTable" Target="../queryTables/queryTable1685.xml"/><Relationship Id="rId194" Type="http://schemas.openxmlformats.org/officeDocument/2006/relationships/queryTable" Target="../queryTables/queryTable1727.xml"/><Relationship Id="rId208" Type="http://schemas.openxmlformats.org/officeDocument/2006/relationships/queryTable" Target="../queryTables/queryTable1741.xml"/><Relationship Id="rId415" Type="http://schemas.openxmlformats.org/officeDocument/2006/relationships/queryTable" Target="../queryTables/queryTable1948.xml"/><Relationship Id="rId457" Type="http://schemas.openxmlformats.org/officeDocument/2006/relationships/queryTable" Target="../queryTables/queryTable1990.xml"/><Relationship Id="rId261" Type="http://schemas.openxmlformats.org/officeDocument/2006/relationships/queryTable" Target="../queryTables/queryTable1794.xml"/><Relationship Id="rId499" Type="http://schemas.openxmlformats.org/officeDocument/2006/relationships/queryTable" Target="../queryTables/queryTable2032.xml"/><Relationship Id="rId14" Type="http://schemas.openxmlformats.org/officeDocument/2006/relationships/queryTable" Target="../queryTables/queryTable1547.xml"/><Relationship Id="rId56" Type="http://schemas.openxmlformats.org/officeDocument/2006/relationships/queryTable" Target="../queryTables/queryTable1589.xml"/><Relationship Id="rId317" Type="http://schemas.openxmlformats.org/officeDocument/2006/relationships/queryTable" Target="../queryTables/queryTable1850.xml"/><Relationship Id="rId359" Type="http://schemas.openxmlformats.org/officeDocument/2006/relationships/queryTable" Target="../queryTables/queryTable1892.xml"/><Relationship Id="rId524" Type="http://schemas.openxmlformats.org/officeDocument/2006/relationships/queryTable" Target="../queryTables/queryTable2057.xml"/><Relationship Id="rId98" Type="http://schemas.openxmlformats.org/officeDocument/2006/relationships/queryTable" Target="../queryTables/queryTable1631.xml"/><Relationship Id="rId121" Type="http://schemas.openxmlformats.org/officeDocument/2006/relationships/queryTable" Target="../queryTables/queryTable1654.xml"/><Relationship Id="rId163" Type="http://schemas.openxmlformats.org/officeDocument/2006/relationships/queryTable" Target="../queryTables/queryTable1696.xml"/><Relationship Id="rId219" Type="http://schemas.openxmlformats.org/officeDocument/2006/relationships/queryTable" Target="../queryTables/queryTable1752.xml"/><Relationship Id="rId370" Type="http://schemas.openxmlformats.org/officeDocument/2006/relationships/queryTable" Target="../queryTables/queryTable1903.xml"/><Relationship Id="rId426" Type="http://schemas.openxmlformats.org/officeDocument/2006/relationships/queryTable" Target="../queryTables/queryTable1959.xml"/><Relationship Id="rId230" Type="http://schemas.openxmlformats.org/officeDocument/2006/relationships/queryTable" Target="../queryTables/queryTable1763.xml"/><Relationship Id="rId468" Type="http://schemas.openxmlformats.org/officeDocument/2006/relationships/queryTable" Target="../queryTables/queryTable2001.xml"/><Relationship Id="rId25" Type="http://schemas.openxmlformats.org/officeDocument/2006/relationships/queryTable" Target="../queryTables/queryTable1558.xml"/><Relationship Id="rId46" Type="http://schemas.openxmlformats.org/officeDocument/2006/relationships/queryTable" Target="../queryTables/queryTable1579.xml"/><Relationship Id="rId67" Type="http://schemas.openxmlformats.org/officeDocument/2006/relationships/queryTable" Target="../queryTables/queryTable1600.xml"/><Relationship Id="rId272" Type="http://schemas.openxmlformats.org/officeDocument/2006/relationships/queryTable" Target="../queryTables/queryTable1805.xml"/><Relationship Id="rId293" Type="http://schemas.openxmlformats.org/officeDocument/2006/relationships/queryTable" Target="../queryTables/queryTable1826.xml"/><Relationship Id="rId307" Type="http://schemas.openxmlformats.org/officeDocument/2006/relationships/queryTable" Target="../queryTables/queryTable1840.xml"/><Relationship Id="rId328" Type="http://schemas.openxmlformats.org/officeDocument/2006/relationships/queryTable" Target="../queryTables/queryTable1861.xml"/><Relationship Id="rId349" Type="http://schemas.openxmlformats.org/officeDocument/2006/relationships/queryTable" Target="../queryTables/queryTable1882.xml"/><Relationship Id="rId514" Type="http://schemas.openxmlformats.org/officeDocument/2006/relationships/queryTable" Target="../queryTables/queryTable2047.xml"/><Relationship Id="rId535" Type="http://schemas.openxmlformats.org/officeDocument/2006/relationships/queryTable" Target="../queryTables/queryTable2068.xml"/><Relationship Id="rId88" Type="http://schemas.openxmlformats.org/officeDocument/2006/relationships/queryTable" Target="../queryTables/queryTable1621.xml"/><Relationship Id="rId111" Type="http://schemas.openxmlformats.org/officeDocument/2006/relationships/queryTable" Target="../queryTables/queryTable1644.xml"/><Relationship Id="rId132" Type="http://schemas.openxmlformats.org/officeDocument/2006/relationships/queryTable" Target="../queryTables/queryTable1665.xml"/><Relationship Id="rId153" Type="http://schemas.openxmlformats.org/officeDocument/2006/relationships/queryTable" Target="../queryTables/queryTable1686.xml"/><Relationship Id="rId174" Type="http://schemas.openxmlformats.org/officeDocument/2006/relationships/queryTable" Target="../queryTables/queryTable1707.xml"/><Relationship Id="rId195" Type="http://schemas.openxmlformats.org/officeDocument/2006/relationships/queryTable" Target="../queryTables/queryTable1728.xml"/><Relationship Id="rId209" Type="http://schemas.openxmlformats.org/officeDocument/2006/relationships/queryTable" Target="../queryTables/queryTable1742.xml"/><Relationship Id="rId360" Type="http://schemas.openxmlformats.org/officeDocument/2006/relationships/queryTable" Target="../queryTables/queryTable1893.xml"/><Relationship Id="rId381" Type="http://schemas.openxmlformats.org/officeDocument/2006/relationships/queryTable" Target="../queryTables/queryTable1914.xml"/><Relationship Id="rId416" Type="http://schemas.openxmlformats.org/officeDocument/2006/relationships/queryTable" Target="../queryTables/queryTable1949.xml"/><Relationship Id="rId220" Type="http://schemas.openxmlformats.org/officeDocument/2006/relationships/queryTable" Target="../queryTables/queryTable1753.xml"/><Relationship Id="rId241" Type="http://schemas.openxmlformats.org/officeDocument/2006/relationships/queryTable" Target="../queryTables/queryTable1774.xml"/><Relationship Id="rId437" Type="http://schemas.openxmlformats.org/officeDocument/2006/relationships/queryTable" Target="../queryTables/queryTable1970.xml"/><Relationship Id="rId458" Type="http://schemas.openxmlformats.org/officeDocument/2006/relationships/queryTable" Target="../queryTables/queryTable1991.xml"/><Relationship Id="rId479" Type="http://schemas.openxmlformats.org/officeDocument/2006/relationships/queryTable" Target="../queryTables/queryTable2012.xml"/><Relationship Id="rId15" Type="http://schemas.openxmlformats.org/officeDocument/2006/relationships/queryTable" Target="../queryTables/queryTable1548.xml"/><Relationship Id="rId36" Type="http://schemas.openxmlformats.org/officeDocument/2006/relationships/queryTable" Target="../queryTables/queryTable1569.xml"/><Relationship Id="rId57" Type="http://schemas.openxmlformats.org/officeDocument/2006/relationships/queryTable" Target="../queryTables/queryTable1590.xml"/><Relationship Id="rId262" Type="http://schemas.openxmlformats.org/officeDocument/2006/relationships/queryTable" Target="../queryTables/queryTable1795.xml"/><Relationship Id="rId283" Type="http://schemas.openxmlformats.org/officeDocument/2006/relationships/queryTable" Target="../queryTables/queryTable1816.xml"/><Relationship Id="rId318" Type="http://schemas.openxmlformats.org/officeDocument/2006/relationships/queryTable" Target="../queryTables/queryTable1851.xml"/><Relationship Id="rId339" Type="http://schemas.openxmlformats.org/officeDocument/2006/relationships/queryTable" Target="../queryTables/queryTable1872.xml"/><Relationship Id="rId490" Type="http://schemas.openxmlformats.org/officeDocument/2006/relationships/queryTable" Target="../queryTables/queryTable2023.xml"/><Relationship Id="rId504" Type="http://schemas.openxmlformats.org/officeDocument/2006/relationships/queryTable" Target="../queryTables/queryTable2037.xml"/><Relationship Id="rId525" Type="http://schemas.openxmlformats.org/officeDocument/2006/relationships/queryTable" Target="../queryTables/queryTable2058.xml"/><Relationship Id="rId78" Type="http://schemas.openxmlformats.org/officeDocument/2006/relationships/queryTable" Target="../queryTables/queryTable1611.xml"/><Relationship Id="rId99" Type="http://schemas.openxmlformats.org/officeDocument/2006/relationships/queryTable" Target="../queryTables/queryTable1632.xml"/><Relationship Id="rId101" Type="http://schemas.openxmlformats.org/officeDocument/2006/relationships/queryTable" Target="../queryTables/queryTable1634.xml"/><Relationship Id="rId122" Type="http://schemas.openxmlformats.org/officeDocument/2006/relationships/queryTable" Target="../queryTables/queryTable1655.xml"/><Relationship Id="rId143" Type="http://schemas.openxmlformats.org/officeDocument/2006/relationships/queryTable" Target="../queryTables/queryTable1676.xml"/><Relationship Id="rId164" Type="http://schemas.openxmlformats.org/officeDocument/2006/relationships/queryTable" Target="../queryTables/queryTable1697.xml"/><Relationship Id="rId185" Type="http://schemas.openxmlformats.org/officeDocument/2006/relationships/queryTable" Target="../queryTables/queryTable1718.xml"/><Relationship Id="rId350" Type="http://schemas.openxmlformats.org/officeDocument/2006/relationships/queryTable" Target="../queryTables/queryTable1883.xml"/><Relationship Id="rId371" Type="http://schemas.openxmlformats.org/officeDocument/2006/relationships/queryTable" Target="../queryTables/queryTable1904.xml"/><Relationship Id="rId406" Type="http://schemas.openxmlformats.org/officeDocument/2006/relationships/queryTable" Target="../queryTables/queryTable1939.xml"/><Relationship Id="rId9" Type="http://schemas.openxmlformats.org/officeDocument/2006/relationships/queryTable" Target="../queryTables/queryTable1542.xml"/><Relationship Id="rId210" Type="http://schemas.openxmlformats.org/officeDocument/2006/relationships/queryTable" Target="../queryTables/queryTable1743.xml"/><Relationship Id="rId392" Type="http://schemas.openxmlformats.org/officeDocument/2006/relationships/queryTable" Target="../queryTables/queryTable1925.xml"/><Relationship Id="rId427" Type="http://schemas.openxmlformats.org/officeDocument/2006/relationships/queryTable" Target="../queryTables/queryTable1960.xml"/><Relationship Id="rId448" Type="http://schemas.openxmlformats.org/officeDocument/2006/relationships/queryTable" Target="../queryTables/queryTable1981.xml"/><Relationship Id="rId469" Type="http://schemas.openxmlformats.org/officeDocument/2006/relationships/queryTable" Target="../queryTables/queryTable2002.xml"/><Relationship Id="rId26" Type="http://schemas.openxmlformats.org/officeDocument/2006/relationships/queryTable" Target="../queryTables/queryTable1559.xml"/><Relationship Id="rId231" Type="http://schemas.openxmlformats.org/officeDocument/2006/relationships/queryTable" Target="../queryTables/queryTable1764.xml"/><Relationship Id="rId252" Type="http://schemas.openxmlformats.org/officeDocument/2006/relationships/queryTable" Target="../queryTables/queryTable1785.xml"/><Relationship Id="rId273" Type="http://schemas.openxmlformats.org/officeDocument/2006/relationships/queryTable" Target="../queryTables/queryTable1806.xml"/><Relationship Id="rId294" Type="http://schemas.openxmlformats.org/officeDocument/2006/relationships/queryTable" Target="../queryTables/queryTable1827.xml"/><Relationship Id="rId308" Type="http://schemas.openxmlformats.org/officeDocument/2006/relationships/queryTable" Target="../queryTables/queryTable1841.xml"/><Relationship Id="rId329" Type="http://schemas.openxmlformats.org/officeDocument/2006/relationships/queryTable" Target="../queryTables/queryTable1862.xml"/><Relationship Id="rId480" Type="http://schemas.openxmlformats.org/officeDocument/2006/relationships/queryTable" Target="../queryTables/queryTable2013.xml"/><Relationship Id="rId515" Type="http://schemas.openxmlformats.org/officeDocument/2006/relationships/queryTable" Target="../queryTables/queryTable2048.xml"/><Relationship Id="rId536" Type="http://schemas.openxmlformats.org/officeDocument/2006/relationships/queryTable" Target="../queryTables/queryTable2069.xml"/><Relationship Id="rId47" Type="http://schemas.openxmlformats.org/officeDocument/2006/relationships/queryTable" Target="../queryTables/queryTable1580.xml"/><Relationship Id="rId68" Type="http://schemas.openxmlformats.org/officeDocument/2006/relationships/queryTable" Target="../queryTables/queryTable1601.xml"/><Relationship Id="rId89" Type="http://schemas.openxmlformats.org/officeDocument/2006/relationships/queryTable" Target="../queryTables/queryTable1622.xml"/><Relationship Id="rId112" Type="http://schemas.openxmlformats.org/officeDocument/2006/relationships/queryTable" Target="../queryTables/queryTable1645.xml"/><Relationship Id="rId133" Type="http://schemas.openxmlformats.org/officeDocument/2006/relationships/queryTable" Target="../queryTables/queryTable1666.xml"/><Relationship Id="rId154" Type="http://schemas.openxmlformats.org/officeDocument/2006/relationships/queryTable" Target="../queryTables/queryTable1687.xml"/><Relationship Id="rId175" Type="http://schemas.openxmlformats.org/officeDocument/2006/relationships/queryTable" Target="../queryTables/queryTable1708.xml"/><Relationship Id="rId340" Type="http://schemas.openxmlformats.org/officeDocument/2006/relationships/queryTable" Target="../queryTables/queryTable1873.xml"/><Relationship Id="rId361" Type="http://schemas.openxmlformats.org/officeDocument/2006/relationships/queryTable" Target="../queryTables/queryTable1894.xml"/><Relationship Id="rId196" Type="http://schemas.openxmlformats.org/officeDocument/2006/relationships/queryTable" Target="../queryTables/queryTable1729.xml"/><Relationship Id="rId200" Type="http://schemas.openxmlformats.org/officeDocument/2006/relationships/queryTable" Target="../queryTables/queryTable1733.xml"/><Relationship Id="rId382" Type="http://schemas.openxmlformats.org/officeDocument/2006/relationships/queryTable" Target="../queryTables/queryTable1915.xml"/><Relationship Id="rId417" Type="http://schemas.openxmlformats.org/officeDocument/2006/relationships/queryTable" Target="../queryTables/queryTable1950.xml"/><Relationship Id="rId438" Type="http://schemas.openxmlformats.org/officeDocument/2006/relationships/queryTable" Target="../queryTables/queryTable1971.xml"/><Relationship Id="rId459" Type="http://schemas.openxmlformats.org/officeDocument/2006/relationships/queryTable" Target="../queryTables/queryTable1992.xml"/><Relationship Id="rId16" Type="http://schemas.openxmlformats.org/officeDocument/2006/relationships/queryTable" Target="../queryTables/queryTable1549.xml"/><Relationship Id="rId221" Type="http://schemas.openxmlformats.org/officeDocument/2006/relationships/queryTable" Target="../queryTables/queryTable1754.xml"/><Relationship Id="rId242" Type="http://schemas.openxmlformats.org/officeDocument/2006/relationships/queryTable" Target="../queryTables/queryTable1775.xml"/><Relationship Id="rId263" Type="http://schemas.openxmlformats.org/officeDocument/2006/relationships/queryTable" Target="../queryTables/queryTable1796.xml"/><Relationship Id="rId284" Type="http://schemas.openxmlformats.org/officeDocument/2006/relationships/queryTable" Target="../queryTables/queryTable1817.xml"/><Relationship Id="rId319" Type="http://schemas.openxmlformats.org/officeDocument/2006/relationships/queryTable" Target="../queryTables/queryTable1852.xml"/><Relationship Id="rId470" Type="http://schemas.openxmlformats.org/officeDocument/2006/relationships/queryTable" Target="../queryTables/queryTable2003.xml"/><Relationship Id="rId491" Type="http://schemas.openxmlformats.org/officeDocument/2006/relationships/queryTable" Target="../queryTables/queryTable2024.xml"/><Relationship Id="rId505" Type="http://schemas.openxmlformats.org/officeDocument/2006/relationships/queryTable" Target="../queryTables/queryTable2038.xml"/><Relationship Id="rId526" Type="http://schemas.openxmlformats.org/officeDocument/2006/relationships/queryTable" Target="../queryTables/queryTable2059.xml"/><Relationship Id="rId37" Type="http://schemas.openxmlformats.org/officeDocument/2006/relationships/queryTable" Target="../queryTables/queryTable1570.xml"/><Relationship Id="rId58" Type="http://schemas.openxmlformats.org/officeDocument/2006/relationships/queryTable" Target="../queryTables/queryTable1591.xml"/><Relationship Id="rId79" Type="http://schemas.openxmlformats.org/officeDocument/2006/relationships/queryTable" Target="../queryTables/queryTable1612.xml"/><Relationship Id="rId102" Type="http://schemas.openxmlformats.org/officeDocument/2006/relationships/queryTable" Target="../queryTables/queryTable1635.xml"/><Relationship Id="rId123" Type="http://schemas.openxmlformats.org/officeDocument/2006/relationships/queryTable" Target="../queryTables/queryTable1656.xml"/><Relationship Id="rId144" Type="http://schemas.openxmlformats.org/officeDocument/2006/relationships/queryTable" Target="../queryTables/queryTable1677.xml"/><Relationship Id="rId330" Type="http://schemas.openxmlformats.org/officeDocument/2006/relationships/queryTable" Target="../queryTables/queryTable1863.xml"/><Relationship Id="rId90" Type="http://schemas.openxmlformats.org/officeDocument/2006/relationships/queryTable" Target="../queryTables/queryTable1623.xml"/><Relationship Id="rId165" Type="http://schemas.openxmlformats.org/officeDocument/2006/relationships/queryTable" Target="../queryTables/queryTable1698.xml"/><Relationship Id="rId186" Type="http://schemas.openxmlformats.org/officeDocument/2006/relationships/queryTable" Target="../queryTables/queryTable1719.xml"/><Relationship Id="rId351" Type="http://schemas.openxmlformats.org/officeDocument/2006/relationships/queryTable" Target="../queryTables/queryTable1884.xml"/><Relationship Id="rId372" Type="http://schemas.openxmlformats.org/officeDocument/2006/relationships/queryTable" Target="../queryTables/queryTable1905.xml"/><Relationship Id="rId393" Type="http://schemas.openxmlformats.org/officeDocument/2006/relationships/queryTable" Target="../queryTables/queryTable1926.xml"/><Relationship Id="rId407" Type="http://schemas.openxmlformats.org/officeDocument/2006/relationships/queryTable" Target="../queryTables/queryTable1940.xml"/><Relationship Id="rId428" Type="http://schemas.openxmlformats.org/officeDocument/2006/relationships/queryTable" Target="../queryTables/queryTable1961.xml"/><Relationship Id="rId449" Type="http://schemas.openxmlformats.org/officeDocument/2006/relationships/queryTable" Target="../queryTables/queryTable1982.xml"/><Relationship Id="rId211" Type="http://schemas.openxmlformats.org/officeDocument/2006/relationships/queryTable" Target="../queryTables/queryTable1744.xml"/><Relationship Id="rId232" Type="http://schemas.openxmlformats.org/officeDocument/2006/relationships/queryTable" Target="../queryTables/queryTable1765.xml"/><Relationship Id="rId253" Type="http://schemas.openxmlformats.org/officeDocument/2006/relationships/queryTable" Target="../queryTables/queryTable1786.xml"/><Relationship Id="rId274" Type="http://schemas.openxmlformats.org/officeDocument/2006/relationships/queryTable" Target="../queryTables/queryTable1807.xml"/><Relationship Id="rId295" Type="http://schemas.openxmlformats.org/officeDocument/2006/relationships/queryTable" Target="../queryTables/queryTable1828.xml"/><Relationship Id="rId309" Type="http://schemas.openxmlformats.org/officeDocument/2006/relationships/queryTable" Target="../queryTables/queryTable1842.xml"/><Relationship Id="rId460" Type="http://schemas.openxmlformats.org/officeDocument/2006/relationships/queryTable" Target="../queryTables/queryTable1993.xml"/><Relationship Id="rId481" Type="http://schemas.openxmlformats.org/officeDocument/2006/relationships/queryTable" Target="../queryTables/queryTable2014.xml"/><Relationship Id="rId516" Type="http://schemas.openxmlformats.org/officeDocument/2006/relationships/queryTable" Target="../queryTables/queryTable2049.xml"/><Relationship Id="rId27" Type="http://schemas.openxmlformats.org/officeDocument/2006/relationships/queryTable" Target="../queryTables/queryTable1560.xml"/><Relationship Id="rId48" Type="http://schemas.openxmlformats.org/officeDocument/2006/relationships/queryTable" Target="../queryTables/queryTable1581.xml"/><Relationship Id="rId69" Type="http://schemas.openxmlformats.org/officeDocument/2006/relationships/queryTable" Target="../queryTables/queryTable1602.xml"/><Relationship Id="rId113" Type="http://schemas.openxmlformats.org/officeDocument/2006/relationships/queryTable" Target="../queryTables/queryTable1646.xml"/><Relationship Id="rId134" Type="http://schemas.openxmlformats.org/officeDocument/2006/relationships/queryTable" Target="../queryTables/queryTable1667.xml"/><Relationship Id="rId320" Type="http://schemas.openxmlformats.org/officeDocument/2006/relationships/queryTable" Target="../queryTables/queryTable1853.xml"/><Relationship Id="rId80" Type="http://schemas.openxmlformats.org/officeDocument/2006/relationships/queryTable" Target="../queryTables/queryTable1613.xml"/><Relationship Id="rId155" Type="http://schemas.openxmlformats.org/officeDocument/2006/relationships/queryTable" Target="../queryTables/queryTable1688.xml"/><Relationship Id="rId176" Type="http://schemas.openxmlformats.org/officeDocument/2006/relationships/queryTable" Target="../queryTables/queryTable1709.xml"/><Relationship Id="rId197" Type="http://schemas.openxmlformats.org/officeDocument/2006/relationships/queryTable" Target="../queryTables/queryTable1730.xml"/><Relationship Id="rId341" Type="http://schemas.openxmlformats.org/officeDocument/2006/relationships/queryTable" Target="../queryTables/queryTable1874.xml"/><Relationship Id="rId362" Type="http://schemas.openxmlformats.org/officeDocument/2006/relationships/queryTable" Target="../queryTables/queryTable1895.xml"/><Relationship Id="rId383" Type="http://schemas.openxmlformats.org/officeDocument/2006/relationships/queryTable" Target="../queryTables/queryTable1916.xml"/><Relationship Id="rId418" Type="http://schemas.openxmlformats.org/officeDocument/2006/relationships/queryTable" Target="../queryTables/queryTable1951.xml"/><Relationship Id="rId439" Type="http://schemas.openxmlformats.org/officeDocument/2006/relationships/queryTable" Target="../queryTables/queryTable1972.xml"/><Relationship Id="rId201" Type="http://schemas.openxmlformats.org/officeDocument/2006/relationships/queryTable" Target="../queryTables/queryTable1734.xml"/><Relationship Id="rId222" Type="http://schemas.openxmlformats.org/officeDocument/2006/relationships/queryTable" Target="../queryTables/queryTable1755.xml"/><Relationship Id="rId243" Type="http://schemas.openxmlformats.org/officeDocument/2006/relationships/queryTable" Target="../queryTables/queryTable1776.xml"/><Relationship Id="rId264" Type="http://schemas.openxmlformats.org/officeDocument/2006/relationships/queryTable" Target="../queryTables/queryTable1797.xml"/><Relationship Id="rId285" Type="http://schemas.openxmlformats.org/officeDocument/2006/relationships/queryTable" Target="../queryTables/queryTable1818.xml"/><Relationship Id="rId450" Type="http://schemas.openxmlformats.org/officeDocument/2006/relationships/queryTable" Target="../queryTables/queryTable1983.xml"/><Relationship Id="rId471" Type="http://schemas.openxmlformats.org/officeDocument/2006/relationships/queryTable" Target="../queryTables/queryTable2004.xml"/><Relationship Id="rId506" Type="http://schemas.openxmlformats.org/officeDocument/2006/relationships/queryTable" Target="../queryTables/queryTable2039.xml"/><Relationship Id="rId17" Type="http://schemas.openxmlformats.org/officeDocument/2006/relationships/queryTable" Target="../queryTables/queryTable1550.xml"/><Relationship Id="rId38" Type="http://schemas.openxmlformats.org/officeDocument/2006/relationships/queryTable" Target="../queryTables/queryTable1571.xml"/><Relationship Id="rId59" Type="http://schemas.openxmlformats.org/officeDocument/2006/relationships/queryTable" Target="../queryTables/queryTable1592.xml"/><Relationship Id="rId103" Type="http://schemas.openxmlformats.org/officeDocument/2006/relationships/queryTable" Target="../queryTables/queryTable1636.xml"/><Relationship Id="rId124" Type="http://schemas.openxmlformats.org/officeDocument/2006/relationships/queryTable" Target="../queryTables/queryTable1657.xml"/><Relationship Id="rId310" Type="http://schemas.openxmlformats.org/officeDocument/2006/relationships/queryTable" Target="../queryTables/queryTable1843.xml"/><Relationship Id="rId492" Type="http://schemas.openxmlformats.org/officeDocument/2006/relationships/queryTable" Target="../queryTables/queryTable2025.xml"/><Relationship Id="rId527" Type="http://schemas.openxmlformats.org/officeDocument/2006/relationships/queryTable" Target="../queryTables/queryTable2060.xml"/><Relationship Id="rId70" Type="http://schemas.openxmlformats.org/officeDocument/2006/relationships/queryTable" Target="../queryTables/queryTable1603.xml"/><Relationship Id="rId91" Type="http://schemas.openxmlformats.org/officeDocument/2006/relationships/queryTable" Target="../queryTables/queryTable1624.xml"/><Relationship Id="rId145" Type="http://schemas.openxmlformats.org/officeDocument/2006/relationships/queryTable" Target="../queryTables/queryTable1678.xml"/><Relationship Id="rId166" Type="http://schemas.openxmlformats.org/officeDocument/2006/relationships/queryTable" Target="../queryTables/queryTable1699.xml"/><Relationship Id="rId187" Type="http://schemas.openxmlformats.org/officeDocument/2006/relationships/queryTable" Target="../queryTables/queryTable1720.xml"/><Relationship Id="rId331" Type="http://schemas.openxmlformats.org/officeDocument/2006/relationships/queryTable" Target="../queryTables/queryTable1864.xml"/><Relationship Id="rId352" Type="http://schemas.openxmlformats.org/officeDocument/2006/relationships/queryTable" Target="../queryTables/queryTable1885.xml"/><Relationship Id="rId373" Type="http://schemas.openxmlformats.org/officeDocument/2006/relationships/queryTable" Target="../queryTables/queryTable1906.xml"/><Relationship Id="rId394" Type="http://schemas.openxmlformats.org/officeDocument/2006/relationships/queryTable" Target="../queryTables/queryTable1927.xml"/><Relationship Id="rId408" Type="http://schemas.openxmlformats.org/officeDocument/2006/relationships/queryTable" Target="../queryTables/queryTable1941.xml"/><Relationship Id="rId429" Type="http://schemas.openxmlformats.org/officeDocument/2006/relationships/queryTable" Target="../queryTables/queryTable1962.xml"/><Relationship Id="rId1" Type="http://schemas.openxmlformats.org/officeDocument/2006/relationships/printerSettings" Target="../printerSettings/printerSettings6.bin"/><Relationship Id="rId212" Type="http://schemas.openxmlformats.org/officeDocument/2006/relationships/queryTable" Target="../queryTables/queryTable1745.xml"/><Relationship Id="rId233" Type="http://schemas.openxmlformats.org/officeDocument/2006/relationships/queryTable" Target="../queryTables/queryTable1766.xml"/><Relationship Id="rId254" Type="http://schemas.openxmlformats.org/officeDocument/2006/relationships/queryTable" Target="../queryTables/queryTable1787.xml"/><Relationship Id="rId440" Type="http://schemas.openxmlformats.org/officeDocument/2006/relationships/queryTable" Target="../queryTables/queryTable1973.xml"/><Relationship Id="rId28" Type="http://schemas.openxmlformats.org/officeDocument/2006/relationships/queryTable" Target="../queryTables/queryTable1561.xml"/><Relationship Id="rId49" Type="http://schemas.openxmlformats.org/officeDocument/2006/relationships/queryTable" Target="../queryTables/queryTable1582.xml"/><Relationship Id="rId114" Type="http://schemas.openxmlformats.org/officeDocument/2006/relationships/queryTable" Target="../queryTables/queryTable1647.xml"/><Relationship Id="rId275" Type="http://schemas.openxmlformats.org/officeDocument/2006/relationships/queryTable" Target="../queryTables/queryTable1808.xml"/><Relationship Id="rId296" Type="http://schemas.openxmlformats.org/officeDocument/2006/relationships/queryTable" Target="../queryTables/queryTable1829.xml"/><Relationship Id="rId300" Type="http://schemas.openxmlformats.org/officeDocument/2006/relationships/queryTable" Target="../queryTables/queryTable1833.xml"/><Relationship Id="rId461" Type="http://schemas.openxmlformats.org/officeDocument/2006/relationships/queryTable" Target="../queryTables/queryTable1994.xml"/><Relationship Id="rId482" Type="http://schemas.openxmlformats.org/officeDocument/2006/relationships/queryTable" Target="../queryTables/queryTable2015.xml"/><Relationship Id="rId517" Type="http://schemas.openxmlformats.org/officeDocument/2006/relationships/queryTable" Target="../queryTables/queryTable2050.xml"/><Relationship Id="rId60" Type="http://schemas.openxmlformats.org/officeDocument/2006/relationships/queryTable" Target="../queryTables/queryTable1593.xml"/><Relationship Id="rId81" Type="http://schemas.openxmlformats.org/officeDocument/2006/relationships/queryTable" Target="../queryTables/queryTable1614.xml"/><Relationship Id="rId135" Type="http://schemas.openxmlformats.org/officeDocument/2006/relationships/queryTable" Target="../queryTables/queryTable1668.xml"/><Relationship Id="rId156" Type="http://schemas.openxmlformats.org/officeDocument/2006/relationships/queryTable" Target="../queryTables/queryTable1689.xml"/><Relationship Id="rId177" Type="http://schemas.openxmlformats.org/officeDocument/2006/relationships/queryTable" Target="../queryTables/queryTable1710.xml"/><Relationship Id="rId198" Type="http://schemas.openxmlformats.org/officeDocument/2006/relationships/queryTable" Target="../queryTables/queryTable1731.xml"/><Relationship Id="rId321" Type="http://schemas.openxmlformats.org/officeDocument/2006/relationships/queryTable" Target="../queryTables/queryTable1854.xml"/><Relationship Id="rId342" Type="http://schemas.openxmlformats.org/officeDocument/2006/relationships/queryTable" Target="../queryTables/queryTable1875.xml"/><Relationship Id="rId363" Type="http://schemas.openxmlformats.org/officeDocument/2006/relationships/queryTable" Target="../queryTables/queryTable1896.xml"/><Relationship Id="rId384" Type="http://schemas.openxmlformats.org/officeDocument/2006/relationships/queryTable" Target="../queryTables/queryTable1917.xml"/><Relationship Id="rId419" Type="http://schemas.openxmlformats.org/officeDocument/2006/relationships/queryTable" Target="../queryTables/queryTable1952.xml"/><Relationship Id="rId202" Type="http://schemas.openxmlformats.org/officeDocument/2006/relationships/queryTable" Target="../queryTables/queryTable1735.xml"/><Relationship Id="rId223" Type="http://schemas.openxmlformats.org/officeDocument/2006/relationships/queryTable" Target="../queryTables/queryTable1756.xml"/><Relationship Id="rId244" Type="http://schemas.openxmlformats.org/officeDocument/2006/relationships/queryTable" Target="../queryTables/queryTable1777.xml"/><Relationship Id="rId430" Type="http://schemas.openxmlformats.org/officeDocument/2006/relationships/queryTable" Target="../queryTables/queryTable1963.xml"/><Relationship Id="rId18" Type="http://schemas.openxmlformats.org/officeDocument/2006/relationships/queryTable" Target="../queryTables/queryTable1551.xml"/><Relationship Id="rId39" Type="http://schemas.openxmlformats.org/officeDocument/2006/relationships/queryTable" Target="../queryTables/queryTable1572.xml"/><Relationship Id="rId265" Type="http://schemas.openxmlformats.org/officeDocument/2006/relationships/queryTable" Target="../queryTables/queryTable1798.xml"/><Relationship Id="rId286" Type="http://schemas.openxmlformats.org/officeDocument/2006/relationships/queryTable" Target="../queryTables/queryTable1819.xml"/><Relationship Id="rId451" Type="http://schemas.openxmlformats.org/officeDocument/2006/relationships/queryTable" Target="../queryTables/queryTable1984.xml"/><Relationship Id="rId472" Type="http://schemas.openxmlformats.org/officeDocument/2006/relationships/queryTable" Target="../queryTables/queryTable2005.xml"/><Relationship Id="rId493" Type="http://schemas.openxmlformats.org/officeDocument/2006/relationships/queryTable" Target="../queryTables/queryTable2026.xml"/><Relationship Id="rId507" Type="http://schemas.openxmlformats.org/officeDocument/2006/relationships/queryTable" Target="../queryTables/queryTable2040.xml"/><Relationship Id="rId528" Type="http://schemas.openxmlformats.org/officeDocument/2006/relationships/queryTable" Target="../queryTables/queryTable2061.xml"/><Relationship Id="rId50" Type="http://schemas.openxmlformats.org/officeDocument/2006/relationships/queryTable" Target="../queryTables/queryTable1583.xml"/><Relationship Id="rId104" Type="http://schemas.openxmlformats.org/officeDocument/2006/relationships/queryTable" Target="../queryTables/queryTable1637.xml"/><Relationship Id="rId125" Type="http://schemas.openxmlformats.org/officeDocument/2006/relationships/queryTable" Target="../queryTables/queryTable1658.xml"/><Relationship Id="rId146" Type="http://schemas.openxmlformats.org/officeDocument/2006/relationships/queryTable" Target="../queryTables/queryTable1679.xml"/><Relationship Id="rId167" Type="http://schemas.openxmlformats.org/officeDocument/2006/relationships/queryTable" Target="../queryTables/queryTable1700.xml"/><Relationship Id="rId188" Type="http://schemas.openxmlformats.org/officeDocument/2006/relationships/queryTable" Target="../queryTables/queryTable1721.xml"/><Relationship Id="rId311" Type="http://schemas.openxmlformats.org/officeDocument/2006/relationships/queryTable" Target="../queryTables/queryTable1844.xml"/><Relationship Id="rId332" Type="http://schemas.openxmlformats.org/officeDocument/2006/relationships/queryTable" Target="../queryTables/queryTable1865.xml"/><Relationship Id="rId353" Type="http://schemas.openxmlformats.org/officeDocument/2006/relationships/queryTable" Target="../queryTables/queryTable1886.xml"/><Relationship Id="rId374" Type="http://schemas.openxmlformats.org/officeDocument/2006/relationships/queryTable" Target="../queryTables/queryTable1907.xml"/><Relationship Id="rId395" Type="http://schemas.openxmlformats.org/officeDocument/2006/relationships/queryTable" Target="../queryTables/queryTable1928.xml"/><Relationship Id="rId409" Type="http://schemas.openxmlformats.org/officeDocument/2006/relationships/queryTable" Target="../queryTables/queryTable1942.xml"/><Relationship Id="rId71" Type="http://schemas.openxmlformats.org/officeDocument/2006/relationships/queryTable" Target="../queryTables/queryTable1604.xml"/><Relationship Id="rId92" Type="http://schemas.openxmlformats.org/officeDocument/2006/relationships/queryTable" Target="../queryTables/queryTable1625.xml"/><Relationship Id="rId213" Type="http://schemas.openxmlformats.org/officeDocument/2006/relationships/queryTable" Target="../queryTables/queryTable1746.xml"/><Relationship Id="rId234" Type="http://schemas.openxmlformats.org/officeDocument/2006/relationships/queryTable" Target="../queryTables/queryTable1767.xml"/><Relationship Id="rId420" Type="http://schemas.openxmlformats.org/officeDocument/2006/relationships/queryTable" Target="../queryTables/queryTable1953.xml"/><Relationship Id="rId2" Type="http://schemas.openxmlformats.org/officeDocument/2006/relationships/vmlDrawing" Target="../drawings/vmlDrawing5.vml"/><Relationship Id="rId29" Type="http://schemas.openxmlformats.org/officeDocument/2006/relationships/queryTable" Target="../queryTables/queryTable1562.xml"/><Relationship Id="rId255" Type="http://schemas.openxmlformats.org/officeDocument/2006/relationships/queryTable" Target="../queryTables/queryTable1788.xml"/><Relationship Id="rId276" Type="http://schemas.openxmlformats.org/officeDocument/2006/relationships/queryTable" Target="../queryTables/queryTable1809.xml"/><Relationship Id="rId297" Type="http://schemas.openxmlformats.org/officeDocument/2006/relationships/queryTable" Target="../queryTables/queryTable1830.xml"/><Relationship Id="rId441" Type="http://schemas.openxmlformats.org/officeDocument/2006/relationships/queryTable" Target="../queryTables/queryTable1974.xml"/><Relationship Id="rId462" Type="http://schemas.openxmlformats.org/officeDocument/2006/relationships/queryTable" Target="../queryTables/queryTable1995.xml"/><Relationship Id="rId483" Type="http://schemas.openxmlformats.org/officeDocument/2006/relationships/queryTable" Target="../queryTables/queryTable2016.xml"/><Relationship Id="rId518" Type="http://schemas.openxmlformats.org/officeDocument/2006/relationships/queryTable" Target="../queryTables/queryTable2051.xml"/><Relationship Id="rId40" Type="http://schemas.openxmlformats.org/officeDocument/2006/relationships/queryTable" Target="../queryTables/queryTable1573.xml"/><Relationship Id="rId115" Type="http://schemas.openxmlformats.org/officeDocument/2006/relationships/queryTable" Target="../queryTables/queryTable1648.xml"/><Relationship Id="rId136" Type="http://schemas.openxmlformats.org/officeDocument/2006/relationships/queryTable" Target="../queryTables/queryTable1669.xml"/><Relationship Id="rId157" Type="http://schemas.openxmlformats.org/officeDocument/2006/relationships/queryTable" Target="../queryTables/queryTable1690.xml"/><Relationship Id="rId178" Type="http://schemas.openxmlformats.org/officeDocument/2006/relationships/queryTable" Target="../queryTables/queryTable1711.xml"/><Relationship Id="rId301" Type="http://schemas.openxmlformats.org/officeDocument/2006/relationships/queryTable" Target="../queryTables/queryTable1834.xml"/><Relationship Id="rId322" Type="http://schemas.openxmlformats.org/officeDocument/2006/relationships/queryTable" Target="../queryTables/queryTable1855.xml"/><Relationship Id="rId343" Type="http://schemas.openxmlformats.org/officeDocument/2006/relationships/queryTable" Target="../queryTables/queryTable1876.xml"/><Relationship Id="rId364" Type="http://schemas.openxmlformats.org/officeDocument/2006/relationships/queryTable" Target="../queryTables/queryTable1897.xml"/><Relationship Id="rId61" Type="http://schemas.openxmlformats.org/officeDocument/2006/relationships/queryTable" Target="../queryTables/queryTable1594.xml"/><Relationship Id="rId82" Type="http://schemas.openxmlformats.org/officeDocument/2006/relationships/queryTable" Target="../queryTables/queryTable1615.xml"/><Relationship Id="rId199" Type="http://schemas.openxmlformats.org/officeDocument/2006/relationships/queryTable" Target="../queryTables/queryTable1732.xml"/><Relationship Id="rId203" Type="http://schemas.openxmlformats.org/officeDocument/2006/relationships/queryTable" Target="../queryTables/queryTable1736.xml"/><Relationship Id="rId385" Type="http://schemas.openxmlformats.org/officeDocument/2006/relationships/queryTable" Target="../queryTables/queryTable1918.xml"/><Relationship Id="rId19" Type="http://schemas.openxmlformats.org/officeDocument/2006/relationships/queryTable" Target="../queryTables/queryTable1552.xml"/><Relationship Id="rId224" Type="http://schemas.openxmlformats.org/officeDocument/2006/relationships/queryTable" Target="../queryTables/queryTable1757.xml"/><Relationship Id="rId245" Type="http://schemas.openxmlformats.org/officeDocument/2006/relationships/queryTable" Target="../queryTables/queryTable1778.xml"/><Relationship Id="rId266" Type="http://schemas.openxmlformats.org/officeDocument/2006/relationships/queryTable" Target="../queryTables/queryTable1799.xml"/><Relationship Id="rId287" Type="http://schemas.openxmlformats.org/officeDocument/2006/relationships/queryTable" Target="../queryTables/queryTable1820.xml"/><Relationship Id="rId410" Type="http://schemas.openxmlformats.org/officeDocument/2006/relationships/queryTable" Target="../queryTables/queryTable1943.xml"/><Relationship Id="rId431" Type="http://schemas.openxmlformats.org/officeDocument/2006/relationships/queryTable" Target="../queryTables/queryTable1964.xml"/><Relationship Id="rId452" Type="http://schemas.openxmlformats.org/officeDocument/2006/relationships/queryTable" Target="../queryTables/queryTable1985.xml"/><Relationship Id="rId473" Type="http://schemas.openxmlformats.org/officeDocument/2006/relationships/queryTable" Target="../queryTables/queryTable2006.xml"/><Relationship Id="rId494" Type="http://schemas.openxmlformats.org/officeDocument/2006/relationships/queryTable" Target="../queryTables/queryTable2027.xml"/><Relationship Id="rId508" Type="http://schemas.openxmlformats.org/officeDocument/2006/relationships/queryTable" Target="../queryTables/queryTable2041.xml"/><Relationship Id="rId529" Type="http://schemas.openxmlformats.org/officeDocument/2006/relationships/queryTable" Target="../queryTables/queryTable2062.xml"/><Relationship Id="rId30" Type="http://schemas.openxmlformats.org/officeDocument/2006/relationships/queryTable" Target="../queryTables/queryTable1563.xml"/><Relationship Id="rId105" Type="http://schemas.openxmlformats.org/officeDocument/2006/relationships/queryTable" Target="../queryTables/queryTable1638.xml"/><Relationship Id="rId126" Type="http://schemas.openxmlformats.org/officeDocument/2006/relationships/queryTable" Target="../queryTables/queryTable1659.xml"/><Relationship Id="rId147" Type="http://schemas.openxmlformats.org/officeDocument/2006/relationships/queryTable" Target="../queryTables/queryTable1680.xml"/><Relationship Id="rId168" Type="http://schemas.openxmlformats.org/officeDocument/2006/relationships/queryTable" Target="../queryTables/queryTable1701.xml"/><Relationship Id="rId312" Type="http://schemas.openxmlformats.org/officeDocument/2006/relationships/queryTable" Target="../queryTables/queryTable1845.xml"/><Relationship Id="rId333" Type="http://schemas.openxmlformats.org/officeDocument/2006/relationships/queryTable" Target="../queryTables/queryTable1866.xml"/><Relationship Id="rId354" Type="http://schemas.openxmlformats.org/officeDocument/2006/relationships/queryTable" Target="../queryTables/queryTable1887.xml"/><Relationship Id="rId51" Type="http://schemas.openxmlformats.org/officeDocument/2006/relationships/queryTable" Target="../queryTables/queryTable1584.xml"/><Relationship Id="rId72" Type="http://schemas.openxmlformats.org/officeDocument/2006/relationships/queryTable" Target="../queryTables/queryTable1605.xml"/><Relationship Id="rId93" Type="http://schemas.openxmlformats.org/officeDocument/2006/relationships/queryTable" Target="../queryTables/queryTable1626.xml"/><Relationship Id="rId189" Type="http://schemas.openxmlformats.org/officeDocument/2006/relationships/queryTable" Target="../queryTables/queryTable1722.xml"/><Relationship Id="rId375" Type="http://schemas.openxmlformats.org/officeDocument/2006/relationships/queryTable" Target="../queryTables/queryTable1908.xml"/><Relationship Id="rId396" Type="http://schemas.openxmlformats.org/officeDocument/2006/relationships/queryTable" Target="../queryTables/queryTable1929.xml"/><Relationship Id="rId3" Type="http://schemas.openxmlformats.org/officeDocument/2006/relationships/table" Target="../tables/table6.xml"/><Relationship Id="rId214" Type="http://schemas.openxmlformats.org/officeDocument/2006/relationships/queryTable" Target="../queryTables/queryTable1747.xml"/><Relationship Id="rId235" Type="http://schemas.openxmlformats.org/officeDocument/2006/relationships/queryTable" Target="../queryTables/queryTable1768.xml"/><Relationship Id="rId256" Type="http://schemas.openxmlformats.org/officeDocument/2006/relationships/queryTable" Target="../queryTables/queryTable1789.xml"/><Relationship Id="rId277" Type="http://schemas.openxmlformats.org/officeDocument/2006/relationships/queryTable" Target="../queryTables/queryTable1810.xml"/><Relationship Id="rId298" Type="http://schemas.openxmlformats.org/officeDocument/2006/relationships/queryTable" Target="../queryTables/queryTable1831.xml"/><Relationship Id="rId400" Type="http://schemas.openxmlformats.org/officeDocument/2006/relationships/queryTable" Target="../queryTables/queryTable1933.xml"/><Relationship Id="rId421" Type="http://schemas.openxmlformats.org/officeDocument/2006/relationships/queryTable" Target="../queryTables/queryTable1954.xml"/><Relationship Id="rId442" Type="http://schemas.openxmlformats.org/officeDocument/2006/relationships/queryTable" Target="../queryTables/queryTable1975.xml"/><Relationship Id="rId463" Type="http://schemas.openxmlformats.org/officeDocument/2006/relationships/queryTable" Target="../queryTables/queryTable1996.xml"/><Relationship Id="rId484" Type="http://schemas.openxmlformats.org/officeDocument/2006/relationships/queryTable" Target="../queryTables/queryTable2017.xml"/><Relationship Id="rId519" Type="http://schemas.openxmlformats.org/officeDocument/2006/relationships/queryTable" Target="../queryTables/queryTable2052.xml"/><Relationship Id="rId116" Type="http://schemas.openxmlformats.org/officeDocument/2006/relationships/queryTable" Target="../queryTables/queryTable1649.xml"/><Relationship Id="rId137" Type="http://schemas.openxmlformats.org/officeDocument/2006/relationships/queryTable" Target="../queryTables/queryTable1670.xml"/><Relationship Id="rId158" Type="http://schemas.openxmlformats.org/officeDocument/2006/relationships/queryTable" Target="../queryTables/queryTable1691.xml"/><Relationship Id="rId302" Type="http://schemas.openxmlformats.org/officeDocument/2006/relationships/queryTable" Target="../queryTables/queryTable1835.xml"/><Relationship Id="rId323" Type="http://schemas.openxmlformats.org/officeDocument/2006/relationships/queryTable" Target="../queryTables/queryTable1856.xml"/><Relationship Id="rId344" Type="http://schemas.openxmlformats.org/officeDocument/2006/relationships/queryTable" Target="../queryTables/queryTable1877.xml"/><Relationship Id="rId530" Type="http://schemas.openxmlformats.org/officeDocument/2006/relationships/queryTable" Target="../queryTables/queryTable2063.xml"/><Relationship Id="rId20" Type="http://schemas.openxmlformats.org/officeDocument/2006/relationships/queryTable" Target="../queryTables/queryTable1553.xml"/><Relationship Id="rId41" Type="http://schemas.openxmlformats.org/officeDocument/2006/relationships/queryTable" Target="../queryTables/queryTable1574.xml"/><Relationship Id="rId62" Type="http://schemas.openxmlformats.org/officeDocument/2006/relationships/queryTable" Target="../queryTables/queryTable1595.xml"/><Relationship Id="rId83" Type="http://schemas.openxmlformats.org/officeDocument/2006/relationships/queryTable" Target="../queryTables/queryTable1616.xml"/><Relationship Id="rId179" Type="http://schemas.openxmlformats.org/officeDocument/2006/relationships/queryTable" Target="../queryTables/queryTable1712.xml"/><Relationship Id="rId365" Type="http://schemas.openxmlformats.org/officeDocument/2006/relationships/queryTable" Target="../queryTables/queryTable1898.xml"/><Relationship Id="rId386" Type="http://schemas.openxmlformats.org/officeDocument/2006/relationships/queryTable" Target="../queryTables/queryTable1919.xml"/><Relationship Id="rId190" Type="http://schemas.openxmlformats.org/officeDocument/2006/relationships/queryTable" Target="../queryTables/queryTable1723.xml"/><Relationship Id="rId204" Type="http://schemas.openxmlformats.org/officeDocument/2006/relationships/queryTable" Target="../queryTables/queryTable1737.xml"/><Relationship Id="rId225" Type="http://schemas.openxmlformats.org/officeDocument/2006/relationships/queryTable" Target="../queryTables/queryTable1758.xml"/><Relationship Id="rId246" Type="http://schemas.openxmlformats.org/officeDocument/2006/relationships/queryTable" Target="../queryTables/queryTable1779.xml"/><Relationship Id="rId267" Type="http://schemas.openxmlformats.org/officeDocument/2006/relationships/queryTable" Target="../queryTables/queryTable1800.xml"/><Relationship Id="rId288" Type="http://schemas.openxmlformats.org/officeDocument/2006/relationships/queryTable" Target="../queryTables/queryTable1821.xml"/><Relationship Id="rId411" Type="http://schemas.openxmlformats.org/officeDocument/2006/relationships/queryTable" Target="../queryTables/queryTable1944.xml"/><Relationship Id="rId432" Type="http://schemas.openxmlformats.org/officeDocument/2006/relationships/queryTable" Target="../queryTables/queryTable1965.xml"/><Relationship Id="rId453" Type="http://schemas.openxmlformats.org/officeDocument/2006/relationships/queryTable" Target="../queryTables/queryTable1986.xml"/><Relationship Id="rId474" Type="http://schemas.openxmlformats.org/officeDocument/2006/relationships/queryTable" Target="../queryTables/queryTable2007.xml"/><Relationship Id="rId509" Type="http://schemas.openxmlformats.org/officeDocument/2006/relationships/queryTable" Target="../queryTables/queryTable2042.xml"/><Relationship Id="rId106" Type="http://schemas.openxmlformats.org/officeDocument/2006/relationships/queryTable" Target="../queryTables/queryTable1639.xml"/><Relationship Id="rId127" Type="http://schemas.openxmlformats.org/officeDocument/2006/relationships/queryTable" Target="../queryTables/queryTable1660.xml"/><Relationship Id="rId313" Type="http://schemas.openxmlformats.org/officeDocument/2006/relationships/queryTable" Target="../queryTables/queryTable1846.xml"/><Relationship Id="rId495" Type="http://schemas.openxmlformats.org/officeDocument/2006/relationships/queryTable" Target="../queryTables/queryTable2028.xml"/><Relationship Id="rId10" Type="http://schemas.openxmlformats.org/officeDocument/2006/relationships/queryTable" Target="../queryTables/queryTable1543.xml"/><Relationship Id="rId31" Type="http://schemas.openxmlformats.org/officeDocument/2006/relationships/queryTable" Target="../queryTables/queryTable1564.xml"/><Relationship Id="rId52" Type="http://schemas.openxmlformats.org/officeDocument/2006/relationships/queryTable" Target="../queryTables/queryTable1585.xml"/><Relationship Id="rId73" Type="http://schemas.openxmlformats.org/officeDocument/2006/relationships/queryTable" Target="../queryTables/queryTable1606.xml"/><Relationship Id="rId94" Type="http://schemas.openxmlformats.org/officeDocument/2006/relationships/queryTable" Target="../queryTables/queryTable1627.xml"/><Relationship Id="rId148" Type="http://schemas.openxmlformats.org/officeDocument/2006/relationships/queryTable" Target="../queryTables/queryTable1681.xml"/><Relationship Id="rId169" Type="http://schemas.openxmlformats.org/officeDocument/2006/relationships/queryTable" Target="../queryTables/queryTable1702.xml"/><Relationship Id="rId334" Type="http://schemas.openxmlformats.org/officeDocument/2006/relationships/queryTable" Target="../queryTables/queryTable1867.xml"/><Relationship Id="rId355" Type="http://schemas.openxmlformats.org/officeDocument/2006/relationships/queryTable" Target="../queryTables/queryTable1888.xml"/><Relationship Id="rId376" Type="http://schemas.openxmlformats.org/officeDocument/2006/relationships/queryTable" Target="../queryTables/queryTable1909.xml"/><Relationship Id="rId397" Type="http://schemas.openxmlformats.org/officeDocument/2006/relationships/queryTable" Target="../queryTables/queryTable1930.xml"/><Relationship Id="rId520" Type="http://schemas.openxmlformats.org/officeDocument/2006/relationships/queryTable" Target="../queryTables/queryTable2053.xml"/><Relationship Id="rId4" Type="http://schemas.openxmlformats.org/officeDocument/2006/relationships/queryTable" Target="../queryTables/queryTable1537.xml"/><Relationship Id="rId180" Type="http://schemas.openxmlformats.org/officeDocument/2006/relationships/queryTable" Target="../queryTables/queryTable1713.xml"/><Relationship Id="rId215" Type="http://schemas.openxmlformats.org/officeDocument/2006/relationships/queryTable" Target="../queryTables/queryTable1748.xml"/><Relationship Id="rId236" Type="http://schemas.openxmlformats.org/officeDocument/2006/relationships/queryTable" Target="../queryTables/queryTable1769.xml"/><Relationship Id="rId257" Type="http://schemas.openxmlformats.org/officeDocument/2006/relationships/queryTable" Target="../queryTables/queryTable1790.xml"/><Relationship Id="rId278" Type="http://schemas.openxmlformats.org/officeDocument/2006/relationships/queryTable" Target="../queryTables/queryTable1811.xml"/><Relationship Id="rId401" Type="http://schemas.openxmlformats.org/officeDocument/2006/relationships/queryTable" Target="../queryTables/queryTable1934.xml"/><Relationship Id="rId422" Type="http://schemas.openxmlformats.org/officeDocument/2006/relationships/queryTable" Target="../queryTables/queryTable1955.xml"/><Relationship Id="rId443" Type="http://schemas.openxmlformats.org/officeDocument/2006/relationships/queryTable" Target="../queryTables/queryTable1976.xml"/><Relationship Id="rId464" Type="http://schemas.openxmlformats.org/officeDocument/2006/relationships/queryTable" Target="../queryTables/queryTable1997.xml"/><Relationship Id="rId303" Type="http://schemas.openxmlformats.org/officeDocument/2006/relationships/queryTable" Target="../queryTables/queryTable1836.xml"/><Relationship Id="rId485" Type="http://schemas.openxmlformats.org/officeDocument/2006/relationships/queryTable" Target="../queryTables/queryTable2018.xml"/><Relationship Id="rId42" Type="http://schemas.openxmlformats.org/officeDocument/2006/relationships/queryTable" Target="../queryTables/queryTable1575.xml"/><Relationship Id="rId84" Type="http://schemas.openxmlformats.org/officeDocument/2006/relationships/queryTable" Target="../queryTables/queryTable1617.xml"/><Relationship Id="rId138" Type="http://schemas.openxmlformats.org/officeDocument/2006/relationships/queryTable" Target="../queryTables/queryTable1671.xml"/><Relationship Id="rId345" Type="http://schemas.openxmlformats.org/officeDocument/2006/relationships/queryTable" Target="../queryTables/queryTable1878.xml"/><Relationship Id="rId387" Type="http://schemas.openxmlformats.org/officeDocument/2006/relationships/queryTable" Target="../queryTables/queryTable1920.xml"/><Relationship Id="rId510" Type="http://schemas.openxmlformats.org/officeDocument/2006/relationships/queryTable" Target="../queryTables/queryTable2043.xml"/><Relationship Id="rId191" Type="http://schemas.openxmlformats.org/officeDocument/2006/relationships/queryTable" Target="../queryTables/queryTable1724.xml"/><Relationship Id="rId205" Type="http://schemas.openxmlformats.org/officeDocument/2006/relationships/queryTable" Target="../queryTables/queryTable1738.xml"/><Relationship Id="rId247" Type="http://schemas.openxmlformats.org/officeDocument/2006/relationships/queryTable" Target="../queryTables/queryTable1780.xml"/><Relationship Id="rId412" Type="http://schemas.openxmlformats.org/officeDocument/2006/relationships/queryTable" Target="../queryTables/queryTable1945.xml"/><Relationship Id="rId107" Type="http://schemas.openxmlformats.org/officeDocument/2006/relationships/queryTable" Target="../queryTables/queryTable1640.xml"/><Relationship Id="rId289" Type="http://schemas.openxmlformats.org/officeDocument/2006/relationships/queryTable" Target="../queryTables/queryTable1822.xml"/><Relationship Id="rId454" Type="http://schemas.openxmlformats.org/officeDocument/2006/relationships/queryTable" Target="../queryTables/queryTable1987.xml"/><Relationship Id="rId496" Type="http://schemas.openxmlformats.org/officeDocument/2006/relationships/queryTable" Target="../queryTables/queryTable2029.xml"/><Relationship Id="rId11" Type="http://schemas.openxmlformats.org/officeDocument/2006/relationships/queryTable" Target="../queryTables/queryTable1544.xml"/><Relationship Id="rId53" Type="http://schemas.openxmlformats.org/officeDocument/2006/relationships/queryTable" Target="../queryTables/queryTable1586.xml"/><Relationship Id="rId149" Type="http://schemas.openxmlformats.org/officeDocument/2006/relationships/queryTable" Target="../queryTables/queryTable1682.xml"/><Relationship Id="rId314" Type="http://schemas.openxmlformats.org/officeDocument/2006/relationships/queryTable" Target="../queryTables/queryTable1847.xml"/><Relationship Id="rId356" Type="http://schemas.openxmlformats.org/officeDocument/2006/relationships/queryTable" Target="../queryTables/queryTable1889.xml"/><Relationship Id="rId398" Type="http://schemas.openxmlformats.org/officeDocument/2006/relationships/queryTable" Target="../queryTables/queryTable1931.xml"/><Relationship Id="rId521" Type="http://schemas.openxmlformats.org/officeDocument/2006/relationships/queryTable" Target="../queryTables/queryTable2054.xml"/><Relationship Id="rId95" Type="http://schemas.openxmlformats.org/officeDocument/2006/relationships/queryTable" Target="../queryTables/queryTable1628.xml"/><Relationship Id="rId160" Type="http://schemas.openxmlformats.org/officeDocument/2006/relationships/queryTable" Target="../queryTables/queryTable1693.xml"/><Relationship Id="rId216" Type="http://schemas.openxmlformats.org/officeDocument/2006/relationships/queryTable" Target="../queryTables/queryTable1749.xml"/><Relationship Id="rId423" Type="http://schemas.openxmlformats.org/officeDocument/2006/relationships/queryTable" Target="../queryTables/queryTable1956.xml"/><Relationship Id="rId258" Type="http://schemas.openxmlformats.org/officeDocument/2006/relationships/queryTable" Target="../queryTables/queryTable1791.xml"/><Relationship Id="rId465" Type="http://schemas.openxmlformats.org/officeDocument/2006/relationships/queryTable" Target="../queryTables/queryTable1998.xml"/><Relationship Id="rId22" Type="http://schemas.openxmlformats.org/officeDocument/2006/relationships/queryTable" Target="../queryTables/queryTable1555.xml"/><Relationship Id="rId64" Type="http://schemas.openxmlformats.org/officeDocument/2006/relationships/queryTable" Target="../queryTables/queryTable1597.xml"/><Relationship Id="rId118" Type="http://schemas.openxmlformats.org/officeDocument/2006/relationships/queryTable" Target="../queryTables/queryTable1651.xml"/><Relationship Id="rId325" Type="http://schemas.openxmlformats.org/officeDocument/2006/relationships/queryTable" Target="../queryTables/queryTable1858.xml"/><Relationship Id="rId367" Type="http://schemas.openxmlformats.org/officeDocument/2006/relationships/queryTable" Target="../queryTables/queryTable1900.xml"/><Relationship Id="rId532" Type="http://schemas.openxmlformats.org/officeDocument/2006/relationships/queryTable" Target="../queryTables/queryTable2065.xml"/><Relationship Id="rId171" Type="http://schemas.openxmlformats.org/officeDocument/2006/relationships/queryTable" Target="../queryTables/queryTable1704.xml"/><Relationship Id="rId227" Type="http://schemas.openxmlformats.org/officeDocument/2006/relationships/queryTable" Target="../queryTables/queryTable1760.xml"/><Relationship Id="rId269" Type="http://schemas.openxmlformats.org/officeDocument/2006/relationships/queryTable" Target="../queryTables/queryTable1802.xml"/><Relationship Id="rId434" Type="http://schemas.openxmlformats.org/officeDocument/2006/relationships/queryTable" Target="../queryTables/queryTable1967.xml"/><Relationship Id="rId476" Type="http://schemas.openxmlformats.org/officeDocument/2006/relationships/queryTable" Target="../queryTables/queryTable2009.xml"/><Relationship Id="rId33" Type="http://schemas.openxmlformats.org/officeDocument/2006/relationships/queryTable" Target="../queryTables/queryTable1566.xml"/><Relationship Id="rId129" Type="http://schemas.openxmlformats.org/officeDocument/2006/relationships/queryTable" Target="../queryTables/queryTable1662.xml"/><Relationship Id="rId280" Type="http://schemas.openxmlformats.org/officeDocument/2006/relationships/queryTable" Target="../queryTables/queryTable1813.xml"/><Relationship Id="rId336" Type="http://schemas.openxmlformats.org/officeDocument/2006/relationships/queryTable" Target="../queryTables/queryTable1869.xml"/><Relationship Id="rId501" Type="http://schemas.openxmlformats.org/officeDocument/2006/relationships/queryTable" Target="../queryTables/queryTable2034.xml"/><Relationship Id="rId75" Type="http://schemas.openxmlformats.org/officeDocument/2006/relationships/queryTable" Target="../queryTables/queryTable1608.xml"/><Relationship Id="rId140" Type="http://schemas.openxmlformats.org/officeDocument/2006/relationships/queryTable" Target="../queryTables/queryTable1673.xml"/><Relationship Id="rId182" Type="http://schemas.openxmlformats.org/officeDocument/2006/relationships/queryTable" Target="../queryTables/queryTable1715.xml"/><Relationship Id="rId378" Type="http://schemas.openxmlformats.org/officeDocument/2006/relationships/queryTable" Target="../queryTables/queryTable1911.xml"/><Relationship Id="rId403" Type="http://schemas.openxmlformats.org/officeDocument/2006/relationships/queryTable" Target="../queryTables/queryTable1936.xml"/><Relationship Id="rId6" Type="http://schemas.openxmlformats.org/officeDocument/2006/relationships/queryTable" Target="../queryTables/queryTable1539.xml"/><Relationship Id="rId238" Type="http://schemas.openxmlformats.org/officeDocument/2006/relationships/queryTable" Target="../queryTables/queryTable1771.xml"/><Relationship Id="rId445" Type="http://schemas.openxmlformats.org/officeDocument/2006/relationships/queryTable" Target="../queryTables/queryTable1978.xml"/><Relationship Id="rId487" Type="http://schemas.openxmlformats.org/officeDocument/2006/relationships/queryTable" Target="../queryTables/queryTable2020.xml"/><Relationship Id="rId291" Type="http://schemas.openxmlformats.org/officeDocument/2006/relationships/queryTable" Target="../queryTables/queryTable1824.xml"/><Relationship Id="rId305" Type="http://schemas.openxmlformats.org/officeDocument/2006/relationships/queryTable" Target="../queryTables/queryTable1838.xml"/><Relationship Id="rId347" Type="http://schemas.openxmlformats.org/officeDocument/2006/relationships/queryTable" Target="../queryTables/queryTable1880.xml"/><Relationship Id="rId512" Type="http://schemas.openxmlformats.org/officeDocument/2006/relationships/queryTable" Target="../queryTables/queryTable2045.xml"/><Relationship Id="rId44" Type="http://schemas.openxmlformats.org/officeDocument/2006/relationships/queryTable" Target="../queryTables/queryTable1577.xml"/><Relationship Id="rId86" Type="http://schemas.openxmlformats.org/officeDocument/2006/relationships/queryTable" Target="../queryTables/queryTable1619.xml"/><Relationship Id="rId151" Type="http://schemas.openxmlformats.org/officeDocument/2006/relationships/queryTable" Target="../queryTables/queryTable1684.xml"/><Relationship Id="rId389" Type="http://schemas.openxmlformats.org/officeDocument/2006/relationships/queryTable" Target="../queryTables/queryTable1922.xml"/><Relationship Id="rId193" Type="http://schemas.openxmlformats.org/officeDocument/2006/relationships/queryTable" Target="../queryTables/queryTable1726.xml"/><Relationship Id="rId207" Type="http://schemas.openxmlformats.org/officeDocument/2006/relationships/queryTable" Target="../queryTables/queryTable1740.xml"/><Relationship Id="rId249" Type="http://schemas.openxmlformats.org/officeDocument/2006/relationships/queryTable" Target="../queryTables/queryTable1782.xml"/><Relationship Id="rId414" Type="http://schemas.openxmlformats.org/officeDocument/2006/relationships/queryTable" Target="../queryTables/queryTable1947.xml"/><Relationship Id="rId456" Type="http://schemas.openxmlformats.org/officeDocument/2006/relationships/queryTable" Target="../queryTables/queryTable1989.xml"/><Relationship Id="rId498" Type="http://schemas.openxmlformats.org/officeDocument/2006/relationships/queryTable" Target="../queryTables/queryTable2031.xml"/><Relationship Id="rId13" Type="http://schemas.openxmlformats.org/officeDocument/2006/relationships/queryTable" Target="../queryTables/queryTable1546.xml"/><Relationship Id="rId109" Type="http://schemas.openxmlformats.org/officeDocument/2006/relationships/queryTable" Target="../queryTables/queryTable1642.xml"/><Relationship Id="rId260" Type="http://schemas.openxmlformats.org/officeDocument/2006/relationships/queryTable" Target="../queryTables/queryTable1793.xml"/><Relationship Id="rId316" Type="http://schemas.openxmlformats.org/officeDocument/2006/relationships/queryTable" Target="../queryTables/queryTable1849.xml"/><Relationship Id="rId523" Type="http://schemas.openxmlformats.org/officeDocument/2006/relationships/queryTable" Target="../queryTables/queryTable2056.xml"/><Relationship Id="rId55" Type="http://schemas.openxmlformats.org/officeDocument/2006/relationships/queryTable" Target="../queryTables/queryTable1588.xml"/><Relationship Id="rId97" Type="http://schemas.openxmlformats.org/officeDocument/2006/relationships/queryTable" Target="../queryTables/queryTable1630.xml"/><Relationship Id="rId120" Type="http://schemas.openxmlformats.org/officeDocument/2006/relationships/queryTable" Target="../queryTables/queryTable1653.xml"/><Relationship Id="rId358" Type="http://schemas.openxmlformats.org/officeDocument/2006/relationships/queryTable" Target="../queryTables/queryTable1891.xml"/><Relationship Id="rId162" Type="http://schemas.openxmlformats.org/officeDocument/2006/relationships/queryTable" Target="../queryTables/queryTable1695.xml"/><Relationship Id="rId218" Type="http://schemas.openxmlformats.org/officeDocument/2006/relationships/queryTable" Target="../queryTables/queryTable1751.xml"/><Relationship Id="rId425" Type="http://schemas.openxmlformats.org/officeDocument/2006/relationships/queryTable" Target="../queryTables/queryTable1958.xml"/><Relationship Id="rId467" Type="http://schemas.openxmlformats.org/officeDocument/2006/relationships/queryTable" Target="../queryTables/queryTable2000.xml"/><Relationship Id="rId271" Type="http://schemas.openxmlformats.org/officeDocument/2006/relationships/queryTable" Target="../queryTables/queryTable1804.xml"/><Relationship Id="rId24" Type="http://schemas.openxmlformats.org/officeDocument/2006/relationships/queryTable" Target="../queryTables/queryTable1557.xml"/><Relationship Id="rId66" Type="http://schemas.openxmlformats.org/officeDocument/2006/relationships/queryTable" Target="../queryTables/queryTable1599.xml"/><Relationship Id="rId131" Type="http://schemas.openxmlformats.org/officeDocument/2006/relationships/queryTable" Target="../queryTables/queryTable1664.xml"/><Relationship Id="rId327" Type="http://schemas.openxmlformats.org/officeDocument/2006/relationships/queryTable" Target="../queryTables/queryTable1860.xml"/><Relationship Id="rId369" Type="http://schemas.openxmlformats.org/officeDocument/2006/relationships/queryTable" Target="../queryTables/queryTable1902.xml"/><Relationship Id="rId534" Type="http://schemas.openxmlformats.org/officeDocument/2006/relationships/queryTable" Target="../queryTables/queryTable2067.xml"/><Relationship Id="rId173" Type="http://schemas.openxmlformats.org/officeDocument/2006/relationships/queryTable" Target="../queryTables/queryTable1706.xml"/><Relationship Id="rId229" Type="http://schemas.openxmlformats.org/officeDocument/2006/relationships/queryTable" Target="../queryTables/queryTable1762.xml"/><Relationship Id="rId380" Type="http://schemas.openxmlformats.org/officeDocument/2006/relationships/queryTable" Target="../queryTables/queryTable1913.xml"/><Relationship Id="rId436" Type="http://schemas.openxmlformats.org/officeDocument/2006/relationships/queryTable" Target="../queryTables/queryTable1969.xml"/><Relationship Id="rId240" Type="http://schemas.openxmlformats.org/officeDocument/2006/relationships/queryTable" Target="../queryTables/queryTable1773.xml"/><Relationship Id="rId478" Type="http://schemas.openxmlformats.org/officeDocument/2006/relationships/queryTable" Target="../queryTables/queryTable2011.xml"/><Relationship Id="rId35" Type="http://schemas.openxmlformats.org/officeDocument/2006/relationships/queryTable" Target="../queryTables/queryTable1568.xml"/><Relationship Id="rId77" Type="http://schemas.openxmlformats.org/officeDocument/2006/relationships/queryTable" Target="../queryTables/queryTable1610.xml"/><Relationship Id="rId100" Type="http://schemas.openxmlformats.org/officeDocument/2006/relationships/queryTable" Target="../queryTables/queryTable1633.xml"/><Relationship Id="rId282" Type="http://schemas.openxmlformats.org/officeDocument/2006/relationships/queryTable" Target="../queryTables/queryTable1815.xml"/><Relationship Id="rId338" Type="http://schemas.openxmlformats.org/officeDocument/2006/relationships/queryTable" Target="../queryTables/queryTable1871.xml"/><Relationship Id="rId503" Type="http://schemas.openxmlformats.org/officeDocument/2006/relationships/queryTable" Target="../queryTables/queryTable2036.xml"/><Relationship Id="rId8" Type="http://schemas.openxmlformats.org/officeDocument/2006/relationships/queryTable" Target="../queryTables/queryTable1541.xml"/><Relationship Id="rId142" Type="http://schemas.openxmlformats.org/officeDocument/2006/relationships/queryTable" Target="../queryTables/queryTable1675.xml"/><Relationship Id="rId184" Type="http://schemas.openxmlformats.org/officeDocument/2006/relationships/queryTable" Target="../queryTables/queryTable1717.xml"/><Relationship Id="rId391" Type="http://schemas.openxmlformats.org/officeDocument/2006/relationships/queryTable" Target="../queryTables/queryTable1924.xml"/><Relationship Id="rId405" Type="http://schemas.openxmlformats.org/officeDocument/2006/relationships/queryTable" Target="../queryTables/queryTable1938.xml"/><Relationship Id="rId447" Type="http://schemas.openxmlformats.org/officeDocument/2006/relationships/queryTable" Target="../queryTables/queryTable1980.xml"/><Relationship Id="rId251" Type="http://schemas.openxmlformats.org/officeDocument/2006/relationships/queryTable" Target="../queryTables/queryTable1784.xml"/><Relationship Id="rId489" Type="http://schemas.openxmlformats.org/officeDocument/2006/relationships/queryTable" Target="../queryTables/queryTable2022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table" Target="../tables/table7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Plan1"/>
  <dimension ref="A1:BH520"/>
  <sheetViews>
    <sheetView tabSelected="1" workbookViewId="0">
      <pane xSplit="4" topLeftCell="J1" activePane="topRight" state="frozen"/>
      <selection pane="topRight" activeCell="R7" sqref="R7"/>
    </sheetView>
  </sheetViews>
  <sheetFormatPr defaultRowHeight="11.25"/>
  <cols>
    <col min="1" max="1" width="5.28515625" style="3" customWidth="1"/>
    <col min="2" max="2" width="7.28515625" style="3" bestFit="1" customWidth="1"/>
    <col min="3" max="3" width="5.42578125" style="16" hidden="1" customWidth="1"/>
    <col min="4" max="4" width="5.42578125" style="12" bestFit="1" customWidth="1"/>
    <col min="5" max="5" width="17.85546875" style="56" bestFit="1" customWidth="1"/>
    <col min="6" max="6" width="16.5703125" style="81" bestFit="1" customWidth="1"/>
    <col min="7" max="7" width="7.5703125" style="18" customWidth="1"/>
    <col min="8" max="8" width="10.140625" style="23" customWidth="1"/>
    <col min="9" max="9" width="8.42578125" style="18" customWidth="1"/>
    <col min="10" max="10" width="6" style="77" customWidth="1"/>
    <col min="11" max="11" width="5.5703125" style="75" customWidth="1"/>
    <col min="12" max="12" width="4.5703125" style="47" customWidth="1"/>
    <col min="13" max="13" width="19.140625" style="47" bestFit="1" customWidth="1"/>
    <col min="14" max="14" width="17.85546875" style="47" bestFit="1" customWidth="1"/>
    <col min="15" max="15" width="17.85546875" style="72" bestFit="1" customWidth="1"/>
    <col min="16" max="16" width="17.85546875" style="47" bestFit="1" customWidth="1"/>
    <col min="17" max="17" width="16.85546875" style="56" bestFit="1" customWidth="1"/>
    <col min="18" max="18" width="19.140625" style="85" bestFit="1" customWidth="1"/>
    <col min="19" max="19" width="5.42578125" style="18" customWidth="1"/>
    <col min="20" max="20" width="6.7109375" style="18" customWidth="1"/>
    <col min="21" max="21" width="7.28515625" style="18" customWidth="1"/>
    <col min="22" max="22" width="6.5703125" style="3" customWidth="1"/>
    <col min="23" max="23" width="7.7109375" style="3" customWidth="1"/>
    <col min="24" max="24" width="6.85546875" style="74" customWidth="1"/>
    <col min="25" max="25" width="9.28515625" style="5" customWidth="1"/>
    <col min="26" max="26" width="14.7109375" style="3" bestFit="1" customWidth="1"/>
    <col min="27" max="27" width="16.85546875" style="3" bestFit="1" customWidth="1"/>
    <col min="28" max="28" width="16" style="3" bestFit="1" customWidth="1"/>
    <col min="29" max="29" width="16.5703125" style="3" bestFit="1" customWidth="1"/>
    <col min="30" max="30" width="10.28515625" style="3" bestFit="1" customWidth="1"/>
    <col min="31" max="31" width="11.85546875" style="3" bestFit="1" customWidth="1"/>
    <col min="32" max="32" width="12.28515625" style="3" bestFit="1" customWidth="1"/>
    <col min="33" max="33" width="16" style="3" bestFit="1" customWidth="1"/>
    <col min="34" max="34" width="9.5703125" style="3" bestFit="1" customWidth="1"/>
    <col min="35" max="37" width="16" style="3" bestFit="1" customWidth="1"/>
    <col min="38" max="38" width="9.140625" style="3" customWidth="1"/>
    <col min="39" max="39" width="9.85546875" style="3" customWidth="1"/>
    <col min="40" max="40" width="11.5703125" style="3" customWidth="1"/>
    <col min="41" max="41" width="9.85546875" style="3" bestFit="1" customWidth="1"/>
    <col min="42" max="42" width="10.7109375" style="3" bestFit="1" customWidth="1"/>
    <col min="43" max="16384" width="9.140625" style="3"/>
  </cols>
  <sheetData>
    <row r="1" spans="1:60">
      <c r="A1" s="5" t="s">
        <v>13</v>
      </c>
      <c r="B1" s="16" t="s">
        <v>9</v>
      </c>
      <c r="C1" s="16" t="s">
        <v>385</v>
      </c>
      <c r="D1" s="16" t="s">
        <v>63</v>
      </c>
      <c r="E1" s="5" t="s">
        <v>414</v>
      </c>
      <c r="F1" s="56" t="s">
        <v>420</v>
      </c>
      <c r="G1" s="81" t="s">
        <v>444</v>
      </c>
      <c r="H1" s="18" t="s">
        <v>415</v>
      </c>
      <c r="I1" s="23" t="s">
        <v>416</v>
      </c>
      <c r="J1" s="18" t="s">
        <v>430</v>
      </c>
      <c r="K1" s="18" t="s">
        <v>445</v>
      </c>
      <c r="L1" s="18" t="s">
        <v>446</v>
      </c>
      <c r="M1" s="47" t="s">
        <v>1573</v>
      </c>
      <c r="N1" s="47" t="s">
        <v>1565</v>
      </c>
      <c r="O1" s="47" t="s">
        <v>1566</v>
      </c>
      <c r="P1" s="72" t="s">
        <v>3</v>
      </c>
      <c r="Q1" s="72" t="s">
        <v>53</v>
      </c>
      <c r="R1" s="72" t="s">
        <v>1563</v>
      </c>
      <c r="S1" s="47" t="s">
        <v>1564</v>
      </c>
      <c r="T1" s="130" t="s">
        <v>1567</v>
      </c>
      <c r="U1" s="130" t="s">
        <v>1570</v>
      </c>
      <c r="V1" s="18" t="s">
        <v>1568</v>
      </c>
      <c r="W1" s="18" t="s">
        <v>1571</v>
      </c>
      <c r="X1" s="18" t="s">
        <v>1569</v>
      </c>
      <c r="Y1" s="18" t="s">
        <v>1572</v>
      </c>
      <c r="Z1" s="5" t="s">
        <v>425</v>
      </c>
      <c r="AA1" s="5" t="s">
        <v>423</v>
      </c>
      <c r="AB1" s="72" t="s">
        <v>424</v>
      </c>
      <c r="AC1" s="72" t="s">
        <v>436</v>
      </c>
      <c r="AD1" s="56" t="s">
        <v>4</v>
      </c>
      <c r="AE1" s="5" t="s">
        <v>438</v>
      </c>
      <c r="AF1" s="77" t="s">
        <v>84</v>
      </c>
      <c r="AG1" s="77" t="s">
        <v>426</v>
      </c>
      <c r="AH1" s="77" t="s">
        <v>417</v>
      </c>
      <c r="AI1" s="77" t="s">
        <v>418</v>
      </c>
      <c r="AJ1" s="77" t="s">
        <v>437</v>
      </c>
      <c r="AK1" s="5" t="s">
        <v>427</v>
      </c>
      <c r="AL1" s="5" t="s">
        <v>311</v>
      </c>
      <c r="AM1" s="5" t="s">
        <v>5</v>
      </c>
      <c r="AN1" s="12" t="s">
        <v>6</v>
      </c>
      <c r="AO1" s="23" t="s">
        <v>7</v>
      </c>
      <c r="AP1" s="34" t="s">
        <v>52</v>
      </c>
      <c r="AQ1" s="77" t="s">
        <v>433</v>
      </c>
      <c r="AR1" s="77" t="s">
        <v>432</v>
      </c>
      <c r="AS1" s="3" t="s">
        <v>8</v>
      </c>
      <c r="AT1" s="3" t="s">
        <v>299</v>
      </c>
      <c r="AU1" s="18" t="s">
        <v>413</v>
      </c>
      <c r="AV1" s="3" t="s">
        <v>41</v>
      </c>
      <c r="AW1" s="5" t="s">
        <v>60</v>
      </c>
      <c r="AX1" s="5" t="s">
        <v>240</v>
      </c>
      <c r="AY1" s="5" t="s">
        <v>241</v>
      </c>
      <c r="AZ1" s="3" t="s">
        <v>548</v>
      </c>
      <c r="BA1" s="3" t="s">
        <v>876</v>
      </c>
      <c r="BB1" s="3" t="s">
        <v>1269</v>
      </c>
      <c r="BH1" s="5">
        <v>500</v>
      </c>
    </row>
    <row r="2" spans="1:60" hidden="1">
      <c r="A2" s="4" t="s">
        <v>243</v>
      </c>
      <c r="B2" s="57" t="s">
        <v>20</v>
      </c>
      <c r="C2" s="14" t="str">
        <f>LEFT([PAPEL],LEN([PAPEL])-(LEN([PAPEL])-4))</f>
        <v>PETR</v>
      </c>
      <c r="D2" s="15">
        <v>3</v>
      </c>
      <c r="E2" s="6">
        <v>205392136722.39001</v>
      </c>
      <c r="F2" s="8">
        <v>7442454142</v>
      </c>
      <c r="G2" s="86">
        <v>0.25</v>
      </c>
      <c r="H2" s="9"/>
      <c r="I2" s="9"/>
      <c r="J2" s="19"/>
      <c r="K2" s="88"/>
      <c r="L2" s="88"/>
      <c r="M2" s="13">
        <v>638921476000</v>
      </c>
      <c r="N2" s="13">
        <v>116736316000</v>
      </c>
      <c r="O2" s="13">
        <v>95151901000</v>
      </c>
      <c r="P2" s="6">
        <v>341312244000</v>
      </c>
      <c r="Q2" s="6">
        <v>17288839000</v>
      </c>
      <c r="R2" s="6">
        <f>IF(Tabela3[[#This Row],[Ativo || Passivo]]&gt;0,Tabela3[[#This Row],[Ativo || Passivo]]-Tabela3[[#This Row],[Patrimônio Líquido]],0)</f>
        <v>297609232000</v>
      </c>
      <c r="S2" s="6">
        <f>Tabela3[[#This Row],[Cotação]]*Tabela3[[#This Row],[Total Ações]]</f>
        <v>174926703831.29999</v>
      </c>
      <c r="T2" s="132">
        <f>IF(Tabela3[[#This Row],[Passivo Circulante]]&gt;0,Tabela3[[#This Row],[Ativo Circulante]]/Tabela3[[#This Row],[Passivo Circulante]],0)</f>
        <v>1.2268416581608812</v>
      </c>
      <c r="U2" s="132">
        <f>SUMPRODUCT(N([Liquidez Corrente]&gt;0),N(RIGHT([PAPEL],LEN([PAPEL])-(LEN([PAPEL])-1))="3"),[Liquidez Corrente])/SUMPRODUCT(N([Liquidez Corrente]&gt;0),N(RIGHT([PAPEL],LEN([PAPEL])-(LEN([PAPEL])-1))="3"))</f>
        <v>2.331224473064915</v>
      </c>
      <c r="V2" s="19">
        <f>IF(Tabela3[[#This Row],[Lucro Líquido]]&gt;0,Tabela3[[#This Row],[Lucro Líquido]]/Tabela3[[#This Row],[Patrimônio Líquido]],0)</f>
        <v>5.0654025174672608E-2</v>
      </c>
      <c r="W2" s="19">
        <f>SUMPRODUCT(N([Rentabilidade s/ PL]&gt;0),N(RIGHT([PAPEL],LEN([PAPEL])-(LEN([PAPEL])-1))="3"),[Rentabilidade s/ PL])/SUMPRODUCT(N([Rentabilidade s/ PL]&gt;0),N(RIGHT([PAPEL],LEN([PAPEL])-(LEN([PAPEL])-1))="3"))</f>
        <v>0.1261051308670782</v>
      </c>
      <c r="X2" s="19">
        <f>IF(Tabela3[[#This Row],[Dívida]]&gt;0,Tabela3[[#This Row],[Dívida]]/Tabela3[[#This Row],[Patrimônio Líquido]],0)</f>
        <v>0.87195592080781026</v>
      </c>
      <c r="Y2" s="19">
        <f>SUMPRODUCT(N([Dívida / PL]&gt;0),N(RIGHT([PAPEL],LEN([PAPEL])-(LEN([PAPEL])-1))="3"),[Dívida / PL])/SUMPRODUCT(N([Dívida / PL]&gt;0),N(RIGHT([PAPEL],LEN([PAPEL])-(LEN([PAPEL])-1))="3"))</f>
        <v>2.1510410379481146</v>
      </c>
      <c r="Z2" s="6">
        <f>Tabela3[[#This Row],[Capital Social]]*20%</f>
        <v>41078427344.478004</v>
      </c>
      <c r="AA2" s="6">
        <f>IF(([Lucro Líquido]*5%)&gt;[Teto R. Legal],[Teto R. Legal],[Lucro Líquido]*5%)</f>
        <v>864441950</v>
      </c>
      <c r="AB2" s="6">
        <f>IF([Lucro Líquido]&lt;0,0,[Lucro Líquido]-[Reserva Legal])</f>
        <v>16424397050</v>
      </c>
      <c r="AC2" s="6">
        <f>Tabela3[[#This Row],[Lucro Distribuir]]*[%Div]</f>
        <v>4106099262.5</v>
      </c>
      <c r="AD2" s="56">
        <f>SUMPRODUCT(N([Nome]=Tabela3[[#This Row],[Nome]]),[Ações])</f>
        <v>13044496930</v>
      </c>
      <c r="AE2" s="6">
        <f>[Capital Social]/[Total Ações]</f>
        <v>15.745500790454019</v>
      </c>
      <c r="AF2" s="78">
        <f>Tabela3[[#This Row],[Lucro Líquido]]/Tabela3[[#This Row],[Total Ações]]</f>
        <v>1.3253741476406633</v>
      </c>
      <c r="AG2" s="78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0.31477636006465753</v>
      </c>
      <c r="AH2" s="78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2" s="78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2" s="78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</v>
      </c>
      <c r="AK2" s="6">
        <f>[Div Base]*[Ações]</f>
        <v>0</v>
      </c>
      <c r="AL2" s="6">
        <f>SUMPRODUCT(N([Nome]=Tabela3[[#This Row],[Nome]]),[Div Base]*[Ações])</f>
        <v>4410348457.3305616</v>
      </c>
      <c r="AM2" s="6">
        <f>[Patrimônio Líquido]/[Total Ações]</f>
        <v>26.165228588849843</v>
      </c>
      <c r="AN2" s="48">
        <f>MAX(Tabela3[[#This Row],[Cotação 1]:[Cotação 5]])</f>
        <v>13.41</v>
      </c>
      <c r="AO2" s="44">
        <f>[Cotação]/[VPA]</f>
        <v>0.51251224327979283</v>
      </c>
      <c r="AP2" s="40">
        <f>IF(Tabela3[[#This Row],[Lucro/Ação]]&gt;0,Tabela3[[#This Row],[Cotação]]/(Tabela3[[#This Row],[Lucro/Ação]]/[Ref]*4),0)</f>
        <v>7.5884232523349313</v>
      </c>
      <c r="AQ2" s="78">
        <f>[Lucro Distribuir]/[Total Ações]</f>
        <v>1.2591054402586301</v>
      </c>
      <c r="AR2" s="78">
        <f>IF([Unit ON]&gt;0,SUMPRODUCT(N([Nome]=Tabela3[[#This Row],[Nome]]),N(RIGHT([PAPEL],1)="3"),[Div Base])*[Unit ON]+SUMPRODUCT(N([Nome]=Tabela3[[#This Row],[Nome]]),N(RIGHT([PAPEL],1)="4"),[Div Base])*[Unit PN],[Div Base])</f>
        <v>0</v>
      </c>
      <c r="AS2" s="15" t="str">
        <f>IF(AND([% A.A.]&gt;=6%,SUMPRODUCT(N([Nome]=Tabela3[[#This Row],[Nome]]),[PL])&gt;0,[Rentabilidade s/ PL]&gt;=[Rentabilidade s/ PL Média]),"Sim","Não")</f>
        <v>Não</v>
      </c>
      <c r="AT2" s="42">
        <f>IF([Cotação]&gt;0,Tabela3[[#This Row],[Lucro]]/Tabela3[[#This Row],[Cotação]],0)</f>
        <v>0</v>
      </c>
      <c r="AU2" s="19">
        <f>((1+Tabela3[[#This Row],[% Yield]])^(1/(3*Tabela3[[#This Row],[Ref]])))^(12)-1</f>
        <v>0</v>
      </c>
      <c r="AV2" s="14">
        <f>IF([Cotação]&gt;0,($BH$1/Tabela3[[#This Row],[Cotação]]-MOD($BH$1/Tabela3[[#This Row],[Cotação]],100)),)</f>
        <v>0</v>
      </c>
      <c r="AW2" s="17">
        <f>Tabela3[[#This Row],[Ativos]]*[Lucro]</f>
        <v>0</v>
      </c>
      <c r="AX2" s="13">
        <f>SUMPRODUCT(N(Tabela1[Código]=Tabela3[[#This Row],[PAPEL]]),Tabela1[Fechamento])</f>
        <v>0</v>
      </c>
      <c r="AY2" s="13">
        <f>SUMPRODUCT(N(Tabela17[Código]=Tabela3[[#This Row],[PAPEL]]),Tabela17[Fechamento])</f>
        <v>13.41</v>
      </c>
      <c r="AZ2" s="7">
        <f>SUMPRODUCT(N(Tabela176[Código]=Tabela3[[#This Row],[PAPEL]]),Tabela176[Fechamento])</f>
        <v>0</v>
      </c>
      <c r="BA2" s="7">
        <f>SUMPRODUCT(N(Tabela1768[Código]=Tabela3[[#This Row],[PAPEL]]),Tabela1768[Fechamento])</f>
        <v>0</v>
      </c>
      <c r="BB2" s="7">
        <f>SUMPRODUCT(N(Tabela17683[Código]=Tabela3[[#This Row],[PAPEL]]),Tabela17683[Fechamento])</f>
        <v>0</v>
      </c>
    </row>
    <row r="3" spans="1:60" hidden="1">
      <c r="A3" s="4" t="s">
        <v>243</v>
      </c>
      <c r="B3" s="57" t="s">
        <v>21</v>
      </c>
      <c r="C3" s="14" t="str">
        <f>LEFT([PAPEL],LEN([PAPEL])-(LEN([PAPEL])-4))</f>
        <v>PETR</v>
      </c>
      <c r="D3" s="15">
        <v>3</v>
      </c>
      <c r="E3" s="6">
        <v>205392136722.39001</v>
      </c>
      <c r="F3" s="8">
        <v>5602042788</v>
      </c>
      <c r="G3" s="81">
        <v>0.25</v>
      </c>
      <c r="H3" s="9">
        <v>0.03</v>
      </c>
      <c r="I3" s="9">
        <v>0.05</v>
      </c>
      <c r="J3" s="19"/>
      <c r="K3" s="88"/>
      <c r="L3" s="88"/>
      <c r="M3" s="13">
        <v>638921476000</v>
      </c>
      <c r="N3" s="13">
        <v>116736316000</v>
      </c>
      <c r="O3" s="13">
        <v>95151901000</v>
      </c>
      <c r="P3" s="6">
        <v>341312244000</v>
      </c>
      <c r="Q3" s="6">
        <v>17288839000</v>
      </c>
      <c r="R3" s="6">
        <f>IF(Tabela3[[#This Row],[Ativo || Passivo]]&gt;0,Tabela3[[#This Row],[Ativo || Passivo]]-Tabela3[[#This Row],[Patrimônio Líquido]],0)</f>
        <v>297609232000</v>
      </c>
      <c r="S3" s="13">
        <f>Tabela3[[#This Row],[Cotação]]*Tabela3[[#This Row],[Total Ações]]</f>
        <v>185623191313.89999</v>
      </c>
      <c r="T3" s="132">
        <f>IF(Tabela3[[#This Row],[Passivo Circulante]]&gt;0,Tabela3[[#This Row],[Ativo Circulante]]/Tabela3[[#This Row],[Passivo Circulante]],0)</f>
        <v>1.2268416581608812</v>
      </c>
      <c r="U3" s="132">
        <f>SUMPRODUCT(N([Liquidez Corrente]&gt;0),N(RIGHT([PAPEL],LEN([PAPEL])-(LEN([PAPEL])-1))="3"),[Liquidez Corrente])/SUMPRODUCT(N([Liquidez Corrente]&gt;0),N(RIGHT([PAPEL],LEN([PAPEL])-(LEN([PAPEL])-1))="3"))</f>
        <v>2.331224473064915</v>
      </c>
      <c r="V3" s="19">
        <f>IF(Tabela3[[#This Row],[Lucro Líquido]]&gt;0,Tabela3[[#This Row],[Lucro Líquido]]/Tabela3[[#This Row],[Patrimônio Líquido]],0)</f>
        <v>5.0654025174672608E-2</v>
      </c>
      <c r="W3" s="19">
        <f>SUMPRODUCT(N([Rentabilidade s/ PL]&gt;0),N(RIGHT([PAPEL],LEN([PAPEL])-(LEN([PAPEL])-1))="3"),[Rentabilidade s/ PL])/SUMPRODUCT(N([Rentabilidade s/ PL]&gt;0),N(RIGHT([PAPEL],LEN([PAPEL])-(LEN([PAPEL])-1))="3"))</f>
        <v>0.1261051308670782</v>
      </c>
      <c r="X3" s="19">
        <f>IF(Tabela3[[#This Row],[Dívida]]&gt;0,Tabela3[[#This Row],[Dívida]]/Tabela3[[#This Row],[Patrimônio Líquido]],0)</f>
        <v>0.87195592080781026</v>
      </c>
      <c r="Y3" s="19">
        <f>SUMPRODUCT(N([Dívida / PL]&gt;0),N(RIGHT([PAPEL],LEN([PAPEL])-(LEN([PAPEL])-1))="3"),[Dívida / PL])/SUMPRODUCT(N([Dívida / PL]&gt;0),N(RIGHT([PAPEL],LEN([PAPEL])-(LEN([PAPEL])-1))="3"))</f>
        <v>2.1510410379481146</v>
      </c>
      <c r="Z3" s="6">
        <f>Tabela3[[#This Row],[Capital Social]]*20%</f>
        <v>41078427344.478004</v>
      </c>
      <c r="AA3" s="6">
        <f>IF(([Lucro Líquido]*5%)&gt;[Teto R. Legal],[Teto R. Legal],[Lucro Líquido]*5%)</f>
        <v>864441950</v>
      </c>
      <c r="AB3" s="6">
        <f>IF([Lucro Líquido]&lt;0,0,[Lucro Líquido]-[Reserva Legal])</f>
        <v>16424397050</v>
      </c>
      <c r="AC3" s="6">
        <f>Tabela3[[#This Row],[Lucro Distribuir]]*[%Div]</f>
        <v>4106099262.5</v>
      </c>
      <c r="AD3" s="56">
        <f>SUMPRODUCT(N([Nome]=Tabela3[[#This Row],[Nome]]),[Ações])</f>
        <v>13044496930</v>
      </c>
      <c r="AE3" s="6">
        <f>[Capital Social]/[Total Ações]</f>
        <v>15.745500790454019</v>
      </c>
      <c r="AF3" s="78">
        <f>Tabela3[[#This Row],[Lucro Líquido]]/Tabela3[[#This Row],[Total Ações]]</f>
        <v>1.3253741476406633</v>
      </c>
      <c r="AG3" s="78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0.31477636006465753</v>
      </c>
      <c r="AH3" s="78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0.78495685766549528</v>
      </c>
      <c r="AI3" s="78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0.78727503952270095</v>
      </c>
      <c r="AJ3" s="78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0.78727503952270095</v>
      </c>
      <c r="AK3" s="6">
        <f>[Div Base]*[Ações]</f>
        <v>4410348457.3305616</v>
      </c>
      <c r="AL3" s="6">
        <f>SUMPRODUCT(N([Nome]=Tabela3[[#This Row],[Nome]]),[Div Base]*[Ações])</f>
        <v>4410348457.3305616</v>
      </c>
      <c r="AM3" s="6">
        <f>[Patrimônio Líquido]/[Total Ações]</f>
        <v>26.165228588849843</v>
      </c>
      <c r="AN3" s="48">
        <f>MAX(Tabela3[[#This Row],[Cotação 1]:[Cotação 5]])</f>
        <v>14.23</v>
      </c>
      <c r="AO3" s="44">
        <f>[Cotação]/[VPA]</f>
        <v>0.54385154525514179</v>
      </c>
      <c r="AP3" s="40">
        <f>IF(Tabela3[[#This Row],[Lucro/Ação]]&gt;0,Tabela3[[#This Row],[Cotação]]/(Tabela3[[#This Row],[Lucro/Ação]]/[Ref]*4),0)</f>
        <v>8.05244316783938</v>
      </c>
      <c r="AQ3" s="78">
        <f>[Lucro Distribuir]/[Total Ações]</f>
        <v>1.2591054402586301</v>
      </c>
      <c r="AR3" s="78">
        <f>IF([Unit ON]&gt;0,SUMPRODUCT(N([Nome]=Tabela3[[#This Row],[Nome]]),N(RIGHT([PAPEL],1)="3"),[Div Base])*[Unit ON]+SUMPRODUCT(N([Nome]=Tabela3[[#This Row],[Nome]]),N(RIGHT([PAPEL],1)="4"),[Div Base])*[Unit PN],[Div Base])</f>
        <v>0.78727503952270095</v>
      </c>
      <c r="AS3" s="15" t="str">
        <f>IF(AND([% A.A.]&gt;=6%,SUMPRODUCT(N([Nome]=Tabela3[[#This Row],[Nome]]),[PL])&gt;0,[Rentabilidade s/ PL]&gt;=[Rentabilidade s/ PL Média]),"Sim","Não")</f>
        <v>Não</v>
      </c>
      <c r="AT3" s="42">
        <f>IF([Cotação]&gt;0,Tabela3[[#This Row],[Lucro]]/Tabela3[[#This Row],[Cotação]],0)</f>
        <v>5.5325020345938225E-2</v>
      </c>
      <c r="AU3" s="19">
        <f>((1+Tabela3[[#This Row],[% Yield]])^(1/(3*Tabela3[[#This Row],[Ref]])))^(12)-1</f>
        <v>7.4438709136714021E-2</v>
      </c>
      <c r="AV3" s="14">
        <f>IF([Cotação]&gt;0,($BH$1/Tabela3[[#This Row],[Cotação]]-MOD($BH$1/Tabela3[[#This Row],[Cotação]],100)),)</f>
        <v>0</v>
      </c>
      <c r="AW3" s="17">
        <f>Tabela3[[#This Row],[Ativos]]*[Lucro]</f>
        <v>0</v>
      </c>
      <c r="AX3" s="13">
        <f>SUMPRODUCT(N(Tabela1[Código]=Tabela3[[#This Row],[PAPEL]]),Tabela1[Fechamento])</f>
        <v>0</v>
      </c>
      <c r="AY3" s="13">
        <f>SUMPRODUCT(N(Tabela17[Código]=Tabela3[[#This Row],[PAPEL]]),Tabela17[Fechamento])</f>
        <v>14.23</v>
      </c>
      <c r="AZ3" s="7">
        <f>SUMPRODUCT(N(Tabela176[Código]=Tabela3[[#This Row],[PAPEL]]),Tabela176[Fechamento])</f>
        <v>0</v>
      </c>
      <c r="BA3" s="7">
        <f>SUMPRODUCT(N(Tabela1768[Código]=Tabela3[[#This Row],[PAPEL]]),Tabela1768[Fechamento])</f>
        <v>0</v>
      </c>
      <c r="BB3" s="7">
        <f>SUMPRODUCT(N(Tabela17683[Código]=Tabela3[[#This Row],[PAPEL]]),Tabela17683[Fechamento])</f>
        <v>0</v>
      </c>
      <c r="BC3" s="5"/>
    </row>
    <row r="4" spans="1:60">
      <c r="A4" s="4" t="s">
        <v>14</v>
      </c>
      <c r="B4" s="57" t="s">
        <v>24</v>
      </c>
      <c r="C4" s="14" t="str">
        <f>LEFT([PAPEL],LEN([PAPEL])-(LEN([PAPEL])-4))</f>
        <v>BBAS</v>
      </c>
      <c r="D4" s="15">
        <v>4</v>
      </c>
      <c r="E4" s="6">
        <v>54000000000</v>
      </c>
      <c r="F4" s="8">
        <v>2865417020</v>
      </c>
      <c r="G4" s="81">
        <v>0.25</v>
      </c>
      <c r="H4" s="19"/>
      <c r="I4" s="19"/>
      <c r="J4" s="19"/>
      <c r="K4" s="88"/>
      <c r="L4" s="88"/>
      <c r="M4" s="55">
        <v>1224458597000</v>
      </c>
      <c r="N4" s="55">
        <v>650448226000</v>
      </c>
      <c r="O4" s="55">
        <v>783736092000</v>
      </c>
      <c r="P4" s="6">
        <v>69859729000</v>
      </c>
      <c r="Q4" s="6">
        <v>15810371000</v>
      </c>
      <c r="R4" s="6">
        <f>IF(Tabela3[[#This Row],[Ativo || Passivo]]&gt;0,Tabela3[[#This Row],[Ativo || Passivo]]-Tabela3[[#This Row],[Patrimônio Líquido]],0)</f>
        <v>1154598868000</v>
      </c>
      <c r="S4" s="6">
        <f>Tabela3[[#This Row],[Cotação]]*Tabela3[[#This Row],[Total Ações]]</f>
        <v>58225273846.400002</v>
      </c>
      <c r="T4" s="132">
        <f>IF(Tabela3[[#This Row],[Passivo Circulante]]&gt;0,Tabela3[[#This Row],[Ativo Circulante]]/Tabela3[[#This Row],[Passivo Circulante]],0)</f>
        <v>0.8299327192398841</v>
      </c>
      <c r="U4" s="132">
        <f>SUMPRODUCT(N([Liquidez Corrente]&gt;0),N(RIGHT([PAPEL],LEN([PAPEL])-(LEN([PAPEL])-1))="3"),[Liquidez Corrente])/SUMPRODUCT(N([Liquidez Corrente]&gt;0),N(RIGHT([PAPEL],LEN([PAPEL])-(LEN([PAPEL])-1))="3"))</f>
        <v>2.331224473064915</v>
      </c>
      <c r="V4" s="19">
        <f>IF(Tabela3[[#This Row],[Lucro Líquido]]&gt;0,Tabela3[[#This Row],[Lucro Líquido]]/Tabela3[[#This Row],[Patrimônio Líquido]],0)</f>
        <v>0.22631595092503151</v>
      </c>
      <c r="W4" s="19">
        <f>SUMPRODUCT(N([Rentabilidade s/ PL]&gt;0),N(RIGHT([PAPEL],LEN([PAPEL])-(LEN([PAPEL])-1))="3"),[Rentabilidade s/ PL])/SUMPRODUCT(N([Rentabilidade s/ PL]&gt;0),N(RIGHT([PAPEL],LEN([PAPEL])-(LEN([PAPEL])-1))="3"))</f>
        <v>0.1261051308670782</v>
      </c>
      <c r="X4" s="19">
        <f>IF(Tabela3[[#This Row],[Dívida]]&gt;0,Tabela3[[#This Row],[Dívida]]/Tabela3[[#This Row],[Patrimônio Líquido]],0)</f>
        <v>16.527388304068573</v>
      </c>
      <c r="Y4" s="19">
        <f>SUMPRODUCT(N([Dívida / PL]&gt;0),N(RIGHT([PAPEL],LEN([PAPEL])-(LEN([PAPEL])-1))="3"),[Dívida / PL])/SUMPRODUCT(N([Dívida / PL]&gt;0),N(RIGHT([PAPEL],LEN([PAPEL])-(LEN([PAPEL])-1))="3"))</f>
        <v>2.1510410379481146</v>
      </c>
      <c r="Z4" s="6">
        <f>Tabela3[[#This Row],[Capital Social]]*20%</f>
        <v>10800000000</v>
      </c>
      <c r="AA4" s="6">
        <f>IF(([Lucro Líquido]*5%)&gt;[Teto R. Legal],[Teto R. Legal],[Lucro Líquido]*5%)</f>
        <v>790518550</v>
      </c>
      <c r="AB4" s="6">
        <f>IF([Lucro Líquido]&lt;0,0,[Lucro Líquido]-[Reserva Legal])</f>
        <v>15019852450</v>
      </c>
      <c r="AC4" s="6">
        <f>Tabela3[[#This Row],[Lucro Distribuir]]*[%Div]</f>
        <v>3754963112.5</v>
      </c>
      <c r="AD4" s="21">
        <f>SUMPRODUCT(N([Nome]=Tabela3[[#This Row],[Nome]]),[Ações])</f>
        <v>2865417020</v>
      </c>
      <c r="AE4" s="6">
        <f>[Capital Social]/[Total Ações]</f>
        <v>18.845424461113865</v>
      </c>
      <c r="AF4" s="78">
        <f>Tabela3[[#This Row],[Lucro Líquido]]/Tabela3[[#This Row],[Total Ações]]</f>
        <v>5.5176509700497274</v>
      </c>
      <c r="AG4" s="78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1.3104421053868103</v>
      </c>
      <c r="AH4" s="78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4" s="78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4" s="78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1.3104421053868103</v>
      </c>
      <c r="AK4" s="6">
        <f>[Div Base]*[Ações]</f>
        <v>3754963112.5</v>
      </c>
      <c r="AL4" s="6">
        <f>SUMPRODUCT(N([Nome]=Tabela3[[#This Row],[Nome]]),[Div Base]*[Ações])</f>
        <v>3754963112.5</v>
      </c>
      <c r="AM4" s="6">
        <f>[Patrimônio Líquido]/[Total Ações]</f>
        <v>24.380300847099736</v>
      </c>
      <c r="AN4" s="48">
        <f>MAX(Tabela3[[#This Row],[Cotação 1]:[Cotação 5]])</f>
        <v>20.32</v>
      </c>
      <c r="AO4" s="44">
        <f>[Cotação]/[VPA]</f>
        <v>0.83345977260232429</v>
      </c>
      <c r="AP4" s="40">
        <f>IF(Tabela3[[#This Row],[Lucro/Ação]]&gt;0,Tabela3[[#This Row],[Cotação]]/(Tabela3[[#This Row],[Lucro/Ação]]/[Ref]*4),0)</f>
        <v>3.682726600558583</v>
      </c>
      <c r="AQ4" s="78">
        <f>[Lucro Distribuir]/[Total Ações]</f>
        <v>5.2417684215472411</v>
      </c>
      <c r="AR4" s="78">
        <f>IF([Unit ON]&gt;0,SUMPRODUCT(N([Nome]=Tabela3[[#This Row],[Nome]]),N(RIGHT([PAPEL],1)="3"),[Div Base])*[Unit ON]+SUMPRODUCT(N([Nome]=Tabela3[[#This Row],[Nome]]),N(RIGHT([PAPEL],1)="4"),[Div Base])*[Unit PN],[Div Base])</f>
        <v>1.3104421053868103</v>
      </c>
      <c r="AS4" s="15" t="str">
        <f>IF(AND([% A.A.]&gt;=6%,SUMPRODUCT(N([Nome]=Tabela3[[#This Row],[Nome]]),[PL])&gt;0,[Rentabilidade s/ PL]&gt;=[Rentabilidade s/ PL Média]),"Sim","Não")</f>
        <v>Sim</v>
      </c>
      <c r="AT4" s="42">
        <f>IF([Cotação]&gt;0,Tabela3[[#This Row],[Lucro]]/Tabela3[[#This Row],[Cotação]],0)</f>
        <v>6.4490261091870588E-2</v>
      </c>
      <c r="AU4" s="19">
        <f>((1+Tabela3[[#This Row],[% Yield]])^(1/(3*Tabela3[[#This Row],[Ref]])))^(12)-1</f>
        <v>6.449026109187006E-2</v>
      </c>
      <c r="AV4" s="14">
        <f>IF([Cotação]&gt;0,($BH$1/Tabela3[[#This Row],[Cotação]]-MOD($BH$1/Tabela3[[#This Row],[Cotação]],100)),)</f>
        <v>0</v>
      </c>
      <c r="AW4" s="17">
        <f>Tabela3[[#This Row],[Ativos]]*[Lucro]</f>
        <v>0</v>
      </c>
      <c r="AX4" s="5">
        <f>SUMPRODUCT(N(Tabela1[Código]=Tabela3[[#This Row],[PAPEL]]),Tabela1[Fechamento])</f>
        <v>20.32</v>
      </c>
      <c r="AY4" s="5">
        <f>SUMPRODUCT(N(Tabela17[Código]=Tabela3[[#This Row],[PAPEL]]),Tabela17[Fechamento])</f>
        <v>0</v>
      </c>
      <c r="AZ4" s="7">
        <f>SUMPRODUCT(N(Tabela176[Código]=Tabela3[[#This Row],[PAPEL]]),Tabela176[Fechamento])</f>
        <v>0</v>
      </c>
      <c r="BA4" s="7">
        <f>SUMPRODUCT(N(Tabela1768[Código]=Tabela3[[#This Row],[PAPEL]]),Tabela1768[Fechamento])</f>
        <v>0</v>
      </c>
      <c r="BB4" s="7">
        <f>SUMPRODUCT(N(Tabela17683[Código]=Tabela3[[#This Row],[PAPEL]]),Tabela17683[Fechamento])</f>
        <v>0</v>
      </c>
    </row>
    <row r="5" spans="1:60" hidden="1">
      <c r="A5" s="4" t="s">
        <v>327</v>
      </c>
      <c r="B5" s="57" t="s">
        <v>672</v>
      </c>
      <c r="C5" s="82" t="str">
        <f>LEFT([PAPEL],LEN([PAPEL])-(LEN([PAPEL])-4))</f>
        <v>VALE</v>
      </c>
      <c r="D5" s="15">
        <v>3</v>
      </c>
      <c r="E5" s="6">
        <v>75000000000</v>
      </c>
      <c r="F5" s="8">
        <v>3256724482</v>
      </c>
      <c r="G5" s="81">
        <v>0.25</v>
      </c>
      <c r="H5" s="9"/>
      <c r="I5" s="19"/>
      <c r="J5" s="19"/>
      <c r="K5" s="88"/>
      <c r="L5" s="88"/>
      <c r="M5" s="55"/>
      <c r="N5" s="55"/>
      <c r="O5" s="55"/>
      <c r="P5" s="6">
        <v>165456334000</v>
      </c>
      <c r="Q5" s="5">
        <v>14982201000</v>
      </c>
      <c r="R5" s="5">
        <f>IF(Tabela3[[#This Row],[Ativo || Passivo]]&gt;0,Tabela3[[#This Row],[Ativo || Passivo]]-Tabela3[[#This Row],[Patrimônio Líquido]],0)</f>
        <v>0</v>
      </c>
      <c r="S5" s="5">
        <f>Tabela3[[#This Row],[Cotação]]*Tabela3[[#This Row],[Total Ações]]</f>
        <v>0</v>
      </c>
      <c r="T5" s="130">
        <f>IF(Tabela3[[#This Row],[Passivo Circulante]]&gt;0,Tabela3[[#This Row],[Ativo Circulante]]/Tabela3[[#This Row],[Passivo Circulante]],0)</f>
        <v>0</v>
      </c>
      <c r="U5" s="130">
        <f>SUMPRODUCT(N([Liquidez Corrente]&gt;0),N(RIGHT([PAPEL],LEN([PAPEL])-(LEN([PAPEL])-1))="3"),[Liquidez Corrente])/SUMPRODUCT(N([Liquidez Corrente]&gt;0),N(RIGHT([PAPEL],LEN([PAPEL])-(LEN([PAPEL])-1))="3"))</f>
        <v>2.331224473064915</v>
      </c>
      <c r="V5" s="18">
        <f>IF(Tabela3[[#This Row],[Lucro Líquido]]&gt;0,Tabela3[[#This Row],[Lucro Líquido]]/Tabela3[[#This Row],[Patrimônio Líquido]],0)</f>
        <v>9.0550785441674303E-2</v>
      </c>
      <c r="W5" s="18">
        <f>SUMPRODUCT(N([Rentabilidade s/ PL]&gt;0),N(RIGHT([PAPEL],LEN([PAPEL])-(LEN([PAPEL])-1))="3"),[Rentabilidade s/ PL])/SUMPRODUCT(N([Rentabilidade s/ PL]&gt;0),N(RIGHT([PAPEL],LEN([PAPEL])-(LEN([PAPEL])-1))="3"))</f>
        <v>0.1261051308670782</v>
      </c>
      <c r="X5" s="18">
        <f>IF(Tabela3[[#This Row],[Dívida]]&gt;0,Tabela3[[#This Row],[Dívida]]/Tabela3[[#This Row],[Patrimônio Líquido]],0)</f>
        <v>0</v>
      </c>
      <c r="Y5" s="18">
        <f>SUMPRODUCT(N([Dívida / PL]&gt;0),N(RIGHT([PAPEL],LEN([PAPEL])-(LEN([PAPEL])-1))="3"),[Dívida / PL])/SUMPRODUCT(N([Dívida / PL]&gt;0),N(RIGHT([PAPEL],LEN([PAPEL])-(LEN([PAPEL])-1))="3"))</f>
        <v>2.1510410379481146</v>
      </c>
      <c r="Z5" s="28">
        <f>Tabela3[[#This Row],[Capital Social]]*20%</f>
        <v>15000000000</v>
      </c>
      <c r="AA5" s="28">
        <f>IF(([Lucro Líquido]*5%)&gt;[Teto R. Legal],[Teto R. Legal],[Lucro Líquido]*5%)</f>
        <v>749110050</v>
      </c>
      <c r="AB5" s="28">
        <f>IF([Lucro Líquido]&lt;0,0,[Lucro Líquido]-[Reserva Legal])</f>
        <v>14233090950</v>
      </c>
      <c r="AC5" s="28">
        <f>Tabela3[[#This Row],[Lucro Distribuir]]*[%Div]</f>
        <v>3558272737.5</v>
      </c>
      <c r="AD5" s="56">
        <f>SUMPRODUCT(N([Nome]=Tabela3[[#This Row],[Nome]]),[Ações])</f>
        <v>5365304100</v>
      </c>
      <c r="AE5" s="5">
        <f>[Capital Social]/[Total Ações]</f>
        <v>13.97870439440702</v>
      </c>
      <c r="AF5" s="78">
        <f>Tabela3[[#This Row],[Lucro Líquido]]/Tabela3[[#This Row],[Total Ações]]</f>
        <v>2.7924234527545231</v>
      </c>
      <c r="AG5" s="78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0.6632005700291993</v>
      </c>
      <c r="AH5" s="79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0.4936028800166139</v>
      </c>
      <c r="AI5" s="79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0.5495583298699136</v>
      </c>
      <c r="AJ5" s="79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0.4936028800166139</v>
      </c>
      <c r="AK5" s="28">
        <f>[Div Base]*[Ações]</f>
        <v>1607528583.735815</v>
      </c>
      <c r="AL5" s="28">
        <f>SUMPRODUCT(N([Nome]=Tabela3[[#This Row],[Nome]]),[Div Base]*[Ações])</f>
        <v>3558272737.5</v>
      </c>
      <c r="AM5" s="6">
        <f>[Patrimônio Líquido]/[Total Ações]</f>
        <v>30.838202442243674</v>
      </c>
      <c r="AN5" s="48">
        <f>MAX(Tabela3[[#This Row],[Cotação 1]:[Cotação 5]])</f>
        <v>0</v>
      </c>
      <c r="AO5" s="44">
        <f>[Cotação]/[VPA]</f>
        <v>0</v>
      </c>
      <c r="AP5" s="40">
        <f>IF(Tabela3[[#This Row],[Lucro/Ação]]&gt;0,Tabela3[[#This Row],[Cotação]]/(Tabela3[[#This Row],[Lucro/Ação]]/[Ref]*4),0)</f>
        <v>0</v>
      </c>
      <c r="AQ5" s="78">
        <f>[Lucro Distribuir]/[Total Ações]</f>
        <v>2.6528022801167972</v>
      </c>
      <c r="AR5" s="78">
        <f>IF([Unit ON]&gt;0,SUMPRODUCT(N([Nome]=Tabela3[[#This Row],[Nome]]),N(RIGHT([PAPEL],1)="3"),[Div Base])*[Unit ON]+SUMPRODUCT(N([Nome]=Tabela3[[#This Row],[Nome]]),N(RIGHT([PAPEL],1)="4"),[Div Base])*[Unit PN],[Div Base])</f>
        <v>0.4936028800166139</v>
      </c>
      <c r="AS5" s="14" t="str">
        <f>IF(AND([% A.A.]&gt;=6%,SUMPRODUCT(N([Nome]=Tabela3[[#This Row],[Nome]]),[PL])&gt;0,[Rentabilidade s/ PL]&gt;=[Rentabilidade s/ PL Média]),"Sim","Não")</f>
        <v>Não</v>
      </c>
      <c r="AT5" s="42">
        <f>IF([Cotação]&gt;0,Tabela3[[#This Row],[Lucro]]/Tabela3[[#This Row],[Cotação]],0)</f>
        <v>0</v>
      </c>
      <c r="AU5" s="19">
        <f>((1+Tabela3[[#This Row],[% Yield]])^(1/(3*Tabela3[[#This Row],[Ref]])))^(12)-1</f>
        <v>0</v>
      </c>
      <c r="AV5" s="14">
        <f>IF([Cotação]&gt;0,($BH$1/Tabela3[[#This Row],[Cotação]]-MOD($BH$1/Tabela3[[#This Row],[Cotação]],100)),)</f>
        <v>0</v>
      </c>
      <c r="AW5" s="17">
        <f>Tabela3[[#This Row],[Ativos]]*[Lucro]</f>
        <v>0</v>
      </c>
      <c r="AX5" s="17">
        <f>SUMPRODUCT(N(Tabela1[Código]=Tabela3[[#This Row],[PAPEL]]),Tabela1[Fechamento])</f>
        <v>0</v>
      </c>
      <c r="AY5" s="17">
        <f>SUMPRODUCT(N(Tabela17[Código]=Tabela3[[#This Row],[PAPEL]]),Tabela17[Fechamento])</f>
        <v>0</v>
      </c>
      <c r="AZ5" s="7">
        <f>SUMPRODUCT(N(Tabela176[Código]=Tabela3[[#This Row],[PAPEL]]),Tabela176[Fechamento])</f>
        <v>0</v>
      </c>
      <c r="BA5" s="7">
        <f>SUMPRODUCT(N(Tabela1768[Código]=Tabela3[[#This Row],[PAPEL]]),Tabela1768[Fechamento])</f>
        <v>0</v>
      </c>
      <c r="BB5" s="7">
        <f>SUMPRODUCT(N(Tabela17683[Código]=Tabela3[[#This Row],[PAPEL]]),Tabela17683[Fechamento])</f>
        <v>0</v>
      </c>
    </row>
    <row r="6" spans="1:60" hidden="1">
      <c r="A6" s="4" t="s">
        <v>327</v>
      </c>
      <c r="B6" s="57" t="s">
        <v>328</v>
      </c>
      <c r="C6" s="82" t="str">
        <f>LEFT([PAPEL],LEN([PAPEL])-(LEN([PAPEL])-4))</f>
        <v>VALE</v>
      </c>
      <c r="D6" s="15">
        <v>3</v>
      </c>
      <c r="E6" s="6">
        <v>75000000000</v>
      </c>
      <c r="F6" s="8">
        <v>2108579618</v>
      </c>
      <c r="G6" s="81">
        <v>0.25</v>
      </c>
      <c r="H6" s="9">
        <v>0.03</v>
      </c>
      <c r="I6" s="19">
        <v>0.06</v>
      </c>
      <c r="J6" s="19"/>
      <c r="K6" s="88"/>
      <c r="L6" s="88"/>
      <c r="M6" s="55"/>
      <c r="N6" s="55"/>
      <c r="O6" s="55"/>
      <c r="P6" s="6">
        <v>165456334000</v>
      </c>
      <c r="Q6" s="5">
        <v>14982201000</v>
      </c>
      <c r="R6" s="5">
        <f>IF(Tabela3[[#This Row],[Ativo || Passivo]]&gt;0,Tabela3[[#This Row],[Ativo || Passivo]]-Tabela3[[#This Row],[Patrimônio Líquido]],0)</f>
        <v>0</v>
      </c>
      <c r="S6" s="5">
        <f>Tabela3[[#This Row],[Cotação]]*Tabela3[[#This Row],[Total Ações]]</f>
        <v>164231958501</v>
      </c>
      <c r="T6" s="130">
        <f>IF(Tabela3[[#This Row],[Passivo Circulante]]&gt;0,Tabela3[[#This Row],[Ativo Circulante]]/Tabela3[[#This Row],[Passivo Circulante]],0)</f>
        <v>0</v>
      </c>
      <c r="U6" s="130">
        <f>SUMPRODUCT(N([Liquidez Corrente]&gt;0),N(RIGHT([PAPEL],LEN([PAPEL])-(LEN([PAPEL])-1))="3"),[Liquidez Corrente])/SUMPRODUCT(N([Liquidez Corrente]&gt;0),N(RIGHT([PAPEL],LEN([PAPEL])-(LEN([PAPEL])-1))="3"))</f>
        <v>2.331224473064915</v>
      </c>
      <c r="V6" s="18">
        <f>IF(Tabela3[[#This Row],[Lucro Líquido]]&gt;0,Tabela3[[#This Row],[Lucro Líquido]]/Tabela3[[#This Row],[Patrimônio Líquido]],0)</f>
        <v>9.0550785441674303E-2</v>
      </c>
      <c r="W6" s="18">
        <f>SUMPRODUCT(N([Rentabilidade s/ PL]&gt;0),N(RIGHT([PAPEL],LEN([PAPEL])-(LEN([PAPEL])-1))="3"),[Rentabilidade s/ PL])/SUMPRODUCT(N([Rentabilidade s/ PL]&gt;0),N(RIGHT([PAPEL],LEN([PAPEL])-(LEN([PAPEL])-1))="3"))</f>
        <v>0.1261051308670782</v>
      </c>
      <c r="X6" s="18">
        <f>IF(Tabela3[[#This Row],[Dívida]]&gt;0,Tabela3[[#This Row],[Dívida]]/Tabela3[[#This Row],[Patrimônio Líquido]],0)</f>
        <v>0</v>
      </c>
      <c r="Y6" s="18">
        <f>SUMPRODUCT(N([Dívida / PL]&gt;0),N(RIGHT([PAPEL],LEN([PAPEL])-(LEN([PAPEL])-1))="3"),[Dívida / PL])/SUMPRODUCT(N([Dívida / PL]&gt;0),N(RIGHT([PAPEL],LEN([PAPEL])-(LEN([PAPEL])-1))="3"))</f>
        <v>2.1510410379481146</v>
      </c>
      <c r="Z6" s="6">
        <f>Tabela3[[#This Row],[Capital Social]]*20%</f>
        <v>15000000000</v>
      </c>
      <c r="AA6" s="6">
        <f>IF(([Lucro Líquido]*5%)&gt;[Teto R. Legal],[Teto R. Legal],[Lucro Líquido]*5%)</f>
        <v>749110050</v>
      </c>
      <c r="AB6" s="6">
        <f>IF([Lucro Líquido]&lt;0,0,[Lucro Líquido]-[Reserva Legal])</f>
        <v>14233090950</v>
      </c>
      <c r="AC6" s="6">
        <f>Tabela3[[#This Row],[Lucro Distribuir]]*[%Div]</f>
        <v>3558272737.5</v>
      </c>
      <c r="AD6" s="56">
        <f>SUMPRODUCT(N([Nome]=Tabela3[[#This Row],[Nome]]),[Ações])</f>
        <v>5365304100</v>
      </c>
      <c r="AE6" s="6">
        <f>[Capital Social]/[Total Ações]</f>
        <v>13.97870439440702</v>
      </c>
      <c r="AF6" s="78">
        <f>Tabela3[[#This Row],[Lucro Líquido]]/Tabela3[[#This Row],[Total Ações]]</f>
        <v>2.7924234527545231</v>
      </c>
      <c r="AG6" s="78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0.6632005700291993</v>
      </c>
      <c r="AH6" s="78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0.92514607326731024</v>
      </c>
      <c r="AI6" s="78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0.83872226366442115</v>
      </c>
      <c r="AJ6" s="78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0.92514607326731024</v>
      </c>
      <c r="AK6" s="6">
        <f>[Div Base]*[Ações]</f>
        <v>1950744153.764185</v>
      </c>
      <c r="AL6" s="6">
        <f>SUMPRODUCT(N([Nome]=Tabela3[[#This Row],[Nome]]),[Div Base]*[Ações])</f>
        <v>3558272737.5</v>
      </c>
      <c r="AM6" s="6">
        <f>[Patrimônio Líquido]/[Total Ações]</f>
        <v>30.838202442243674</v>
      </c>
      <c r="AN6" s="48">
        <f>MAX(Tabela3[[#This Row],[Cotação 1]:[Cotação 5]])</f>
        <v>30.61</v>
      </c>
      <c r="AO6" s="44">
        <f>[Cotação]/[VPA]</f>
        <v>0.99260000829584438</v>
      </c>
      <c r="AP6" s="40">
        <f>IF(Tabela3[[#This Row],[Lucro/Ação]]&gt;0,Tabela3[[#This Row],[Cotação]]/(Tabela3[[#This Row],[Lucro/Ação]]/[Ref]*4),0)</f>
        <v>8.2213533829742378</v>
      </c>
      <c r="AQ6" s="78">
        <f>[Lucro Distribuir]/[Total Ações]</f>
        <v>2.6528022801167972</v>
      </c>
      <c r="AR6" s="78">
        <f>IF([Unit ON]&gt;0,SUMPRODUCT(N([Nome]=Tabela3[[#This Row],[Nome]]),N(RIGHT([PAPEL],1)="3"),[Div Base])*[Unit ON]+SUMPRODUCT(N([Nome]=Tabela3[[#This Row],[Nome]]),N(RIGHT([PAPEL],1)="4"),[Div Base])*[Unit PN],[Div Base])</f>
        <v>0.92514607326731024</v>
      </c>
      <c r="AS6" s="15" t="str">
        <f>IF(AND([% A.A.]&gt;=6%,SUMPRODUCT(N([Nome]=Tabela3[[#This Row],[Nome]]),[PL])&gt;0,[Rentabilidade s/ PL]&gt;=[Rentabilidade s/ PL Média]),"Sim","Não")</f>
        <v>Não</v>
      </c>
      <c r="AT6" s="42">
        <f>IF([Cotação]&gt;0,Tabela3[[#This Row],[Lucro]]/Tabela3[[#This Row],[Cotação]],0)</f>
        <v>3.0223654794750417E-2</v>
      </c>
      <c r="AU6" s="19">
        <f>((1+Tabela3[[#This Row],[% Yield]])^(1/(3*Tabela3[[#This Row],[Ref]])))^(12)-1</f>
        <v>4.0499853093485916E-2</v>
      </c>
      <c r="AV6" s="14">
        <f>IF([Cotação]&gt;0,($BH$1/Tabela3[[#This Row],[Cotação]]-MOD($BH$1/Tabela3[[#This Row],[Cotação]],100)),)</f>
        <v>0</v>
      </c>
      <c r="AW6" s="17">
        <f>Tabela3[[#This Row],[Ativos]]*[Lucro]</f>
        <v>0</v>
      </c>
      <c r="AX6" s="13">
        <f>SUMPRODUCT(N(Tabela1[Código]=Tabela3[[#This Row],[PAPEL]]),Tabela1[Fechamento])</f>
        <v>0</v>
      </c>
      <c r="AY6" s="55">
        <f>SUMPRODUCT(N(Tabela17[Código]=Tabela3[[#This Row],[PAPEL]]),Tabela17[Fechamento])</f>
        <v>30.61</v>
      </c>
      <c r="AZ6" s="7">
        <f>SUMPRODUCT(N(Tabela176[Código]=Tabela3[[#This Row],[PAPEL]]),Tabela176[Fechamento])</f>
        <v>0</v>
      </c>
      <c r="BA6" s="7">
        <f>SUMPRODUCT(N(Tabela1768[Código]=Tabela3[[#This Row],[PAPEL]]),Tabela1768[Fechamento])</f>
        <v>0</v>
      </c>
      <c r="BB6" s="7">
        <f>SUMPRODUCT(N(Tabela17683[Código]=Tabela3[[#This Row],[PAPEL]]),Tabela17683[Fechamento])</f>
        <v>0</v>
      </c>
    </row>
    <row r="7" spans="1:60">
      <c r="A7" s="4" t="s">
        <v>14</v>
      </c>
      <c r="B7" s="57" t="s">
        <v>198</v>
      </c>
      <c r="C7" s="14" t="str">
        <f>LEFT([PAPEL],LEN([PAPEL])-(LEN([PAPEL])-4))</f>
        <v>BBDC</v>
      </c>
      <c r="D7" s="15">
        <v>4</v>
      </c>
      <c r="E7" s="6">
        <v>38100000000</v>
      </c>
      <c r="F7" s="8">
        <v>2103637129</v>
      </c>
      <c r="G7" s="86">
        <v>0.25</v>
      </c>
      <c r="H7" s="15"/>
      <c r="I7" s="19"/>
      <c r="J7" s="19"/>
      <c r="K7" s="88"/>
      <c r="L7" s="88"/>
      <c r="M7" s="55">
        <v>882083756000</v>
      </c>
      <c r="N7" s="55">
        <v>520738924000</v>
      </c>
      <c r="O7" s="55">
        <v>584931445000</v>
      </c>
      <c r="P7" s="6">
        <v>70939802000</v>
      </c>
      <c r="Q7" s="6">
        <v>12011028000</v>
      </c>
      <c r="R7" s="6">
        <f>IF(Tabela3[[#This Row],[Ativo || Passivo]]&gt;0,Tabela3[[#This Row],[Ativo || Passivo]]-Tabela3[[#This Row],[Patrimônio Líquido]],0)</f>
        <v>811143954000</v>
      </c>
      <c r="S7" s="6">
        <f>Tabela3[[#This Row],[Cotação]]*Tabela3[[#This Row],[Total Ações]]</f>
        <v>123020692900.36</v>
      </c>
      <c r="T7" s="132">
        <f>IF(Tabela3[[#This Row],[Passivo Circulante]]&gt;0,Tabela3[[#This Row],[Ativo Circulante]]/Tabela3[[#This Row],[Passivo Circulante]],0)</f>
        <v>0.89025633422733841</v>
      </c>
      <c r="U7" s="132">
        <f>SUMPRODUCT(N([Liquidez Corrente]&gt;0),N(RIGHT([PAPEL],LEN([PAPEL])-(LEN([PAPEL])-1))="3"),[Liquidez Corrente])/SUMPRODUCT(N([Liquidez Corrente]&gt;0),N(RIGHT([PAPEL],LEN([PAPEL])-(LEN([PAPEL])-1))="3"))</f>
        <v>2.331224473064915</v>
      </c>
      <c r="V7" s="19">
        <f>IF(Tabela3[[#This Row],[Lucro Líquido]]&gt;0,Tabela3[[#This Row],[Lucro Líquido]]/Tabela3[[#This Row],[Patrimônio Líquido]],0)</f>
        <v>0.16931296199558044</v>
      </c>
      <c r="W7" s="19">
        <f>SUMPRODUCT(N([Rentabilidade s/ PL]&gt;0),N(RIGHT([PAPEL],LEN([PAPEL])-(LEN([PAPEL])-1))="3"),[Rentabilidade s/ PL])/SUMPRODUCT(N([Rentabilidade s/ PL]&gt;0),N(RIGHT([PAPEL],LEN([PAPEL])-(LEN([PAPEL])-1))="3"))</f>
        <v>0.1261051308670782</v>
      </c>
      <c r="X7" s="19">
        <f>IF(Tabela3[[#This Row],[Dívida]]&gt;0,Tabela3[[#This Row],[Dívida]]/Tabela3[[#This Row],[Patrimônio Líquido]],0)</f>
        <v>11.434257372187195</v>
      </c>
      <c r="Y7" s="19">
        <f>SUMPRODUCT(N([Dívida / PL]&gt;0),N(RIGHT([PAPEL],LEN([PAPEL])-(LEN([PAPEL])-1))="3"),[Dívida / PL])/SUMPRODUCT(N([Dívida / PL]&gt;0),N(RIGHT([PAPEL],LEN([PAPEL])-(LEN([PAPEL])-1))="3"))</f>
        <v>2.1510410379481146</v>
      </c>
      <c r="Z7" s="6">
        <f>Tabela3[[#This Row],[Capital Social]]*20%</f>
        <v>7620000000</v>
      </c>
      <c r="AA7" s="6">
        <f>IF(([Lucro Líquido]*5%)&gt;[Teto R. Legal],[Teto R. Legal],[Lucro Líquido]*5%)</f>
        <v>600551400</v>
      </c>
      <c r="AB7" s="6">
        <f>IF([Lucro Líquido]&lt;0,0,[Lucro Líquido]-[Reserva Legal])</f>
        <v>11410476600</v>
      </c>
      <c r="AC7" s="6">
        <f>Tabela3[[#This Row],[Lucro Distribuir]]*[%Div]</f>
        <v>2852619150</v>
      </c>
      <c r="AD7" s="21">
        <f>SUMPRODUCT(N([Nome]=Tabela3[[#This Row],[Nome]]),[Ações])</f>
        <v>4207274039</v>
      </c>
      <c r="AE7" s="6">
        <f>[Capital Social]/[Total Ações]</f>
        <v>9.0557447997981484</v>
      </c>
      <c r="AF7" s="78">
        <f>Tabela3[[#This Row],[Lucro Líquido]]/Tabela3[[#This Row],[Total Ações]]</f>
        <v>2.8548242611871379</v>
      </c>
      <c r="AG7" s="78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0.65692495788338168</v>
      </c>
      <c r="AH7" s="78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7" s="78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7" s="78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0.65692495788338168</v>
      </c>
      <c r="AK7" s="6">
        <f>[Div Base]*[Ações]</f>
        <v>1381931732.3702428</v>
      </c>
      <c r="AL7" s="6">
        <f>SUMPRODUCT(N([Nome]=Tabela3[[#This Row],[Nome]]),[Div Base]*[Ações])</f>
        <v>2902056481.8066998</v>
      </c>
      <c r="AM7" s="6">
        <f>[Patrimônio Líquido]/[Total Ações]</f>
        <v>16.861226851974024</v>
      </c>
      <c r="AN7" s="48">
        <f>MAX(Tabela3[[#This Row],[Cotação 1]:[Cotação 5]])</f>
        <v>29.24</v>
      </c>
      <c r="AO7" s="44">
        <f>[Cotação]/[VPA]</f>
        <v>1.7341561356537192</v>
      </c>
      <c r="AP7" s="40">
        <f>IF(Tabela3[[#This Row],[Lucro/Ação]]&gt;0,Tabela3[[#This Row],[Cotação]]/(Tabela3[[#This Row],[Lucro/Ação]]/[Ref]*4),0)</f>
        <v>10.242311723889078</v>
      </c>
      <c r="AQ7" s="78">
        <f>[Lucro Distribuir]/[Total Ações]</f>
        <v>2.7120830481277807</v>
      </c>
      <c r="AR7" s="78">
        <f>IF([Unit ON]&gt;0,SUMPRODUCT(N([Nome]=Tabela3[[#This Row],[Nome]]),N(RIGHT([PAPEL],1)="3"),[Div Base])*[Unit ON]+SUMPRODUCT(N([Nome]=Tabela3[[#This Row],[Nome]]),N(RIGHT([PAPEL],1)="4"),[Div Base])*[Unit PN],[Div Base])</f>
        <v>0.65692495788338168</v>
      </c>
      <c r="AS7" s="15" t="str">
        <f>IF(AND([% A.A.]&gt;=6%,SUMPRODUCT(N([Nome]=Tabela3[[#This Row],[Nome]]),[PL])&gt;0,[Rentabilidade s/ PL]&gt;=[Rentabilidade s/ PL Média]),"Sim","Não")</f>
        <v>Não</v>
      </c>
      <c r="AT7" s="42">
        <f>IF([Cotação]&gt;0,Tabela3[[#This Row],[Lucro]]/Tabela3[[#This Row],[Cotação]],0)</f>
        <v>2.2466653826381043E-2</v>
      </c>
      <c r="AU7" s="19">
        <f>((1+Tabela3[[#This Row],[% Yield]])^(1/(3*Tabela3[[#This Row],[Ref]])))^(12)-1</f>
        <v>2.2466653826380467E-2</v>
      </c>
      <c r="AV7" s="14">
        <f>IF([Cotação]&gt;0,($BH$1/Tabela3[[#This Row],[Cotação]]-MOD($BH$1/Tabela3[[#This Row],[Cotação]],100)),)</f>
        <v>0</v>
      </c>
      <c r="AW7" s="17">
        <f>Tabela3[[#This Row],[Ativos]]*[Lucro]</f>
        <v>0</v>
      </c>
      <c r="AX7" s="5">
        <f>SUMPRODUCT(N(Tabela1[Código]=Tabela3[[#This Row],[PAPEL]]),Tabela1[Fechamento])</f>
        <v>29.24</v>
      </c>
      <c r="AY7" s="5">
        <f>SUMPRODUCT(N(Tabela17[Código]=Tabela3[[#This Row],[PAPEL]]),Tabela17[Fechamento])</f>
        <v>0</v>
      </c>
      <c r="AZ7" s="7">
        <f>SUMPRODUCT(N(Tabela176[Código]=Tabela3[[#This Row],[PAPEL]]),Tabela176[Fechamento])</f>
        <v>0</v>
      </c>
      <c r="BA7" s="7">
        <f>SUMPRODUCT(N(Tabela1768[Código]=Tabela3[[#This Row],[PAPEL]]),Tabela1768[Fechamento])</f>
        <v>0</v>
      </c>
      <c r="BB7" s="7">
        <f>SUMPRODUCT(N(Tabela17683[Código]=Tabela3[[#This Row],[PAPEL]]),Tabela17683[Fechamento])</f>
        <v>0</v>
      </c>
    </row>
    <row r="8" spans="1:60">
      <c r="A8" s="4" t="s">
        <v>14</v>
      </c>
      <c r="B8" s="57" t="s">
        <v>199</v>
      </c>
      <c r="C8" s="14" t="str">
        <f>LEFT([PAPEL],LEN([PAPEL])-(LEN([PAPEL])-4))</f>
        <v>BBDC</v>
      </c>
      <c r="D8" s="15">
        <v>4</v>
      </c>
      <c r="E8" s="6">
        <v>38100000000</v>
      </c>
      <c r="F8" s="8">
        <v>2103636910</v>
      </c>
      <c r="G8" s="81">
        <v>0.25</v>
      </c>
      <c r="H8" s="15"/>
      <c r="I8" s="19"/>
      <c r="J8" s="19">
        <v>0.1</v>
      </c>
      <c r="K8" s="88"/>
      <c r="L8" s="88"/>
      <c r="M8" s="55">
        <v>882083756000</v>
      </c>
      <c r="N8" s="55">
        <v>520738924000</v>
      </c>
      <c r="O8" s="55">
        <v>584931445000</v>
      </c>
      <c r="P8" s="6">
        <v>70939802000</v>
      </c>
      <c r="Q8" s="6">
        <v>12011028000</v>
      </c>
      <c r="R8" s="6">
        <f>IF(Tabela3[[#This Row],[Ativo || Passivo]]&gt;0,Tabela3[[#This Row],[Ativo || Passivo]]-Tabela3[[#This Row],[Patrimônio Líquido]],0)</f>
        <v>811143954000</v>
      </c>
      <c r="S8" s="6">
        <f>Tabela3[[#This Row],[Cotação]]*Tabela3[[#This Row],[Total Ações]]</f>
        <v>114227490158.84999</v>
      </c>
      <c r="T8" s="132">
        <f>IF(Tabela3[[#This Row],[Passivo Circulante]]&gt;0,Tabela3[[#This Row],[Ativo Circulante]]/Tabela3[[#This Row],[Passivo Circulante]],0)</f>
        <v>0.89025633422733841</v>
      </c>
      <c r="U8" s="132">
        <f>SUMPRODUCT(N([Liquidez Corrente]&gt;0),N(RIGHT([PAPEL],LEN([PAPEL])-(LEN([PAPEL])-1))="3"),[Liquidez Corrente])/SUMPRODUCT(N([Liquidez Corrente]&gt;0),N(RIGHT([PAPEL],LEN([PAPEL])-(LEN([PAPEL])-1))="3"))</f>
        <v>2.331224473064915</v>
      </c>
      <c r="V8" s="19">
        <f>IF(Tabela3[[#This Row],[Lucro Líquido]]&gt;0,Tabela3[[#This Row],[Lucro Líquido]]/Tabela3[[#This Row],[Patrimônio Líquido]],0)</f>
        <v>0.16931296199558044</v>
      </c>
      <c r="W8" s="19">
        <f>SUMPRODUCT(N([Rentabilidade s/ PL]&gt;0),N(RIGHT([PAPEL],LEN([PAPEL])-(LEN([PAPEL])-1))="3"),[Rentabilidade s/ PL])/SUMPRODUCT(N([Rentabilidade s/ PL]&gt;0),N(RIGHT([PAPEL],LEN([PAPEL])-(LEN([PAPEL])-1))="3"))</f>
        <v>0.1261051308670782</v>
      </c>
      <c r="X8" s="19">
        <f>IF(Tabela3[[#This Row],[Dívida]]&gt;0,Tabela3[[#This Row],[Dívida]]/Tabela3[[#This Row],[Patrimônio Líquido]],0)</f>
        <v>11.434257372187195</v>
      </c>
      <c r="Y8" s="19">
        <f>SUMPRODUCT(N([Dívida / PL]&gt;0),N(RIGHT([PAPEL],LEN([PAPEL])-(LEN([PAPEL])-1))="3"),[Dívida / PL])/SUMPRODUCT(N([Dívida / PL]&gt;0),N(RIGHT([PAPEL],LEN([PAPEL])-(LEN([PAPEL])-1))="3"))</f>
        <v>2.1510410379481146</v>
      </c>
      <c r="Z8" s="6">
        <f>Tabela3[[#This Row],[Capital Social]]*20%</f>
        <v>7620000000</v>
      </c>
      <c r="AA8" s="6">
        <f>IF(([Lucro Líquido]*5%)&gt;[Teto R. Legal],[Teto R. Legal],[Lucro Líquido]*5%)</f>
        <v>600551400</v>
      </c>
      <c r="AB8" s="6">
        <f>IF([Lucro Líquido]&lt;0,0,[Lucro Líquido]-[Reserva Legal])</f>
        <v>11410476600</v>
      </c>
      <c r="AC8" s="6">
        <f>Tabela3[[#This Row],[Lucro Distribuir]]*[%Div]</f>
        <v>2852619150</v>
      </c>
      <c r="AD8" s="21">
        <f>SUMPRODUCT(N([Nome]=Tabela3[[#This Row],[Nome]]),[Ações])</f>
        <v>4207274039</v>
      </c>
      <c r="AE8" s="6">
        <f>[Capital Social]/[Total Ações]</f>
        <v>9.0557447997981484</v>
      </c>
      <c r="AF8" s="78">
        <f>Tabela3[[#This Row],[Lucro Líquido]]/Tabela3[[#This Row],[Total Ações]]</f>
        <v>2.8548242611871379</v>
      </c>
      <c r="AG8" s="78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0.72261745466163019</v>
      </c>
      <c r="AH8" s="78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8" s="78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8" s="78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0.72261745466163019</v>
      </c>
      <c r="AK8" s="6">
        <f>[Div Base]*[Ações]</f>
        <v>1520124749.4364569</v>
      </c>
      <c r="AL8" s="6">
        <f>SUMPRODUCT(N([Nome]=Tabela3[[#This Row],[Nome]]),[Div Base]*[Ações])</f>
        <v>2902056481.8066998</v>
      </c>
      <c r="AM8" s="6">
        <f>[Patrimônio Líquido]/[Total Ações]</f>
        <v>16.861226851974024</v>
      </c>
      <c r="AN8" s="48">
        <f>MAX(Tabela3[[#This Row],[Cotação 1]:[Cotação 5]])</f>
        <v>27.15</v>
      </c>
      <c r="AO8" s="44">
        <f>[Cotação]/[VPA]</f>
        <v>1.6102031150136278</v>
      </c>
      <c r="AP8" s="40">
        <f>IF(Tabela3[[#This Row],[Lucro/Ação]]&gt;0,Tabela3[[#This Row],[Cotação]]/(Tabela3[[#This Row],[Lucro/Ação]]/[Ref]*4),0)</f>
        <v>9.5102176232417399</v>
      </c>
      <c r="AQ8" s="78">
        <f>[Lucro Distribuir]/[Total Ações]</f>
        <v>2.7120830481277807</v>
      </c>
      <c r="AR8" s="78">
        <f>IF([Unit ON]&gt;0,SUMPRODUCT(N([Nome]=Tabela3[[#This Row],[Nome]]),N(RIGHT([PAPEL],1)="3"),[Div Base])*[Unit ON]+SUMPRODUCT(N([Nome]=Tabela3[[#This Row],[Nome]]),N(RIGHT([PAPEL],1)="4"),[Div Base])*[Unit PN],[Div Base])</f>
        <v>0.72261745466163019</v>
      </c>
      <c r="AS8" s="15" t="str">
        <f>IF(AND([% A.A.]&gt;=6%,SUMPRODUCT(N([Nome]=Tabela3[[#This Row],[Nome]]),[PL])&gt;0,[Rentabilidade s/ PL]&gt;=[Rentabilidade s/ PL Média]),"Sim","Não")</f>
        <v>Não</v>
      </c>
      <c r="AT8" s="42">
        <f>IF([Cotação]&gt;0,Tabela3[[#This Row],[Lucro]]/Tabela3[[#This Row],[Cotação]],0)</f>
        <v>2.6615744186432054E-2</v>
      </c>
      <c r="AU8" s="19">
        <f>((1+Tabela3[[#This Row],[% Yield]])^(1/(3*Tabela3[[#This Row],[Ref]])))^(12)-1</f>
        <v>2.6615744186431423E-2</v>
      </c>
      <c r="AV8" s="14">
        <f>IF([Cotação]&gt;0,($BH$1/Tabela3[[#This Row],[Cotação]]-MOD($BH$1/Tabela3[[#This Row],[Cotação]],100)),)</f>
        <v>0</v>
      </c>
      <c r="AW8" s="17">
        <f>Tabela3[[#This Row],[Ativos]]*[Lucro]</f>
        <v>0</v>
      </c>
      <c r="AX8" s="5">
        <f>SUMPRODUCT(N(Tabela1[Código]=Tabela3[[#This Row],[PAPEL]]),Tabela1[Fechamento])</f>
        <v>27.15</v>
      </c>
      <c r="AY8" s="5">
        <f>SUMPRODUCT(N(Tabela17[Código]=Tabela3[[#This Row],[PAPEL]]),Tabela17[Fechamento])</f>
        <v>0</v>
      </c>
      <c r="AZ8" s="7">
        <f>SUMPRODUCT(N(Tabela176[Código]=Tabela3[[#This Row],[PAPEL]]),Tabela176[Fechamento])</f>
        <v>0</v>
      </c>
      <c r="BA8" s="7">
        <f>SUMPRODUCT(N(Tabela1768[Código]=Tabela3[[#This Row],[PAPEL]]),Tabela1768[Fechamento])</f>
        <v>0</v>
      </c>
      <c r="BB8" s="7">
        <f>SUMPRODUCT(N(Tabela17683[Código]=Tabela3[[#This Row],[PAPEL]]),Tabela17683[Fechamento])</f>
        <v>0</v>
      </c>
    </row>
    <row r="9" spans="1:60">
      <c r="A9" s="4" t="s">
        <v>14</v>
      </c>
      <c r="B9" s="60" t="s">
        <v>228</v>
      </c>
      <c r="C9" s="14" t="str">
        <f>LEFT([PAPEL],LEN([PAPEL])-(LEN([PAPEL])-4))</f>
        <v>ITUB</v>
      </c>
      <c r="D9" s="15">
        <v>4</v>
      </c>
      <c r="E9" s="6">
        <v>60000000000</v>
      </c>
      <c r="F9" s="8">
        <v>2518215040</v>
      </c>
      <c r="G9" s="81">
        <v>0.25</v>
      </c>
      <c r="H9" s="15"/>
      <c r="I9" s="19"/>
      <c r="J9" s="19"/>
      <c r="K9" s="88"/>
      <c r="L9" s="88"/>
      <c r="M9" s="55">
        <v>109588100000</v>
      </c>
      <c r="N9" s="55">
        <v>15446870000</v>
      </c>
      <c r="O9" s="55">
        <v>1645489000</v>
      </c>
      <c r="P9" s="6">
        <v>89229744000</v>
      </c>
      <c r="Q9" s="6">
        <v>11661389000</v>
      </c>
      <c r="R9" s="6">
        <f>IF(Tabela3[[#This Row],[Ativo || Passivo]]&gt;0,Tabela3[[#This Row],[Ativo || Passivo]]-Tabela3[[#This Row],[Patrimônio Líquido]],0)</f>
        <v>20358356000</v>
      </c>
      <c r="S9" s="6">
        <f>Tabela3[[#This Row],[Cotação]]*Tabela3[[#This Row],[Total Ações]]</f>
        <v>145460899510.29999</v>
      </c>
      <c r="T9" s="132">
        <f>IF(Tabela3[[#This Row],[Passivo Circulante]]&gt;0,Tabela3[[#This Row],[Ativo Circulante]]/Tabela3[[#This Row],[Passivo Circulante]],0)</f>
        <v>9.387403987507664</v>
      </c>
      <c r="U9" s="132">
        <f>SUMPRODUCT(N([Liquidez Corrente]&gt;0),N(RIGHT([PAPEL],LEN([PAPEL])-(LEN([PAPEL])-1))="3"),[Liquidez Corrente])/SUMPRODUCT(N([Liquidez Corrente]&gt;0),N(RIGHT([PAPEL],LEN([PAPEL])-(LEN([PAPEL])-1))="3"))</f>
        <v>2.331224473064915</v>
      </c>
      <c r="V9" s="19">
        <f>IF(Tabela3[[#This Row],[Lucro Líquido]]&gt;0,Tabela3[[#This Row],[Lucro Líquido]]/Tabela3[[#This Row],[Patrimônio Líquido]],0)</f>
        <v>0.13068948174949377</v>
      </c>
      <c r="W9" s="19">
        <f>SUMPRODUCT(N([Rentabilidade s/ PL]&gt;0),N(RIGHT([PAPEL],LEN([PAPEL])-(LEN([PAPEL])-1))="3"),[Rentabilidade s/ PL])/SUMPRODUCT(N([Rentabilidade s/ PL]&gt;0),N(RIGHT([PAPEL],LEN([PAPEL])-(LEN([PAPEL])-1))="3"))</f>
        <v>0.1261051308670782</v>
      </c>
      <c r="X9" s="19">
        <f>IF(Tabela3[[#This Row],[Dívida]]&gt;0,Tabela3[[#This Row],[Dívida]]/Tabela3[[#This Row],[Patrimônio Líquido]],0)</f>
        <v>0.22815661109595922</v>
      </c>
      <c r="Y9" s="19">
        <f>SUMPRODUCT(N([Dívida / PL]&gt;0),N(RIGHT([PAPEL],LEN([PAPEL])-(LEN([PAPEL])-1))="3"),[Dívida / PL])/SUMPRODUCT(N([Dívida / PL]&gt;0),N(RIGHT([PAPEL],LEN([PAPEL])-(LEN([PAPEL])-1))="3"))</f>
        <v>2.1510410379481146</v>
      </c>
      <c r="Z9" s="6">
        <f>Tabela3[[#This Row],[Capital Social]]*20%</f>
        <v>12000000000</v>
      </c>
      <c r="AA9" s="6">
        <f>IF(([Lucro Líquido]*5%)&gt;[Teto R. Legal],[Teto R. Legal],[Lucro Líquido]*5%)</f>
        <v>583069450</v>
      </c>
      <c r="AB9" s="6">
        <f>IF([Lucro Líquido]&lt;0,0,[Lucro Líquido]-[Reserva Legal])</f>
        <v>11078319550</v>
      </c>
      <c r="AC9" s="6">
        <f>Tabela3[[#This Row],[Lucro Distribuir]]*[%Div]</f>
        <v>2769579887.5</v>
      </c>
      <c r="AD9" s="21">
        <f>SUMPRODUCT(N([Nome]=Tabela3[[#This Row],[Nome]]),[Ações])</f>
        <v>5028029710</v>
      </c>
      <c r="AE9" s="6">
        <f>[Capital Social]/[Total Ações]</f>
        <v>11.933103712706583</v>
      </c>
      <c r="AF9" s="78">
        <f>Tabela3[[#This Row],[Lucro Líquido]]/Tabela3[[#This Row],[Total Ações]]</f>
        <v>2.319276072853595</v>
      </c>
      <c r="AG9" s="78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0.55082806730272882</v>
      </c>
      <c r="AH9" s="78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9" s="78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0.86195272361027253</v>
      </c>
      <c r="AJ9" s="78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0.55082806730272882</v>
      </c>
      <c r="AK9" s="6">
        <f>[Div Base]*[Ações]</f>
        <v>1387103523.5358639</v>
      </c>
      <c r="AL9" s="6">
        <f>SUMPRODUCT(N([Nome]=Tabela3[[#This Row],[Nome]]),[Div Base]*[Ações])</f>
        <v>2769579887.5</v>
      </c>
      <c r="AM9" s="6">
        <f>[Patrimônio Líquido]/[Total Ações]</f>
        <v>17.746463156837631</v>
      </c>
      <c r="AN9" s="48">
        <f>MAX(Tabela3[[#This Row],[Cotação 1]:[Cotação 5]])</f>
        <v>28.93</v>
      </c>
      <c r="AO9" s="44">
        <f>[Cotação]/[VPA]</f>
        <v>1.6301839833845091</v>
      </c>
      <c r="AP9" s="40">
        <f>IF(Tabela3[[#This Row],[Lucro/Ação]]&gt;0,Tabela3[[#This Row],[Cotação]]/(Tabela3[[#This Row],[Lucro/Ação]]/[Ref]*4),0)</f>
        <v>12.473719855353423</v>
      </c>
      <c r="AQ9" s="78">
        <f>[Lucro Distribuir]/[Total Ações]</f>
        <v>2.2033122692109153</v>
      </c>
      <c r="AR9" s="78">
        <f>IF([Unit ON]&gt;0,SUMPRODUCT(N([Nome]=Tabela3[[#This Row],[Nome]]),N(RIGHT([PAPEL],1)="3"),[Div Base])*[Unit ON]+SUMPRODUCT(N([Nome]=Tabela3[[#This Row],[Nome]]),N(RIGHT([PAPEL],1)="4"),[Div Base])*[Unit PN],[Div Base])</f>
        <v>0.55082806730272882</v>
      </c>
      <c r="AS9" s="15" t="str">
        <f>IF(AND([% A.A.]&gt;=6%,SUMPRODUCT(N([Nome]=Tabela3[[#This Row],[Nome]]),[PL])&gt;0,[Rentabilidade s/ PL]&gt;=[Rentabilidade s/ PL Média]),"Sim","Não")</f>
        <v>Não</v>
      </c>
      <c r="AT9" s="42">
        <f>IF([Cotação]&gt;0,Tabela3[[#This Row],[Lucro]]/Tabela3[[#This Row],[Cotação]],0)</f>
        <v>1.9040029979354608E-2</v>
      </c>
      <c r="AU9" s="19">
        <f>((1+Tabela3[[#This Row],[% Yield]])^(1/(3*Tabela3[[#This Row],[Ref]])))^(12)-1</f>
        <v>1.9040029979355388E-2</v>
      </c>
      <c r="AV9" s="14">
        <f>IF([Cotação]&gt;0,($BH$1/Tabela3[[#This Row],[Cotação]]-MOD($BH$1/Tabela3[[#This Row],[Cotação]],100)),)</f>
        <v>0</v>
      </c>
      <c r="AW9" s="17">
        <f>Tabela3[[#This Row],[Ativos]]*[Lucro]</f>
        <v>0</v>
      </c>
      <c r="AX9" s="5">
        <f>SUMPRODUCT(N(Tabela1[Código]=Tabela3[[#This Row],[PAPEL]]),Tabela1[Fechamento])</f>
        <v>28.93</v>
      </c>
      <c r="AY9" s="5">
        <f>SUMPRODUCT(N(Tabela17[Código]=Tabela3[[#This Row],[PAPEL]]),Tabela17[Fechamento])</f>
        <v>0</v>
      </c>
      <c r="AZ9" s="7">
        <f>SUMPRODUCT(N(Tabela176[Código]=Tabela3[[#This Row],[PAPEL]]),Tabela176[Fechamento])</f>
        <v>0</v>
      </c>
      <c r="BA9" s="7">
        <f>SUMPRODUCT(N(Tabela1768[Código]=Tabela3[[#This Row],[PAPEL]]),Tabela1768[Fechamento])</f>
        <v>0</v>
      </c>
      <c r="BB9" s="7">
        <f>SUMPRODUCT(N(Tabela17683[Código]=Tabela3[[#This Row],[PAPEL]]),Tabela17683[Fechamento])</f>
        <v>0</v>
      </c>
    </row>
    <row r="10" spans="1:60">
      <c r="A10" s="4" t="s">
        <v>14</v>
      </c>
      <c r="B10" s="60" t="s">
        <v>80</v>
      </c>
      <c r="C10" s="14" t="str">
        <f>LEFT([PAPEL],LEN([PAPEL])-(LEN([PAPEL])-4))</f>
        <v>ITUB</v>
      </c>
      <c r="D10" s="15">
        <v>4</v>
      </c>
      <c r="E10" s="6">
        <v>60000000000</v>
      </c>
      <c r="F10" s="8">
        <v>2509814670</v>
      </c>
      <c r="G10" s="86">
        <v>0.25</v>
      </c>
      <c r="H10" s="15"/>
      <c r="I10" s="19">
        <v>0.02</v>
      </c>
      <c r="J10" s="19"/>
      <c r="K10" s="88"/>
      <c r="L10" s="88"/>
      <c r="M10" s="55">
        <v>109588100000</v>
      </c>
      <c r="N10" s="55">
        <v>15446870000</v>
      </c>
      <c r="O10" s="55">
        <v>1645489000</v>
      </c>
      <c r="P10" s="6">
        <v>89229744000</v>
      </c>
      <c r="Q10" s="6">
        <v>11661389000</v>
      </c>
      <c r="R10" s="6">
        <f>IF(Tabela3[[#This Row],[Ativo || Passivo]]&gt;0,Tabela3[[#This Row],[Ativo || Passivo]]-Tabela3[[#This Row],[Patrimônio Líquido]],0)</f>
        <v>20358356000</v>
      </c>
      <c r="S10" s="6">
        <f>Tabela3[[#This Row],[Cotação]]*Tabela3[[#This Row],[Total Ações]]</f>
        <v>156271163386.79999</v>
      </c>
      <c r="T10" s="132">
        <f>IF(Tabela3[[#This Row],[Passivo Circulante]]&gt;0,Tabela3[[#This Row],[Ativo Circulante]]/Tabela3[[#This Row],[Passivo Circulante]],0)</f>
        <v>9.387403987507664</v>
      </c>
      <c r="U10" s="132">
        <f>SUMPRODUCT(N([Liquidez Corrente]&gt;0),N(RIGHT([PAPEL],LEN([PAPEL])-(LEN([PAPEL])-1))="3"),[Liquidez Corrente])/SUMPRODUCT(N([Liquidez Corrente]&gt;0),N(RIGHT([PAPEL],LEN([PAPEL])-(LEN([PAPEL])-1))="3"))</f>
        <v>2.331224473064915</v>
      </c>
      <c r="V10" s="19">
        <f>IF(Tabela3[[#This Row],[Lucro Líquido]]&gt;0,Tabela3[[#This Row],[Lucro Líquido]]/Tabela3[[#This Row],[Patrimônio Líquido]],0)</f>
        <v>0.13068948174949377</v>
      </c>
      <c r="W10" s="19">
        <f>SUMPRODUCT(N([Rentabilidade s/ PL]&gt;0),N(RIGHT([PAPEL],LEN([PAPEL])-(LEN([PAPEL])-1))="3"),[Rentabilidade s/ PL])/SUMPRODUCT(N([Rentabilidade s/ PL]&gt;0),N(RIGHT([PAPEL],LEN([PAPEL])-(LEN([PAPEL])-1))="3"))</f>
        <v>0.1261051308670782</v>
      </c>
      <c r="X10" s="19">
        <f>IF(Tabela3[[#This Row],[Dívida]]&gt;0,Tabela3[[#This Row],[Dívida]]/Tabela3[[#This Row],[Patrimônio Líquido]],0)</f>
        <v>0.22815661109595922</v>
      </c>
      <c r="Y10" s="19">
        <f>SUMPRODUCT(N([Dívida / PL]&gt;0),N(RIGHT([PAPEL],LEN([PAPEL])-(LEN([PAPEL])-1))="3"),[Dívida / PL])/SUMPRODUCT(N([Dívida / PL]&gt;0),N(RIGHT([PAPEL],LEN([PAPEL])-(LEN([PAPEL])-1))="3"))</f>
        <v>2.1510410379481146</v>
      </c>
      <c r="Z10" s="6">
        <f>Tabela3[[#This Row],[Capital Social]]*20%</f>
        <v>12000000000</v>
      </c>
      <c r="AA10" s="6">
        <f>IF(([Lucro Líquido]*5%)&gt;[Teto R. Legal],[Teto R. Legal],[Lucro Líquido]*5%)</f>
        <v>583069450</v>
      </c>
      <c r="AB10" s="6">
        <f>IF([Lucro Líquido]&lt;0,0,[Lucro Líquido]-[Reserva Legal])</f>
        <v>11078319550</v>
      </c>
      <c r="AC10" s="6">
        <f>Tabela3[[#This Row],[Lucro Distribuir]]*[%Div]</f>
        <v>2769579887.5</v>
      </c>
      <c r="AD10" s="21">
        <f>SUMPRODUCT(N([Nome]=Tabela3[[#This Row],[Nome]]),[Ações])</f>
        <v>5028029710</v>
      </c>
      <c r="AE10" s="6">
        <f>[Capital Social]/[Total Ações]</f>
        <v>11.933103712706583</v>
      </c>
      <c r="AF10" s="78">
        <f>Tabela3[[#This Row],[Lucro Líquido]]/Tabela3[[#This Row],[Total Ações]]</f>
        <v>2.319276072853595</v>
      </c>
      <c r="AG10" s="78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0.55082806730272882</v>
      </c>
      <c r="AH10" s="78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10" s="78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0.23866207425413163</v>
      </c>
      <c r="AJ10" s="78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0.55082806730272882</v>
      </c>
      <c r="AK10" s="6">
        <f>[Div Base]*[Ações]</f>
        <v>1382476363.9641361</v>
      </c>
      <c r="AL10" s="6">
        <f>SUMPRODUCT(N([Nome]=Tabela3[[#This Row],[Nome]]),[Div Base]*[Ações])</f>
        <v>2769579887.5</v>
      </c>
      <c r="AM10" s="6">
        <f>[Patrimônio Líquido]/[Total Ações]</f>
        <v>17.746463156837631</v>
      </c>
      <c r="AN10" s="48">
        <f>MAX(Tabela3[[#This Row],[Cotação 1]:[Cotação 5]])</f>
        <v>31.08</v>
      </c>
      <c r="AO10" s="44">
        <f>[Cotação]/[VPA]</f>
        <v>1.7513348843273606</v>
      </c>
      <c r="AP10" s="40">
        <f>IF(Tabela3[[#This Row],[Lucro/Ação]]&gt;0,Tabela3[[#This Row],[Cotação]]/(Tabela3[[#This Row],[Lucro/Ação]]/[Ref]*4),0)</f>
        <v>13.400733256287051</v>
      </c>
      <c r="AQ10" s="78">
        <f>[Lucro Distribuir]/[Total Ações]</f>
        <v>2.2033122692109153</v>
      </c>
      <c r="AR10" s="78">
        <f>IF([Unit ON]&gt;0,SUMPRODUCT(N([Nome]=Tabela3[[#This Row],[Nome]]),N(RIGHT([PAPEL],1)="3"),[Div Base])*[Unit ON]+SUMPRODUCT(N([Nome]=Tabela3[[#This Row],[Nome]]),N(RIGHT([PAPEL],1)="4"),[Div Base])*[Unit PN],[Div Base])</f>
        <v>0.55082806730272882</v>
      </c>
      <c r="AS10" s="15" t="str">
        <f>IF(AND([% A.A.]&gt;=6%,SUMPRODUCT(N([Nome]=Tabela3[[#This Row],[Nome]]),[PL])&gt;0,[Rentabilidade s/ PL]&gt;=[Rentabilidade s/ PL Média]),"Sim","Não")</f>
        <v>Não</v>
      </c>
      <c r="AT10" s="42">
        <f>IF([Cotação]&gt;0,Tabela3[[#This Row],[Lucro]]/Tabela3[[#This Row],[Cotação]],0)</f>
        <v>1.7722910788376088E-2</v>
      </c>
      <c r="AU10" s="19">
        <f>((1+Tabela3[[#This Row],[% Yield]])^(1/(3*Tabela3[[#This Row],[Ref]])))^(12)-1</f>
        <v>1.7722910788375179E-2</v>
      </c>
      <c r="AV10" s="14">
        <f>IF([Cotação]&gt;0,($BH$1/Tabela3[[#This Row],[Cotação]]-MOD($BH$1/Tabela3[[#This Row],[Cotação]],100)),)</f>
        <v>0</v>
      </c>
      <c r="AW10" s="17">
        <f>Tabela3[[#This Row],[Ativos]]*[Lucro]</f>
        <v>0</v>
      </c>
      <c r="AX10" s="5">
        <f>SUMPRODUCT(N(Tabela1[Código]=Tabela3[[#This Row],[PAPEL]]),Tabela1[Fechamento])</f>
        <v>31.08</v>
      </c>
      <c r="AY10" s="5">
        <f>SUMPRODUCT(N(Tabela17[Código]=Tabela3[[#This Row],[PAPEL]]),Tabela17[Fechamento])</f>
        <v>0</v>
      </c>
      <c r="AZ10" s="7">
        <f>SUMPRODUCT(N(Tabela176[Código]=Tabela3[[#This Row],[PAPEL]]),Tabela176[Fechamento])</f>
        <v>0</v>
      </c>
      <c r="BA10" s="7">
        <f>SUMPRODUCT(N(Tabela1768[Código]=Tabela3[[#This Row],[PAPEL]]),Tabela1768[Fechamento])</f>
        <v>0</v>
      </c>
      <c r="BB10" s="7">
        <f>SUMPRODUCT(N(Tabela17683[Código]=Tabela3[[#This Row],[PAPEL]]),Tabela17683[Fechamento])</f>
        <v>0</v>
      </c>
    </row>
    <row r="11" spans="1:60">
      <c r="A11" s="4" t="s">
        <v>14</v>
      </c>
      <c r="B11" s="57" t="s">
        <v>230</v>
      </c>
      <c r="C11" s="15" t="str">
        <f>LEFT([PAPEL],LEN([PAPEL])-(LEN([PAPEL])-4))</f>
        <v>ITSA</v>
      </c>
      <c r="D11" s="16">
        <v>4</v>
      </c>
      <c r="E11" s="5">
        <v>22525000010</v>
      </c>
      <c r="F11" s="56">
        <f>2052918509+53308194+32340304</f>
        <v>2138567007</v>
      </c>
      <c r="G11" s="81">
        <v>0.25</v>
      </c>
      <c r="H11" s="16"/>
      <c r="J11" s="18"/>
      <c r="K11" s="87"/>
      <c r="L11" s="87"/>
      <c r="M11" s="54">
        <v>34432000000</v>
      </c>
      <c r="N11" s="54">
        <v>1091000000</v>
      </c>
      <c r="O11" s="54">
        <v>1012000000</v>
      </c>
      <c r="P11" s="6">
        <v>33131000000</v>
      </c>
      <c r="Q11" s="5">
        <v>5698000000</v>
      </c>
      <c r="R11" s="5">
        <f>IF(Tabela3[[#This Row],[Ativo || Passivo]]&gt;0,Tabela3[[#This Row],[Ativo || Passivo]]-Tabela3[[#This Row],[Patrimônio Líquido]],0)</f>
        <v>1301000000</v>
      </c>
      <c r="S11" s="5">
        <f>Tabela3[[#This Row],[Cotação]]*Tabela3[[#This Row],[Total Ações]]</f>
        <v>50991845455.979996</v>
      </c>
      <c r="T11" s="130">
        <f>IF(Tabela3[[#This Row],[Passivo Circulante]]&gt;0,Tabela3[[#This Row],[Ativo Circulante]]/Tabela3[[#This Row],[Passivo Circulante]],0)</f>
        <v>1.0780632411067195</v>
      </c>
      <c r="U11" s="130">
        <f>SUMPRODUCT(N([Liquidez Corrente]&gt;0),N(RIGHT([PAPEL],LEN([PAPEL])-(LEN([PAPEL])-1))="3"),[Liquidez Corrente])/SUMPRODUCT(N([Liquidez Corrente]&gt;0),N(RIGHT([PAPEL],LEN([PAPEL])-(LEN([PAPEL])-1))="3"))</f>
        <v>2.331224473064915</v>
      </c>
      <c r="V11" s="18">
        <f>IF(Tabela3[[#This Row],[Lucro Líquido]]&gt;0,Tabela3[[#This Row],[Lucro Líquido]]/Tabela3[[#This Row],[Patrimônio Líquido]],0)</f>
        <v>0.17198394253116417</v>
      </c>
      <c r="W11" s="18">
        <f>SUMPRODUCT(N([Rentabilidade s/ PL]&gt;0),N(RIGHT([PAPEL],LEN([PAPEL])-(LEN([PAPEL])-1))="3"),[Rentabilidade s/ PL])/SUMPRODUCT(N([Rentabilidade s/ PL]&gt;0),N(RIGHT([PAPEL],LEN([PAPEL])-(LEN([PAPEL])-1))="3"))</f>
        <v>0.1261051308670782</v>
      </c>
      <c r="X11" s="18">
        <f>IF(Tabela3[[#This Row],[Dívida]]&gt;0,Tabela3[[#This Row],[Dívida]]/Tabela3[[#This Row],[Patrimônio Líquido]],0)</f>
        <v>3.9268358938758262E-2</v>
      </c>
      <c r="Y11" s="18">
        <f>SUMPRODUCT(N([Dívida / PL]&gt;0),N(RIGHT([PAPEL],LEN([PAPEL])-(LEN([PAPEL])-1))="3"),[Dívida / PL])/SUMPRODUCT(N([Dívida / PL]&gt;0),N(RIGHT([PAPEL],LEN([PAPEL])-(LEN([PAPEL])-1))="3"))</f>
        <v>2.1510410379481146</v>
      </c>
      <c r="Z11" s="5">
        <f>Tabela3[[#This Row],[Capital Social]]*20%</f>
        <v>4505000002</v>
      </c>
      <c r="AA11" s="5">
        <f>IF(([Lucro Líquido]*5%)&gt;[Teto R. Legal],[Teto R. Legal],[Lucro Líquido]*5%)</f>
        <v>284900000</v>
      </c>
      <c r="AB11" s="5">
        <f>IF([Lucro Líquido]&lt;0,0,[Lucro Líquido]-[Reserva Legal])</f>
        <v>5413100000</v>
      </c>
      <c r="AC11" s="5">
        <f>Tabela3[[#This Row],[Lucro Distribuir]]*[%Div]</f>
        <v>1353275000</v>
      </c>
      <c r="AD11" s="21">
        <f>SUMPRODUCT(N([Nome]=Tabela3[[#This Row],[Nome]]),[Ações])</f>
        <v>5554667261</v>
      </c>
      <c r="AE11" s="5">
        <f>[Capital Social]/[Total Ações]</f>
        <v>4.0551483917229003</v>
      </c>
      <c r="AF11" s="77">
        <f>Tabela3[[#This Row],[Lucro Líquido]]/Tabela3[[#This Row],[Total Ações]]</f>
        <v>1.0258040189025104</v>
      </c>
      <c r="AG11" s="77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0.24362845448934622</v>
      </c>
      <c r="AH11" s="77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11" s="77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0.61660121570021464</v>
      </c>
      <c r="AJ11" s="77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0.24362845448934622</v>
      </c>
      <c r="AK11" s="5">
        <f>[Div Base]*[Ações]</f>
        <v>521015774.73731685</v>
      </c>
      <c r="AL11" s="5">
        <f>SUMPRODUCT(N([Nome]=Tabela3[[#This Row],[Nome]]),[Div Base]*[Ações])</f>
        <v>1353275000</v>
      </c>
      <c r="AM11" s="5">
        <f>[Patrimônio Líquido]/[Total Ações]</f>
        <v>5.9645336873041552</v>
      </c>
      <c r="AN11" s="52">
        <f>MAX(Tabela3[[#This Row],[Cotação 1]:[Cotação 5]])</f>
        <v>9.18</v>
      </c>
      <c r="AO11" s="53">
        <f>[Cotação]/[VPA]</f>
        <v>1.5390976866372881</v>
      </c>
      <c r="AP11" s="37">
        <f>IF(Tabela3[[#This Row],[Lucro/Ação]]&gt;0,Tabela3[[#This Row],[Cotação]]/(Tabela3[[#This Row],[Lucro/Ação]]/[Ref]*4),0)</f>
        <v>8.9490778266023163</v>
      </c>
      <c r="AQ11" s="77">
        <f>[Lucro Distribuir]/[Total Ações]</f>
        <v>0.9745138179573849</v>
      </c>
      <c r="AR11" s="77">
        <f>IF([Unit ON]&gt;0,SUMPRODUCT(N([Nome]=Tabela3[[#This Row],[Nome]]),N(RIGHT([PAPEL],1)="3"),[Div Base])*[Unit ON]+SUMPRODUCT(N([Nome]=Tabela3[[#This Row],[Nome]]),N(RIGHT([PAPEL],1)="4"),[Div Base])*[Unit PN],[Div Base])</f>
        <v>0.24362845448934622</v>
      </c>
      <c r="AS11" s="16" t="str">
        <f>IF(AND([% A.A.]&gt;=6%,SUMPRODUCT(N([Nome]=Tabela3[[#This Row],[Nome]]),[PL])&gt;0,[Rentabilidade s/ PL]&gt;=[Rentabilidade s/ PL Média]),"Sim","Não")</f>
        <v>Não</v>
      </c>
      <c r="AT11" s="22">
        <f>IF([Cotação]&gt;0,Tabela3[[#This Row],[Lucro]]/Tabela3[[#This Row],[Cotação]],0)</f>
        <v>2.6539047329994143E-2</v>
      </c>
      <c r="AU11" s="18">
        <f>((1+Tabela3[[#This Row],[% Yield]])^(1/(3*Tabela3[[#This Row],[Ref]])))^(12)-1</f>
        <v>2.6539047329995569E-2</v>
      </c>
      <c r="AV11" s="10">
        <f>IF([Cotação]&gt;0,($BH$1/Tabela3[[#This Row],[Cotação]]-MOD($BH$1/Tabela3[[#This Row],[Cotação]],100)),)</f>
        <v>0</v>
      </c>
      <c r="AW11" s="7">
        <f>Tabela3[[#This Row],[Ativos]]*[Lucro]</f>
        <v>0</v>
      </c>
      <c r="AX11" s="5">
        <f>SUMPRODUCT(N(Tabela1[Código]=Tabela3[[#This Row],[PAPEL]]),Tabela1[Fechamento])</f>
        <v>9.18</v>
      </c>
      <c r="AY11" s="5">
        <f>SUMPRODUCT(N(Tabela17[Código]=Tabela3[[#This Row],[PAPEL]]),Tabela17[Fechamento])</f>
        <v>0</v>
      </c>
      <c r="AZ11" s="7">
        <f>SUMPRODUCT(N(Tabela176[Código]=Tabela3[[#This Row],[PAPEL]]),Tabela176[Fechamento])</f>
        <v>0</v>
      </c>
      <c r="BA11" s="7">
        <f>SUMPRODUCT(N(Tabela1768[Código]=Tabela3[[#This Row],[PAPEL]]),Tabela1768[Fechamento])</f>
        <v>0</v>
      </c>
      <c r="BB11" s="7">
        <f>SUMPRODUCT(N(Tabela17683[Código]=Tabela3[[#This Row],[PAPEL]]),Tabela17683[Fechamento])</f>
        <v>0</v>
      </c>
    </row>
    <row r="12" spans="1:60">
      <c r="A12" s="4" t="s">
        <v>14</v>
      </c>
      <c r="B12" s="57" t="s">
        <v>16</v>
      </c>
      <c r="C12" s="15" t="str">
        <f>LEFT([PAPEL],LEN([PAPEL])-(LEN([PAPEL])-4))</f>
        <v>ITSA</v>
      </c>
      <c r="D12" s="15">
        <v>4</v>
      </c>
      <c r="E12" s="5">
        <v>22525000010</v>
      </c>
      <c r="F12" s="8">
        <f>3279287212+85153346+51659696</f>
        <v>3416100254</v>
      </c>
      <c r="G12" s="86">
        <v>0.25</v>
      </c>
      <c r="H12" s="15"/>
      <c r="I12" s="19">
        <v>2.5000000000000001E-3</v>
      </c>
      <c r="J12" s="19"/>
      <c r="K12" s="88"/>
      <c r="L12" s="88"/>
      <c r="M12" s="54">
        <v>34432000000</v>
      </c>
      <c r="N12" s="54">
        <v>1091000000</v>
      </c>
      <c r="O12" s="54">
        <v>1012000000</v>
      </c>
      <c r="P12" s="6">
        <v>33131000000</v>
      </c>
      <c r="Q12" s="5">
        <v>5698000000</v>
      </c>
      <c r="R12" s="5">
        <f>IF(Tabela3[[#This Row],[Ativo || Passivo]]&gt;0,Tabela3[[#This Row],[Ativo || Passivo]]-Tabela3[[#This Row],[Patrimônio Líquido]],0)</f>
        <v>1301000000</v>
      </c>
      <c r="S12" s="5">
        <f>Tabela3[[#This Row],[Cotação]]*Tabela3[[#This Row],[Total Ações]]</f>
        <v>46881391682.839996</v>
      </c>
      <c r="T12" s="130">
        <f>IF(Tabela3[[#This Row],[Passivo Circulante]]&gt;0,Tabela3[[#This Row],[Ativo Circulante]]/Tabela3[[#This Row],[Passivo Circulante]],0)</f>
        <v>1.0780632411067195</v>
      </c>
      <c r="U12" s="130">
        <f>SUMPRODUCT(N([Liquidez Corrente]&gt;0),N(RIGHT([PAPEL],LEN([PAPEL])-(LEN([PAPEL])-1))="3"),[Liquidez Corrente])/SUMPRODUCT(N([Liquidez Corrente]&gt;0),N(RIGHT([PAPEL],LEN([PAPEL])-(LEN([PAPEL])-1))="3"))</f>
        <v>2.331224473064915</v>
      </c>
      <c r="V12" s="18">
        <f>IF(Tabela3[[#This Row],[Lucro Líquido]]&gt;0,Tabela3[[#This Row],[Lucro Líquido]]/Tabela3[[#This Row],[Patrimônio Líquido]],0)</f>
        <v>0.17198394253116417</v>
      </c>
      <c r="W12" s="18">
        <f>SUMPRODUCT(N([Rentabilidade s/ PL]&gt;0),N(RIGHT([PAPEL],LEN([PAPEL])-(LEN([PAPEL])-1))="3"),[Rentabilidade s/ PL])/SUMPRODUCT(N([Rentabilidade s/ PL]&gt;0),N(RIGHT([PAPEL],LEN([PAPEL])-(LEN([PAPEL])-1))="3"))</f>
        <v>0.1261051308670782</v>
      </c>
      <c r="X12" s="18">
        <f>IF(Tabela3[[#This Row],[Dívida]]&gt;0,Tabela3[[#This Row],[Dívida]]/Tabela3[[#This Row],[Patrimônio Líquido]],0)</f>
        <v>3.9268358938758262E-2</v>
      </c>
      <c r="Y12" s="18">
        <f>SUMPRODUCT(N([Dívida / PL]&gt;0),N(RIGHT([PAPEL],LEN([PAPEL])-(LEN([PAPEL])-1))="3"),[Dívida / PL])/SUMPRODUCT(N([Dívida / PL]&gt;0),N(RIGHT([PAPEL],LEN([PAPEL])-(LEN([PAPEL])-1))="3"))</f>
        <v>2.1510410379481146</v>
      </c>
      <c r="Z12" s="5">
        <f>Tabela3[[#This Row],[Capital Social]]*20%</f>
        <v>4505000002</v>
      </c>
      <c r="AA12" s="5">
        <f>IF(([Lucro Líquido]*5%)&gt;[Teto R. Legal],[Teto R. Legal],[Lucro Líquido]*5%)</f>
        <v>284900000</v>
      </c>
      <c r="AB12" s="5">
        <f>IF([Lucro Líquido]&lt;0,0,[Lucro Líquido]-[Reserva Legal])</f>
        <v>5413100000</v>
      </c>
      <c r="AC12" s="5">
        <f>Tabela3[[#This Row],[Lucro Distribuir]]*[%Div]</f>
        <v>1353275000</v>
      </c>
      <c r="AD12" s="21">
        <f>SUMPRODUCT(N([Nome]=Tabela3[[#This Row],[Nome]]),[Ações])</f>
        <v>5554667261</v>
      </c>
      <c r="AE12" s="5">
        <f>[Capital Social]/[Total Ações]</f>
        <v>4.0551483917229003</v>
      </c>
      <c r="AF12" s="78">
        <f>Tabela3[[#This Row],[Lucro Líquido]]/Tabela3[[#This Row],[Total Ações]]</f>
        <v>1.0258040189025104</v>
      </c>
      <c r="AG12" s="78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0.24362845448934622</v>
      </c>
      <c r="AH12" s="77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12" s="77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1.0137870979307252E-2</v>
      </c>
      <c r="AJ12" s="77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0.24362845448934622</v>
      </c>
      <c r="AK12" s="5">
        <f>[Div Base]*[Ações]</f>
        <v>832259225.26268303</v>
      </c>
      <c r="AL12" s="5">
        <f>SUMPRODUCT(N([Nome]=Tabela3[[#This Row],[Nome]]),[Div Base]*[Ações])</f>
        <v>1353275000</v>
      </c>
      <c r="AM12" s="6">
        <f>[Patrimônio Líquido]/[Total Ações]</f>
        <v>5.9645336873041552</v>
      </c>
      <c r="AN12" s="48">
        <f>MAX(Tabela3[[#This Row],[Cotação 1]:[Cotação 5]])</f>
        <v>8.44</v>
      </c>
      <c r="AO12" s="44">
        <f>[Cotação]/[VPA]</f>
        <v>1.4150309885859162</v>
      </c>
      <c r="AP12" s="40">
        <f>IF(Tabela3[[#This Row],[Lucro/Ação]]&gt;0,Tabela3[[#This Row],[Cotação]]/(Tabela3[[#This Row],[Lucro/Ação]]/[Ref]*4),0)</f>
        <v>8.2276924680308881</v>
      </c>
      <c r="AQ12" s="78">
        <f>[Lucro Distribuir]/[Total Ações]</f>
        <v>0.9745138179573849</v>
      </c>
      <c r="AR12" s="78">
        <f>IF([Unit ON]&gt;0,SUMPRODUCT(N([Nome]=Tabela3[[#This Row],[Nome]]),N(RIGHT([PAPEL],1)="3"),[Div Base])*[Unit ON]+SUMPRODUCT(N([Nome]=Tabela3[[#This Row],[Nome]]),N(RIGHT([PAPEL],1)="4"),[Div Base])*[Unit PN],[Div Base])</f>
        <v>0.24362845448934622</v>
      </c>
      <c r="AS12" s="15" t="str">
        <f>IF(AND([% A.A.]&gt;=6%,SUMPRODUCT(N([Nome]=Tabela3[[#This Row],[Nome]]),[PL])&gt;0,[Rentabilidade s/ PL]&gt;=[Rentabilidade s/ PL Média]),"Sim","Não")</f>
        <v>Não</v>
      </c>
      <c r="AT12" s="42">
        <f>IF([Cotação]&gt;0,Tabela3[[#This Row],[Lucro]]/Tabela3[[#This Row],[Cotação]],0)</f>
        <v>2.8865930626699791E-2</v>
      </c>
      <c r="AU12" s="19">
        <f>((1+Tabela3[[#This Row],[% Yield]])^(1/(3*Tabela3[[#This Row],[Ref]])))^(12)-1</f>
        <v>2.8865930626700065E-2</v>
      </c>
      <c r="AV12" s="14">
        <f>IF([Cotação]&gt;0,($BH$1/Tabela3[[#This Row],[Cotação]]-MOD($BH$1/Tabela3[[#This Row],[Cotação]],100)),)</f>
        <v>0</v>
      </c>
      <c r="AW12" s="17">
        <f>Tabela3[[#This Row],[Ativos]]*[Lucro]</f>
        <v>0</v>
      </c>
      <c r="AX12" s="5">
        <f>SUMPRODUCT(N(Tabela1[Código]=Tabela3[[#This Row],[PAPEL]]),Tabela1[Fechamento])</f>
        <v>8.44</v>
      </c>
      <c r="AY12" s="5">
        <f>SUMPRODUCT(N(Tabela17[Código]=Tabela3[[#This Row],[PAPEL]]),Tabela17[Fechamento])</f>
        <v>0</v>
      </c>
      <c r="AZ12" s="7">
        <f>SUMPRODUCT(N(Tabela176[Código]=Tabela3[[#This Row],[PAPEL]]),Tabela176[Fechamento])</f>
        <v>0</v>
      </c>
      <c r="BA12" s="7">
        <f>SUMPRODUCT(N(Tabela1768[Código]=Tabela3[[#This Row],[PAPEL]]),Tabela1768[Fechamento])</f>
        <v>0</v>
      </c>
      <c r="BB12" s="7">
        <f>SUMPRODUCT(N(Tabela17683[Código]=Tabela3[[#This Row],[PAPEL]]),Tabela17683[Fechamento])</f>
        <v>0</v>
      </c>
    </row>
    <row r="13" spans="1:60" hidden="1">
      <c r="A13" s="3" t="s">
        <v>846</v>
      </c>
      <c r="B13" s="58" t="s">
        <v>847</v>
      </c>
      <c r="C13" s="16" t="str">
        <f>LEFT([PAPEL],LEN([PAPEL])-(LEN([PAPEL])-4))</f>
        <v>ABEV</v>
      </c>
      <c r="D13" s="16">
        <v>3</v>
      </c>
      <c r="E13" s="5">
        <v>56983340778.779999</v>
      </c>
      <c r="F13" s="56">
        <v>15664342206</v>
      </c>
      <c r="G13" s="81">
        <v>0.4</v>
      </c>
      <c r="H13" s="87"/>
      <c r="J13" s="18"/>
      <c r="K13" s="16"/>
      <c r="L13" s="87"/>
      <c r="M13" s="54"/>
      <c r="N13" s="54"/>
      <c r="O13" s="54"/>
      <c r="P13" s="91">
        <v>38633977000</v>
      </c>
      <c r="Q13" s="73">
        <v>4869507000</v>
      </c>
      <c r="R13" s="73">
        <f>IF(Tabela3[[#This Row],[Ativo || Passivo]]&gt;0,Tabela3[[#This Row],[Ativo || Passivo]]-Tabela3[[#This Row],[Patrimônio Líquido]],0)</f>
        <v>0</v>
      </c>
      <c r="S13" s="73">
        <f>Tabela3[[#This Row],[Cotação]]*Tabela3[[#This Row],[Total Ações]]</f>
        <v>261124584574.02002</v>
      </c>
      <c r="T13" s="37">
        <f>IF(Tabela3[[#This Row],[Passivo Circulante]]&gt;0,Tabela3[[#This Row],[Ativo Circulante]]/Tabela3[[#This Row],[Passivo Circulante]],0)</f>
        <v>0</v>
      </c>
      <c r="U13" s="37">
        <f>SUMPRODUCT(N([Liquidez Corrente]&gt;0),N(RIGHT([PAPEL],LEN([PAPEL])-(LEN([PAPEL])-1))="3"),[Liquidez Corrente])/SUMPRODUCT(N([Liquidez Corrente]&gt;0),N(RIGHT([PAPEL],LEN([PAPEL])-(LEN([PAPEL])-1))="3"))</f>
        <v>2.331224473064915</v>
      </c>
      <c r="V13" s="18">
        <f>IF(Tabela3[[#This Row],[Lucro Líquido]]&gt;0,Tabela3[[#This Row],[Lucro Líquido]]/Tabela3[[#This Row],[Patrimônio Líquido]],0)</f>
        <v>0.12604208466552641</v>
      </c>
      <c r="W13" s="18">
        <f>SUMPRODUCT(N([Rentabilidade s/ PL]&gt;0),N(RIGHT([PAPEL],LEN([PAPEL])-(LEN([PAPEL])-1))="3"),[Rentabilidade s/ PL])/SUMPRODUCT(N([Rentabilidade s/ PL]&gt;0),N(RIGHT([PAPEL],LEN([PAPEL])-(LEN([PAPEL])-1))="3"))</f>
        <v>0.1261051308670782</v>
      </c>
      <c r="X13" s="18">
        <f>IF(Tabela3[[#This Row],[Dívida]]&gt;0,Tabela3[[#This Row],[Dívida]]/Tabela3[[#This Row],[Patrimônio Líquido]],0)</f>
        <v>0</v>
      </c>
      <c r="Y13" s="18">
        <f>SUMPRODUCT(N([Dívida / PL]&gt;0),N(RIGHT([PAPEL],LEN([PAPEL])-(LEN([PAPEL])-1))="3"),[Dívida / PL])/SUMPRODUCT(N([Dívida / PL]&gt;0),N(RIGHT([PAPEL],LEN([PAPEL])-(LEN([PAPEL])-1))="3"))</f>
        <v>2.1510410379481146</v>
      </c>
      <c r="Z13" s="7">
        <f>Tabela3[[#This Row],[Capital Social]]*20%</f>
        <v>11396668155.756001</v>
      </c>
      <c r="AA13" s="47">
        <f>IF(([Lucro Líquido]*5%)&gt;[Teto R. Legal],[Teto R. Legal],[Lucro Líquido]*5%)</f>
        <v>243475350</v>
      </c>
      <c r="AB13" s="47">
        <f>IF([Lucro Líquido]&lt;0,0,[Lucro Líquido]-[Reserva Legal])</f>
        <v>4626031650</v>
      </c>
      <c r="AC13" s="47">
        <f>Tabela3[[#This Row],[Lucro Distribuir]]*[%Div]</f>
        <v>1850412660</v>
      </c>
      <c r="AD13" s="56">
        <f>SUMPRODUCT(N([Nome]=Tabela3[[#This Row],[Nome]]),[Ações])</f>
        <v>15664342206</v>
      </c>
      <c r="AE13" s="85">
        <f>[Capital Social]/[Total Ações]</f>
        <v>3.6377742537412998</v>
      </c>
      <c r="AF13" s="85">
        <f>Tabela3[[#This Row],[Lucro Líquido]]/Tabela3[[#This Row],[Total Ações]]</f>
        <v>0.31086571883847158</v>
      </c>
      <c r="AG13" s="85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0.11812897315861921</v>
      </c>
      <c r="AH13" s="85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13" s="77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13" s="85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0.11812897315861921</v>
      </c>
      <c r="AK13" s="7">
        <f>[Div Base]*[Ações]</f>
        <v>1850412660</v>
      </c>
      <c r="AL13" s="7">
        <f>SUMPRODUCT(N([Nome]=Tabela3[[#This Row],[Nome]]),[Div Base]*[Ações])</f>
        <v>1850412660</v>
      </c>
      <c r="AM13" s="5">
        <f>[Patrimônio Líquido]/[Total Ações]</f>
        <v>2.4663644659909059</v>
      </c>
      <c r="AN13" s="52">
        <f>MAX(Tabela3[[#This Row],[Cotação 1]:[Cotação 5]])</f>
        <v>16.670000000000002</v>
      </c>
      <c r="AO13" s="53">
        <f>[Cotação]/[VPA]</f>
        <v>6.7589361709776874</v>
      </c>
      <c r="AP13" s="37">
        <f>IF(Tabela3[[#This Row],[Lucro/Ação]]&gt;0,Tabela3[[#This Row],[Cotação]]/(Tabela3[[#This Row],[Lucro/Ação]]/[Ref]*4),0)</f>
        <v>40.218329787905638</v>
      </c>
      <c r="AQ13" s="85">
        <f>[Lucro Distribuir]/[Total Ações]</f>
        <v>0.29532243289654803</v>
      </c>
      <c r="AR13" s="85">
        <f>IF([Unit ON]&gt;0,SUMPRODUCT(N([Nome]=Tabela3[[#This Row],[Nome]]),N(RIGHT([PAPEL],1)="3"),[Div Base])*[Unit ON]+SUMPRODUCT(N([Nome]=Tabela3[[#This Row],[Nome]]),N(RIGHT([PAPEL],1)="4"),[Div Base])*[Unit PN],[Div Base])</f>
        <v>0.11812897315861921</v>
      </c>
      <c r="AS13" s="10" t="str">
        <f>IF(AND([% A.A.]&gt;=6%,SUMPRODUCT(N([Nome]=Tabela3[[#This Row],[Nome]]),[PL])&gt;0,[Rentabilidade s/ PL]&gt;=[Rentabilidade s/ PL Média]),"Sim","Não")</f>
        <v>Não</v>
      </c>
      <c r="AT13" s="22">
        <f>IF([Cotação]&gt;0,Tabela3[[#This Row],[Lucro]]/Tabela3[[#This Row],[Cotação]],0)</f>
        <v>7.086321125292094E-3</v>
      </c>
      <c r="AU13" s="22">
        <f>((1+Tabela3[[#This Row],[% Yield]])^(1/(3*Tabela3[[#This Row],[Ref]])))^(12)-1</f>
        <v>9.4595697454420424E-3</v>
      </c>
      <c r="AV13" s="10">
        <f>IF([Cotação]&gt;0,($BH$1/Tabela3[[#This Row],[Cotação]]-MOD($BH$1/Tabela3[[#This Row],[Cotação]],100)),)</f>
        <v>0</v>
      </c>
      <c r="AW13" s="7">
        <f>Tabela3[[#This Row],[Ativos]]*[Lucro]</f>
        <v>0</v>
      </c>
      <c r="AX13" s="7">
        <f>SUMPRODUCT(N(Tabela1[Código]=Tabela3[[#This Row],[PAPEL]]),Tabela1[Fechamento])</f>
        <v>0</v>
      </c>
      <c r="AY13" s="7">
        <f>SUMPRODUCT(N(Tabela17[Código]=Tabela3[[#This Row],[PAPEL]]),Tabela17[Fechamento])</f>
        <v>0</v>
      </c>
      <c r="AZ13" s="7">
        <f>SUMPRODUCT(N(Tabela176[Código]=Tabela3[[#This Row],[PAPEL]]),Tabela176[Fechamento])</f>
        <v>16.670000000000002</v>
      </c>
      <c r="BA13" s="7">
        <f>SUMPRODUCT(N(Tabela1768[Código]=Tabela3[[#This Row],[PAPEL]]),Tabela1768[Fechamento])</f>
        <v>0</v>
      </c>
      <c r="BB13" s="7">
        <f>SUMPRODUCT(N(Tabela17683[Código]=Tabela3[[#This Row],[PAPEL]]),Tabela17683[Fechamento])</f>
        <v>0</v>
      </c>
    </row>
    <row r="14" spans="1:60">
      <c r="A14" s="4" t="s">
        <v>376</v>
      </c>
      <c r="B14" s="57" t="s">
        <v>379</v>
      </c>
      <c r="C14" s="82" t="str">
        <f>LEFT([PAPEL],LEN([PAPEL])-(LEN([PAPEL])-4))</f>
        <v>CIEL</v>
      </c>
      <c r="D14" s="15">
        <v>4</v>
      </c>
      <c r="E14" s="6">
        <v>1000000000</v>
      </c>
      <c r="F14" s="38">
        <v>786115469</v>
      </c>
      <c r="G14" s="81">
        <v>0.5</v>
      </c>
      <c r="H14" s="15"/>
      <c r="I14" s="19"/>
      <c r="J14" s="19"/>
      <c r="K14" s="88"/>
      <c r="L14" s="88"/>
      <c r="M14" s="55">
        <v>11585874000</v>
      </c>
      <c r="N14" s="55">
        <v>8606432000</v>
      </c>
      <c r="O14" s="55">
        <v>5958069000</v>
      </c>
      <c r="P14" s="6">
        <v>3319825000</v>
      </c>
      <c r="Q14" s="6">
        <v>2673601000</v>
      </c>
      <c r="R14" s="6">
        <f>IF(Tabela3[[#This Row],[Ativo || Passivo]]&gt;0,Tabela3[[#This Row],[Ativo || Passivo]]-Tabela3[[#This Row],[Patrimônio Líquido]],0)</f>
        <v>8266049000</v>
      </c>
      <c r="S14" s="6">
        <f>Tabela3[[#This Row],[Cotação]]*Tabela3[[#This Row],[Total Ações]]</f>
        <v>50932421236.510002</v>
      </c>
      <c r="T14" s="132">
        <f>IF(Tabela3[[#This Row],[Passivo Circulante]]&gt;0,Tabela3[[#This Row],[Ativo Circulante]]/Tabela3[[#This Row],[Passivo Circulante]],0)</f>
        <v>1.4445002231427666</v>
      </c>
      <c r="U14" s="132">
        <f>SUMPRODUCT(N([Liquidez Corrente]&gt;0),N(RIGHT([PAPEL],LEN([PAPEL])-(LEN([PAPEL])-1))="3"),[Liquidez Corrente])/SUMPRODUCT(N([Liquidez Corrente]&gt;0),N(RIGHT([PAPEL],LEN([PAPEL])-(LEN([PAPEL])-1))="3"))</f>
        <v>2.331224473064915</v>
      </c>
      <c r="V14" s="19">
        <f>IF(Tabela3[[#This Row],[Lucro Líquido]]&gt;0,Tabela3[[#This Row],[Lucro Líquido]]/Tabela3[[#This Row],[Patrimônio Líquido]],0)</f>
        <v>0.80534395638324308</v>
      </c>
      <c r="W14" s="19">
        <f>SUMPRODUCT(N([Rentabilidade s/ PL]&gt;0),N(RIGHT([PAPEL],LEN([PAPEL])-(LEN([PAPEL])-1))="3"),[Rentabilidade s/ PL])/SUMPRODUCT(N([Rentabilidade s/ PL]&gt;0),N(RIGHT([PAPEL],LEN([PAPEL])-(LEN([PAPEL])-1))="3"))</f>
        <v>0.1261051308670782</v>
      </c>
      <c r="X14" s="19">
        <f>IF(Tabela3[[#This Row],[Dívida]]&gt;0,Tabela3[[#This Row],[Dívida]]/Tabela3[[#This Row],[Patrimônio Líquido]],0)</f>
        <v>2.4899050401753104</v>
      </c>
      <c r="Y14" s="19">
        <f>SUMPRODUCT(N([Dívida / PL]&gt;0),N(RIGHT([PAPEL],LEN([PAPEL])-(LEN([PAPEL])-1))="3"),[Dívida / PL])/SUMPRODUCT(N([Dívida / PL]&gt;0),N(RIGHT([PAPEL],LEN([PAPEL])-(LEN([PAPEL])-1))="3"))</f>
        <v>2.1510410379481146</v>
      </c>
      <c r="Z14" s="6">
        <f>Tabela3[[#This Row],[Capital Social]]*20%</f>
        <v>200000000</v>
      </c>
      <c r="AA14" s="6">
        <f>IF(([Lucro Líquido]*5%)&gt;[Teto R. Legal],[Teto R. Legal],[Lucro Líquido]*5%)</f>
        <v>133680050</v>
      </c>
      <c r="AB14" s="6">
        <f>IF([Lucro Líquido]&lt;0,0,[Lucro Líquido]-[Reserva Legal])</f>
        <v>2539920950</v>
      </c>
      <c r="AC14" s="6">
        <f>Tabela3[[#This Row],[Lucro Distribuir]]*[%Div]</f>
        <v>1269960475</v>
      </c>
      <c r="AD14" s="56">
        <f>SUMPRODUCT(N([Nome]=Tabela3[[#This Row],[Nome]]),[Ações])</f>
        <v>786115469</v>
      </c>
      <c r="AE14" s="6">
        <f>[Capital Social]/[Total Ações]</f>
        <v>1.2720777537580805</v>
      </c>
      <c r="AF14" s="78">
        <f>Tabela3[[#This Row],[Lucro Líquido]]/Tabela3[[#This Row],[Total Ações]]</f>
        <v>3.4010283545253581</v>
      </c>
      <c r="AG14" s="78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1.615488468399545</v>
      </c>
      <c r="AH14" s="78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14" s="78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14" s="78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1.615488468399545</v>
      </c>
      <c r="AK14" s="6">
        <f>[Div Base]*[Ações]</f>
        <v>1269960475</v>
      </c>
      <c r="AL14" s="6">
        <f>SUMPRODUCT(N([Nome]=Tabela3[[#This Row],[Nome]]),[Div Base]*[Ações])</f>
        <v>1269960475</v>
      </c>
      <c r="AM14" s="6">
        <f>[Patrimônio Líquido]/[Total Ações]</f>
        <v>4.22307552886992</v>
      </c>
      <c r="AN14" s="48">
        <f>MAX(Tabela3[[#This Row],[Cotação 1]:[Cotação 5]])</f>
        <v>64.790000000000006</v>
      </c>
      <c r="AO14" s="44">
        <f>[Cotação]/[VPA]</f>
        <v>15.341899418345847</v>
      </c>
      <c r="AP14" s="40">
        <f>IF(Tabela3[[#This Row],[Lucro/Ação]]&gt;0,Tabela3[[#This Row],[Cotação]]/(Tabela3[[#This Row],[Lucro/Ação]]/[Ref]*4),0)</f>
        <v>19.050120506578956</v>
      </c>
      <c r="AQ14" s="78">
        <f>[Lucro Distribuir]/[Total Ações]</f>
        <v>3.2309769367990899</v>
      </c>
      <c r="AR14" s="78">
        <f>IF([Unit ON]&gt;0,SUMPRODUCT(N([Nome]=Tabela3[[#This Row],[Nome]]),N(RIGHT([PAPEL],1)="3"),[Div Base])*[Unit ON]+SUMPRODUCT(N([Nome]=Tabela3[[#This Row],[Nome]]),N(RIGHT([PAPEL],1)="4"),[Div Base])*[Unit PN],[Div Base])</f>
        <v>1.615488468399545</v>
      </c>
      <c r="AS14" s="15" t="str">
        <f>IF(AND([% A.A.]&gt;=6%,SUMPRODUCT(N([Nome]=Tabela3[[#This Row],[Nome]]),[PL])&gt;0,[Rentabilidade s/ PL]&gt;=[Rentabilidade s/ PL Média]),"Sim","Não")</f>
        <v>Não</v>
      </c>
      <c r="AT14" s="42">
        <f>IF([Cotação]&gt;0,Tabela3[[#This Row],[Lucro]]/Tabela3[[#This Row],[Cotação]],0)</f>
        <v>2.4934225473059804E-2</v>
      </c>
      <c r="AU14" s="19">
        <f>((1+Tabela3[[#This Row],[% Yield]])^(1/(3*Tabela3[[#This Row],[Ref]])))^(12)-1</f>
        <v>2.4934225473061788E-2</v>
      </c>
      <c r="AV14" s="14">
        <f>IF([Cotação]&gt;0,($BH$1/Tabela3[[#This Row],[Cotação]]-MOD($BH$1/Tabela3[[#This Row],[Cotação]],100)),)</f>
        <v>0</v>
      </c>
      <c r="AW14" s="17">
        <f>Tabela3[[#This Row],[Ativos]]*[Lucro]</f>
        <v>0</v>
      </c>
      <c r="AX14" s="13">
        <f>SUMPRODUCT(N(Tabela1[Código]=Tabela3[[#This Row],[PAPEL]]),Tabela1[Fechamento])</f>
        <v>0</v>
      </c>
      <c r="AY14" s="55">
        <f>SUMPRODUCT(N(Tabela17[Código]=Tabela3[[#This Row],[PAPEL]]),Tabela17[Fechamento])</f>
        <v>64.790000000000006</v>
      </c>
      <c r="AZ14" s="7">
        <f>SUMPRODUCT(N(Tabela176[Código]=Tabela3[[#This Row],[PAPEL]]),Tabela176[Fechamento])</f>
        <v>0</v>
      </c>
      <c r="BA14" s="7">
        <f>SUMPRODUCT(N(Tabela1768[Código]=Tabela3[[#This Row],[PAPEL]]),Tabela1768[Fechamento])</f>
        <v>0</v>
      </c>
      <c r="BB14" s="7">
        <f>SUMPRODUCT(N(Tabela17683[Código]=Tabela3[[#This Row],[PAPEL]]),Tabela17683[Fechamento])</f>
        <v>0</v>
      </c>
    </row>
    <row r="15" spans="1:60" hidden="1">
      <c r="A15" s="3" t="s">
        <v>291</v>
      </c>
      <c r="B15" s="58" t="s">
        <v>292</v>
      </c>
      <c r="C15" s="83" t="str">
        <f>LEFT([PAPEL],LEN([PAPEL])-(LEN([PAPEL])-4))</f>
        <v>VIVT</v>
      </c>
      <c r="D15" s="16">
        <v>3</v>
      </c>
      <c r="E15" s="5">
        <v>37798109745.029999</v>
      </c>
      <c r="F15" s="56">
        <v>381587111</v>
      </c>
      <c r="G15" s="81">
        <v>0.25</v>
      </c>
      <c r="H15" s="18"/>
      <c r="J15" s="18"/>
      <c r="K15" s="87"/>
      <c r="L15" s="87"/>
      <c r="M15" s="54"/>
      <c r="N15" s="54"/>
      <c r="O15" s="54"/>
      <c r="P15" s="5">
        <v>43631075000</v>
      </c>
      <c r="Q15" s="5">
        <v>2484629000</v>
      </c>
      <c r="R15" s="5">
        <f>IF(Tabela3[[#This Row],[Ativo || Passivo]]&gt;0,Tabela3[[#This Row],[Ativo || Passivo]]-Tabela3[[#This Row],[Patrimônio Líquido]],0)</f>
        <v>0</v>
      </c>
      <c r="S15" s="5">
        <f>Tabela3[[#This Row],[Cotação]]*Tabela3[[#This Row],[Total Ações]]</f>
        <v>42142536259.199997</v>
      </c>
      <c r="T15" s="130">
        <f>IF(Tabela3[[#This Row],[Passivo Circulante]]&gt;0,Tabela3[[#This Row],[Ativo Circulante]]/Tabela3[[#This Row],[Passivo Circulante]],0)</f>
        <v>0</v>
      </c>
      <c r="U15" s="130">
        <f>SUMPRODUCT(N([Liquidez Corrente]&gt;0),N(RIGHT([PAPEL],LEN([PAPEL])-(LEN([PAPEL])-1))="3"),[Liquidez Corrente])/SUMPRODUCT(N([Liquidez Corrente]&gt;0),N(RIGHT([PAPEL],LEN([PAPEL])-(LEN([PAPEL])-1))="3"))</f>
        <v>2.331224473064915</v>
      </c>
      <c r="V15" s="18">
        <f>IF(Tabela3[[#This Row],[Lucro Líquido]]&gt;0,Tabela3[[#This Row],[Lucro Líquido]]/Tabela3[[#This Row],[Patrimônio Líquido]],0)</f>
        <v>5.694631635823779E-2</v>
      </c>
      <c r="W15" s="18">
        <f>SUMPRODUCT(N([Rentabilidade s/ PL]&gt;0),N(RIGHT([PAPEL],LEN([PAPEL])-(LEN([PAPEL])-1))="3"),[Rentabilidade s/ PL])/SUMPRODUCT(N([Rentabilidade s/ PL]&gt;0),N(RIGHT([PAPEL],LEN([PAPEL])-(LEN([PAPEL])-1))="3"))</f>
        <v>0.1261051308670782</v>
      </c>
      <c r="X15" s="18">
        <f>IF(Tabela3[[#This Row],[Dívida]]&gt;0,Tabela3[[#This Row],[Dívida]]/Tabela3[[#This Row],[Patrimônio Líquido]],0)</f>
        <v>0</v>
      </c>
      <c r="Y15" s="18">
        <f>SUMPRODUCT(N([Dívida / PL]&gt;0),N(RIGHT([PAPEL],LEN([PAPEL])-(LEN([PAPEL])-1))="3"),[Dívida / PL])/SUMPRODUCT(N([Dívida / PL]&gt;0),N(RIGHT([PAPEL],LEN([PAPEL])-(LEN([PAPEL])-1))="3"))</f>
        <v>2.1510410379481146</v>
      </c>
      <c r="Z15" s="5">
        <f>Tabela3[[#This Row],[Capital Social]]*20%</f>
        <v>7559621949.0060005</v>
      </c>
      <c r="AA15" s="5">
        <f>IF(([Lucro Líquido]*5%)&gt;[Teto R. Legal],[Teto R. Legal],[Lucro Líquido]*5%)</f>
        <v>124231450</v>
      </c>
      <c r="AB15" s="5">
        <f>IF([Lucro Líquido]&lt;0,0,[Lucro Líquido]-[Reserva Legal])</f>
        <v>2360397550</v>
      </c>
      <c r="AC15" s="5">
        <f>Tabela3[[#This Row],[Lucro Distribuir]]*[%Div]</f>
        <v>590099387.5</v>
      </c>
      <c r="AD15" s="56">
        <f>SUMPRODUCT(N([Nome]=Tabela3[[#This Row],[Nome]]),[Ações])</f>
        <v>1125601930</v>
      </c>
      <c r="AE15" s="5">
        <f>[Capital Social]/[Total Ações]</f>
        <v>33.580352642989872</v>
      </c>
      <c r="AF15" s="77">
        <f>Tabela3[[#This Row],[Lucro Líquido]]/Tabela3[[#This Row],[Total Ações]]</f>
        <v>2.2073780559349254</v>
      </c>
      <c r="AG15" s="77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0.50794080607426118</v>
      </c>
      <c r="AH15" s="77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15" s="77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15" s="77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0.50794080607426118</v>
      </c>
      <c r="AK15" s="5">
        <f>[Div Base]*[Ações]</f>
        <v>193823664.74888858</v>
      </c>
      <c r="AL15" s="5">
        <f>SUMPRODUCT(N([Nome]=Tabela3[[#This Row],[Nome]]),[Div Base]*[Ações])</f>
        <v>609530700.90182471</v>
      </c>
      <c r="AM15" s="5">
        <f>[Patrimônio Líquido]/[Total Ações]</f>
        <v>38.762437978406808</v>
      </c>
      <c r="AN15" s="52">
        <f>MAX(Tabela3[[#This Row],[Cotação 1]:[Cotação 5]])</f>
        <v>37.44</v>
      </c>
      <c r="AO15" s="53">
        <f>[Cotação]/[VPA]</f>
        <v>0.96588351901024661</v>
      </c>
      <c r="AP15" s="37">
        <f>IF(Tabela3[[#This Row],[Lucro/Ação]]&gt;0,Tabela3[[#This Row],[Cotação]]/(Tabela3[[#This Row],[Lucro/Ação]]/[Ref]*4),0)</f>
        <v>12.720974517483294</v>
      </c>
      <c r="AQ15" s="77">
        <f>[Lucro Distribuir]/[Total Ações]</f>
        <v>2.0970091531381789</v>
      </c>
      <c r="AR15" s="77">
        <f>IF([Unit ON]&gt;0,SUMPRODUCT(N([Nome]=Tabela3[[#This Row],[Nome]]),N(RIGHT([PAPEL],1)="3"),[Div Base])*[Unit ON]+SUMPRODUCT(N([Nome]=Tabela3[[#This Row],[Nome]]),N(RIGHT([PAPEL],1)="4"),[Div Base])*[Unit PN],[Div Base])</f>
        <v>0.50794080607426118</v>
      </c>
      <c r="AS15" s="16" t="str">
        <f>IF(AND([% A.A.]&gt;=6%,SUMPRODUCT(N([Nome]=Tabela3[[#This Row],[Nome]]),[PL])&gt;0,[Rentabilidade s/ PL]&gt;=[Rentabilidade s/ PL Média]),"Sim","Não")</f>
        <v>Não</v>
      </c>
      <c r="AT15" s="22">
        <f>IF([Cotação]&gt;0,Tabela3[[#This Row],[Lucro]]/Tabela3[[#This Row],[Cotação]],0)</f>
        <v>1.3566795034034754E-2</v>
      </c>
      <c r="AU15" s="18">
        <f>((1+Tabela3[[#This Row],[% Yield]])^(1/(3*Tabela3[[#This Row],[Ref]])))^(12)-1</f>
        <v>1.81298391867033E-2</v>
      </c>
      <c r="AV15" s="10">
        <f>IF([Cotação]&gt;0,($BH$1/Tabela3[[#This Row],[Cotação]]-MOD($BH$1/Tabela3[[#This Row],[Cotação]],100)),)</f>
        <v>0</v>
      </c>
      <c r="AW15" s="7">
        <f>Tabela3[[#This Row],[Ativos]]*[Lucro]</f>
        <v>0</v>
      </c>
      <c r="AX15" s="47">
        <f>SUMPRODUCT(N(Tabela1[Código]=Tabela3[[#This Row],[PAPEL]]),Tabela1[Fechamento])</f>
        <v>0</v>
      </c>
      <c r="AY15" s="54">
        <f>SUMPRODUCT(N(Tabela17[Código]=Tabela3[[#This Row],[PAPEL]]),Tabela17[Fechamento])</f>
        <v>37.44</v>
      </c>
      <c r="AZ15" s="7">
        <f>SUMPRODUCT(N(Tabela176[Código]=Tabela3[[#This Row],[PAPEL]]),Tabela176[Fechamento])</f>
        <v>0</v>
      </c>
      <c r="BA15" s="7">
        <f>SUMPRODUCT(N(Tabela1768[Código]=Tabela3[[#This Row],[PAPEL]]),Tabela1768[Fechamento])</f>
        <v>0</v>
      </c>
      <c r="BB15" s="7">
        <f>SUMPRODUCT(N(Tabela17683[Código]=Tabela3[[#This Row],[PAPEL]]),Tabela17683[Fechamento])</f>
        <v>0</v>
      </c>
    </row>
    <row r="16" spans="1:60" hidden="1">
      <c r="A16" s="3" t="s">
        <v>291</v>
      </c>
      <c r="B16" s="58" t="s">
        <v>293</v>
      </c>
      <c r="C16" s="83" t="str">
        <f>LEFT([PAPEL],LEN([PAPEL])-(LEN([PAPEL])-4))</f>
        <v>VIVT</v>
      </c>
      <c r="D16" s="16">
        <v>3</v>
      </c>
      <c r="E16" s="5">
        <v>37798109745.029999</v>
      </c>
      <c r="F16" s="56">
        <v>744014819</v>
      </c>
      <c r="G16" s="86">
        <v>0.25</v>
      </c>
      <c r="H16" s="18"/>
      <c r="J16" s="18">
        <v>0.1</v>
      </c>
      <c r="K16" s="87"/>
      <c r="L16" s="87"/>
      <c r="M16" s="54"/>
      <c r="N16" s="54"/>
      <c r="O16" s="54"/>
      <c r="P16" s="5">
        <v>43631075000</v>
      </c>
      <c r="Q16" s="5">
        <v>2484629000</v>
      </c>
      <c r="R16" s="5">
        <f>IF(Tabela3[[#This Row],[Ativo || Passivo]]&gt;0,Tabela3[[#This Row],[Ativo || Passivo]]-Tabela3[[#This Row],[Patrimônio Líquido]],0)</f>
        <v>0</v>
      </c>
      <c r="S16" s="5">
        <f>Tabela3[[#This Row],[Cotação]]*Tabela3[[#This Row],[Total Ações]]</f>
        <v>48400882990</v>
      </c>
      <c r="T16" s="130">
        <f>IF(Tabela3[[#This Row],[Passivo Circulante]]&gt;0,Tabela3[[#This Row],[Ativo Circulante]]/Tabela3[[#This Row],[Passivo Circulante]],0)</f>
        <v>0</v>
      </c>
      <c r="U16" s="130">
        <f>SUMPRODUCT(N([Liquidez Corrente]&gt;0),N(RIGHT([PAPEL],LEN([PAPEL])-(LEN([PAPEL])-1))="3"),[Liquidez Corrente])/SUMPRODUCT(N([Liquidez Corrente]&gt;0),N(RIGHT([PAPEL],LEN([PAPEL])-(LEN([PAPEL])-1))="3"))</f>
        <v>2.331224473064915</v>
      </c>
      <c r="V16" s="18">
        <f>IF(Tabela3[[#This Row],[Lucro Líquido]]&gt;0,Tabela3[[#This Row],[Lucro Líquido]]/Tabela3[[#This Row],[Patrimônio Líquido]],0)</f>
        <v>5.694631635823779E-2</v>
      </c>
      <c r="W16" s="18">
        <f>SUMPRODUCT(N([Rentabilidade s/ PL]&gt;0),N(RIGHT([PAPEL],LEN([PAPEL])-(LEN([PAPEL])-1))="3"),[Rentabilidade s/ PL])/SUMPRODUCT(N([Rentabilidade s/ PL]&gt;0),N(RIGHT([PAPEL],LEN([PAPEL])-(LEN([PAPEL])-1))="3"))</f>
        <v>0.1261051308670782</v>
      </c>
      <c r="X16" s="18">
        <f>IF(Tabela3[[#This Row],[Dívida]]&gt;0,Tabela3[[#This Row],[Dívida]]/Tabela3[[#This Row],[Patrimônio Líquido]],0)</f>
        <v>0</v>
      </c>
      <c r="Y16" s="18">
        <f>SUMPRODUCT(N([Dívida / PL]&gt;0),N(RIGHT([PAPEL],LEN([PAPEL])-(LEN([PAPEL])-1))="3"),[Dívida / PL])/SUMPRODUCT(N([Dívida / PL]&gt;0),N(RIGHT([PAPEL],LEN([PAPEL])-(LEN([PAPEL])-1))="3"))</f>
        <v>2.1510410379481146</v>
      </c>
      <c r="Z16" s="5">
        <f>Tabela3[[#This Row],[Capital Social]]*20%</f>
        <v>7559621949.0060005</v>
      </c>
      <c r="AA16" s="5">
        <f>IF(([Lucro Líquido]*5%)&gt;[Teto R. Legal],[Teto R. Legal],[Lucro Líquido]*5%)</f>
        <v>124231450</v>
      </c>
      <c r="AB16" s="5">
        <f>IF([Lucro Líquido]&lt;0,0,[Lucro Líquido]-[Reserva Legal])</f>
        <v>2360397550</v>
      </c>
      <c r="AC16" s="5">
        <f>Tabela3[[#This Row],[Lucro Distribuir]]*[%Div]</f>
        <v>590099387.5</v>
      </c>
      <c r="AD16" s="56">
        <f>SUMPRODUCT(N([Nome]=Tabela3[[#This Row],[Nome]]),[Ações])</f>
        <v>1125601930</v>
      </c>
      <c r="AE16" s="5">
        <f>[Capital Social]/[Total Ações]</f>
        <v>33.580352642989872</v>
      </c>
      <c r="AF16" s="77">
        <f>Tabela3[[#This Row],[Lucro Líquido]]/Tabela3[[#This Row],[Total Ações]]</f>
        <v>2.2073780559349254</v>
      </c>
      <c r="AG16" s="77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0.55873488744709554</v>
      </c>
      <c r="AH16" s="77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16" s="77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16" s="77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0.55873488744709554</v>
      </c>
      <c r="AK16" s="5">
        <f>[Div Base]*[Ações]</f>
        <v>415707036.15293616</v>
      </c>
      <c r="AL16" s="5">
        <f>SUMPRODUCT(N([Nome]=Tabela3[[#This Row],[Nome]]),[Div Base]*[Ações])</f>
        <v>609530700.90182471</v>
      </c>
      <c r="AM16" s="5">
        <f>[Patrimônio Líquido]/[Total Ações]</f>
        <v>38.762437978406808</v>
      </c>
      <c r="AN16" s="52">
        <f>MAX(Tabela3[[#This Row],[Cotação 1]:[Cotação 5]])</f>
        <v>43</v>
      </c>
      <c r="AO16" s="53">
        <f>[Cotação]/[VPA]</f>
        <v>1.1093213492906144</v>
      </c>
      <c r="AP16" s="37">
        <f>IF(Tabela3[[#This Row],[Lucro/Ação]]&gt;0,Tabela3[[#This Row],[Cotação]]/(Tabela3[[#This Row],[Lucro/Ação]]/[Ref]*4),0)</f>
        <v>14.610093596468527</v>
      </c>
      <c r="AQ16" s="77">
        <f>[Lucro Distribuir]/[Total Ações]</f>
        <v>2.0970091531381789</v>
      </c>
      <c r="AR16" s="77">
        <f>IF([Unit ON]&gt;0,SUMPRODUCT(N([Nome]=Tabela3[[#This Row],[Nome]]),N(RIGHT([PAPEL],1)="3"),[Div Base])*[Unit ON]+SUMPRODUCT(N([Nome]=Tabela3[[#This Row],[Nome]]),N(RIGHT([PAPEL],1)="4"),[Div Base])*[Unit PN],[Div Base])</f>
        <v>0.55873488744709554</v>
      </c>
      <c r="AS16" s="16" t="str">
        <f>IF(AND([% A.A.]&gt;=6%,SUMPRODUCT(N([Nome]=Tabela3[[#This Row],[Nome]]),[PL])&gt;0,[Rentabilidade s/ PL]&gt;=[Rentabilidade s/ PL Média]),"Sim","Não")</f>
        <v>Não</v>
      </c>
      <c r="AT16" s="22">
        <f>IF([Cotação]&gt;0,Tabela3[[#This Row],[Lucro]]/Tabela3[[#This Row],[Cotação]],0)</f>
        <v>1.2993834591792919E-2</v>
      </c>
      <c r="AU16" s="18">
        <f>((1+Tabela3[[#This Row],[% Yield]])^(1/(3*Tabela3[[#This Row],[Ref]])))^(12)-1</f>
        <v>1.7362524973692839E-2</v>
      </c>
      <c r="AV16" s="10">
        <f>IF([Cotação]&gt;0,($BH$1/Tabela3[[#This Row],[Cotação]]-MOD($BH$1/Tabela3[[#This Row],[Cotação]],100)),)</f>
        <v>0</v>
      </c>
      <c r="AW16" s="7">
        <f>Tabela3[[#This Row],[Ativos]]*[Lucro]</f>
        <v>0</v>
      </c>
      <c r="AX16" s="47">
        <f>SUMPRODUCT(N(Tabela1[Código]=Tabela3[[#This Row],[PAPEL]]),Tabela1[Fechamento])</f>
        <v>0</v>
      </c>
      <c r="AY16" s="54">
        <f>SUMPRODUCT(N(Tabela17[Código]=Tabela3[[#This Row],[PAPEL]]),Tabela17[Fechamento])</f>
        <v>43</v>
      </c>
      <c r="AZ16" s="7">
        <f>SUMPRODUCT(N(Tabela176[Código]=Tabela3[[#This Row],[PAPEL]]),Tabela176[Fechamento])</f>
        <v>0</v>
      </c>
      <c r="BA16" s="7">
        <f>SUMPRODUCT(N(Tabela1768[Código]=Tabela3[[#This Row],[PAPEL]]),Tabela1768[Fechamento])</f>
        <v>0</v>
      </c>
      <c r="BB16" s="7">
        <f>SUMPRODUCT(N(Tabela17683[Código]=Tabela3[[#This Row],[PAPEL]]),Tabela17683[Fechamento])</f>
        <v>0</v>
      </c>
    </row>
    <row r="17" spans="1:54">
      <c r="A17" s="4" t="s">
        <v>26</v>
      </c>
      <c r="B17" s="57" t="s">
        <v>25</v>
      </c>
      <c r="C17" s="82" t="str">
        <f>LEFT([PAPEL],LEN([PAPEL])-(LEN([PAPEL])-4))</f>
        <v>BBSE</v>
      </c>
      <c r="D17" s="15">
        <v>4</v>
      </c>
      <c r="E17" s="6">
        <v>5646767124.9300003</v>
      </c>
      <c r="F17" s="8">
        <v>2000000000</v>
      </c>
      <c r="G17" s="86">
        <v>0.25</v>
      </c>
      <c r="H17" s="15"/>
      <c r="I17" s="19"/>
      <c r="J17" s="19"/>
      <c r="K17" s="88"/>
      <c r="L17" s="88"/>
      <c r="M17" s="55">
        <v>7289465000</v>
      </c>
      <c r="N17" s="55">
        <v>1265436000</v>
      </c>
      <c r="O17" s="55">
        <v>348192000</v>
      </c>
      <c r="P17" s="6">
        <v>6941273000</v>
      </c>
      <c r="Q17" s="6">
        <v>2473752000</v>
      </c>
      <c r="R17" s="6">
        <f>IF(Tabela3[[#This Row],[Ativo || Passivo]]&gt;0,Tabela3[[#This Row],[Ativo || Passivo]]-Tabela3[[#This Row],[Patrimônio Líquido]],0)</f>
        <v>348192000</v>
      </c>
      <c r="S17" s="6">
        <f>Tabela3[[#This Row],[Cotação]]*Tabela3[[#This Row],[Total Ações]]</f>
        <v>46780000000</v>
      </c>
      <c r="T17" s="132">
        <f>IF(Tabela3[[#This Row],[Passivo Circulante]]&gt;0,Tabela3[[#This Row],[Ativo Circulante]]/Tabela3[[#This Row],[Passivo Circulante]],0)</f>
        <v>3.634305210918114</v>
      </c>
      <c r="U17" s="132">
        <f>SUMPRODUCT(N([Liquidez Corrente]&gt;0),N(RIGHT([PAPEL],LEN([PAPEL])-(LEN([PAPEL])-1))="3"),[Liquidez Corrente])/SUMPRODUCT(N([Liquidez Corrente]&gt;0),N(RIGHT([PAPEL],LEN([PAPEL])-(LEN([PAPEL])-1))="3"))</f>
        <v>2.331224473064915</v>
      </c>
      <c r="V17" s="19">
        <f>IF(Tabela3[[#This Row],[Lucro Líquido]]&gt;0,Tabela3[[#This Row],[Lucro Líquido]]/Tabela3[[#This Row],[Patrimônio Líquido]],0)</f>
        <v>0.35638304385953412</v>
      </c>
      <c r="W17" s="19">
        <f>SUMPRODUCT(N([Rentabilidade s/ PL]&gt;0),N(RIGHT([PAPEL],LEN([PAPEL])-(LEN([PAPEL])-1))="3"),[Rentabilidade s/ PL])/SUMPRODUCT(N([Rentabilidade s/ PL]&gt;0),N(RIGHT([PAPEL],LEN([PAPEL])-(LEN([PAPEL])-1))="3"))</f>
        <v>0.1261051308670782</v>
      </c>
      <c r="X17" s="19">
        <f>IF(Tabela3[[#This Row],[Dívida]]&gt;0,Tabela3[[#This Row],[Dívida]]/Tabela3[[#This Row],[Patrimônio Líquido]],0)</f>
        <v>5.0162556637665744E-2</v>
      </c>
      <c r="Y17" s="19">
        <f>SUMPRODUCT(N([Dívida / PL]&gt;0),N(RIGHT([PAPEL],LEN([PAPEL])-(LEN([PAPEL])-1))="3"),[Dívida / PL])/SUMPRODUCT(N([Dívida / PL]&gt;0),N(RIGHT([PAPEL],LEN([PAPEL])-(LEN([PAPEL])-1))="3"))</f>
        <v>2.1510410379481146</v>
      </c>
      <c r="Z17" s="6">
        <f>Tabela3[[#This Row],[Capital Social]]*20%</f>
        <v>1129353424.9860001</v>
      </c>
      <c r="AA17" s="6">
        <f>IF(([Lucro Líquido]*5%)&gt;[Teto R. Legal],[Teto R. Legal],[Lucro Líquido]*5%)</f>
        <v>123687600</v>
      </c>
      <c r="AB17" s="6">
        <f>IF([Lucro Líquido]&lt;0,0,[Lucro Líquido]-[Reserva Legal])</f>
        <v>2350064400</v>
      </c>
      <c r="AC17" s="6">
        <f>Tabela3[[#This Row],[Lucro Distribuir]]*[%Div]</f>
        <v>587516100</v>
      </c>
      <c r="AD17" s="21">
        <f>SUMPRODUCT(N([Nome]=Tabela3[[#This Row],[Nome]]),[Ações])</f>
        <v>2000000000</v>
      </c>
      <c r="AE17" s="6">
        <f>[Capital Social]/[Total Ações]</f>
        <v>2.8233835624650001</v>
      </c>
      <c r="AF17" s="78">
        <f>Tabela3[[#This Row],[Lucro Líquido]]/Tabela3[[#This Row],[Total Ações]]</f>
        <v>1.2368760000000001</v>
      </c>
      <c r="AG17" s="78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0.29375804999999999</v>
      </c>
      <c r="AH17" s="78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17" s="78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17" s="78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0.29375804999999999</v>
      </c>
      <c r="AK17" s="6">
        <f>[Div Base]*[Ações]</f>
        <v>587516100</v>
      </c>
      <c r="AL17" s="6">
        <f>SUMPRODUCT(N([Nome]=Tabela3[[#This Row],[Nome]]),[Div Base]*[Ações])</f>
        <v>587516100</v>
      </c>
      <c r="AM17" s="6">
        <f>[Patrimônio Líquido]/[Total Ações]</f>
        <v>3.4706364999999999</v>
      </c>
      <c r="AN17" s="48">
        <f>MAX(Tabela3[[#This Row],[Cotação 1]:[Cotação 5]])</f>
        <v>23.39</v>
      </c>
      <c r="AO17" s="44">
        <f>[Cotação]/[VPA]</f>
        <v>6.7393978021034471</v>
      </c>
      <c r="AP17" s="40">
        <f>IF(Tabela3[[#This Row],[Lucro/Ação]]&gt;0,Tabela3[[#This Row],[Cotação]]/(Tabela3[[#This Row],[Lucro/Ação]]/[Ref]*4),0)</f>
        <v>18.910545600367378</v>
      </c>
      <c r="AQ17" s="78">
        <f>[Lucro Distribuir]/[Total Ações]</f>
        <v>1.1750322</v>
      </c>
      <c r="AR17" s="78">
        <f>IF([Unit ON]&gt;0,SUMPRODUCT(N([Nome]=Tabela3[[#This Row],[Nome]]),N(RIGHT([PAPEL],1)="3"),[Div Base])*[Unit ON]+SUMPRODUCT(N([Nome]=Tabela3[[#This Row],[Nome]]),N(RIGHT([PAPEL],1)="4"),[Div Base])*[Unit PN],[Div Base])</f>
        <v>0.29375804999999999</v>
      </c>
      <c r="AS17" s="15" t="str">
        <f>IF(AND([% A.A.]&gt;=6%,SUMPRODUCT(N([Nome]=Tabela3[[#This Row],[Nome]]),[PL])&gt;0,[Rentabilidade s/ PL]&gt;=[Rentabilidade s/ PL Média]),"Sim","Não")</f>
        <v>Não</v>
      </c>
      <c r="AT17" s="42">
        <f>IF([Cotação]&gt;0,Tabela3[[#This Row],[Lucro]]/Tabela3[[#This Row],[Cotação]],0)</f>
        <v>1.2559129970072681E-2</v>
      </c>
      <c r="AU17" s="19">
        <f>((1+Tabela3[[#This Row],[% Yield]])^(1/(3*Tabela3[[#This Row],[Ref]])))^(12)-1</f>
        <v>1.2559129970072247E-2</v>
      </c>
      <c r="AV17" s="14">
        <f>IF([Cotação]&gt;0,($BH$1/Tabela3[[#This Row],[Cotação]]-MOD($BH$1/Tabela3[[#This Row],[Cotação]],100)),)</f>
        <v>0</v>
      </c>
      <c r="AW17" s="17">
        <f>Tabela3[[#This Row],[Ativos]]*[Lucro]</f>
        <v>0</v>
      </c>
      <c r="AX17" s="13">
        <f>SUMPRODUCT(N(Tabela1[Código]=Tabela3[[#This Row],[PAPEL]]),Tabela1[Fechamento])</f>
        <v>0</v>
      </c>
      <c r="AY17" s="13">
        <f>SUMPRODUCT(N(Tabela17[Código]=Tabela3[[#This Row],[PAPEL]]),Tabela17[Fechamento])</f>
        <v>23.39</v>
      </c>
      <c r="AZ17" s="7">
        <f>SUMPRODUCT(N(Tabela176[Código]=Tabela3[[#This Row],[PAPEL]]),Tabela176[Fechamento])</f>
        <v>0</v>
      </c>
      <c r="BA17" s="7">
        <f>SUMPRODUCT(N(Tabela1768[Código]=Tabela3[[#This Row],[PAPEL]]),Tabela1768[Fechamento])</f>
        <v>0</v>
      </c>
      <c r="BB17" s="7">
        <f>SUMPRODUCT(N(Tabela17683[Código]=Tabela3[[#This Row],[PAPEL]]),Tabela17683[Fechamento])</f>
        <v>0</v>
      </c>
    </row>
    <row r="18" spans="1:54" hidden="1">
      <c r="A18" s="24" t="s">
        <v>12</v>
      </c>
      <c r="B18" s="57" t="s">
        <v>31</v>
      </c>
      <c r="C18" s="15" t="str">
        <f>LEFT([PAPEL],LEN([PAPEL])-(LEN([PAPEL])-4))</f>
        <v>CMIG</v>
      </c>
      <c r="D18" s="15">
        <v>3</v>
      </c>
      <c r="E18" s="6">
        <v>6294208270</v>
      </c>
      <c r="F18" s="8">
        <v>420764708</v>
      </c>
      <c r="G18" s="81">
        <v>0.5</v>
      </c>
      <c r="H18" s="15"/>
      <c r="I18" s="19">
        <v>0.1</v>
      </c>
      <c r="J18" s="19"/>
      <c r="K18" s="88"/>
      <c r="L18" s="88"/>
      <c r="M18" s="13">
        <v>14835981000</v>
      </c>
      <c r="N18" s="13">
        <v>1941871000</v>
      </c>
      <c r="O18" s="13">
        <v>1243252000</v>
      </c>
      <c r="P18" s="90">
        <v>13197926000</v>
      </c>
      <c r="Q18" s="90">
        <v>2271426000</v>
      </c>
      <c r="R18" s="90">
        <f>IF(Tabela3[[#This Row],[Ativo || Passivo]]&gt;0,Tabela3[[#This Row],[Ativo || Passivo]]-Tabela3[[#This Row],[Patrimônio Líquido]],0)</f>
        <v>1638055000</v>
      </c>
      <c r="S18" s="128">
        <f>Tabela3[[#This Row],[Cotação]]*Tabela3[[#This Row],[Total Ações]]</f>
        <v>16528590917.02</v>
      </c>
      <c r="T18" s="131">
        <f>IF(Tabela3[[#This Row],[Passivo Circulante]]&gt;0,Tabela3[[#This Row],[Ativo Circulante]]/Tabela3[[#This Row],[Passivo Circulante]],0)</f>
        <v>1.5619287159803483</v>
      </c>
      <c r="U18" s="131">
        <f>SUMPRODUCT(N([Liquidez Corrente]&gt;0),N(RIGHT([PAPEL],LEN([PAPEL])-(LEN([PAPEL])-1))="3"),[Liquidez Corrente])/SUMPRODUCT(N([Liquidez Corrente]&gt;0),N(RIGHT([PAPEL],LEN([PAPEL])-(LEN([PAPEL])-1))="3"))</f>
        <v>2.331224473064915</v>
      </c>
      <c r="V18" s="49">
        <f>IF(Tabela3[[#This Row],[Lucro Líquido]]&gt;0,Tabela3[[#This Row],[Lucro Líquido]]/Tabela3[[#This Row],[Patrimônio Líquido]],0)</f>
        <v>0.17210476858257881</v>
      </c>
      <c r="W18" s="49">
        <f>SUMPRODUCT(N([Rentabilidade s/ PL]&gt;0),N(RIGHT([PAPEL],LEN([PAPEL])-(LEN([PAPEL])-1))="3"),[Rentabilidade s/ PL])/SUMPRODUCT(N([Rentabilidade s/ PL]&gt;0),N(RIGHT([PAPEL],LEN([PAPEL])-(LEN([PAPEL])-1))="3"))</f>
        <v>0.1261051308670782</v>
      </c>
      <c r="X18" s="49">
        <f>IF(Tabela3[[#This Row],[Dívida]]&gt;0,Tabela3[[#This Row],[Dívida]]/Tabela3[[#This Row],[Patrimônio Líquido]],0)</f>
        <v>0.12411457679032296</v>
      </c>
      <c r="Y18" s="49">
        <f>SUMPRODUCT(N([Dívida / PL]&gt;0),N(RIGHT([PAPEL],LEN([PAPEL])-(LEN([PAPEL])-1))="3"),[Dívida / PL])/SUMPRODUCT(N([Dívida / PL]&gt;0),N(RIGHT([PAPEL],LEN([PAPEL])-(LEN([PAPEL])-1))="3"))</f>
        <v>2.1510410379481146</v>
      </c>
      <c r="Z18" s="13">
        <f>Tabela3[[#This Row],[Capital Social]]*20%</f>
        <v>1258841654</v>
      </c>
      <c r="AA18" s="13">
        <f>IF(([Lucro Líquido]*5%)&gt;[Teto R. Legal],[Teto R. Legal],[Lucro Líquido]*5%)</f>
        <v>113571300</v>
      </c>
      <c r="AB18" s="89">
        <f>IF([Lucro Líquido]&lt;0,0,[Lucro Líquido]-[Reserva Legal])</f>
        <v>2157854700</v>
      </c>
      <c r="AC18" s="89">
        <f>Tabela3[[#This Row],[Lucro Distribuir]]*[%Div]</f>
        <v>1078927350</v>
      </c>
      <c r="AD18" s="56">
        <f>SUMPRODUCT(N([Nome]=Tabela3[[#This Row],[Nome]]),[Ações])</f>
        <v>1258841654</v>
      </c>
      <c r="AE18" s="6">
        <f>[Capital Social]/[Total Ações]</f>
        <v>5</v>
      </c>
      <c r="AF18" s="78">
        <f>Tabela3[[#This Row],[Lucro Líquido]]/Tabela3[[#This Row],[Total Ações]]</f>
        <v>1.8043778522759304</v>
      </c>
      <c r="AG18" s="78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0.85707947983106703</v>
      </c>
      <c r="AH18" s="78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1.9377356935207946</v>
      </c>
      <c r="AI18" s="78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0.5</v>
      </c>
      <c r="AJ18" s="78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0.85707947983106703</v>
      </c>
      <c r="AK18" s="13">
        <f>[Div Base]*[Ações]</f>
        <v>360628797.06391078</v>
      </c>
      <c r="AL18" s="13">
        <f>SUMPRODUCT(N([Nome]=Tabela3[[#This Row],[Nome]]),[Div Base]*[Ações])</f>
        <v>1078927350</v>
      </c>
      <c r="AM18" s="6">
        <f>[Patrimônio Líquido]/[Total Ações]</f>
        <v>10.484182786662062</v>
      </c>
      <c r="AN18" s="48">
        <f>MAX(Tabela3[[#This Row],[Cotação 1]:[Cotação 5]])</f>
        <v>13.13</v>
      </c>
      <c r="AO18" s="44">
        <f>[Cotação]/[VPA]</f>
        <v>1.2523627513156235</v>
      </c>
      <c r="AP18" s="40">
        <f>IF(Tabela3[[#This Row],[Lucro/Ação]]&gt;0,Tabela3[[#This Row],[Cotação]]/(Tabela3[[#This Row],[Lucro/Ação]]/[Ref]*4),0)</f>
        <v>5.4575597830459817</v>
      </c>
      <c r="AQ18" s="78">
        <f>[Lucro Distribuir]/[Total Ações]</f>
        <v>1.7141589596621341</v>
      </c>
      <c r="AR18" s="78">
        <f>IF([Unit ON]&gt;0,SUMPRODUCT(N([Nome]=Tabela3[[#This Row],[Nome]]),N(RIGHT([PAPEL],1)="3"),[Div Base])*[Unit ON]+SUMPRODUCT(N([Nome]=Tabela3[[#This Row],[Nome]]),N(RIGHT([PAPEL],1)="4"),[Div Base])*[Unit PN],[Div Base])</f>
        <v>0.85707947983106703</v>
      </c>
      <c r="AS18" s="14" t="str">
        <f>IF(AND([% A.A.]&gt;=6%,SUMPRODUCT(N([Nome]=Tabela3[[#This Row],[Nome]]),[PL])&gt;0,[Rentabilidade s/ PL]&gt;=[Rentabilidade s/ PL Média]),"Sim","Não")</f>
        <v>Sim</v>
      </c>
      <c r="AT18" s="42">
        <f>IF([Cotação]&gt;0,Tabela3[[#This Row],[Lucro]]/Tabela3[[#This Row],[Cotação]],0)</f>
        <v>6.5276426491322689E-2</v>
      </c>
      <c r="AU18" s="19">
        <f>((1+Tabela3[[#This Row],[% Yield]])^(1/(3*Tabela3[[#This Row],[Ref]])))^(12)-1</f>
        <v>8.7968752433483788E-2</v>
      </c>
      <c r="AV18" s="14">
        <f>IF([Cotação]&gt;0,($BH$1/Tabela3[[#This Row],[Cotação]]-MOD($BH$1/Tabela3[[#This Row],[Cotação]],100)),)</f>
        <v>0</v>
      </c>
      <c r="AW18" s="17">
        <f>Tabela3[[#This Row],[Ativos]]*[Lucro]</f>
        <v>0</v>
      </c>
      <c r="AX18" s="47">
        <f>SUMPRODUCT(N(Tabela1[Código]=Tabela3[[#This Row],[PAPEL]]),Tabela1[Fechamento])</f>
        <v>13.13</v>
      </c>
      <c r="AY18" s="47">
        <f>SUMPRODUCT(N(Tabela17[Código]=Tabela3[[#This Row],[PAPEL]]),Tabela17[Fechamento])</f>
        <v>0</v>
      </c>
      <c r="AZ18" s="7">
        <f>SUMPRODUCT(N(Tabela176[Código]=Tabela3[[#This Row],[PAPEL]]),Tabela176[Fechamento])</f>
        <v>0</v>
      </c>
      <c r="BA18" s="7">
        <f>SUMPRODUCT(N(Tabela1768[Código]=Tabela3[[#This Row],[PAPEL]]),Tabela1768[Fechamento])</f>
        <v>0</v>
      </c>
      <c r="BB18" s="7">
        <f>SUMPRODUCT(N(Tabela17683[Código]=Tabela3[[#This Row],[PAPEL]]),Tabela17683[Fechamento])</f>
        <v>0</v>
      </c>
    </row>
    <row r="19" spans="1:54" hidden="1">
      <c r="A19" s="24" t="s">
        <v>12</v>
      </c>
      <c r="B19" s="57" t="s">
        <v>30</v>
      </c>
      <c r="C19" s="82" t="str">
        <f>LEFT([PAPEL],LEN([PAPEL])-(LEN([PAPEL])-4))</f>
        <v>CMIG</v>
      </c>
      <c r="D19" s="15">
        <v>3</v>
      </c>
      <c r="E19" s="6">
        <v>6294208270</v>
      </c>
      <c r="F19" s="8">
        <v>838076946</v>
      </c>
      <c r="G19" s="86">
        <v>0.5</v>
      </c>
      <c r="H19" s="19">
        <v>0.03</v>
      </c>
      <c r="I19" s="19">
        <v>0.1</v>
      </c>
      <c r="J19" s="19"/>
      <c r="K19" s="88"/>
      <c r="L19" s="88"/>
      <c r="M19" s="13">
        <v>14835981000</v>
      </c>
      <c r="N19" s="13">
        <v>1941871000</v>
      </c>
      <c r="O19" s="13">
        <v>1243252000</v>
      </c>
      <c r="P19" s="90">
        <v>13197926000</v>
      </c>
      <c r="Q19" s="90">
        <v>2271426000</v>
      </c>
      <c r="R19" s="90">
        <f>IF(Tabela3[[#This Row],[Ativo || Passivo]]&gt;0,Tabela3[[#This Row],[Ativo || Passivo]]-Tabela3[[#This Row],[Patrimônio Líquido]],0)</f>
        <v>1638055000</v>
      </c>
      <c r="S19" s="128">
        <f>Tabela3[[#This Row],[Cotação]]*Tabela3[[#This Row],[Total Ações]]</f>
        <v>16490825667.4</v>
      </c>
      <c r="T19" s="131">
        <f>IF(Tabela3[[#This Row],[Passivo Circulante]]&gt;0,Tabela3[[#This Row],[Ativo Circulante]]/Tabela3[[#This Row],[Passivo Circulante]],0)</f>
        <v>1.5619287159803483</v>
      </c>
      <c r="U19" s="131">
        <f>SUMPRODUCT(N([Liquidez Corrente]&gt;0),N(RIGHT([PAPEL],LEN([PAPEL])-(LEN([PAPEL])-1))="3"),[Liquidez Corrente])/SUMPRODUCT(N([Liquidez Corrente]&gt;0),N(RIGHT([PAPEL],LEN([PAPEL])-(LEN([PAPEL])-1))="3"))</f>
        <v>2.331224473064915</v>
      </c>
      <c r="V19" s="49">
        <f>IF(Tabela3[[#This Row],[Lucro Líquido]]&gt;0,Tabela3[[#This Row],[Lucro Líquido]]/Tabela3[[#This Row],[Patrimônio Líquido]],0)</f>
        <v>0.17210476858257881</v>
      </c>
      <c r="W19" s="49">
        <f>SUMPRODUCT(N([Rentabilidade s/ PL]&gt;0),N(RIGHT([PAPEL],LEN([PAPEL])-(LEN([PAPEL])-1))="3"),[Rentabilidade s/ PL])/SUMPRODUCT(N([Rentabilidade s/ PL]&gt;0),N(RIGHT([PAPEL],LEN([PAPEL])-(LEN([PAPEL])-1))="3"))</f>
        <v>0.1261051308670782</v>
      </c>
      <c r="X19" s="49">
        <f>IF(Tabela3[[#This Row],[Dívida]]&gt;0,Tabela3[[#This Row],[Dívida]]/Tabela3[[#This Row],[Patrimônio Líquido]],0)</f>
        <v>0.12411457679032296</v>
      </c>
      <c r="Y19" s="49">
        <f>SUMPRODUCT(N([Dívida / PL]&gt;0),N(RIGHT([PAPEL],LEN([PAPEL])-(LEN([PAPEL])-1))="3"),[Dívida / PL])/SUMPRODUCT(N([Dívida / PL]&gt;0),N(RIGHT([PAPEL],LEN([PAPEL])-(LEN([PAPEL])-1))="3"))</f>
        <v>2.1510410379481146</v>
      </c>
      <c r="Z19" s="28">
        <f>Tabela3[[#This Row],[Capital Social]]*20%</f>
        <v>1258841654</v>
      </c>
      <c r="AA19" s="28">
        <f>IF(([Lucro Líquido]*5%)&gt;[Teto R. Legal],[Teto R. Legal],[Lucro Líquido]*5%)</f>
        <v>113571300</v>
      </c>
      <c r="AB19" s="90">
        <f>IF([Lucro Líquido]&lt;0,0,[Lucro Líquido]-[Reserva Legal])</f>
        <v>2157854700</v>
      </c>
      <c r="AC19" s="90">
        <f>Tabela3[[#This Row],[Lucro Distribuir]]*[%Div]</f>
        <v>1078927350</v>
      </c>
      <c r="AD19" s="56">
        <f>SUMPRODUCT(N([Nome]=Tabela3[[#This Row],[Nome]]),[Ações])</f>
        <v>1258841654</v>
      </c>
      <c r="AE19" s="28">
        <f>[Capital Social]/[Total Ações]</f>
        <v>5</v>
      </c>
      <c r="AF19" s="79">
        <f>Tabela3[[#This Row],[Lucro Líquido]]/Tabela3[[#This Row],[Total Ações]]</f>
        <v>1.8043778522759304</v>
      </c>
      <c r="AG19" s="79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0.85707947983106703</v>
      </c>
      <c r="AH19" s="79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0.31452548359986188</v>
      </c>
      <c r="AI19" s="79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0.5</v>
      </c>
      <c r="AJ19" s="79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0.85707947983106703</v>
      </c>
      <c r="AK19" s="28">
        <f>[Div Base]*[Ações]</f>
        <v>718298552.93608928</v>
      </c>
      <c r="AL19" s="28">
        <f>SUMPRODUCT(N([Nome]=Tabela3[[#This Row],[Nome]]),[Div Base]*[Ações])</f>
        <v>1078927350</v>
      </c>
      <c r="AM19" s="28">
        <f>[Patrimônio Líquido]/[Total Ações]</f>
        <v>10.484182786662062</v>
      </c>
      <c r="AN19" s="29">
        <f>MAX(Tabela3[[#This Row],[Cotação 1]:[Cotação 5]])</f>
        <v>13.1</v>
      </c>
      <c r="AO19" s="30">
        <f>[Cotação]/[VPA]</f>
        <v>1.249501297961513</v>
      </c>
      <c r="AP19" s="35">
        <f>IF(Tabela3[[#This Row],[Lucro/Ação]]&gt;0,Tabela3[[#This Row],[Cotação]]/(Tabela3[[#This Row],[Lucro/Ação]]/[Ref]*4),0)</f>
        <v>5.4450901110359746</v>
      </c>
      <c r="AQ19" s="78">
        <f>[Lucro Distribuir]/[Total Ações]</f>
        <v>1.7141589596621341</v>
      </c>
      <c r="AR19" s="78">
        <f>IF([Unit ON]&gt;0,SUMPRODUCT(N([Nome]=Tabela3[[#This Row],[Nome]]),N(RIGHT([PAPEL],1)="3"),[Div Base])*[Unit ON]+SUMPRODUCT(N([Nome]=Tabela3[[#This Row],[Nome]]),N(RIGHT([PAPEL],1)="4"),[Div Base])*[Unit PN],[Div Base])</f>
        <v>0.85707947983106703</v>
      </c>
      <c r="AS19" s="25" t="str">
        <f>IF(AND([% A.A.]&gt;=6%,SUMPRODUCT(N([Nome]=Tabela3[[#This Row],[Nome]]),[PL])&gt;0,[Rentabilidade s/ PL]&gt;=[Rentabilidade s/ PL Média]),"Sim","Não")</f>
        <v>Sim</v>
      </c>
      <c r="AT19" s="27">
        <f>IF([Cotação]&gt;0,Tabela3[[#This Row],[Lucro]]/Tabela3[[#This Row],[Cotação]],0)</f>
        <v>6.5425914490921153E-2</v>
      </c>
      <c r="AU19" s="49">
        <f>((1+Tabela3[[#This Row],[% Yield]])^(1/(3*Tabela3[[#This Row],[Ref]])))^(12)-1</f>
        <v>8.8172320348870903E-2</v>
      </c>
      <c r="AV19" s="14">
        <f>IF([Cotação]&gt;0,($BH$1/Tabela3[[#This Row],[Cotação]]-MOD($BH$1/Tabela3[[#This Row],[Cotação]],100)),)</f>
        <v>0</v>
      </c>
      <c r="AW19" s="7">
        <f>Tabela3[[#This Row],[Ativos]]*[Lucro]</f>
        <v>0</v>
      </c>
      <c r="AX19" s="5">
        <f>SUMPRODUCT(N(Tabela1[Código]=Tabela3[[#This Row],[PAPEL]]),Tabela1[Fechamento])</f>
        <v>13.1</v>
      </c>
      <c r="AY19" s="5">
        <f>SUMPRODUCT(N(Tabela17[Código]=Tabela3[[#This Row],[PAPEL]]),Tabela17[Fechamento])</f>
        <v>0</v>
      </c>
      <c r="AZ19" s="7">
        <f>SUMPRODUCT(N(Tabela176[Código]=Tabela3[[#This Row],[PAPEL]]),Tabela176[Fechamento])</f>
        <v>0</v>
      </c>
      <c r="BA19" s="7">
        <f>SUMPRODUCT(N(Tabela1768[Código]=Tabela3[[#This Row],[PAPEL]]),Tabela1768[Fechamento])</f>
        <v>0</v>
      </c>
      <c r="BB19" s="7">
        <f>SUMPRODUCT(N(Tabela17683[Código]=Tabela3[[#This Row],[PAPEL]]),Tabela17683[Fechamento])</f>
        <v>0</v>
      </c>
    </row>
    <row r="20" spans="1:54">
      <c r="A20" s="3" t="s">
        <v>816</v>
      </c>
      <c r="B20" s="58" t="s">
        <v>815</v>
      </c>
      <c r="C20" s="16" t="str">
        <f>LEFT([PAPEL],LEN([PAPEL])-(LEN([PAPEL])-4))</f>
        <v>CRUZ</v>
      </c>
      <c r="D20" s="16">
        <v>4</v>
      </c>
      <c r="E20" s="5">
        <v>854755740.32000005</v>
      </c>
      <c r="F20" s="56">
        <v>1528450500</v>
      </c>
      <c r="G20" s="81">
        <v>0.25</v>
      </c>
      <c r="H20" s="87"/>
      <c r="J20" s="18"/>
      <c r="K20" s="16"/>
      <c r="L20" s="87"/>
      <c r="M20" s="54">
        <v>6386762000</v>
      </c>
      <c r="N20" s="54">
        <v>4562775000</v>
      </c>
      <c r="O20" s="54">
        <v>3281657000</v>
      </c>
      <c r="P20" s="91">
        <v>2440374000</v>
      </c>
      <c r="Q20" s="73">
        <v>1694282000</v>
      </c>
      <c r="R20" s="73">
        <f>IF(Tabela3[[#This Row],[Ativo || Passivo]]&gt;0,Tabela3[[#This Row],[Ativo || Passivo]]-Tabela3[[#This Row],[Patrimônio Líquido]],0)</f>
        <v>3946388000</v>
      </c>
      <c r="S20" s="73">
        <f>Tabela3[[#This Row],[Cotação]]*Tabela3[[#This Row],[Total Ações]]</f>
        <v>31195674705</v>
      </c>
      <c r="T20" s="37">
        <f>IF(Tabela3[[#This Row],[Passivo Circulante]]&gt;0,Tabela3[[#This Row],[Ativo Circulante]]/Tabela3[[#This Row],[Passivo Circulante]],0)</f>
        <v>1.3903875389780225</v>
      </c>
      <c r="U20" s="37">
        <f>SUMPRODUCT(N([Liquidez Corrente]&gt;0),N(RIGHT([PAPEL],LEN([PAPEL])-(LEN([PAPEL])-1))="3"),[Liquidez Corrente])/SUMPRODUCT(N([Liquidez Corrente]&gt;0),N(RIGHT([PAPEL],LEN([PAPEL])-(LEN([PAPEL])-1))="3"))</f>
        <v>2.331224473064915</v>
      </c>
      <c r="V20" s="18">
        <f>IF(Tabela3[[#This Row],[Lucro Líquido]]&gt;0,Tabela3[[#This Row],[Lucro Líquido]]/Tabela3[[#This Row],[Patrimônio Líquido]],0)</f>
        <v>0.69427145183484174</v>
      </c>
      <c r="W20" s="18">
        <f>SUMPRODUCT(N([Rentabilidade s/ PL]&gt;0),N(RIGHT([PAPEL],LEN([PAPEL])-(LEN([PAPEL])-1))="3"),[Rentabilidade s/ PL])/SUMPRODUCT(N([Rentabilidade s/ PL]&gt;0),N(RIGHT([PAPEL],LEN([PAPEL])-(LEN([PAPEL])-1))="3"))</f>
        <v>0.1261051308670782</v>
      </c>
      <c r="X20" s="18">
        <f>IF(Tabela3[[#This Row],[Dívida]]&gt;0,Tabela3[[#This Row],[Dívida]]/Tabela3[[#This Row],[Patrimônio Líquido]],0)</f>
        <v>1.6171242604617162</v>
      </c>
      <c r="Y20" s="18">
        <f>SUMPRODUCT(N([Dívida / PL]&gt;0),N(RIGHT([PAPEL],LEN([PAPEL])-(LEN([PAPEL])-1))="3"),[Dívida / PL])/SUMPRODUCT(N([Dívida / PL]&gt;0),N(RIGHT([PAPEL],LEN([PAPEL])-(LEN([PAPEL])-1))="3"))</f>
        <v>2.1510410379481146</v>
      </c>
      <c r="Z20" s="7">
        <f>Tabela3[[#This Row],[Capital Social]]*20%</f>
        <v>170951148.06400001</v>
      </c>
      <c r="AA20" s="47">
        <f>IF(([Lucro Líquido]*5%)&gt;[Teto R. Legal],[Teto R. Legal],[Lucro Líquido]*5%)</f>
        <v>84714100</v>
      </c>
      <c r="AB20" s="47">
        <f>IF([Lucro Líquido]&lt;0,0,[Lucro Líquido]-[Reserva Legal])</f>
        <v>1609567900</v>
      </c>
      <c r="AC20" s="47">
        <f>Tabela3[[#This Row],[Lucro Distribuir]]*[%Div]</f>
        <v>402391975</v>
      </c>
      <c r="AD20" s="56">
        <f>SUMPRODUCT(N([Nome]=Tabela3[[#This Row],[Nome]]),[Ações])</f>
        <v>1528450500</v>
      </c>
      <c r="AE20" s="85">
        <f>[Capital Social]/[Total Ações]</f>
        <v>0.55923024024657653</v>
      </c>
      <c r="AF20" s="85">
        <f>Tabela3[[#This Row],[Lucro Líquido]]/Tabela3[[#This Row],[Total Ações]]</f>
        <v>1.1084964805860575</v>
      </c>
      <c r="AG20" s="85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0.26326791413918865</v>
      </c>
      <c r="AH20" s="85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20" s="77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20" s="85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0.26326791413918865</v>
      </c>
      <c r="AK20" s="7">
        <f>[Div Base]*[Ações]</f>
        <v>402391974.99999994</v>
      </c>
      <c r="AL20" s="7">
        <f>SUMPRODUCT(N([Nome]=Tabela3[[#This Row],[Nome]]),[Div Base]*[Ações])</f>
        <v>402391974.99999994</v>
      </c>
      <c r="AM20" s="5">
        <f>[Patrimônio Líquido]/[Total Ações]</f>
        <v>1.5966326681825811</v>
      </c>
      <c r="AN20" s="52">
        <f>MAX(Tabela3[[#This Row],[Cotação 1]:[Cotação 5]])</f>
        <v>20.41</v>
      </c>
      <c r="AO20" s="53">
        <f>[Cotação]/[VPA]</f>
        <v>12.783153199058832</v>
      </c>
      <c r="AP20" s="37">
        <f>IF(Tabela3[[#This Row],[Lucro/Ação]]&gt;0,Tabela3[[#This Row],[Cotação]]/(Tabela3[[#This Row],[Lucro/Ação]]/[Ref]*4),0)</f>
        <v>18.412327289671968</v>
      </c>
      <c r="AQ20" s="85">
        <f>[Lucro Distribuir]/[Total Ações]</f>
        <v>1.0530716565567546</v>
      </c>
      <c r="AR20" s="85">
        <f>IF([Unit ON]&gt;0,SUMPRODUCT(N([Nome]=Tabela3[[#This Row],[Nome]]),N(RIGHT([PAPEL],1)="3"),[Div Base])*[Unit ON]+SUMPRODUCT(N([Nome]=Tabela3[[#This Row],[Nome]]),N(RIGHT([PAPEL],1)="4"),[Div Base])*[Unit PN],[Div Base])</f>
        <v>0.26326791413918865</v>
      </c>
      <c r="AS20" s="10" t="str">
        <f>IF(AND([% A.A.]&gt;=6%,SUMPRODUCT(N([Nome]=Tabela3[[#This Row],[Nome]]),[PL])&gt;0,[Rentabilidade s/ PL]&gt;=[Rentabilidade s/ PL Média]),"Sim","Não")</f>
        <v>Não</v>
      </c>
      <c r="AT20" s="22">
        <f>IF([Cotação]&gt;0,Tabela3[[#This Row],[Lucro]]/Tabela3[[#This Row],[Cotação]],0)</f>
        <v>1.2898966885800521E-2</v>
      </c>
      <c r="AU20" s="22">
        <f>((1+Tabela3[[#This Row],[% Yield]])^(1/(3*Tabela3[[#This Row],[Ref]])))^(12)-1</f>
        <v>1.2898966885799945E-2</v>
      </c>
      <c r="AV20" s="10">
        <f>IF([Cotação]&gt;0,($BH$1/Tabela3[[#This Row],[Cotação]]-MOD($BH$1/Tabela3[[#This Row],[Cotação]],100)),)</f>
        <v>0</v>
      </c>
      <c r="AW20" s="7">
        <f>Tabela3[[#This Row],[Ativos]]*[Lucro]</f>
        <v>0</v>
      </c>
      <c r="AX20" s="7">
        <f>SUMPRODUCT(N(Tabela1[Código]=Tabela3[[#This Row],[PAPEL]]),Tabela1[Fechamento])</f>
        <v>0</v>
      </c>
      <c r="AY20" s="7">
        <f>SUMPRODUCT(N(Tabela17[Código]=Tabela3[[#This Row],[PAPEL]]),Tabela17[Fechamento])</f>
        <v>0</v>
      </c>
      <c r="AZ20" s="7">
        <f>SUMPRODUCT(N(Tabela176[Código]=Tabela3[[#This Row],[PAPEL]]),Tabela176[Fechamento])</f>
        <v>20.41</v>
      </c>
      <c r="BA20" s="7">
        <f>SUMPRODUCT(N(Tabela1768[Código]=Tabela3[[#This Row],[PAPEL]]),Tabela1768[Fechamento])</f>
        <v>0</v>
      </c>
      <c r="BB20" s="7">
        <f>SUMPRODUCT(N(Tabela17683[Código]=Tabela3[[#This Row],[PAPEL]]),Tabela17683[Fechamento])</f>
        <v>0</v>
      </c>
    </row>
    <row r="21" spans="1:54">
      <c r="A21" s="4" t="s">
        <v>14</v>
      </c>
      <c r="B21" s="57" t="s">
        <v>568</v>
      </c>
      <c r="C21" s="15" t="str">
        <f>LEFT([PAPEL],LEN([PAPEL])-(LEN([PAPEL])-4))</f>
        <v>SANB</v>
      </c>
      <c r="D21" s="15">
        <v>4</v>
      </c>
      <c r="E21" s="6">
        <v>62828201614.209999</v>
      </c>
      <c r="F21" s="8">
        <v>212841731754</v>
      </c>
      <c r="G21" s="86">
        <v>0.25</v>
      </c>
      <c r="H21" s="15"/>
      <c r="I21" s="19"/>
      <c r="J21" s="19"/>
      <c r="K21" s="88"/>
      <c r="L21" s="88"/>
      <c r="M21" s="55"/>
      <c r="N21" s="55"/>
      <c r="O21" s="55"/>
      <c r="P21" s="92">
        <v>62825353000</v>
      </c>
      <c r="Q21" s="93">
        <v>1625558000</v>
      </c>
      <c r="R21" s="93">
        <f>IF(Tabela3[[#This Row],[Ativo || Passivo]]&gt;0,Tabela3[[#This Row],[Ativo || Passivo]]-Tabela3[[#This Row],[Patrimônio Líquido]],0)</f>
        <v>0</v>
      </c>
      <c r="S21" s="93">
        <f>Tabela3[[#This Row],[Cotação]]*Tabela3[[#This Row],[Total Ações]]</f>
        <v>43894852859.550003</v>
      </c>
      <c r="T21" s="40">
        <f>IF(Tabela3[[#This Row],[Passivo Circulante]]&gt;0,Tabela3[[#This Row],[Ativo Circulante]]/Tabela3[[#This Row],[Passivo Circulante]],0)</f>
        <v>0</v>
      </c>
      <c r="U21" s="40">
        <f>SUMPRODUCT(N([Liquidez Corrente]&gt;0),N(RIGHT([PAPEL],LEN([PAPEL])-(LEN([PAPEL])-1))="3"),[Liquidez Corrente])/SUMPRODUCT(N([Liquidez Corrente]&gt;0),N(RIGHT([PAPEL],LEN([PAPEL])-(LEN([PAPEL])-1))="3"))</f>
        <v>2.331224473064915</v>
      </c>
      <c r="V21" s="19">
        <f>IF(Tabela3[[#This Row],[Lucro Líquido]]&gt;0,Tabela3[[#This Row],[Lucro Líquido]]/Tabela3[[#This Row],[Patrimônio Líquido]],0)</f>
        <v>2.587423583596896E-2</v>
      </c>
      <c r="W21" s="19">
        <f>SUMPRODUCT(N([Rentabilidade s/ PL]&gt;0),N(RIGHT([PAPEL],LEN([PAPEL])-(LEN([PAPEL])-1))="3"),[Rentabilidade s/ PL])/SUMPRODUCT(N([Rentabilidade s/ PL]&gt;0),N(RIGHT([PAPEL],LEN([PAPEL])-(LEN([PAPEL])-1))="3"))</f>
        <v>0.1261051308670782</v>
      </c>
      <c r="X21" s="19">
        <f>IF(Tabela3[[#This Row],[Dívida]]&gt;0,Tabela3[[#This Row],[Dívida]]/Tabela3[[#This Row],[Patrimônio Líquido]],0)</f>
        <v>0</v>
      </c>
      <c r="Y21" s="19">
        <f>SUMPRODUCT(N([Dívida / PL]&gt;0),N(RIGHT([PAPEL],LEN([PAPEL])-(LEN([PAPEL])-1))="3"),[Dívida / PL])/SUMPRODUCT(N([Dívida / PL]&gt;0),N(RIGHT([PAPEL],LEN([PAPEL])-(LEN([PAPEL])-1))="3"))</f>
        <v>2.1510410379481146</v>
      </c>
      <c r="Z21" s="13">
        <f>Tabela3[[#This Row],[Capital Social]]*20%</f>
        <v>12565640322.842001</v>
      </c>
      <c r="AA21" s="13">
        <f>IF(([Lucro Líquido]*5%)&gt;[Teto R. Legal],[Teto R. Legal],[Lucro Líquido]*5%)</f>
        <v>81277900</v>
      </c>
      <c r="AB21" s="13">
        <f>IF([Lucro Líquido]&lt;0,0,[Lucro Líquido]-[Reserva Legal])</f>
        <v>1544280100</v>
      </c>
      <c r="AC21" s="13">
        <f>Tabela3[[#This Row],[Lucro Distribuir]]*[%Div]</f>
        <v>386070025</v>
      </c>
      <c r="AD21" s="56">
        <f>SUMPRODUCT(N([Nome]=Tabela3[[#This Row],[Nome]]),[Ações])</f>
        <v>399044116905</v>
      </c>
      <c r="AE21" s="6">
        <f>[Capital Social]/[Total Ações]</f>
        <v>0.15744675576602335</v>
      </c>
      <c r="AF21" s="78">
        <f>Tabela3[[#This Row],[Lucro Líquido]]/Tabela3[[#This Row],[Total Ações]]</f>
        <v>4.0736297846160072E-3</v>
      </c>
      <c r="AG21" s="78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9.3738487201259634E-4</v>
      </c>
      <c r="AH21" s="78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21" s="78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21" s="78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9.3738487201259634E-4</v>
      </c>
      <c r="AK21" s="13">
        <f>[Div Base]*[Ações]</f>
        <v>199514619.47916266</v>
      </c>
      <c r="AL21" s="13">
        <f>SUMPRODUCT(N([Nome]=Tabela3[[#This Row],[Nome]]),[Div Base]*[Ações])</f>
        <v>391512248.61271071</v>
      </c>
      <c r="AM21" s="6">
        <f>[Patrimônio Líquido]/[Total Ações]</f>
        <v>0.15743961717134339</v>
      </c>
      <c r="AN21" s="48">
        <f>MAX(Tabela3[[#This Row],[Cotação 1]:[Cotação 5]])</f>
        <v>0.11</v>
      </c>
      <c r="AO21" s="44">
        <f>[Cotação]/[VPA]</f>
        <v>0.69868056068940831</v>
      </c>
      <c r="AP21" s="40">
        <f>IF(Tabela3[[#This Row],[Lucro/Ação]]&gt;0,Tabela3[[#This Row],[Cotação]]/(Tabela3[[#This Row],[Lucro/Ação]]/[Ref]*4),0)</f>
        <v>27.002944748541733</v>
      </c>
      <c r="AQ21" s="78">
        <f>[Lucro Distribuir]/[Total Ações]</f>
        <v>3.869948295385207E-3</v>
      </c>
      <c r="AR21" s="78">
        <f>IF([Unit ON]&gt;0,SUMPRODUCT(N([Nome]=Tabela3[[#This Row],[Nome]]),N(RIGHT([PAPEL],1)="3"),[Div Base])*[Unit ON]+SUMPRODUCT(N([Nome]=Tabela3[[#This Row],[Nome]]),N(RIGHT([PAPEL],1)="4"),[Div Base])*[Unit PN],[Div Base])</f>
        <v>9.3738487201259634E-4</v>
      </c>
      <c r="AS21" s="14" t="str">
        <f>IF(AND([% A.A.]&gt;=6%,SUMPRODUCT(N([Nome]=Tabela3[[#This Row],[Nome]]),[PL])&gt;0,[Rentabilidade s/ PL]&gt;=[Rentabilidade s/ PL Média]),"Sim","Não")</f>
        <v>Não</v>
      </c>
      <c r="AT21" s="42">
        <f>IF([Cotação]&gt;0,Tabela3[[#This Row],[Lucro]]/Tabela3[[#This Row],[Cotação]],0)</f>
        <v>8.5216806546599671E-3</v>
      </c>
      <c r="AU21" s="42">
        <f>((1+Tabela3[[#This Row],[% Yield]])^(1/(3*Tabela3[[#This Row],[Ref]])))^(12)-1</f>
        <v>8.5216806546599688E-3</v>
      </c>
      <c r="AV21" s="14">
        <f>IF([Cotação]&gt;0,($BH$1/Tabela3[[#This Row],[Cotação]]-MOD($BH$1/Tabela3[[#This Row],[Cotação]],100)),)</f>
        <v>4500</v>
      </c>
      <c r="AW21" s="17">
        <f>Tabela3[[#This Row],[Ativos]]*[Lucro]</f>
        <v>4.2182319240566839</v>
      </c>
      <c r="AX21" s="17">
        <f>SUMPRODUCT(N(Tabela1[Código]=Tabela3[[#This Row],[PAPEL]]),Tabela1[Fechamento])</f>
        <v>0</v>
      </c>
      <c r="AY21" s="17">
        <f>SUMPRODUCT(N(Tabela17[Código]=Tabela3[[#This Row],[PAPEL]]),Tabela17[Fechamento])</f>
        <v>0</v>
      </c>
      <c r="AZ21" s="17">
        <f>SUMPRODUCT(N(Tabela176[Código]=Tabela3[[#This Row],[PAPEL]]),Tabela176[Fechamento])</f>
        <v>0.11</v>
      </c>
      <c r="BA21" s="17">
        <f>SUMPRODUCT(N(Tabela1768[Código]=Tabela3[[#This Row],[PAPEL]]),Tabela1768[Fechamento])</f>
        <v>0</v>
      </c>
      <c r="BB21" s="7">
        <f>SUMPRODUCT(N(Tabela17683[Código]=Tabela3[[#This Row],[PAPEL]]),Tabela17683[Fechamento])</f>
        <v>0</v>
      </c>
    </row>
    <row r="22" spans="1:54">
      <c r="A22" s="4" t="s">
        <v>14</v>
      </c>
      <c r="B22" s="57" t="s">
        <v>569</v>
      </c>
      <c r="C22" s="15" t="str">
        <f>LEFT([PAPEL],LEN([PAPEL])-(LEN([PAPEL])-4))</f>
        <v>SANB</v>
      </c>
      <c r="D22" s="15">
        <v>4</v>
      </c>
      <c r="E22" s="6">
        <v>62828201614.209999</v>
      </c>
      <c r="F22" s="8">
        <v>186202385151</v>
      </c>
      <c r="G22" s="86">
        <v>0.25</v>
      </c>
      <c r="H22" s="15"/>
      <c r="I22" s="19"/>
      <c r="J22" s="19">
        <v>0.1</v>
      </c>
      <c r="K22" s="88"/>
      <c r="L22" s="88"/>
      <c r="M22" s="55"/>
      <c r="N22" s="55"/>
      <c r="O22" s="55"/>
      <c r="P22" s="92">
        <v>62825353000</v>
      </c>
      <c r="Q22" s="93">
        <v>1625558000</v>
      </c>
      <c r="R22" s="93">
        <f>IF(Tabela3[[#This Row],[Ativo || Passivo]]&gt;0,Tabela3[[#This Row],[Ativo || Passivo]]-Tabela3[[#This Row],[Patrimônio Líquido]],0)</f>
        <v>0</v>
      </c>
      <c r="S22" s="93">
        <f>Tabela3[[#This Row],[Cotação]]*Tabela3[[#This Row],[Total Ações]]</f>
        <v>43894852859.550003</v>
      </c>
      <c r="T22" s="40">
        <f>IF(Tabela3[[#This Row],[Passivo Circulante]]&gt;0,Tabela3[[#This Row],[Ativo Circulante]]/Tabela3[[#This Row],[Passivo Circulante]],0)</f>
        <v>0</v>
      </c>
      <c r="U22" s="40">
        <f>SUMPRODUCT(N([Liquidez Corrente]&gt;0),N(RIGHT([PAPEL],LEN([PAPEL])-(LEN([PAPEL])-1))="3"),[Liquidez Corrente])/SUMPRODUCT(N([Liquidez Corrente]&gt;0),N(RIGHT([PAPEL],LEN([PAPEL])-(LEN([PAPEL])-1))="3"))</f>
        <v>2.331224473064915</v>
      </c>
      <c r="V22" s="19">
        <f>IF(Tabela3[[#This Row],[Lucro Líquido]]&gt;0,Tabela3[[#This Row],[Lucro Líquido]]/Tabela3[[#This Row],[Patrimônio Líquido]],0)</f>
        <v>2.587423583596896E-2</v>
      </c>
      <c r="W22" s="19">
        <f>SUMPRODUCT(N([Rentabilidade s/ PL]&gt;0),N(RIGHT([PAPEL],LEN([PAPEL])-(LEN([PAPEL])-1))="3"),[Rentabilidade s/ PL])/SUMPRODUCT(N([Rentabilidade s/ PL]&gt;0),N(RIGHT([PAPEL],LEN([PAPEL])-(LEN([PAPEL])-1))="3"))</f>
        <v>0.1261051308670782</v>
      </c>
      <c r="X22" s="19">
        <f>IF(Tabela3[[#This Row],[Dívida]]&gt;0,Tabela3[[#This Row],[Dívida]]/Tabela3[[#This Row],[Patrimônio Líquido]],0)</f>
        <v>0</v>
      </c>
      <c r="Y22" s="19">
        <f>SUMPRODUCT(N([Dívida / PL]&gt;0),N(RIGHT([PAPEL],LEN([PAPEL])-(LEN([PAPEL])-1))="3"),[Dívida / PL])/SUMPRODUCT(N([Dívida / PL]&gt;0),N(RIGHT([PAPEL],LEN([PAPEL])-(LEN([PAPEL])-1))="3"))</f>
        <v>2.1510410379481146</v>
      </c>
      <c r="Z22" s="13">
        <f>Tabela3[[#This Row],[Capital Social]]*20%</f>
        <v>12565640322.842001</v>
      </c>
      <c r="AA22" s="13">
        <f>IF(([Lucro Líquido]*5%)&gt;[Teto R. Legal],[Teto R. Legal],[Lucro Líquido]*5%)</f>
        <v>81277900</v>
      </c>
      <c r="AB22" s="13">
        <f>IF([Lucro Líquido]&lt;0,0,[Lucro Líquido]-[Reserva Legal])</f>
        <v>1544280100</v>
      </c>
      <c r="AC22" s="13">
        <f>Tabela3[[#This Row],[Lucro Distribuir]]*[%Div]</f>
        <v>386070025</v>
      </c>
      <c r="AD22" s="56">
        <f>SUMPRODUCT(N([Nome]=Tabela3[[#This Row],[Nome]]),[Ações])</f>
        <v>399044116905</v>
      </c>
      <c r="AE22" s="6">
        <f>[Capital Social]/[Total Ações]</f>
        <v>0.15744675576602335</v>
      </c>
      <c r="AF22" s="78">
        <f>Tabela3[[#This Row],[Lucro Líquido]]/Tabela3[[#This Row],[Total Ações]]</f>
        <v>4.0736297846160072E-3</v>
      </c>
      <c r="AG22" s="78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1.0311233606263872E-3</v>
      </c>
      <c r="AH22" s="78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22" s="78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22" s="78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1.0311233606263872E-3</v>
      </c>
      <c r="AK22" s="13">
        <f>[Div Base]*[Ações]</f>
        <v>191997629.13354802</v>
      </c>
      <c r="AL22" s="13">
        <f>SUMPRODUCT(N([Nome]=Tabela3[[#This Row],[Nome]]),[Div Base]*[Ações])</f>
        <v>391512248.61271071</v>
      </c>
      <c r="AM22" s="6">
        <f>[Patrimônio Líquido]/[Total Ações]</f>
        <v>0.15743961717134339</v>
      </c>
      <c r="AN22" s="48">
        <f>MAX(Tabela3[[#This Row],[Cotação 1]:[Cotação 5]])</f>
        <v>0.11</v>
      </c>
      <c r="AO22" s="44">
        <f>[Cotação]/[VPA]</f>
        <v>0.69868056068940831</v>
      </c>
      <c r="AP22" s="40">
        <f>IF(Tabela3[[#This Row],[Lucro/Ação]]&gt;0,Tabela3[[#This Row],[Cotação]]/(Tabela3[[#This Row],[Lucro/Ação]]/[Ref]*4),0)</f>
        <v>27.002944748541733</v>
      </c>
      <c r="AQ22" s="78">
        <f>[Lucro Distribuir]/[Total Ações]</f>
        <v>3.869948295385207E-3</v>
      </c>
      <c r="AR22" s="78">
        <f>IF([Unit ON]&gt;0,SUMPRODUCT(N([Nome]=Tabela3[[#This Row],[Nome]]),N(RIGHT([PAPEL],1)="3"),[Div Base])*[Unit ON]+SUMPRODUCT(N([Nome]=Tabela3[[#This Row],[Nome]]),N(RIGHT([PAPEL],1)="4"),[Div Base])*[Unit PN],[Div Base])</f>
        <v>1.0311233606263872E-3</v>
      </c>
      <c r="AS22" s="14" t="str">
        <f>IF(AND([% A.A.]&gt;=6%,SUMPRODUCT(N([Nome]=Tabela3[[#This Row],[Nome]]),[PL])&gt;0,[Rentabilidade s/ PL]&gt;=[Rentabilidade s/ PL Média]),"Sim","Não")</f>
        <v>Não</v>
      </c>
      <c r="AT22" s="42">
        <f>IF([Cotação]&gt;0,Tabela3[[#This Row],[Lucro]]/Tabela3[[#This Row],[Cotação]],0)</f>
        <v>9.3738487329671563E-3</v>
      </c>
      <c r="AU22" s="42">
        <f>((1+Tabela3[[#This Row],[% Yield]])^(1/(3*Tabela3[[#This Row],[Ref]])))^(12)-1</f>
        <v>9.373848732967538E-3</v>
      </c>
      <c r="AV22" s="14">
        <f>IF([Cotação]&gt;0,($BH$1/Tabela3[[#This Row],[Cotação]]-MOD($BH$1/Tabela3[[#This Row],[Cotação]],100)),)</f>
        <v>4500</v>
      </c>
      <c r="AW22" s="17">
        <f>Tabela3[[#This Row],[Ativos]]*[Lucro]</f>
        <v>4.6400551228187421</v>
      </c>
      <c r="AX22" s="17">
        <f>SUMPRODUCT(N(Tabela1[Código]=Tabela3[[#This Row],[PAPEL]]),Tabela1[Fechamento])</f>
        <v>0</v>
      </c>
      <c r="AY22" s="17">
        <f>SUMPRODUCT(N(Tabela17[Código]=Tabela3[[#This Row],[PAPEL]]),Tabela17[Fechamento])</f>
        <v>0</v>
      </c>
      <c r="AZ22" s="17">
        <f>SUMPRODUCT(N(Tabela176[Código]=Tabela3[[#This Row],[PAPEL]]),Tabela176[Fechamento])</f>
        <v>0.11</v>
      </c>
      <c r="BA22" s="17">
        <f>SUMPRODUCT(N(Tabela1768[Código]=Tabela3[[#This Row],[PAPEL]]),Tabela1768[Fechamento])</f>
        <v>0</v>
      </c>
      <c r="BB22" s="7">
        <f>SUMPRODUCT(N(Tabela17683[Código]=Tabela3[[#This Row],[PAPEL]]),Tabela17683[Fechamento])</f>
        <v>0</v>
      </c>
    </row>
    <row r="23" spans="1:54">
      <c r="A23" s="3" t="s">
        <v>285</v>
      </c>
      <c r="B23" s="58" t="s">
        <v>284</v>
      </c>
      <c r="C23" s="83" t="str">
        <f>LEFT([PAPEL],LEN([PAPEL])-(LEN([PAPEL])-4))</f>
        <v>TIMP</v>
      </c>
      <c r="D23" s="16">
        <v>4</v>
      </c>
      <c r="E23" s="5">
        <v>9886886593.4599991</v>
      </c>
      <c r="F23" s="56">
        <v>2417632647</v>
      </c>
      <c r="G23" s="86">
        <v>0.25</v>
      </c>
      <c r="H23" s="18"/>
      <c r="J23" s="18"/>
      <c r="K23" s="87"/>
      <c r="L23" s="87"/>
      <c r="M23" s="54"/>
      <c r="N23" s="54"/>
      <c r="O23" s="54"/>
      <c r="P23" s="5">
        <v>14594640000</v>
      </c>
      <c r="Q23" s="5">
        <v>1505614000</v>
      </c>
      <c r="R23" s="5">
        <f>IF(Tabela3[[#This Row],[Ativo || Passivo]]&gt;0,Tabela3[[#This Row],[Ativo || Passivo]]-Tabela3[[#This Row],[Patrimônio Líquido]],0)</f>
        <v>0</v>
      </c>
      <c r="S23" s="5">
        <f>Tabela3[[#This Row],[Cotação]]*Tabela3[[#This Row],[Total Ações]]</f>
        <v>28890710131.649998</v>
      </c>
      <c r="T23" s="130">
        <f>IF(Tabela3[[#This Row],[Passivo Circulante]]&gt;0,Tabela3[[#This Row],[Ativo Circulante]]/Tabela3[[#This Row],[Passivo Circulante]],0)</f>
        <v>0</v>
      </c>
      <c r="U23" s="130">
        <f>SUMPRODUCT(N([Liquidez Corrente]&gt;0),N(RIGHT([PAPEL],LEN([PAPEL])-(LEN([PAPEL])-1))="3"),[Liquidez Corrente])/SUMPRODUCT(N([Liquidez Corrente]&gt;0),N(RIGHT([PAPEL],LEN([PAPEL])-(LEN([PAPEL])-1))="3"))</f>
        <v>2.331224473064915</v>
      </c>
      <c r="V23" s="18">
        <f>IF(Tabela3[[#This Row],[Lucro Líquido]]&gt;0,Tabela3[[#This Row],[Lucro Líquido]]/Tabela3[[#This Row],[Patrimônio Líquido]],0)</f>
        <v>0.10316211979192361</v>
      </c>
      <c r="W23" s="18">
        <f>SUMPRODUCT(N([Rentabilidade s/ PL]&gt;0),N(RIGHT([PAPEL],LEN([PAPEL])-(LEN([PAPEL])-1))="3"),[Rentabilidade s/ PL])/SUMPRODUCT(N([Rentabilidade s/ PL]&gt;0),N(RIGHT([PAPEL],LEN([PAPEL])-(LEN([PAPEL])-1))="3"))</f>
        <v>0.1261051308670782</v>
      </c>
      <c r="X23" s="18">
        <f>IF(Tabela3[[#This Row],[Dívida]]&gt;0,Tabela3[[#This Row],[Dívida]]/Tabela3[[#This Row],[Patrimônio Líquido]],0)</f>
        <v>0</v>
      </c>
      <c r="Y23" s="18">
        <f>SUMPRODUCT(N([Dívida / PL]&gt;0),N(RIGHT([PAPEL],LEN([PAPEL])-(LEN([PAPEL])-1))="3"),[Dívida / PL])/SUMPRODUCT(N([Dívida / PL]&gt;0),N(RIGHT([PAPEL],LEN([PAPEL])-(LEN([PAPEL])-1))="3"))</f>
        <v>2.1510410379481146</v>
      </c>
      <c r="Z23" s="5">
        <f>Tabela3[[#This Row],[Capital Social]]*20%</f>
        <v>1977377318.6919999</v>
      </c>
      <c r="AA23" s="5">
        <f>IF(([Lucro Líquido]*5%)&gt;[Teto R. Legal],[Teto R. Legal],[Lucro Líquido]*5%)</f>
        <v>75280700</v>
      </c>
      <c r="AB23" s="5">
        <f>IF([Lucro Líquido]&lt;0,0,[Lucro Líquido]-[Reserva Legal])</f>
        <v>1430333300</v>
      </c>
      <c r="AC23" s="5">
        <f>Tabela3[[#This Row],[Lucro Distribuir]]*[%Div]</f>
        <v>357583325</v>
      </c>
      <c r="AD23" s="56">
        <f>SUMPRODUCT(N([Nome]=Tabela3[[#This Row],[Nome]]),[Ações])</f>
        <v>2417632647</v>
      </c>
      <c r="AE23" s="5">
        <f>[Capital Social]/[Total Ações]</f>
        <v>4.089490852023558</v>
      </c>
      <c r="AF23" s="77">
        <f>Tabela3[[#This Row],[Lucro Líquido]]/Tabela3[[#This Row],[Total Ações]]</f>
        <v>0.62276376101567432</v>
      </c>
      <c r="AG23" s="77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0.14790639324122265</v>
      </c>
      <c r="AH23" s="77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23" s="77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23" s="77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0.14790639324122265</v>
      </c>
      <c r="AK23" s="5">
        <f>[Div Base]*[Ações]</f>
        <v>357583325</v>
      </c>
      <c r="AL23" s="5">
        <f>SUMPRODUCT(N([Nome]=Tabela3[[#This Row],[Nome]]),[Div Base]*[Ações])</f>
        <v>357583325</v>
      </c>
      <c r="AM23" s="5">
        <f>[Patrimônio Líquido]/[Total Ações]</f>
        <v>6.0367483943891331</v>
      </c>
      <c r="AN23" s="52">
        <f>MAX(Tabela3[[#This Row],[Cotação 1]:[Cotação 5]])</f>
        <v>11.95</v>
      </c>
      <c r="AO23" s="53">
        <f>[Cotação]/[VPA]</f>
        <v>1.9795424985919488</v>
      </c>
      <c r="AP23" s="37">
        <f>IF(Tabela3[[#This Row],[Lucro/Ação]]&gt;0,Tabela3[[#This Row],[Cotação]]/(Tabela3[[#This Row],[Lucro/Ação]]/[Ref]*4),0)</f>
        <v>19.18865667538293</v>
      </c>
      <c r="AQ23" s="77">
        <f>[Lucro Distribuir]/[Total Ações]</f>
        <v>0.5916255729648906</v>
      </c>
      <c r="AR23" s="77">
        <f>IF([Unit ON]&gt;0,SUMPRODUCT(N([Nome]=Tabela3[[#This Row],[Nome]]),N(RIGHT([PAPEL],1)="3"),[Div Base])*[Unit ON]+SUMPRODUCT(N([Nome]=Tabela3[[#This Row],[Nome]]),N(RIGHT([PAPEL],1)="4"),[Div Base])*[Unit PN],[Div Base])</f>
        <v>0.14790639324122265</v>
      </c>
      <c r="AS23" s="16" t="str">
        <f>IF(AND([% A.A.]&gt;=6%,SUMPRODUCT(N([Nome]=Tabela3[[#This Row],[Nome]]),[PL])&gt;0,[Rentabilidade s/ PL]&gt;=[Rentabilidade s/ PL Média]),"Sim","Não")</f>
        <v>Não</v>
      </c>
      <c r="AT23" s="22">
        <f>IF([Cotação]&gt;0,Tabela3[[#This Row],[Lucro]]/Tabela3[[#This Row],[Cotação]],0)</f>
        <v>1.2377104036922399E-2</v>
      </c>
      <c r="AU23" s="18">
        <f>((1+Tabela3[[#This Row],[% Yield]])^(1/(3*Tabela3[[#This Row],[Ref]])))^(12)-1</f>
        <v>1.2377104036921827E-2</v>
      </c>
      <c r="AV23" s="10">
        <f>IF([Cotação]&gt;0,($BH$1/Tabela3[[#This Row],[Cotação]]-MOD($BH$1/Tabela3[[#This Row],[Cotação]],100)),)</f>
        <v>0</v>
      </c>
      <c r="AW23" s="7">
        <f>Tabela3[[#This Row],[Ativos]]*[Lucro]</f>
        <v>0</v>
      </c>
      <c r="AX23" s="47">
        <f>SUMPRODUCT(N(Tabela1[Código]=Tabela3[[#This Row],[PAPEL]]),Tabela1[Fechamento])</f>
        <v>0</v>
      </c>
      <c r="AY23" s="54">
        <f>SUMPRODUCT(N(Tabela17[Código]=Tabela3[[#This Row],[PAPEL]]),Tabela17[Fechamento])</f>
        <v>11.95</v>
      </c>
      <c r="AZ23" s="7">
        <f>SUMPRODUCT(N(Tabela176[Código]=Tabela3[[#This Row],[PAPEL]]),Tabela176[Fechamento])</f>
        <v>0</v>
      </c>
      <c r="BA23" s="7">
        <f>SUMPRODUCT(N(Tabela1768[Código]=Tabela3[[#This Row],[PAPEL]]),Tabela1768[Fechamento])</f>
        <v>0</v>
      </c>
      <c r="BB23" s="7">
        <f>SUMPRODUCT(N(Tabela17683[Código]=Tabela3[[#This Row],[PAPEL]]),Tabela17683[Fechamento])</f>
        <v>0</v>
      </c>
    </row>
    <row r="24" spans="1:54">
      <c r="A24" s="3" t="s">
        <v>291</v>
      </c>
      <c r="B24" s="57" t="s">
        <v>287</v>
      </c>
      <c r="C24" s="82" t="str">
        <f>LEFT([PAPEL],LEN([PAPEL])-(LEN([PAPEL])-4))</f>
        <v>OIBR</v>
      </c>
      <c r="D24" s="16">
        <v>4</v>
      </c>
      <c r="E24" s="5">
        <v>7471208836.6300001</v>
      </c>
      <c r="F24" s="56">
        <v>599088629</v>
      </c>
      <c r="G24" s="86">
        <v>0.25</v>
      </c>
      <c r="H24" s="18"/>
      <c r="J24" s="18"/>
      <c r="K24" s="87"/>
      <c r="L24" s="87"/>
      <c r="M24" s="54">
        <v>45633520000</v>
      </c>
      <c r="N24" s="54">
        <v>7215516000</v>
      </c>
      <c r="O24" s="54">
        <v>7256054000</v>
      </c>
      <c r="P24" s="5">
        <v>11524138000</v>
      </c>
      <c r="Q24" s="5">
        <v>1493015000</v>
      </c>
      <c r="R24" s="5">
        <f>IF(Tabela3[[#This Row],[Ativo || Passivo]]&gt;0,Tabela3[[#This Row],[Ativo || Passivo]]-Tabela3[[#This Row],[Patrimônio Líquido]],0)</f>
        <v>34109382000</v>
      </c>
      <c r="S24" s="5">
        <f>Tabela3[[#This Row],[Cotação]]*Tabela3[[#This Row],[Total Ações]]</f>
        <v>7278523936.1999998</v>
      </c>
      <c r="T24" s="130">
        <f>IF(Tabela3[[#This Row],[Passivo Circulante]]&gt;0,Tabela3[[#This Row],[Ativo Circulante]]/Tabela3[[#This Row],[Passivo Circulante]],0)</f>
        <v>0.99441321688069029</v>
      </c>
      <c r="U24" s="130">
        <f>SUMPRODUCT(N([Liquidez Corrente]&gt;0),N(RIGHT([PAPEL],LEN([PAPEL])-(LEN([PAPEL])-1))="3"),[Liquidez Corrente])/SUMPRODUCT(N([Liquidez Corrente]&gt;0),N(RIGHT([PAPEL],LEN([PAPEL])-(LEN([PAPEL])-1))="3"))</f>
        <v>2.331224473064915</v>
      </c>
      <c r="V24" s="18">
        <f>IF(Tabela3[[#This Row],[Lucro Líquido]]&gt;0,Tabela3[[#This Row],[Lucro Líquido]]/Tabela3[[#This Row],[Patrimônio Líquido]],0)</f>
        <v>0.1295554600265981</v>
      </c>
      <c r="W24" s="18">
        <f>SUMPRODUCT(N([Rentabilidade s/ PL]&gt;0),N(RIGHT([PAPEL],LEN([PAPEL])-(LEN([PAPEL])-1))="3"),[Rentabilidade s/ PL])/SUMPRODUCT(N([Rentabilidade s/ PL]&gt;0),N(RIGHT([PAPEL],LEN([PAPEL])-(LEN([PAPEL])-1))="3"))</f>
        <v>0.1261051308670782</v>
      </c>
      <c r="X24" s="18">
        <f>IF(Tabela3[[#This Row],[Dívida]]&gt;0,Tabela3[[#This Row],[Dívida]]/Tabela3[[#This Row],[Patrimônio Líquido]],0)</f>
        <v>2.9598206824666624</v>
      </c>
      <c r="Y24" s="18">
        <f>SUMPRODUCT(N([Dívida / PL]&gt;0),N(RIGHT([PAPEL],LEN([PAPEL])-(LEN([PAPEL])-1))="3"),[Dívida / PL])/SUMPRODUCT(N([Dívida / PL]&gt;0),N(RIGHT([PAPEL],LEN([PAPEL])-(LEN([PAPEL])-1))="3"))</f>
        <v>2.1510410379481146</v>
      </c>
      <c r="Z24" s="5">
        <f>Tabela3[[#This Row],[Capital Social]]*20%</f>
        <v>1494241767.3260002</v>
      </c>
      <c r="AA24" s="5">
        <f>IF(([Lucro Líquido]*5%)&gt;[Teto R. Legal],[Teto R. Legal],[Lucro Líquido]*5%)</f>
        <v>74650750</v>
      </c>
      <c r="AB24" s="5">
        <f>IF([Lucro Líquido]&lt;0,0,[Lucro Líquido]-[Reserva Legal])</f>
        <v>1418364250</v>
      </c>
      <c r="AC24" s="5">
        <f>Tabela3[[#This Row],[Lucro Distribuir]]*[%Div]</f>
        <v>354591062.5</v>
      </c>
      <c r="AD24" s="56">
        <f>SUMPRODUCT(N([Nome]=Tabela3[[#This Row],[Nome]]),[Ações])</f>
        <v>1797166404</v>
      </c>
      <c r="AE24" s="5">
        <f>[Capital Social]/[Total Ações]</f>
        <v>4.1572159483958391</v>
      </c>
      <c r="AF24" s="77">
        <f>Tabela3[[#This Row],[Lucro Líquido]]/Tabela3[[#This Row],[Total Ações]]</f>
        <v>0.83076057769439582</v>
      </c>
      <c r="AG24" s="77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0.197305637202419</v>
      </c>
      <c r="AH24" s="77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0.20717248789800169</v>
      </c>
      <c r="AI24" s="77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9.3059653918225058E-2</v>
      </c>
      <c r="AJ24" s="77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9.3059653918225058E-2</v>
      </c>
      <c r="AK24" s="5">
        <f>[Div Base]*[Ações]</f>
        <v>55750980.48108393</v>
      </c>
      <c r="AL24" s="5">
        <f>SUMPRODUCT(N([Nome]=Tabela3[[#This Row],[Nome]]),[Div Base]*[Ações])</f>
        <v>354591062.5</v>
      </c>
      <c r="AM24" s="5">
        <f>[Patrimônio Líquido]/[Total Ações]</f>
        <v>6.4123934068378015</v>
      </c>
      <c r="AN24" s="52">
        <f>MAX(Tabela3[[#This Row],[Cotação 1]:[Cotação 5]])</f>
        <v>4.05</v>
      </c>
      <c r="AO24" s="53">
        <f>[Cotação]/[VPA]</f>
        <v>0.63158944610000323</v>
      </c>
      <c r="AP24" s="37">
        <f>IF(Tabela3[[#This Row],[Lucro/Ação]]&gt;0,Tabela3[[#This Row],[Cotação]]/(Tabela3[[#This Row],[Lucro/Ação]]/[Ref]*4),0)</f>
        <v>4.8750507772527403</v>
      </c>
      <c r="AQ24" s="77">
        <f>[Lucro Distribuir]/[Total Ações]</f>
        <v>0.78922254880967602</v>
      </c>
      <c r="AR24" s="77">
        <f>IF([Unit ON]&gt;0,SUMPRODUCT(N([Nome]=Tabela3[[#This Row],[Nome]]),N(RIGHT([PAPEL],1)="3"),[Div Base])*[Unit ON]+SUMPRODUCT(N([Nome]=Tabela3[[#This Row],[Nome]]),N(RIGHT([PAPEL],1)="4"),[Div Base])*[Unit PN],[Div Base])</f>
        <v>9.3059653918225058E-2</v>
      </c>
      <c r="AS24" s="16" t="str">
        <f>IF(AND([% A.A.]&gt;=6%,SUMPRODUCT(N([Nome]=Tabela3[[#This Row],[Nome]]),[PL])&gt;0,[Rentabilidade s/ PL]&gt;=[Rentabilidade s/ PL Média]),"Sim","Não")</f>
        <v>Não</v>
      </c>
      <c r="AT24" s="22">
        <f>IF([Cotação]&gt;0,Tabela3[[#This Row],[Lucro]]/Tabela3[[#This Row],[Cotação]],0)</f>
        <v>2.2977692325487669E-2</v>
      </c>
      <c r="AU24" s="18">
        <f>((1+Tabela3[[#This Row],[% Yield]])^(1/(3*Tabela3[[#This Row],[Ref]])))^(12)-1</f>
        <v>2.2977692325488519E-2</v>
      </c>
      <c r="AV24" s="10">
        <f>IF([Cotação]&gt;0,($BH$1/Tabela3[[#This Row],[Cotação]]-MOD($BH$1/Tabela3[[#This Row],[Cotação]],100)),)</f>
        <v>100</v>
      </c>
      <c r="AW24" s="7">
        <f>Tabela3[[#This Row],[Ativos]]*[Lucro]</f>
        <v>9.3059653918225056</v>
      </c>
      <c r="AX24" s="47">
        <f>SUMPRODUCT(N(Tabela1[Código]=Tabela3[[#This Row],[PAPEL]]),Tabela1[Fechamento])</f>
        <v>0</v>
      </c>
      <c r="AY24" s="54">
        <f>SUMPRODUCT(N(Tabela17[Código]=Tabela3[[#This Row],[PAPEL]]),Tabela17[Fechamento])</f>
        <v>4.05</v>
      </c>
      <c r="AZ24" s="7">
        <f>SUMPRODUCT(N(Tabela176[Código]=Tabela3[[#This Row],[PAPEL]]),Tabela176[Fechamento])</f>
        <v>0</v>
      </c>
      <c r="BA24" s="7">
        <f>SUMPRODUCT(N(Tabela1768[Código]=Tabela3[[#This Row],[PAPEL]]),Tabela1768[Fechamento])</f>
        <v>0</v>
      </c>
      <c r="BB24" s="7">
        <f>SUMPRODUCT(N(Tabela17683[Código]=Tabela3[[#This Row],[PAPEL]]),Tabela17683[Fechamento])</f>
        <v>0</v>
      </c>
    </row>
    <row r="25" spans="1:54">
      <c r="A25" s="3" t="s">
        <v>291</v>
      </c>
      <c r="B25" s="58" t="s">
        <v>288</v>
      </c>
      <c r="C25" s="83" t="str">
        <f>LEFT([PAPEL],LEN([PAPEL])-(LEN([PAPEL])-4))</f>
        <v>OIBR</v>
      </c>
      <c r="D25" s="16">
        <v>4</v>
      </c>
      <c r="E25" s="5">
        <v>7471208836.6300001</v>
      </c>
      <c r="F25" s="56">
        <v>1198077775</v>
      </c>
      <c r="G25" s="81">
        <v>0.25</v>
      </c>
      <c r="H25" s="18">
        <v>0.03</v>
      </c>
      <c r="I25" s="18">
        <v>0.06</v>
      </c>
      <c r="J25" s="18"/>
      <c r="K25" s="87"/>
      <c r="L25" s="87"/>
      <c r="M25" s="54">
        <v>45633520000</v>
      </c>
      <c r="N25" s="54">
        <v>7215516000</v>
      </c>
      <c r="O25" s="54">
        <v>7256054000</v>
      </c>
      <c r="P25" s="5">
        <v>11524138000</v>
      </c>
      <c r="Q25" s="5">
        <v>1493015000</v>
      </c>
      <c r="R25" s="5">
        <f>IF(Tabela3[[#This Row],[Ativo || Passivo]]&gt;0,Tabela3[[#This Row],[Ativo || Passivo]]-Tabela3[[#This Row],[Patrimônio Líquido]],0)</f>
        <v>34109382000</v>
      </c>
      <c r="S25" s="5">
        <f>Tabela3[[#This Row],[Cotação]]*Tabela3[[#This Row],[Total Ações]]</f>
        <v>6829232335.1999998</v>
      </c>
      <c r="T25" s="130">
        <f>IF(Tabela3[[#This Row],[Passivo Circulante]]&gt;0,Tabela3[[#This Row],[Ativo Circulante]]/Tabela3[[#This Row],[Passivo Circulante]],0)</f>
        <v>0.99441321688069029</v>
      </c>
      <c r="U25" s="130">
        <f>SUMPRODUCT(N([Liquidez Corrente]&gt;0),N(RIGHT([PAPEL],LEN([PAPEL])-(LEN([PAPEL])-1))="3"),[Liquidez Corrente])/SUMPRODUCT(N([Liquidez Corrente]&gt;0),N(RIGHT([PAPEL],LEN([PAPEL])-(LEN([PAPEL])-1))="3"))</f>
        <v>2.331224473064915</v>
      </c>
      <c r="V25" s="18">
        <f>IF(Tabela3[[#This Row],[Lucro Líquido]]&gt;0,Tabela3[[#This Row],[Lucro Líquido]]/Tabela3[[#This Row],[Patrimônio Líquido]],0)</f>
        <v>0.1295554600265981</v>
      </c>
      <c r="W25" s="18">
        <f>SUMPRODUCT(N([Rentabilidade s/ PL]&gt;0),N(RIGHT([PAPEL],LEN([PAPEL])-(LEN([PAPEL])-1))="3"),[Rentabilidade s/ PL])/SUMPRODUCT(N([Rentabilidade s/ PL]&gt;0),N(RIGHT([PAPEL],LEN([PAPEL])-(LEN([PAPEL])-1))="3"))</f>
        <v>0.1261051308670782</v>
      </c>
      <c r="X25" s="18">
        <f>IF(Tabela3[[#This Row],[Dívida]]&gt;0,Tabela3[[#This Row],[Dívida]]/Tabela3[[#This Row],[Patrimônio Líquido]],0)</f>
        <v>2.9598206824666624</v>
      </c>
      <c r="Y25" s="18">
        <f>SUMPRODUCT(N([Dívida / PL]&gt;0),N(RIGHT([PAPEL],LEN([PAPEL])-(LEN([PAPEL])-1))="3"),[Dívida / PL])/SUMPRODUCT(N([Dívida / PL]&gt;0),N(RIGHT([PAPEL],LEN([PAPEL])-(LEN([PAPEL])-1))="3"))</f>
        <v>2.1510410379481146</v>
      </c>
      <c r="Z25" s="5">
        <f>Tabela3[[#This Row],[Capital Social]]*20%</f>
        <v>1494241767.3260002</v>
      </c>
      <c r="AA25" s="5">
        <f>IF(([Lucro Líquido]*5%)&gt;[Teto R. Legal],[Teto R. Legal],[Lucro Líquido]*5%)</f>
        <v>74650750</v>
      </c>
      <c r="AB25" s="5">
        <f>IF([Lucro Líquido]&lt;0,0,[Lucro Líquido]-[Reserva Legal])</f>
        <v>1418364250</v>
      </c>
      <c r="AC25" s="5">
        <f>Tabela3[[#This Row],[Lucro Distribuir]]*[%Div]</f>
        <v>354591062.5</v>
      </c>
      <c r="AD25" s="56">
        <f>SUMPRODUCT(N([Nome]=Tabela3[[#This Row],[Nome]]),[Ações])</f>
        <v>1797166404</v>
      </c>
      <c r="AE25" s="5">
        <f>[Capital Social]/[Total Ações]</f>
        <v>4.1572159483958391</v>
      </c>
      <c r="AF25" s="77">
        <f>Tabela3[[#This Row],[Lucro Líquido]]/Tabela3[[#This Row],[Total Ações]]</f>
        <v>0.83076057769439582</v>
      </c>
      <c r="AG25" s="77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0.197305637202419</v>
      </c>
      <c r="AH25" s="77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0.19237180220513403</v>
      </c>
      <c r="AI25" s="77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0.24943295690375034</v>
      </c>
      <c r="AJ25" s="77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0.24943295690375034</v>
      </c>
      <c r="AK25" s="5">
        <f>[Div Base]*[Ações]</f>
        <v>298840082.01891607</v>
      </c>
      <c r="AL25" s="5">
        <f>SUMPRODUCT(N([Nome]=Tabela3[[#This Row],[Nome]]),[Div Base]*[Ações])</f>
        <v>354591062.5</v>
      </c>
      <c r="AM25" s="5">
        <f>[Patrimônio Líquido]/[Total Ações]</f>
        <v>6.4123934068378015</v>
      </c>
      <c r="AN25" s="52">
        <f>MAX(Tabela3[[#This Row],[Cotação 1]:[Cotação 5]])</f>
        <v>3.8</v>
      </c>
      <c r="AO25" s="53">
        <f>[Cotação]/[VPA]</f>
        <v>0.59260244325432399</v>
      </c>
      <c r="AP25" s="37">
        <f>IF(Tabela3[[#This Row],[Lucro/Ação]]&gt;0,Tabela3[[#This Row],[Cotação]]/(Tabela3[[#This Row],[Lucro/Ação]]/[Ref]*4),0)</f>
        <v>4.5741217169284969</v>
      </c>
      <c r="AQ25" s="77">
        <f>[Lucro Distribuir]/[Total Ações]</f>
        <v>0.78922254880967602</v>
      </c>
      <c r="AR25" s="77">
        <f>IF([Unit ON]&gt;0,SUMPRODUCT(N([Nome]=Tabela3[[#This Row],[Nome]]),N(RIGHT([PAPEL],1)="3"),[Div Base])*[Unit ON]+SUMPRODUCT(N([Nome]=Tabela3[[#This Row],[Nome]]),N(RIGHT([PAPEL],1)="4"),[Div Base])*[Unit PN],[Div Base])</f>
        <v>0.24943295690375034</v>
      </c>
      <c r="AS25" s="16" t="str">
        <f>IF(AND([% A.A.]&gt;=6%,SUMPRODUCT(N([Nome]=Tabela3[[#This Row],[Nome]]),[PL])&gt;0,[Rentabilidade s/ PL]&gt;=[Rentabilidade s/ PL Média]),"Sim","Não")</f>
        <v>Sim</v>
      </c>
      <c r="AT25" s="22">
        <f>IF([Cotação]&gt;0,Tabela3[[#This Row],[Lucro]]/Tabela3[[#This Row],[Cotação]],0)</f>
        <v>6.5640251816776407E-2</v>
      </c>
      <c r="AU25" s="18">
        <f>((1+Tabela3[[#This Row],[% Yield]])^(1/(3*Tabela3[[#This Row],[Ref]])))^(12)-1</f>
        <v>6.5640251816775352E-2</v>
      </c>
      <c r="AV25" s="14">
        <f>IF([Cotação]&gt;0,($BH$1/Tabela3[[#This Row],[Cotação]]-MOD($BH$1/Tabela3[[#This Row],[Cotação]],100)),)</f>
        <v>100</v>
      </c>
      <c r="AW25" s="7">
        <f>Tabela3[[#This Row],[Ativos]]*[Lucro]</f>
        <v>24.943295690375034</v>
      </c>
      <c r="AX25" s="47">
        <f>SUMPRODUCT(N(Tabela1[Código]=Tabela3[[#This Row],[PAPEL]]),Tabela1[Fechamento])</f>
        <v>0</v>
      </c>
      <c r="AY25" s="54">
        <f>SUMPRODUCT(N(Tabela17[Código]=Tabela3[[#This Row],[PAPEL]]),Tabela17[Fechamento])</f>
        <v>3.8</v>
      </c>
      <c r="AZ25" s="7">
        <f>SUMPRODUCT(N(Tabela176[Código]=Tabela3[[#This Row],[PAPEL]]),Tabela176[Fechamento])</f>
        <v>0</v>
      </c>
      <c r="BA25" s="7">
        <f>SUMPRODUCT(N(Tabela1768[Código]=Tabela3[[#This Row],[PAPEL]]),Tabela1768[Fechamento])</f>
        <v>0</v>
      </c>
      <c r="BB25" s="7">
        <f>SUMPRODUCT(N(Tabela17683[Código]=Tabela3[[#This Row],[PAPEL]]),Tabela17683[Fechamento])</f>
        <v>0</v>
      </c>
    </row>
    <row r="26" spans="1:54">
      <c r="A26" s="4" t="s">
        <v>12</v>
      </c>
      <c r="B26" s="60" t="s">
        <v>176</v>
      </c>
      <c r="C26" s="14" t="str">
        <f>LEFT([PAPEL],LEN([PAPEL])-(LEN([PAPEL])-4))</f>
        <v>TBLE</v>
      </c>
      <c r="D26" s="15">
        <v>4</v>
      </c>
      <c r="E26" s="6">
        <v>2445766091.9000001</v>
      </c>
      <c r="F26" s="8">
        <v>652742192</v>
      </c>
      <c r="G26" s="86">
        <v>0.3</v>
      </c>
      <c r="H26" s="15"/>
      <c r="I26" s="19"/>
      <c r="J26" s="19"/>
      <c r="K26" s="88"/>
      <c r="L26" s="88"/>
      <c r="M26" s="55">
        <v>10175830000</v>
      </c>
      <c r="N26" s="55">
        <v>1737799000</v>
      </c>
      <c r="O26" s="55">
        <v>1718050000</v>
      </c>
      <c r="P26" s="89">
        <v>5361373000</v>
      </c>
      <c r="Q26" s="89">
        <v>1436112000</v>
      </c>
      <c r="R26" s="89">
        <f>IF(Tabela3[[#This Row],[Ativo || Passivo]]&gt;0,Tabela3[[#This Row],[Ativo || Passivo]]-Tabela3[[#This Row],[Patrimônio Líquido]],0)</f>
        <v>4814457000</v>
      </c>
      <c r="S26" s="89">
        <f>Tabela3[[#This Row],[Cotação]]*Tabela3[[#This Row],[Total Ações]]</f>
        <v>22141015152.639999</v>
      </c>
      <c r="T26" s="132">
        <f>IF(Tabela3[[#This Row],[Passivo Circulante]]&gt;0,Tabela3[[#This Row],[Ativo Circulante]]/Tabela3[[#This Row],[Passivo Circulante]],0)</f>
        <v>1.0114950088763424</v>
      </c>
      <c r="U26" s="132">
        <f>SUMPRODUCT(N([Liquidez Corrente]&gt;0),N(RIGHT([PAPEL],LEN([PAPEL])-(LEN([PAPEL])-1))="3"),[Liquidez Corrente])/SUMPRODUCT(N([Liquidez Corrente]&gt;0),N(RIGHT([PAPEL],LEN([PAPEL])-(LEN([PAPEL])-1))="3"))</f>
        <v>2.331224473064915</v>
      </c>
      <c r="V26" s="19">
        <f>IF(Tabela3[[#This Row],[Lucro Líquido]]&gt;0,Tabela3[[#This Row],[Lucro Líquido]]/Tabela3[[#This Row],[Patrimônio Líquido]],0)</f>
        <v>0.26786272844661246</v>
      </c>
      <c r="W26" s="19">
        <f>SUMPRODUCT(N([Rentabilidade s/ PL]&gt;0),N(RIGHT([PAPEL],LEN([PAPEL])-(LEN([PAPEL])-1))="3"),[Rentabilidade s/ PL])/SUMPRODUCT(N([Rentabilidade s/ PL]&gt;0),N(RIGHT([PAPEL],LEN([PAPEL])-(LEN([PAPEL])-1))="3"))</f>
        <v>0.1261051308670782</v>
      </c>
      <c r="X26" s="19">
        <f>IF(Tabela3[[#This Row],[Dívida]]&gt;0,Tabela3[[#This Row],[Dívida]]/Tabela3[[#This Row],[Patrimônio Líquido]],0)</f>
        <v>0.89798956349427661</v>
      </c>
      <c r="Y26" s="19">
        <f>SUMPRODUCT(N([Dívida / PL]&gt;0),N(RIGHT([PAPEL],LEN([PAPEL])-(LEN([PAPEL])-1))="3"),[Dívida / PL])/SUMPRODUCT(N([Dívida / PL]&gt;0),N(RIGHT([PAPEL],LEN([PAPEL])-(LEN([PAPEL])-1))="3"))</f>
        <v>2.1510410379481146</v>
      </c>
      <c r="Z26" s="6">
        <f>Tabela3[[#This Row],[Capital Social]]*20%</f>
        <v>489153218.38000005</v>
      </c>
      <c r="AA26" s="6">
        <f>IF(([Lucro Líquido]*5%)&gt;[Teto R. Legal],[Teto R. Legal],[Lucro Líquido]*5%)</f>
        <v>71805600</v>
      </c>
      <c r="AB26" s="89">
        <f>IF([Lucro Líquido]&lt;0,0,[Lucro Líquido]-[Reserva Legal])</f>
        <v>1364306400</v>
      </c>
      <c r="AC26" s="89">
        <f>Tabela3[[#This Row],[Lucro Distribuir]]*[%Div]</f>
        <v>409291920</v>
      </c>
      <c r="AD26" s="56">
        <f>SUMPRODUCT(N([Nome]=Tabela3[[#This Row],[Nome]]),[Ações])</f>
        <v>652742192</v>
      </c>
      <c r="AE26" s="6">
        <f>[Capital Social]/[Total Ações]</f>
        <v>3.7469097629589112</v>
      </c>
      <c r="AF26" s="78">
        <f>Tabela3[[#This Row],[Lucro Líquido]]/Tabela3[[#This Row],[Total Ações]]</f>
        <v>2.200121299957273</v>
      </c>
      <c r="AG26" s="78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0.62703457048782285</v>
      </c>
      <c r="AH26" s="78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26" s="78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26" s="78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0.62703457048782285</v>
      </c>
      <c r="AK26" s="6">
        <f>[Div Base]*[Ações]</f>
        <v>409291920</v>
      </c>
      <c r="AL26" s="6">
        <f>SUMPRODUCT(N([Nome]=Tabela3[[#This Row],[Nome]]),[Div Base]*[Ações])</f>
        <v>409291920</v>
      </c>
      <c r="AM26" s="6">
        <f>[Patrimônio Líquido]/[Total Ações]</f>
        <v>8.2136149090849635</v>
      </c>
      <c r="AN26" s="48">
        <f>MAX(Tabela3[[#This Row],[Cotação 1]:[Cotação 5]])</f>
        <v>33.92</v>
      </c>
      <c r="AO26" s="44">
        <f>[Cotação]/[VPA]</f>
        <v>4.1297285513692108</v>
      </c>
      <c r="AP26" s="40">
        <f>IF(Tabela3[[#This Row],[Lucro/Ação]]&gt;0,Tabela3[[#This Row],[Cotação]]/(Tabela3[[#This Row],[Lucro/Ação]]/[Ref]*4),0)</f>
        <v>15.417331762870864</v>
      </c>
      <c r="AQ26" s="78">
        <f>[Lucro Distribuir]/[Total Ações]</f>
        <v>2.0901152349594097</v>
      </c>
      <c r="AR26" s="78">
        <f>IF([Unit ON]&gt;0,SUMPRODUCT(N([Nome]=Tabela3[[#This Row],[Nome]]),N(RIGHT([PAPEL],1)="3"),[Div Base])*[Unit ON]+SUMPRODUCT(N([Nome]=Tabela3[[#This Row],[Nome]]),N(RIGHT([PAPEL],1)="4"),[Div Base])*[Unit PN],[Div Base])</f>
        <v>0.62703457048782285</v>
      </c>
      <c r="AS26" s="15" t="str">
        <f>IF(AND([% A.A.]&gt;=6%,SUMPRODUCT(N([Nome]=Tabela3[[#This Row],[Nome]]),[PL])&gt;0,[Rentabilidade s/ PL]&gt;=[Rentabilidade s/ PL Média]),"Sim","Não")</f>
        <v>Não</v>
      </c>
      <c r="AT26" s="42">
        <f>IF([Cotação]&gt;0,Tabela3[[#This Row],[Lucro]]/Tabela3[[#This Row],[Cotação]],0)</f>
        <v>1.8485688988438172E-2</v>
      </c>
      <c r="AU26" s="19">
        <f>((1+Tabela3[[#This Row],[% Yield]])^(1/(3*Tabela3[[#This Row],[Ref]])))^(12)-1</f>
        <v>1.848568898843661E-2</v>
      </c>
      <c r="AV26" s="14">
        <f>IF([Cotação]&gt;0,($BH$1/Tabela3[[#This Row],[Cotação]]-MOD($BH$1/Tabela3[[#This Row],[Cotação]],100)),)</f>
        <v>0</v>
      </c>
      <c r="AW26" s="17">
        <f>Tabela3[[#This Row],[Ativos]]*[Lucro]</f>
        <v>0</v>
      </c>
      <c r="AX26" s="5">
        <f>SUMPRODUCT(N(Tabela1[Código]=Tabela3[[#This Row],[PAPEL]]),Tabela1[Fechamento])</f>
        <v>33.92</v>
      </c>
      <c r="AY26" s="5">
        <f>SUMPRODUCT(N(Tabela17[Código]=Tabela3[[#This Row],[PAPEL]]),Tabela17[Fechamento])</f>
        <v>0</v>
      </c>
      <c r="AZ26" s="7">
        <f>SUMPRODUCT(N(Tabela176[Código]=Tabela3[[#This Row],[PAPEL]]),Tabela176[Fechamento])</f>
        <v>0</v>
      </c>
      <c r="BA26" s="7">
        <f>SUMPRODUCT(N(Tabela1768[Código]=Tabela3[[#This Row],[PAPEL]]),Tabela1768[Fechamento])</f>
        <v>0</v>
      </c>
      <c r="BB26" s="7">
        <f>SUMPRODUCT(N(Tabela17683[Código]=Tabela3[[#This Row],[PAPEL]]),Tabela17683[Fechamento])</f>
        <v>0</v>
      </c>
    </row>
    <row r="27" spans="1:54">
      <c r="A27" s="4" t="s">
        <v>26</v>
      </c>
      <c r="B27" s="57" t="s">
        <v>232</v>
      </c>
      <c r="C27" s="14" t="str">
        <f>LEFT([PAPEL],LEN([PAPEL])-(LEN([PAPEL])-4))</f>
        <v>PSSA</v>
      </c>
      <c r="D27" s="15">
        <v>4</v>
      </c>
      <c r="E27" s="6">
        <v>2782000000</v>
      </c>
      <c r="F27" s="38">
        <v>323293030</v>
      </c>
      <c r="G27" s="86">
        <v>0.25</v>
      </c>
      <c r="H27" s="15"/>
      <c r="I27" s="19"/>
      <c r="J27" s="19"/>
      <c r="K27" s="88"/>
      <c r="L27" s="88"/>
      <c r="M27" s="55">
        <v>6557961000</v>
      </c>
      <c r="N27" s="55">
        <v>1093295000</v>
      </c>
      <c r="O27" s="55">
        <v>355712000</v>
      </c>
      <c r="P27" s="6">
        <v>5889163000</v>
      </c>
      <c r="Q27" s="6">
        <v>1405207000</v>
      </c>
      <c r="R27" s="6">
        <f>IF(Tabela3[[#This Row],[Ativo || Passivo]]&gt;0,Tabela3[[#This Row],[Ativo || Passivo]]-Tabela3[[#This Row],[Patrimônio Líquido]],0)</f>
        <v>668798000</v>
      </c>
      <c r="S27" s="6">
        <f>Tabela3[[#This Row],[Cotação]]*Tabela3[[#This Row],[Total Ações]]</f>
        <v>9831341042.2999992</v>
      </c>
      <c r="T27" s="132">
        <f>IF(Tabela3[[#This Row],[Passivo Circulante]]&gt;0,Tabela3[[#This Row],[Ativo Circulante]]/Tabela3[[#This Row],[Passivo Circulante]],0)</f>
        <v>3.0735398299748109</v>
      </c>
      <c r="U27" s="132">
        <f>SUMPRODUCT(N([Liquidez Corrente]&gt;0),N(RIGHT([PAPEL],LEN([PAPEL])-(LEN([PAPEL])-1))="3"),[Liquidez Corrente])/SUMPRODUCT(N([Liquidez Corrente]&gt;0),N(RIGHT([PAPEL],LEN([PAPEL])-(LEN([PAPEL])-1))="3"))</f>
        <v>2.331224473064915</v>
      </c>
      <c r="V27" s="19">
        <f>IF(Tabela3[[#This Row],[Lucro Líquido]]&gt;0,Tabela3[[#This Row],[Lucro Líquido]]/Tabela3[[#This Row],[Patrimônio Líquido]],0)</f>
        <v>0.23860895003245791</v>
      </c>
      <c r="W27" s="19">
        <f>SUMPRODUCT(N([Rentabilidade s/ PL]&gt;0),N(RIGHT([PAPEL],LEN([PAPEL])-(LEN([PAPEL])-1))="3"),[Rentabilidade s/ PL])/SUMPRODUCT(N([Rentabilidade s/ PL]&gt;0),N(RIGHT([PAPEL],LEN([PAPEL])-(LEN([PAPEL])-1))="3"))</f>
        <v>0.1261051308670782</v>
      </c>
      <c r="X27" s="19">
        <f>IF(Tabela3[[#This Row],[Dívida]]&gt;0,Tabela3[[#This Row],[Dívida]]/Tabela3[[#This Row],[Patrimônio Líquido]],0)</f>
        <v>0.11356418560668129</v>
      </c>
      <c r="Y27" s="19">
        <f>SUMPRODUCT(N([Dívida / PL]&gt;0),N(RIGHT([PAPEL],LEN([PAPEL])-(LEN([PAPEL])-1))="3"),[Dívida / PL])/SUMPRODUCT(N([Dívida / PL]&gt;0),N(RIGHT([PAPEL],LEN([PAPEL])-(LEN([PAPEL])-1))="3"))</f>
        <v>2.1510410379481146</v>
      </c>
      <c r="Z27" s="6">
        <f>Tabela3[[#This Row],[Capital Social]]*20%</f>
        <v>556400000</v>
      </c>
      <c r="AA27" s="6">
        <f>IF(([Lucro Líquido]*5%)&gt;[Teto R. Legal],[Teto R. Legal],[Lucro Líquido]*5%)</f>
        <v>70260350</v>
      </c>
      <c r="AB27" s="6">
        <f>IF([Lucro Líquido]&lt;0,0,[Lucro Líquido]-[Reserva Legal])</f>
        <v>1334946650</v>
      </c>
      <c r="AC27" s="6">
        <f>Tabela3[[#This Row],[Lucro Distribuir]]*[%Div]</f>
        <v>333736662.5</v>
      </c>
      <c r="AD27" s="56">
        <f>SUMPRODUCT(N([Nome]=Tabela3[[#This Row],[Nome]]),[Ações])</f>
        <v>323293030</v>
      </c>
      <c r="AE27" s="6">
        <f>[Capital Social]/[Total Ações]</f>
        <v>8.6051963446288955</v>
      </c>
      <c r="AF27" s="78">
        <f>Tabela3[[#This Row],[Lucro Líquido]]/Tabela3[[#This Row],[Total Ações]]</f>
        <v>4.3465428252505163</v>
      </c>
      <c r="AG27" s="78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1.0323039209969977</v>
      </c>
      <c r="AH27" s="78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27" s="78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27" s="78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1.0323039209969977</v>
      </c>
      <c r="AK27" s="6">
        <f>[Div Base]*[Ações]</f>
        <v>333736662.5</v>
      </c>
      <c r="AL27" s="6">
        <f>SUMPRODUCT(N([Nome]=Tabela3[[#This Row],[Nome]]),[Div Base]*[Ações])</f>
        <v>333736662.5</v>
      </c>
      <c r="AM27" s="6">
        <f>[Patrimônio Líquido]/[Total Ações]</f>
        <v>18.216176822618166</v>
      </c>
      <c r="AN27" s="48">
        <f>MAX(Tabela3[[#This Row],[Cotação 1]:[Cotação 5]])</f>
        <v>30.41</v>
      </c>
      <c r="AO27" s="44">
        <f>[Cotação]/[VPA]</f>
        <v>1.6693953015564353</v>
      </c>
      <c r="AP27" s="40">
        <f>IF(Tabela3[[#This Row],[Lucro/Ação]]&gt;0,Tabela3[[#This Row],[Cotação]]/(Tabela3[[#This Row],[Lucro/Ação]]/[Ref]*4),0)</f>
        <v>6.9963649784693649</v>
      </c>
      <c r="AQ27" s="78">
        <f>[Lucro Distribuir]/[Total Ações]</f>
        <v>4.129215683987991</v>
      </c>
      <c r="AR27" s="78">
        <f>IF([Unit ON]&gt;0,SUMPRODUCT(N([Nome]=Tabela3[[#This Row],[Nome]]),N(RIGHT([PAPEL],1)="3"),[Div Base])*[Unit ON]+SUMPRODUCT(N([Nome]=Tabela3[[#This Row],[Nome]]),N(RIGHT([PAPEL],1)="4"),[Div Base])*[Unit PN],[Div Base])</f>
        <v>1.0323039209969977</v>
      </c>
      <c r="AS27" s="15" t="str">
        <f>IF(AND([% A.A.]&gt;=6%,SUMPRODUCT(N([Nome]=Tabela3[[#This Row],[Nome]]),[PL])&gt;0,[Rentabilidade s/ PL]&gt;=[Rentabilidade s/ PL Média]),"Sim","Não")</f>
        <v>Não</v>
      </c>
      <c r="AT27" s="42">
        <f>IF([Cotação]&gt;0,Tabela3[[#This Row],[Lucro]]/Tabela3[[#This Row],[Cotação]],0)</f>
        <v>3.3946199309338961E-2</v>
      </c>
      <c r="AU27" s="19">
        <f>((1+Tabela3[[#This Row],[% Yield]])^(1/(3*Tabela3[[#This Row],[Ref]])))^(12)-1</f>
        <v>3.3946199309339731E-2</v>
      </c>
      <c r="AV27" s="14">
        <f>IF([Cotação]&gt;0,($BH$1/Tabela3[[#This Row],[Cotação]]-MOD($BH$1/Tabela3[[#This Row],[Cotação]],100)),)</f>
        <v>0</v>
      </c>
      <c r="AW27" s="17">
        <f>Tabela3[[#This Row],[Ativos]]*[Lucro]</f>
        <v>0</v>
      </c>
      <c r="AX27" s="5">
        <f>SUMPRODUCT(N(Tabela1[Código]=Tabela3[[#This Row],[PAPEL]]),Tabela1[Fechamento])</f>
        <v>30.41</v>
      </c>
      <c r="AY27" s="5">
        <f>SUMPRODUCT(N(Tabela17[Código]=Tabela3[[#This Row],[PAPEL]]),Tabela17[Fechamento])</f>
        <v>0</v>
      </c>
      <c r="AZ27" s="7">
        <f>SUMPRODUCT(N(Tabela176[Código]=Tabela3[[#This Row],[PAPEL]]),Tabela176[Fechamento])</f>
        <v>0</v>
      </c>
      <c r="BA27" s="7">
        <f>SUMPRODUCT(N(Tabela1768[Código]=Tabela3[[#This Row],[PAPEL]]),Tabela1768[Fechamento])</f>
        <v>0</v>
      </c>
      <c r="BB27" s="7">
        <f>SUMPRODUCT(N(Tabela17683[Código]=Tabela3[[#This Row],[PAPEL]]),Tabela17683[Fechamento])</f>
        <v>0</v>
      </c>
    </row>
    <row r="28" spans="1:54" hidden="1">
      <c r="A28" s="4" t="s">
        <v>37</v>
      </c>
      <c r="B28" s="57" t="s">
        <v>36</v>
      </c>
      <c r="C28" s="14" t="str">
        <f>LEFT([PAPEL],LEN([PAPEL])-(LEN([PAPEL])-4))</f>
        <v>SBSP</v>
      </c>
      <c r="D28" s="15">
        <v>3</v>
      </c>
      <c r="E28" s="6">
        <v>6203688565.2299995</v>
      </c>
      <c r="F28" s="8">
        <v>683509869</v>
      </c>
      <c r="G28" s="81">
        <v>0.25</v>
      </c>
      <c r="H28" s="19"/>
      <c r="I28" s="19"/>
      <c r="J28" s="19"/>
      <c r="K28" s="88"/>
      <c r="L28" s="88"/>
      <c r="M28" s="55"/>
      <c r="N28" s="55"/>
      <c r="O28" s="55"/>
      <c r="P28" s="6">
        <v>12509395000</v>
      </c>
      <c r="Q28" s="6">
        <v>1332834000</v>
      </c>
      <c r="R28" s="6">
        <f>IF(Tabela3[[#This Row],[Ativo || Passivo]]&gt;0,Tabela3[[#This Row],[Ativo || Passivo]]-Tabela3[[#This Row],[Patrimônio Líquido]],0)</f>
        <v>0</v>
      </c>
      <c r="S28" s="6">
        <f>Tabela3[[#This Row],[Cotação]]*Tabela3[[#This Row],[Total Ações]]</f>
        <v>15030382019.309999</v>
      </c>
      <c r="T28" s="132">
        <f>IF(Tabela3[[#This Row],[Passivo Circulante]]&gt;0,Tabela3[[#This Row],[Ativo Circulante]]/Tabela3[[#This Row],[Passivo Circulante]],0)</f>
        <v>0</v>
      </c>
      <c r="U28" s="132">
        <f>SUMPRODUCT(N([Liquidez Corrente]&gt;0),N(RIGHT([PAPEL],LEN([PAPEL])-(LEN([PAPEL])-1))="3"),[Liquidez Corrente])/SUMPRODUCT(N([Liquidez Corrente]&gt;0),N(RIGHT([PAPEL],LEN([PAPEL])-(LEN([PAPEL])-1))="3"))</f>
        <v>2.331224473064915</v>
      </c>
      <c r="V28" s="19">
        <f>IF(Tabela3[[#This Row],[Lucro Líquido]]&gt;0,Tabela3[[#This Row],[Lucro Líquido]]/Tabela3[[#This Row],[Patrimônio Líquido]],0)</f>
        <v>0.10654663954571744</v>
      </c>
      <c r="W28" s="19">
        <f>SUMPRODUCT(N([Rentabilidade s/ PL]&gt;0),N(RIGHT([PAPEL],LEN([PAPEL])-(LEN([PAPEL])-1))="3"),[Rentabilidade s/ PL])/SUMPRODUCT(N([Rentabilidade s/ PL]&gt;0),N(RIGHT([PAPEL],LEN([PAPEL])-(LEN([PAPEL])-1))="3"))</f>
        <v>0.1261051308670782</v>
      </c>
      <c r="X28" s="19">
        <f>IF(Tabela3[[#This Row],[Dívida]]&gt;0,Tabela3[[#This Row],[Dívida]]/Tabela3[[#This Row],[Patrimônio Líquido]],0)</f>
        <v>0</v>
      </c>
      <c r="Y28" s="19">
        <f>SUMPRODUCT(N([Dívida / PL]&gt;0),N(RIGHT([PAPEL],LEN([PAPEL])-(LEN([PAPEL])-1))="3"),[Dívida / PL])/SUMPRODUCT(N([Dívida / PL]&gt;0),N(RIGHT([PAPEL],LEN([PAPEL])-(LEN([PAPEL])-1))="3"))</f>
        <v>2.1510410379481146</v>
      </c>
      <c r="Z28" s="6">
        <f>Tabela3[[#This Row],[Capital Social]]*20%</f>
        <v>1240737713.046</v>
      </c>
      <c r="AA28" s="6">
        <f>IF(([Lucro Líquido]*5%)&gt;[Teto R. Legal],[Teto R. Legal],[Lucro Líquido]*5%)</f>
        <v>66641700</v>
      </c>
      <c r="AB28" s="6">
        <f>IF([Lucro Líquido]&lt;0,0,[Lucro Líquido]-[Reserva Legal])</f>
        <v>1266192300</v>
      </c>
      <c r="AC28" s="6">
        <f>Tabela3[[#This Row],[Lucro Distribuir]]*[%Div]</f>
        <v>316548075</v>
      </c>
      <c r="AD28" s="21">
        <f>SUMPRODUCT(N([Nome]=Tabela3[[#This Row],[Nome]]),[Ações])</f>
        <v>683509869</v>
      </c>
      <c r="AE28" s="6">
        <f>[Capital Social]/[Total Ações]</f>
        <v>9.0762238361038197</v>
      </c>
      <c r="AF28" s="78">
        <f>Tabela3[[#This Row],[Lucro Líquido]]/Tabela3[[#This Row],[Total Ações]]</f>
        <v>1.9499850118477222</v>
      </c>
      <c r="AG28" s="78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0.46312144031383401</v>
      </c>
      <c r="AH28" s="78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28" s="78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28" s="78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0.46312144031383401</v>
      </c>
      <c r="AK28" s="6">
        <f>[Div Base]*[Ações]</f>
        <v>316548075</v>
      </c>
      <c r="AL28" s="6">
        <f>SUMPRODUCT(N([Nome]=Tabela3[[#This Row],[Nome]]),[Div Base]*[Ações])</f>
        <v>316548075</v>
      </c>
      <c r="AM28" s="6">
        <f>[Patrimônio Líquido]/[Total Ações]</f>
        <v>18.301703555943828</v>
      </c>
      <c r="AN28" s="48">
        <f>MAX(Tabela3[[#This Row],[Cotação 1]:[Cotação 5]])</f>
        <v>21.99</v>
      </c>
      <c r="AO28" s="44">
        <f>[Cotação]/[VPA]</f>
        <v>1.2015274934806999</v>
      </c>
      <c r="AP28" s="40">
        <f>IF(Tabela3[[#This Row],[Lucro/Ação]]&gt;0,Tabela3[[#This Row],[Cotação]]/(Tabela3[[#This Row],[Lucro/Ação]]/[Ref]*4),0)</f>
        <v>8.457757315976707</v>
      </c>
      <c r="AQ28" s="78">
        <f>[Lucro Distribuir]/[Total Ações]</f>
        <v>1.852485761255336</v>
      </c>
      <c r="AR28" s="78">
        <f>IF([Unit ON]&gt;0,SUMPRODUCT(N([Nome]=Tabela3[[#This Row],[Nome]]),N(RIGHT([PAPEL],1)="3"),[Div Base])*[Unit ON]+SUMPRODUCT(N([Nome]=Tabela3[[#This Row],[Nome]]),N(RIGHT([PAPEL],1)="4"),[Div Base])*[Unit PN],[Div Base])</f>
        <v>0.46312144031383401</v>
      </c>
      <c r="AS28" s="15" t="str">
        <f>IF(AND([% A.A.]&gt;=6%,SUMPRODUCT(N([Nome]=Tabela3[[#This Row],[Nome]]),[PL])&gt;0,[Rentabilidade s/ PL]&gt;=[Rentabilidade s/ PL Média]),"Sim","Não")</f>
        <v>Não</v>
      </c>
      <c r="AT28" s="42">
        <f>IF([Cotação]&gt;0,Tabela3[[#This Row],[Lucro]]/Tabela3[[#This Row],[Cotação]],0)</f>
        <v>2.1060547535872397E-2</v>
      </c>
      <c r="AU28" s="19">
        <f>((1+Tabela3[[#This Row],[% Yield]])^(1/(3*Tabela3[[#This Row],[Ref]])))^(12)-1</f>
        <v>2.8178838675435136E-2</v>
      </c>
      <c r="AV28" s="14">
        <f>IF([Cotação]&gt;0,($BH$1/Tabela3[[#This Row],[Cotação]]-MOD($BH$1/Tabela3[[#This Row],[Cotação]],100)),)</f>
        <v>0</v>
      </c>
      <c r="AW28" s="17">
        <f>Tabela3[[#This Row],[Ativos]]*[Lucro]</f>
        <v>0</v>
      </c>
      <c r="AX28" s="5">
        <f>SUMPRODUCT(N(Tabela1[Código]=Tabela3[[#This Row],[PAPEL]]),Tabela1[Fechamento])</f>
        <v>21.99</v>
      </c>
      <c r="AY28" s="5">
        <f>SUMPRODUCT(N(Tabela17[Código]=Tabela3[[#This Row],[PAPEL]]),Tabela17[Fechamento])</f>
        <v>0</v>
      </c>
      <c r="AZ28" s="7">
        <f>SUMPRODUCT(N(Tabela176[Código]=Tabela3[[#This Row],[PAPEL]]),Tabela176[Fechamento])</f>
        <v>0</v>
      </c>
      <c r="BA28" s="7">
        <f>SUMPRODUCT(N(Tabela1768[Código]=Tabela3[[#This Row],[PAPEL]]),Tabela1768[Fechamento])</f>
        <v>0</v>
      </c>
      <c r="BB28" s="7">
        <f>SUMPRODUCT(N(Tabela17683[Código]=Tabela3[[#This Row],[PAPEL]]),Tabela17683[Fechamento])</f>
        <v>0</v>
      </c>
    </row>
    <row r="29" spans="1:54">
      <c r="A29" s="3" t="s">
        <v>296</v>
      </c>
      <c r="B29" s="58" t="s">
        <v>303</v>
      </c>
      <c r="C29" s="83" t="str">
        <f>LEFT([PAPEL],LEN([PAPEL])-(LEN([PAPEL])-4))</f>
        <v>UGPA</v>
      </c>
      <c r="D29" s="16">
        <v>4</v>
      </c>
      <c r="E29" s="5">
        <v>3696772957.3200002</v>
      </c>
      <c r="F29" s="21">
        <v>544383996</v>
      </c>
      <c r="G29" s="81">
        <v>0.5</v>
      </c>
      <c r="H29" s="16"/>
      <c r="J29" s="18"/>
      <c r="K29" s="87"/>
      <c r="L29" s="87"/>
      <c r="M29" s="54">
        <v>7613091000</v>
      </c>
      <c r="N29" s="54">
        <v>437783000</v>
      </c>
      <c r="O29" s="54">
        <v>293402000</v>
      </c>
      <c r="P29" s="5">
        <v>6519961000</v>
      </c>
      <c r="Q29" s="5">
        <v>1225143000</v>
      </c>
      <c r="R29" s="5">
        <f>IF(Tabela3[[#This Row],[Ativo || Passivo]]&gt;0,Tabela3[[#This Row],[Ativo || Passivo]]-Tabela3[[#This Row],[Patrimônio Líquido]],0)</f>
        <v>1093130000</v>
      </c>
      <c r="S29" s="5">
        <f>Tabela3[[#This Row],[Cotação]]*Tabela3[[#This Row],[Total Ações]]</f>
        <v>28520277550.439999</v>
      </c>
      <c r="T29" s="130">
        <f>IF(Tabela3[[#This Row],[Passivo Circulante]]&gt;0,Tabela3[[#This Row],[Ativo Circulante]]/Tabela3[[#This Row],[Passivo Circulante]],0)</f>
        <v>1.4920927601038847</v>
      </c>
      <c r="U29" s="130">
        <f>SUMPRODUCT(N([Liquidez Corrente]&gt;0),N(RIGHT([PAPEL],LEN([PAPEL])-(LEN([PAPEL])-1))="3"),[Liquidez Corrente])/SUMPRODUCT(N([Liquidez Corrente]&gt;0),N(RIGHT([PAPEL],LEN([PAPEL])-(LEN([PAPEL])-1))="3"))</f>
        <v>2.331224473064915</v>
      </c>
      <c r="V29" s="18">
        <f>IF(Tabela3[[#This Row],[Lucro Líquido]]&gt;0,Tabela3[[#This Row],[Lucro Líquido]]/Tabela3[[#This Row],[Patrimônio Líquido]],0)</f>
        <v>0.1879064920787103</v>
      </c>
      <c r="W29" s="18">
        <f>SUMPRODUCT(N([Rentabilidade s/ PL]&gt;0),N(RIGHT([PAPEL],LEN([PAPEL])-(LEN([PAPEL])-1))="3"),[Rentabilidade s/ PL])/SUMPRODUCT(N([Rentabilidade s/ PL]&gt;0),N(RIGHT([PAPEL],LEN([PAPEL])-(LEN([PAPEL])-1))="3"))</f>
        <v>0.1261051308670782</v>
      </c>
      <c r="X29" s="18">
        <f>IF(Tabela3[[#This Row],[Dívida]]&gt;0,Tabela3[[#This Row],[Dívida]]/Tabela3[[#This Row],[Patrimônio Líquido]],0)</f>
        <v>0.16765897832824461</v>
      </c>
      <c r="Y29" s="18">
        <f>SUMPRODUCT(N([Dívida / PL]&gt;0),N(RIGHT([PAPEL],LEN([PAPEL])-(LEN([PAPEL])-1))="3"),[Dívida / PL])/SUMPRODUCT(N([Dívida / PL]&gt;0),N(RIGHT([PAPEL],LEN([PAPEL])-(LEN([PAPEL])-1))="3"))</f>
        <v>2.1510410379481146</v>
      </c>
      <c r="Z29" s="5">
        <f>Tabela3[[#This Row],[Capital Social]]*20%</f>
        <v>739354591.46400011</v>
      </c>
      <c r="AA29" s="5">
        <f>IF(([Lucro Líquido]*5%)&gt;[Teto R. Legal],[Teto R. Legal],[Lucro Líquido]*5%)</f>
        <v>61257150</v>
      </c>
      <c r="AB29" s="5">
        <f>IF([Lucro Líquido]&lt;0,0,[Lucro Líquido]-[Reserva Legal])</f>
        <v>1163885850</v>
      </c>
      <c r="AC29" s="5">
        <f>Tabela3[[#This Row],[Lucro Distribuir]]*[%Div]</f>
        <v>581942925</v>
      </c>
      <c r="AD29" s="21">
        <f>SUMPRODUCT(N([Nome]=Tabela3[[#This Row],[Nome]]),[Ações])</f>
        <v>544383996</v>
      </c>
      <c r="AE29" s="5">
        <f>[Capital Social]/[Total Ações]</f>
        <v>6.7907451072826914</v>
      </c>
      <c r="AF29" s="77">
        <f>Tabela3[[#This Row],[Lucro Líquido]]/Tabela3[[#This Row],[Total Ações]]</f>
        <v>2.2505125224144171</v>
      </c>
      <c r="AG29" s="77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1.0689934481468482</v>
      </c>
      <c r="AH29" s="77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29" s="77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29" s="77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1.0689934481468482</v>
      </c>
      <c r="AK29" s="5">
        <f>[Div Base]*[Ações]</f>
        <v>581942925</v>
      </c>
      <c r="AL29" s="5">
        <f>SUMPRODUCT(N([Nome]=Tabela3[[#This Row],[Nome]]),[Div Base]*[Ações])</f>
        <v>581942925</v>
      </c>
      <c r="AM29" s="5">
        <f>[Patrimônio Líquido]/[Total Ações]</f>
        <v>11.976768325129088</v>
      </c>
      <c r="AN29" s="52">
        <f>MAX(Tabela3[[#This Row],[Cotação 1]:[Cotação 5]])</f>
        <v>52.39</v>
      </c>
      <c r="AO29" s="53">
        <f>[Cotação]/[VPA]</f>
        <v>4.3743018632228017</v>
      </c>
      <c r="AP29" s="37">
        <f>IF(Tabela3[[#This Row],[Lucro/Ação]]&gt;0,Tabela3[[#This Row],[Cotação]]/(Tabela3[[#This Row],[Lucro/Ação]]/[Ref]*4),0)</f>
        <v>23.279141741364072</v>
      </c>
      <c r="AQ29" s="77">
        <f>[Lucro Distribuir]/[Total Ações]</f>
        <v>2.1379868962936963</v>
      </c>
      <c r="AR29" s="77">
        <f>IF([Unit ON]&gt;0,SUMPRODUCT(N([Nome]=Tabela3[[#This Row],[Nome]]),N(RIGHT([PAPEL],1)="3"),[Div Base])*[Unit ON]+SUMPRODUCT(N([Nome]=Tabela3[[#This Row],[Nome]]),N(RIGHT([PAPEL],1)="4"),[Div Base])*[Unit PN],[Div Base])</f>
        <v>1.0689934481468482</v>
      </c>
      <c r="AS29" s="16" t="str">
        <f>IF(AND([% A.A.]&gt;=6%,SUMPRODUCT(N([Nome]=Tabela3[[#This Row],[Nome]]),[PL])&gt;0,[Rentabilidade s/ PL]&gt;=[Rentabilidade s/ PL Média]),"Sim","Não")</f>
        <v>Não</v>
      </c>
      <c r="AT29" s="22">
        <f>IF([Cotação]&gt;0,Tabela3[[#This Row],[Lucro]]/Tabela3[[#This Row],[Cotação]],0)</f>
        <v>2.0404532318130334E-2</v>
      </c>
      <c r="AU29" s="18">
        <f>((1+Tabela3[[#This Row],[% Yield]])^(1/(3*Tabela3[[#This Row],[Ref]])))^(12)-1</f>
        <v>2.0404532318131219E-2</v>
      </c>
      <c r="AV29" s="10">
        <f>IF([Cotação]&gt;0,($BH$1/Tabela3[[#This Row],[Cotação]]-MOD($BH$1/Tabela3[[#This Row],[Cotação]],100)),)</f>
        <v>0</v>
      </c>
      <c r="AW29" s="7">
        <f>Tabela3[[#This Row],[Ativos]]*[Lucro]</f>
        <v>0</v>
      </c>
      <c r="AX29" s="47">
        <f>SUMPRODUCT(N(Tabela1[Código]=Tabela3[[#This Row],[PAPEL]]),Tabela1[Fechamento])</f>
        <v>0</v>
      </c>
      <c r="AY29" s="54">
        <f>SUMPRODUCT(N(Tabela17[Código]=Tabela3[[#This Row],[PAPEL]]),Tabela17[Fechamento])</f>
        <v>52.39</v>
      </c>
      <c r="AZ29" s="7">
        <f>SUMPRODUCT(N(Tabela176[Código]=Tabela3[[#This Row],[PAPEL]]),Tabela176[Fechamento])</f>
        <v>0</v>
      </c>
      <c r="BA29" s="7">
        <f>SUMPRODUCT(N(Tabela1768[Código]=Tabela3[[#This Row],[PAPEL]]),Tabela1768[Fechamento])</f>
        <v>0</v>
      </c>
      <c r="BB29" s="7">
        <f>SUMPRODUCT(N(Tabela17683[Código]=Tabela3[[#This Row],[PAPEL]]),Tabela17683[Fechamento])</f>
        <v>0</v>
      </c>
    </row>
    <row r="30" spans="1:54">
      <c r="A30" s="3" t="s">
        <v>907</v>
      </c>
      <c r="B30" s="58" t="s">
        <v>919</v>
      </c>
      <c r="C30" s="16" t="str">
        <f>LEFT([PAPEL],LEN([PAPEL])-(LEN([PAPEL])-4))</f>
        <v>VVAR</v>
      </c>
      <c r="D30" s="16">
        <v>4</v>
      </c>
      <c r="E30" s="5"/>
      <c r="F30" s="56"/>
      <c r="G30" s="81">
        <v>0.25</v>
      </c>
      <c r="H30" s="87"/>
      <c r="J30" s="18"/>
      <c r="K30" s="16">
        <v>1</v>
      </c>
      <c r="L30" s="87">
        <v>2</v>
      </c>
      <c r="M30" s="54">
        <v>13300516000</v>
      </c>
      <c r="N30" s="54">
        <v>8853593000</v>
      </c>
      <c r="O30" s="54">
        <v>7717457000</v>
      </c>
      <c r="P30" s="91">
        <v>3950803000</v>
      </c>
      <c r="Q30" s="93">
        <v>1159542000</v>
      </c>
      <c r="R30" s="93">
        <f>IF(Tabela3[[#This Row],[Ativo || Passivo]]&gt;0,Tabela3[[#This Row],[Ativo || Passivo]]-Tabela3[[#This Row],[Patrimônio Líquido]],0)</f>
        <v>9349713000</v>
      </c>
      <c r="S30" s="93">
        <f>Tabela3[[#This Row],[Cotação]]*Tabela3[[#This Row],[Total Ações]]</f>
        <v>30513357044.16</v>
      </c>
      <c r="T30" s="40">
        <f>IF(Tabela3[[#This Row],[Passivo Circulante]]&gt;0,Tabela3[[#This Row],[Ativo Circulante]]/Tabela3[[#This Row],[Passivo Circulante]],0)</f>
        <v>1.1472163693299491</v>
      </c>
      <c r="U30" s="40">
        <f>SUMPRODUCT(N([Liquidez Corrente]&gt;0),N(RIGHT([PAPEL],LEN([PAPEL])-(LEN([PAPEL])-1))="3"),[Liquidez Corrente])/SUMPRODUCT(N([Liquidez Corrente]&gt;0),N(RIGHT([PAPEL],LEN([PAPEL])-(LEN([PAPEL])-1))="3"))</f>
        <v>2.331224473064915</v>
      </c>
      <c r="V30" s="19">
        <f>IF(Tabela3[[#This Row],[Lucro Líquido]]&gt;0,Tabela3[[#This Row],[Lucro Líquido]]/Tabela3[[#This Row],[Patrimônio Líquido]],0)</f>
        <v>0.29349527172071094</v>
      </c>
      <c r="W30" s="19">
        <f>SUMPRODUCT(N([Rentabilidade s/ PL]&gt;0),N(RIGHT([PAPEL],LEN([PAPEL])-(LEN([PAPEL])-1))="3"),[Rentabilidade s/ PL])/SUMPRODUCT(N([Rentabilidade s/ PL]&gt;0),N(RIGHT([PAPEL],LEN([PAPEL])-(LEN([PAPEL])-1))="3"))</f>
        <v>0.1261051308670782</v>
      </c>
      <c r="X30" s="19">
        <f>IF(Tabela3[[#This Row],[Dívida]]&gt;0,Tabela3[[#This Row],[Dívida]]/Tabela3[[#This Row],[Patrimônio Líquido]],0)</f>
        <v>2.3665348538006072</v>
      </c>
      <c r="Y30" s="19">
        <f>SUMPRODUCT(N([Dívida / PL]&gt;0),N(RIGHT([PAPEL],LEN([PAPEL])-(LEN([PAPEL])-1))="3"),[Dívida / PL])/SUMPRODUCT(N([Dívida / PL]&gt;0),N(RIGHT([PAPEL],LEN([PAPEL])-(LEN([PAPEL])-1))="3"))</f>
        <v>2.1510410379481146</v>
      </c>
      <c r="Z30" s="7">
        <f>Tabela3[[#This Row],[Capital Social]]*20%</f>
        <v>0</v>
      </c>
      <c r="AA30" s="47">
        <f>IF(([Lucro Líquido]*5%)&gt;[Teto R. Legal],[Teto R. Legal],[Lucro Líquido]*5%)</f>
        <v>0</v>
      </c>
      <c r="AB30" s="47">
        <f>IF([Lucro Líquido]&lt;0,0,[Lucro Líquido]-[Reserva Legal])</f>
        <v>1159542000</v>
      </c>
      <c r="AC30" s="47">
        <f>Tabela3[[#This Row],[Lucro Distribuir]]*[%Div]</f>
        <v>289885500</v>
      </c>
      <c r="AD30" s="56">
        <f>SUMPRODUCT(N([Nome]=Tabela3[[#This Row],[Nome]]),[Ações])</f>
        <v>1290751144</v>
      </c>
      <c r="AE30" s="85">
        <f>[Capital Social]/[Total Ações]</f>
        <v>0</v>
      </c>
      <c r="AF30" s="85">
        <f>Tabela3[[#This Row],[Lucro Líquido]]/Tabela3[[#This Row],[Total Ações]]</f>
        <v>0.89834667618934916</v>
      </c>
      <c r="AG30" s="85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</v>
      </c>
      <c r="AH30" s="85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30" s="77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30" s="85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</v>
      </c>
      <c r="AK30" s="7">
        <f>[Div Base]*[Ações]</f>
        <v>0</v>
      </c>
      <c r="AL30" s="7">
        <f>SUMPRODUCT(N([Nome]=Tabela3[[#This Row],[Nome]]),[Div Base]*[Ações])</f>
        <v>275391225</v>
      </c>
      <c r="AM30" s="5">
        <f>[Patrimônio Líquido]/[Total Ações]</f>
        <v>3.0608557027937833</v>
      </c>
      <c r="AN30" s="52">
        <f>MAX(Tabela3[[#This Row],[Cotação 1]:[Cotação 5]])</f>
        <v>23.64</v>
      </c>
      <c r="AO30" s="53">
        <f>[Cotação]/[VPA]</f>
        <v>7.7233304328664332</v>
      </c>
      <c r="AP30" s="37">
        <f>IF(Tabela3[[#This Row],[Lucro/Ação]]&gt;0,Tabela3[[#This Row],[Cotação]]/(Tabela3[[#This Row],[Lucro/Ação]]/[Ref]*4),0)</f>
        <v>26.315008032619776</v>
      </c>
      <c r="AQ30" s="85">
        <f>[Lucro Distribuir]/[Total Ações]</f>
        <v>0.89834667618934916</v>
      </c>
      <c r="AR30" s="85">
        <f>IF([Unit ON]&gt;0,SUMPRODUCT(N([Nome]=Tabela3[[#This Row],[Nome]]),N(RIGHT([PAPEL],1)="3"),[Div Base])*[Unit ON]+SUMPRODUCT(N([Nome]=Tabela3[[#This Row],[Nome]]),N(RIGHT([PAPEL],1)="4"),[Div Base])*[Unit PN],[Div Base])</f>
        <v>0.64007200678491127</v>
      </c>
      <c r="AS30" s="10" t="str">
        <f>IF(AND([% A.A.]&gt;=6%,SUMPRODUCT(N([Nome]=Tabela3[[#This Row],[Nome]]),[PL])&gt;0,[Rentabilidade s/ PL]&gt;=[Rentabilidade s/ PL Média]),"Sim","Não")</f>
        <v>Não</v>
      </c>
      <c r="AT30" s="22">
        <f>IF([Cotação]&gt;0,Tabela3[[#This Row],[Lucro]]/Tabela3[[#This Row],[Cotação]],0)</f>
        <v>2.7075804009514013E-2</v>
      </c>
      <c r="AU30" s="22">
        <f>((1+Tabela3[[#This Row],[% Yield]])^(1/(3*Tabela3[[#This Row],[Ref]])))^(12)-1</f>
        <v>2.707580400951537E-2</v>
      </c>
      <c r="AV30" s="10">
        <f>IF([Cotação]&gt;0,($BH$1/Tabela3[[#This Row],[Cotação]]-MOD($BH$1/Tabela3[[#This Row],[Cotação]],100)),)</f>
        <v>0</v>
      </c>
      <c r="AW30" s="7">
        <f>Tabela3[[#This Row],[Ativos]]*[Lucro]</f>
        <v>0</v>
      </c>
      <c r="AX30" s="7">
        <f>SUMPRODUCT(N(Tabela1[Código]=Tabela3[[#This Row],[PAPEL]]),Tabela1[Fechamento])</f>
        <v>0</v>
      </c>
      <c r="AY30" s="7">
        <f>SUMPRODUCT(N(Tabela17[Código]=Tabela3[[#This Row],[PAPEL]]),Tabela17[Fechamento])</f>
        <v>0</v>
      </c>
      <c r="AZ30" s="7">
        <f>SUMPRODUCT(N(Tabela176[Código]=Tabela3[[#This Row],[PAPEL]]),Tabela176[Fechamento])</f>
        <v>0</v>
      </c>
      <c r="BA30" s="7">
        <f>SUMPRODUCT(N(Tabela1768[Código]=Tabela3[[#This Row],[PAPEL]]),Tabela1768[Fechamento])</f>
        <v>23.64</v>
      </c>
      <c r="BB30" s="7">
        <f>SUMPRODUCT(N(Tabela17683[Código]=Tabela3[[#This Row],[PAPEL]]),Tabela17683[Fechamento])</f>
        <v>0</v>
      </c>
    </row>
    <row r="31" spans="1:54">
      <c r="A31" s="3" t="s">
        <v>907</v>
      </c>
      <c r="B31" s="58" t="s">
        <v>920</v>
      </c>
      <c r="C31" s="16" t="str">
        <f>LEFT([PAPEL],LEN([PAPEL])-(LEN([PAPEL])-4))</f>
        <v>VVAR</v>
      </c>
      <c r="D31" s="16">
        <v>4</v>
      </c>
      <c r="E31" s="5">
        <v>2895452570.5900002</v>
      </c>
      <c r="F31" s="56">
        <v>659164518</v>
      </c>
      <c r="G31" s="81">
        <v>0.25</v>
      </c>
      <c r="H31" s="87"/>
      <c r="J31" s="18"/>
      <c r="K31" s="16"/>
      <c r="L31" s="87"/>
      <c r="M31" s="54">
        <v>13300516000</v>
      </c>
      <c r="N31" s="54">
        <v>8853593000</v>
      </c>
      <c r="O31" s="54">
        <v>7717457000</v>
      </c>
      <c r="P31" s="91">
        <v>3950803000</v>
      </c>
      <c r="Q31" s="73">
        <v>1159542000</v>
      </c>
      <c r="R31" s="73">
        <f>IF(Tabela3[[#This Row],[Ativo || Passivo]]&gt;0,Tabela3[[#This Row],[Ativo || Passivo]]-Tabela3[[#This Row],[Patrimônio Líquido]],0)</f>
        <v>9349713000</v>
      </c>
      <c r="S31" s="73">
        <f>Tabela3[[#This Row],[Cotação]]*Tabela3[[#This Row],[Total Ações]]</f>
        <v>8260807321.6000004</v>
      </c>
      <c r="T31" s="37">
        <f>IF(Tabela3[[#This Row],[Passivo Circulante]]&gt;0,Tabela3[[#This Row],[Ativo Circulante]]/Tabela3[[#This Row],[Passivo Circulante]],0)</f>
        <v>1.1472163693299491</v>
      </c>
      <c r="U31" s="37">
        <f>SUMPRODUCT(N([Liquidez Corrente]&gt;0),N(RIGHT([PAPEL],LEN([PAPEL])-(LEN([PAPEL])-1))="3"),[Liquidez Corrente])/SUMPRODUCT(N([Liquidez Corrente]&gt;0),N(RIGHT([PAPEL],LEN([PAPEL])-(LEN([PAPEL])-1))="3"))</f>
        <v>2.331224473064915</v>
      </c>
      <c r="V31" s="18">
        <f>IF(Tabela3[[#This Row],[Lucro Líquido]]&gt;0,Tabela3[[#This Row],[Lucro Líquido]]/Tabela3[[#This Row],[Patrimônio Líquido]],0)</f>
        <v>0.29349527172071094</v>
      </c>
      <c r="W31" s="18">
        <f>SUMPRODUCT(N([Rentabilidade s/ PL]&gt;0),N(RIGHT([PAPEL],LEN([PAPEL])-(LEN([PAPEL])-1))="3"),[Rentabilidade s/ PL])/SUMPRODUCT(N([Rentabilidade s/ PL]&gt;0),N(RIGHT([PAPEL],LEN([PAPEL])-(LEN([PAPEL])-1))="3"))</f>
        <v>0.1261051308670782</v>
      </c>
      <c r="X31" s="18">
        <f>IF(Tabela3[[#This Row],[Dívida]]&gt;0,Tabela3[[#This Row],[Dívida]]/Tabela3[[#This Row],[Patrimônio Líquido]],0)</f>
        <v>2.3665348538006072</v>
      </c>
      <c r="Y31" s="18">
        <f>SUMPRODUCT(N([Dívida / PL]&gt;0),N(RIGHT([PAPEL],LEN([PAPEL])-(LEN([PAPEL])-1))="3"),[Dívida / PL])/SUMPRODUCT(N([Dívida / PL]&gt;0),N(RIGHT([PAPEL],LEN([PAPEL])-(LEN([PAPEL])-1))="3"))</f>
        <v>2.1510410379481146</v>
      </c>
      <c r="Z31" s="7">
        <f>Tabela3[[#This Row],[Capital Social]]*20%</f>
        <v>579090514.11800003</v>
      </c>
      <c r="AA31" s="47">
        <f>IF(([Lucro Líquido]*5%)&gt;[Teto R. Legal],[Teto R. Legal],[Lucro Líquido]*5%)</f>
        <v>57977100</v>
      </c>
      <c r="AB31" s="47">
        <f>IF([Lucro Líquido]&lt;0,0,[Lucro Líquido]-[Reserva Legal])</f>
        <v>1101564900</v>
      </c>
      <c r="AC31" s="47">
        <f>Tabela3[[#This Row],[Lucro Distribuir]]*[%Div]</f>
        <v>275391225</v>
      </c>
      <c r="AD31" s="56">
        <f>SUMPRODUCT(N([Nome]=Tabela3[[#This Row],[Nome]]),[Ações])</f>
        <v>1290751144</v>
      </c>
      <c r="AE31" s="85">
        <f>[Capital Social]/[Total Ações]</f>
        <v>2.2432306831951179</v>
      </c>
      <c r="AF31" s="85">
        <f>Tabela3[[#This Row],[Lucro Líquido]]/Tabela3[[#This Row],[Total Ações]]</f>
        <v>0.89834667618934916</v>
      </c>
      <c r="AG31" s="85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0.21335733559497042</v>
      </c>
      <c r="AH31" s="85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31" s="77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31" s="85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0.21335733559497042</v>
      </c>
      <c r="AK31" s="7">
        <f>[Div Base]*[Ações]</f>
        <v>140637585.27922291</v>
      </c>
      <c r="AL31" s="7">
        <f>SUMPRODUCT(N([Nome]=Tabela3[[#This Row],[Nome]]),[Div Base]*[Ações])</f>
        <v>275391225</v>
      </c>
      <c r="AM31" s="5">
        <f>[Patrimônio Líquido]/[Total Ações]</f>
        <v>3.0608557027937833</v>
      </c>
      <c r="AN31" s="52">
        <f>MAX(Tabela3[[#This Row],[Cotação 1]:[Cotação 5]])</f>
        <v>6.4</v>
      </c>
      <c r="AO31" s="53">
        <f>[Cotação]/[VPA]</f>
        <v>2.0909185605052949</v>
      </c>
      <c r="AP31" s="37">
        <f>IF(Tabela3[[#This Row],[Lucro/Ação]]&gt;0,Tabela3[[#This Row],[Cotação]]/(Tabela3[[#This Row],[Lucro/Ação]]/[Ref]*4),0)</f>
        <v>7.1241984521474864</v>
      </c>
      <c r="AQ31" s="85">
        <f>[Lucro Distribuir]/[Total Ações]</f>
        <v>0.85342934237988166</v>
      </c>
      <c r="AR31" s="85">
        <f>IF([Unit ON]&gt;0,SUMPRODUCT(N([Nome]=Tabela3[[#This Row],[Nome]]),N(RIGHT([PAPEL],1)="3"),[Div Base])*[Unit ON]+SUMPRODUCT(N([Nome]=Tabela3[[#This Row],[Nome]]),N(RIGHT([PAPEL],1)="4"),[Div Base])*[Unit PN],[Div Base])</f>
        <v>0.21335733559497042</v>
      </c>
      <c r="AS31" s="10" t="str">
        <f>IF(AND([% A.A.]&gt;=6%,SUMPRODUCT(N([Nome]=Tabela3[[#This Row],[Nome]]),[PL])&gt;0,[Rentabilidade s/ PL]&gt;=[Rentabilidade s/ PL Média]),"Sim","Não")</f>
        <v>Não</v>
      </c>
      <c r="AT31" s="22">
        <f>IF([Cotação]&gt;0,Tabela3[[#This Row],[Lucro]]/Tabela3[[#This Row],[Cotação]],0)</f>
        <v>3.3337083686714127E-2</v>
      </c>
      <c r="AU31" s="22">
        <f>((1+Tabela3[[#This Row],[% Yield]])^(1/(3*Tabela3[[#This Row],[Ref]])))^(12)-1</f>
        <v>3.3337083686713287E-2</v>
      </c>
      <c r="AV31" s="10">
        <f>IF([Cotação]&gt;0,($BH$1/Tabela3[[#This Row],[Cotação]]-MOD($BH$1/Tabela3[[#This Row],[Cotação]],100)),)</f>
        <v>0</v>
      </c>
      <c r="AW31" s="7">
        <f>Tabela3[[#This Row],[Ativos]]*[Lucro]</f>
        <v>0</v>
      </c>
      <c r="AX31" s="7">
        <f>SUMPRODUCT(N(Tabela1[Código]=Tabela3[[#This Row],[PAPEL]]),Tabela1[Fechamento])</f>
        <v>0</v>
      </c>
      <c r="AY31" s="7">
        <f>SUMPRODUCT(N(Tabela17[Código]=Tabela3[[#This Row],[PAPEL]]),Tabela17[Fechamento])</f>
        <v>0</v>
      </c>
      <c r="AZ31" s="7">
        <f>SUMPRODUCT(N(Tabela176[Código]=Tabela3[[#This Row],[PAPEL]]),Tabela176[Fechamento])</f>
        <v>0</v>
      </c>
      <c r="BA31" s="7">
        <f>SUMPRODUCT(N(Tabela1768[Código]=Tabela3[[#This Row],[PAPEL]]),Tabela1768[Fechamento])</f>
        <v>6.4</v>
      </c>
      <c r="BB31" s="7">
        <f>SUMPRODUCT(N(Tabela17683[Código]=Tabela3[[#This Row],[PAPEL]]),Tabela17683[Fechamento])</f>
        <v>0</v>
      </c>
    </row>
    <row r="32" spans="1:54">
      <c r="A32" s="3" t="s">
        <v>907</v>
      </c>
      <c r="B32" s="58" t="s">
        <v>921</v>
      </c>
      <c r="C32" s="16" t="str">
        <f>LEFT([PAPEL],LEN([PAPEL])-(LEN([PAPEL])-4))</f>
        <v>VVAR</v>
      </c>
      <c r="D32" s="16">
        <v>4</v>
      </c>
      <c r="E32" s="5">
        <v>2895452570.5900002</v>
      </c>
      <c r="F32" s="56">
        <v>631586626</v>
      </c>
      <c r="G32" s="81">
        <v>0.25</v>
      </c>
      <c r="H32" s="87"/>
      <c r="J32" s="18"/>
      <c r="K32" s="16"/>
      <c r="L32" s="87"/>
      <c r="M32" s="54">
        <v>13300516000</v>
      </c>
      <c r="N32" s="54">
        <v>8853593000</v>
      </c>
      <c r="O32" s="54">
        <v>7717457000</v>
      </c>
      <c r="P32" s="91">
        <v>3950803000</v>
      </c>
      <c r="Q32" s="73">
        <v>1159542000</v>
      </c>
      <c r="R32" s="73">
        <f>IF(Tabela3[[#This Row],[Ativo || Passivo]]&gt;0,Tabela3[[#This Row],[Ativo || Passivo]]-Tabela3[[#This Row],[Patrimônio Líquido]],0)</f>
        <v>9349713000</v>
      </c>
      <c r="S32" s="73">
        <f>Tabela3[[#This Row],[Cotação]]*Tabela3[[#This Row],[Total Ações]]</f>
        <v>0</v>
      </c>
      <c r="T32" s="37">
        <f>IF(Tabela3[[#This Row],[Passivo Circulante]]&gt;0,Tabela3[[#This Row],[Ativo Circulante]]/Tabela3[[#This Row],[Passivo Circulante]],0)</f>
        <v>1.1472163693299491</v>
      </c>
      <c r="U32" s="37">
        <f>SUMPRODUCT(N([Liquidez Corrente]&gt;0),N(RIGHT([PAPEL],LEN([PAPEL])-(LEN([PAPEL])-1))="3"),[Liquidez Corrente])/SUMPRODUCT(N([Liquidez Corrente]&gt;0),N(RIGHT([PAPEL],LEN([PAPEL])-(LEN([PAPEL])-1))="3"))</f>
        <v>2.331224473064915</v>
      </c>
      <c r="V32" s="18">
        <f>IF(Tabela3[[#This Row],[Lucro Líquido]]&gt;0,Tabela3[[#This Row],[Lucro Líquido]]/Tabela3[[#This Row],[Patrimônio Líquido]],0)</f>
        <v>0.29349527172071094</v>
      </c>
      <c r="W32" s="18">
        <f>SUMPRODUCT(N([Rentabilidade s/ PL]&gt;0),N(RIGHT([PAPEL],LEN([PAPEL])-(LEN([PAPEL])-1))="3"),[Rentabilidade s/ PL])/SUMPRODUCT(N([Rentabilidade s/ PL]&gt;0),N(RIGHT([PAPEL],LEN([PAPEL])-(LEN([PAPEL])-1))="3"))</f>
        <v>0.1261051308670782</v>
      </c>
      <c r="X32" s="18">
        <f>IF(Tabela3[[#This Row],[Dívida]]&gt;0,Tabela3[[#This Row],[Dívida]]/Tabela3[[#This Row],[Patrimônio Líquido]],0)</f>
        <v>2.3665348538006072</v>
      </c>
      <c r="Y32" s="18">
        <f>SUMPRODUCT(N([Dívida / PL]&gt;0),N(RIGHT([PAPEL],LEN([PAPEL])-(LEN([PAPEL])-1))="3"),[Dívida / PL])/SUMPRODUCT(N([Dívida / PL]&gt;0),N(RIGHT([PAPEL],LEN([PAPEL])-(LEN([PAPEL])-1))="3"))</f>
        <v>2.1510410379481146</v>
      </c>
      <c r="Z32" s="7">
        <f>Tabela3[[#This Row],[Capital Social]]*20%</f>
        <v>579090514.11800003</v>
      </c>
      <c r="AA32" s="47">
        <f>IF(([Lucro Líquido]*5%)&gt;[Teto R. Legal],[Teto R. Legal],[Lucro Líquido]*5%)</f>
        <v>57977100</v>
      </c>
      <c r="AB32" s="47">
        <f>IF([Lucro Líquido]&lt;0,0,[Lucro Líquido]-[Reserva Legal])</f>
        <v>1101564900</v>
      </c>
      <c r="AC32" s="47">
        <f>Tabela3[[#This Row],[Lucro Distribuir]]*[%Div]</f>
        <v>275391225</v>
      </c>
      <c r="AD32" s="56">
        <f>SUMPRODUCT(N([Nome]=Tabela3[[#This Row],[Nome]]),[Ações])</f>
        <v>1290751144</v>
      </c>
      <c r="AE32" s="85">
        <f>[Capital Social]/[Total Ações]</f>
        <v>2.2432306831951179</v>
      </c>
      <c r="AF32" s="85">
        <f>Tabela3[[#This Row],[Lucro Líquido]]/Tabela3[[#This Row],[Total Ações]]</f>
        <v>0.89834667618934916</v>
      </c>
      <c r="AG32" s="85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0.21335733559497042</v>
      </c>
      <c r="AH32" s="85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32" s="77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32" s="85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0.21335733559497042</v>
      </c>
      <c r="AK32" s="7">
        <f>[Div Base]*[Ações]</f>
        <v>134753639.72077706</v>
      </c>
      <c r="AL32" s="7">
        <f>SUMPRODUCT(N([Nome]=Tabela3[[#This Row],[Nome]]),[Div Base]*[Ações])</f>
        <v>275391225</v>
      </c>
      <c r="AM32" s="5">
        <f>[Patrimônio Líquido]/[Total Ações]</f>
        <v>3.0608557027937833</v>
      </c>
      <c r="AN32" s="52">
        <f>MAX(Tabela3[[#This Row],[Cotação 1]:[Cotação 5]])</f>
        <v>0</v>
      </c>
      <c r="AO32" s="53">
        <f>[Cotação]/[VPA]</f>
        <v>0</v>
      </c>
      <c r="AP32" s="37">
        <f>IF(Tabela3[[#This Row],[Lucro/Ação]]&gt;0,Tabela3[[#This Row],[Cotação]]/(Tabela3[[#This Row],[Lucro/Ação]]/[Ref]*4),0)</f>
        <v>0</v>
      </c>
      <c r="AQ32" s="85">
        <f>[Lucro Distribuir]/[Total Ações]</f>
        <v>0.85342934237988166</v>
      </c>
      <c r="AR32" s="85">
        <f>IF([Unit ON]&gt;0,SUMPRODUCT(N([Nome]=Tabela3[[#This Row],[Nome]]),N(RIGHT([PAPEL],1)="3"),[Div Base])*[Unit ON]+SUMPRODUCT(N([Nome]=Tabela3[[#This Row],[Nome]]),N(RIGHT([PAPEL],1)="4"),[Div Base])*[Unit PN],[Div Base])</f>
        <v>0.21335733559497042</v>
      </c>
      <c r="AS32" s="10" t="str">
        <f>IF(AND([% A.A.]&gt;=6%,SUMPRODUCT(N([Nome]=Tabela3[[#This Row],[Nome]]),[PL])&gt;0,[Rentabilidade s/ PL]&gt;=[Rentabilidade s/ PL Média]),"Sim","Não")</f>
        <v>Não</v>
      </c>
      <c r="AT32" s="22">
        <f>IF([Cotação]&gt;0,Tabela3[[#This Row],[Lucro]]/Tabela3[[#This Row],[Cotação]],0)</f>
        <v>0</v>
      </c>
      <c r="AU32" s="22">
        <f>((1+Tabela3[[#This Row],[% Yield]])^(1/(3*Tabela3[[#This Row],[Ref]])))^(12)-1</f>
        <v>0</v>
      </c>
      <c r="AV32" s="10">
        <f>IF([Cotação]&gt;0,($BH$1/Tabela3[[#This Row],[Cotação]]-MOD($BH$1/Tabela3[[#This Row],[Cotação]],100)),)</f>
        <v>0</v>
      </c>
      <c r="AW32" s="7">
        <f>Tabela3[[#This Row],[Ativos]]*[Lucro]</f>
        <v>0</v>
      </c>
      <c r="AX32" s="7">
        <f>SUMPRODUCT(N(Tabela1[Código]=Tabela3[[#This Row],[PAPEL]]),Tabela1[Fechamento])</f>
        <v>0</v>
      </c>
      <c r="AY32" s="7">
        <f>SUMPRODUCT(N(Tabela17[Código]=Tabela3[[#This Row],[PAPEL]]),Tabela17[Fechamento])</f>
        <v>0</v>
      </c>
      <c r="AZ32" s="7">
        <f>SUMPRODUCT(N(Tabela176[Código]=Tabela3[[#This Row],[PAPEL]]),Tabela176[Fechamento])</f>
        <v>0</v>
      </c>
      <c r="BA32" s="7">
        <f>SUMPRODUCT(N(Tabela1768[Código]=Tabela3[[#This Row],[PAPEL]]),Tabela1768[Fechamento])</f>
        <v>0</v>
      </c>
      <c r="BB32" s="7">
        <f>SUMPRODUCT(N(Tabela17683[Código]=Tabela3[[#This Row],[PAPEL]]),Tabela17683[Fechamento])</f>
        <v>0</v>
      </c>
    </row>
    <row r="33" spans="1:54" hidden="1">
      <c r="A33" s="4" t="s">
        <v>238</v>
      </c>
      <c r="B33" s="57" t="s">
        <v>613</v>
      </c>
      <c r="C33" s="15" t="str">
        <f>LEFT([PAPEL],LEN([PAPEL])-(LEN([PAPEL])-4))</f>
        <v>GGBR</v>
      </c>
      <c r="D33" s="15">
        <v>3</v>
      </c>
      <c r="E33" s="6">
        <v>19323246666</v>
      </c>
      <c r="F33" s="8">
        <v>573627483</v>
      </c>
      <c r="G33" s="86">
        <v>0</v>
      </c>
      <c r="H33" s="15"/>
      <c r="I33" s="19"/>
      <c r="J33" s="19"/>
      <c r="K33" s="88"/>
      <c r="L33" s="88"/>
      <c r="M33" s="55"/>
      <c r="N33" s="55"/>
      <c r="O33" s="55"/>
      <c r="P33" s="92">
        <v>29203110000</v>
      </c>
      <c r="Q33" s="93">
        <v>1133637000</v>
      </c>
      <c r="R33" s="93">
        <f>IF(Tabela3[[#This Row],[Ativo || Passivo]]&gt;0,Tabela3[[#This Row],[Ativo || Passivo]]-Tabela3[[#This Row],[Patrimônio Líquido]],0)</f>
        <v>0</v>
      </c>
      <c r="S33" s="93">
        <f>Tabela3[[#This Row],[Cotação]]*Tabela3[[#This Row],[Total Ações]]</f>
        <v>20928246719.759998</v>
      </c>
      <c r="T33" s="40">
        <f>IF(Tabela3[[#This Row],[Passivo Circulante]]&gt;0,Tabela3[[#This Row],[Ativo Circulante]]/Tabela3[[#This Row],[Passivo Circulante]],0)</f>
        <v>0</v>
      </c>
      <c r="U33" s="40">
        <f>SUMPRODUCT(N([Liquidez Corrente]&gt;0),N(RIGHT([PAPEL],LEN([PAPEL])-(LEN([PAPEL])-1))="3"),[Liquidez Corrente])/SUMPRODUCT(N([Liquidez Corrente]&gt;0),N(RIGHT([PAPEL],LEN([PAPEL])-(LEN([PAPEL])-1))="3"))</f>
        <v>2.331224473064915</v>
      </c>
      <c r="V33" s="19">
        <f>IF(Tabela3[[#This Row],[Lucro Líquido]]&gt;0,Tabela3[[#This Row],[Lucro Líquido]]/Tabela3[[#This Row],[Patrimônio Líquido]],0)</f>
        <v>3.8819050436751427E-2</v>
      </c>
      <c r="W33" s="19">
        <f>SUMPRODUCT(N([Rentabilidade s/ PL]&gt;0),N(RIGHT([PAPEL],LEN([PAPEL])-(LEN([PAPEL])-1))="3"),[Rentabilidade s/ PL])/SUMPRODUCT(N([Rentabilidade s/ PL]&gt;0),N(RIGHT([PAPEL],LEN([PAPEL])-(LEN([PAPEL])-1))="3"))</f>
        <v>0.1261051308670782</v>
      </c>
      <c r="X33" s="19">
        <f>IF(Tabela3[[#This Row],[Dívida]]&gt;0,Tabela3[[#This Row],[Dívida]]/Tabela3[[#This Row],[Patrimônio Líquido]],0)</f>
        <v>0</v>
      </c>
      <c r="Y33" s="19">
        <f>SUMPRODUCT(N([Dívida / PL]&gt;0),N(RIGHT([PAPEL],LEN([PAPEL])-(LEN([PAPEL])-1))="3"),[Dívida / PL])/SUMPRODUCT(N([Dívida / PL]&gt;0),N(RIGHT([PAPEL],LEN([PAPEL])-(LEN([PAPEL])-1))="3"))</f>
        <v>2.1510410379481146</v>
      </c>
      <c r="Z33" s="13">
        <f>Tabela3[[#This Row],[Capital Social]]*20%</f>
        <v>3864649333.2000003</v>
      </c>
      <c r="AA33" s="13">
        <f>IF(([Lucro Líquido]*5%)&gt;[Teto R. Legal],[Teto R. Legal],[Lucro Líquido]*5%)</f>
        <v>56681850</v>
      </c>
      <c r="AB33" s="13">
        <f>IF([Lucro Líquido]&lt;0,0,[Lucro Líquido]-[Reserva Legal])</f>
        <v>1076955150</v>
      </c>
      <c r="AC33" s="13">
        <f>Tabela3[[#This Row],[Lucro Distribuir]]*[%Div]</f>
        <v>0</v>
      </c>
      <c r="AD33" s="56">
        <f>SUMPRODUCT(N([Nome]=Tabela3[[#This Row],[Nome]]),[Ações])</f>
        <v>1719658728</v>
      </c>
      <c r="AE33" s="6">
        <f>[Capital Social]/[Total Ações]</f>
        <v>11.236675249206773</v>
      </c>
      <c r="AF33" s="78">
        <f>Tabela3[[#This Row],[Lucro Líquido]]/Tabela3[[#This Row],[Total Ações]]</f>
        <v>0.65922207792847609</v>
      </c>
      <c r="AG33" s="78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</v>
      </c>
      <c r="AH33" s="78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33" s="78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33" s="78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</v>
      </c>
      <c r="AK33" s="13">
        <f>[Div Base]*[Ações]</f>
        <v>0</v>
      </c>
      <c r="AL33" s="13">
        <f>SUMPRODUCT(N([Nome]=Tabela3[[#This Row],[Nome]]),[Div Base]*[Ações])</f>
        <v>323086545</v>
      </c>
      <c r="AM33" s="6">
        <f>[Patrimônio Líquido]/[Total Ações]</f>
        <v>16.981921775818765</v>
      </c>
      <c r="AN33" s="48">
        <f>MAX(Tabela3[[#This Row],[Cotação 1]:[Cotação 5]])</f>
        <v>12.17</v>
      </c>
      <c r="AO33" s="44">
        <f>[Cotação]/[VPA]</f>
        <v>0.71664445053146741</v>
      </c>
      <c r="AP33" s="40">
        <f>IF(Tabela3[[#This Row],[Lucro/Ação]]&gt;0,Tabela3[[#This Row],[Cotação]]/(Tabela3[[#This Row],[Lucro/Ação]]/[Ref]*4),0)</f>
        <v>13.845865157735677</v>
      </c>
      <c r="AQ33" s="78">
        <f>[Lucro Distribuir]/[Total Ações]</f>
        <v>0.62626097403205228</v>
      </c>
      <c r="AR33" s="78">
        <f>IF([Unit ON]&gt;0,SUMPRODUCT(N([Nome]=Tabela3[[#This Row],[Nome]]),N(RIGHT([PAPEL],1)="3"),[Div Base])*[Unit ON]+SUMPRODUCT(N([Nome]=Tabela3[[#This Row],[Nome]]),N(RIGHT([PAPEL],1)="4"),[Div Base])*[Unit PN],[Div Base])</f>
        <v>0</v>
      </c>
      <c r="AS33" s="14" t="str">
        <f>IF(AND([% A.A.]&gt;=6%,SUMPRODUCT(N([Nome]=Tabela3[[#This Row],[Nome]]),[PL])&gt;0,[Rentabilidade s/ PL]&gt;=[Rentabilidade s/ PL Média]),"Sim","Não")</f>
        <v>Não</v>
      </c>
      <c r="AT33" s="42">
        <f>IF([Cotação]&gt;0,Tabela3[[#This Row],[Lucro]]/Tabela3[[#This Row],[Cotação]],0)</f>
        <v>0</v>
      </c>
      <c r="AU33" s="42">
        <f>((1+Tabela3[[#This Row],[% Yield]])^(1/(3*Tabela3[[#This Row],[Ref]])))^(12)-1</f>
        <v>0</v>
      </c>
      <c r="AV33" s="14">
        <f>IF([Cotação]&gt;0,($BH$1/Tabela3[[#This Row],[Cotação]]-MOD($BH$1/Tabela3[[#This Row],[Cotação]],100)),)</f>
        <v>0</v>
      </c>
      <c r="AW33" s="17">
        <f>Tabela3[[#This Row],[Ativos]]*[Lucro]</f>
        <v>0</v>
      </c>
      <c r="AX33" s="17">
        <f>SUMPRODUCT(N(Tabela1[Código]=Tabela3[[#This Row],[PAPEL]]),Tabela1[Fechamento])</f>
        <v>0</v>
      </c>
      <c r="AY33" s="17">
        <f>SUMPRODUCT(N(Tabela17[Código]=Tabela3[[#This Row],[PAPEL]]),Tabela17[Fechamento])</f>
        <v>0</v>
      </c>
      <c r="AZ33" s="17">
        <f>SUMPRODUCT(N(Tabela176[Código]=Tabela3[[#This Row],[PAPEL]]),Tabela176[Fechamento])</f>
        <v>12.17</v>
      </c>
      <c r="BA33" s="17">
        <f>SUMPRODUCT(N(Tabela1768[Código]=Tabela3[[#This Row],[PAPEL]]),Tabela1768[Fechamento])</f>
        <v>0</v>
      </c>
      <c r="BB33" s="7">
        <f>SUMPRODUCT(N(Tabela17683[Código]=Tabela3[[#This Row],[PAPEL]]),Tabela17683[Fechamento])</f>
        <v>0</v>
      </c>
    </row>
    <row r="34" spans="1:54" hidden="1">
      <c r="A34" s="4" t="s">
        <v>238</v>
      </c>
      <c r="B34" s="57" t="s">
        <v>614</v>
      </c>
      <c r="C34" s="15" t="str">
        <f>LEFT([PAPEL],LEN([PAPEL])-(LEN([PAPEL])-4))</f>
        <v>GGBR</v>
      </c>
      <c r="D34" s="15">
        <v>3</v>
      </c>
      <c r="E34" s="6">
        <v>19323246666</v>
      </c>
      <c r="F34" s="8">
        <v>1146031245</v>
      </c>
      <c r="G34" s="86">
        <v>0.3</v>
      </c>
      <c r="H34" s="15"/>
      <c r="I34" s="19"/>
      <c r="J34" s="19"/>
      <c r="K34" s="88"/>
      <c r="L34" s="88"/>
      <c r="M34" s="55"/>
      <c r="N34" s="55"/>
      <c r="O34" s="55"/>
      <c r="P34" s="92">
        <v>29203110000</v>
      </c>
      <c r="Q34" s="93">
        <v>1133637000</v>
      </c>
      <c r="R34" s="93">
        <f>IF(Tabela3[[#This Row],[Ativo || Passivo]]&gt;0,Tabela3[[#This Row],[Ativo || Passivo]]-Tabela3[[#This Row],[Patrimônio Líquido]],0)</f>
        <v>0</v>
      </c>
      <c r="S34" s="93">
        <f>Tabela3[[#This Row],[Cotação]]*Tabela3[[#This Row],[Total Ações]]</f>
        <v>25777684332.720001</v>
      </c>
      <c r="T34" s="40">
        <f>IF(Tabela3[[#This Row],[Passivo Circulante]]&gt;0,Tabela3[[#This Row],[Ativo Circulante]]/Tabela3[[#This Row],[Passivo Circulante]],0)</f>
        <v>0</v>
      </c>
      <c r="U34" s="40">
        <f>SUMPRODUCT(N([Liquidez Corrente]&gt;0),N(RIGHT([PAPEL],LEN([PAPEL])-(LEN([PAPEL])-1))="3"),[Liquidez Corrente])/SUMPRODUCT(N([Liquidez Corrente]&gt;0),N(RIGHT([PAPEL],LEN([PAPEL])-(LEN([PAPEL])-1))="3"))</f>
        <v>2.331224473064915</v>
      </c>
      <c r="V34" s="19">
        <f>IF(Tabela3[[#This Row],[Lucro Líquido]]&gt;0,Tabela3[[#This Row],[Lucro Líquido]]/Tabela3[[#This Row],[Patrimônio Líquido]],0)</f>
        <v>3.8819050436751427E-2</v>
      </c>
      <c r="W34" s="19">
        <f>SUMPRODUCT(N([Rentabilidade s/ PL]&gt;0),N(RIGHT([PAPEL],LEN([PAPEL])-(LEN([PAPEL])-1))="3"),[Rentabilidade s/ PL])/SUMPRODUCT(N([Rentabilidade s/ PL]&gt;0),N(RIGHT([PAPEL],LEN([PAPEL])-(LEN([PAPEL])-1))="3"))</f>
        <v>0.1261051308670782</v>
      </c>
      <c r="X34" s="19">
        <f>IF(Tabela3[[#This Row],[Dívida]]&gt;0,Tabela3[[#This Row],[Dívida]]/Tabela3[[#This Row],[Patrimônio Líquido]],0)</f>
        <v>0</v>
      </c>
      <c r="Y34" s="19">
        <f>SUMPRODUCT(N([Dívida / PL]&gt;0),N(RIGHT([PAPEL],LEN([PAPEL])-(LEN([PAPEL])-1))="3"),[Dívida / PL])/SUMPRODUCT(N([Dívida / PL]&gt;0),N(RIGHT([PAPEL],LEN([PAPEL])-(LEN([PAPEL])-1))="3"))</f>
        <v>2.1510410379481146</v>
      </c>
      <c r="Z34" s="13">
        <f>Tabela3[[#This Row],[Capital Social]]*20%</f>
        <v>3864649333.2000003</v>
      </c>
      <c r="AA34" s="13">
        <f>IF(([Lucro Líquido]*5%)&gt;[Teto R. Legal],[Teto R. Legal],[Lucro Líquido]*5%)</f>
        <v>56681850</v>
      </c>
      <c r="AB34" s="13">
        <f>IF([Lucro Líquido]&lt;0,0,[Lucro Líquido]-[Reserva Legal])</f>
        <v>1076955150</v>
      </c>
      <c r="AC34" s="13">
        <f>Tabela3[[#This Row],[Lucro Distribuir]]*[%Div]</f>
        <v>323086545</v>
      </c>
      <c r="AD34" s="56">
        <f>SUMPRODUCT(N([Nome]=Tabela3[[#This Row],[Nome]]),[Ações])</f>
        <v>1719658728</v>
      </c>
      <c r="AE34" s="6">
        <f>[Capital Social]/[Total Ações]</f>
        <v>11.236675249206773</v>
      </c>
      <c r="AF34" s="78">
        <f>Tabela3[[#This Row],[Lucro Líquido]]/Tabela3[[#This Row],[Total Ações]]</f>
        <v>0.65922207792847609</v>
      </c>
      <c r="AG34" s="78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0.2819177456195795</v>
      </c>
      <c r="AH34" s="78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34" s="78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34" s="78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0.2819177456195795</v>
      </c>
      <c r="AK34" s="13">
        <f>[Div Base]*[Ações]</f>
        <v>323086545</v>
      </c>
      <c r="AL34" s="13">
        <f>SUMPRODUCT(N([Nome]=Tabela3[[#This Row],[Nome]]),[Div Base]*[Ações])</f>
        <v>323086545</v>
      </c>
      <c r="AM34" s="6">
        <f>[Patrimônio Líquido]/[Total Ações]</f>
        <v>16.981921775818765</v>
      </c>
      <c r="AN34" s="48">
        <f>MAX(Tabela3[[#This Row],[Cotação 1]:[Cotação 5]])</f>
        <v>14.99</v>
      </c>
      <c r="AO34" s="44">
        <f>[Cotação]/[VPA]</f>
        <v>0.8827033946973456</v>
      </c>
      <c r="AP34" s="40">
        <f>IF(Tabela3[[#This Row],[Lucro/Ação]]&gt;0,Tabela3[[#This Row],[Cotação]]/(Tabela3[[#This Row],[Lucro/Ação]]/[Ref]*4),0)</f>
        <v>17.05419217045668</v>
      </c>
      <c r="AQ34" s="78">
        <f>[Lucro Distribuir]/[Total Ações]</f>
        <v>0.62626097403205228</v>
      </c>
      <c r="AR34" s="78">
        <f>IF([Unit ON]&gt;0,SUMPRODUCT(N([Nome]=Tabela3[[#This Row],[Nome]]),N(RIGHT([PAPEL],1)="3"),[Div Base])*[Unit ON]+SUMPRODUCT(N([Nome]=Tabela3[[#This Row],[Nome]]),N(RIGHT([PAPEL],1)="4"),[Div Base])*[Unit PN],[Div Base])</f>
        <v>0.2819177456195795</v>
      </c>
      <c r="AS34" s="14" t="str">
        <f>IF(AND([% A.A.]&gt;=6%,SUMPRODUCT(N([Nome]=Tabela3[[#This Row],[Nome]]),[PL])&gt;0,[Rentabilidade s/ PL]&gt;=[Rentabilidade s/ PL Média]),"Sim","Não")</f>
        <v>Não</v>
      </c>
      <c r="AT34" s="42">
        <f>IF([Cotação]&gt;0,Tabela3[[#This Row],[Lucro]]/Tabela3[[#This Row],[Cotação]],0)</f>
        <v>1.8807054410912575E-2</v>
      </c>
      <c r="AU34" s="42">
        <f>((1+Tabela3[[#This Row],[% Yield]])^(1/(3*Tabela3[[#This Row],[Ref]])))^(12)-1</f>
        <v>2.5154347771917385E-2</v>
      </c>
      <c r="AV34" s="14">
        <f>IF([Cotação]&gt;0,($BH$1/Tabela3[[#This Row],[Cotação]]-MOD($BH$1/Tabela3[[#This Row],[Cotação]],100)),)</f>
        <v>0</v>
      </c>
      <c r="AW34" s="17">
        <f>Tabela3[[#This Row],[Ativos]]*[Lucro]</f>
        <v>0</v>
      </c>
      <c r="AX34" s="17">
        <f>SUMPRODUCT(N(Tabela1[Código]=Tabela3[[#This Row],[PAPEL]]),Tabela1[Fechamento])</f>
        <v>0</v>
      </c>
      <c r="AY34" s="17">
        <f>SUMPRODUCT(N(Tabela17[Código]=Tabela3[[#This Row],[PAPEL]]),Tabela17[Fechamento])</f>
        <v>0</v>
      </c>
      <c r="AZ34" s="17">
        <f>SUMPRODUCT(N(Tabela176[Código]=Tabela3[[#This Row],[PAPEL]]),Tabela176[Fechamento])</f>
        <v>14.99</v>
      </c>
      <c r="BA34" s="17">
        <f>SUMPRODUCT(N(Tabela1768[Código]=Tabela3[[#This Row],[PAPEL]]),Tabela1768[Fechamento])</f>
        <v>0</v>
      </c>
      <c r="BB34" s="7">
        <f>SUMPRODUCT(N(Tabela17683[Código]=Tabela3[[#This Row],[PAPEL]]),Tabela17683[Fechamento])</f>
        <v>0</v>
      </c>
    </row>
    <row r="35" spans="1:54">
      <c r="A35" s="4" t="s">
        <v>376</v>
      </c>
      <c r="B35" s="57" t="s">
        <v>375</v>
      </c>
      <c r="C35" s="82" t="str">
        <f>LEFT([PAPEL],LEN([PAPEL])-(LEN([PAPEL])-4))</f>
        <v>BVMF</v>
      </c>
      <c r="D35" s="15">
        <v>4</v>
      </c>
      <c r="E35" s="6">
        <v>2540239563.8800001</v>
      </c>
      <c r="F35" s="38">
        <v>1980000000</v>
      </c>
      <c r="G35" s="86">
        <v>0.25</v>
      </c>
      <c r="H35" s="15"/>
      <c r="I35" s="19"/>
      <c r="J35" s="19"/>
      <c r="K35" s="88"/>
      <c r="L35" s="88"/>
      <c r="M35" s="55"/>
      <c r="N35" s="55"/>
      <c r="O35" s="55"/>
      <c r="P35" s="6">
        <v>19284229000</v>
      </c>
      <c r="Q35" s="6">
        <v>1081516000</v>
      </c>
      <c r="R35" s="6">
        <f>IF(Tabela3[[#This Row],[Ativo || Passivo]]&gt;0,Tabela3[[#This Row],[Ativo || Passivo]]-Tabela3[[#This Row],[Patrimônio Líquido]],0)</f>
        <v>0</v>
      </c>
      <c r="S35" s="6">
        <f>Tabela3[[#This Row],[Cotação]]*Tabela3[[#This Row],[Total Ações]]</f>
        <v>18968400000</v>
      </c>
      <c r="T35" s="132">
        <f>IF(Tabela3[[#This Row],[Passivo Circulante]]&gt;0,Tabela3[[#This Row],[Ativo Circulante]]/Tabela3[[#This Row],[Passivo Circulante]],0)</f>
        <v>0</v>
      </c>
      <c r="U35" s="132">
        <f>SUMPRODUCT(N([Liquidez Corrente]&gt;0),N(RIGHT([PAPEL],LEN([PAPEL])-(LEN([PAPEL])-1))="3"),[Liquidez Corrente])/SUMPRODUCT(N([Liquidez Corrente]&gt;0),N(RIGHT([PAPEL],LEN([PAPEL])-(LEN([PAPEL])-1))="3"))</f>
        <v>2.331224473064915</v>
      </c>
      <c r="V35" s="19">
        <f>IF(Tabela3[[#This Row],[Lucro Líquido]]&gt;0,Tabela3[[#This Row],[Lucro Líquido]]/Tabela3[[#This Row],[Patrimônio Líquido]],0)</f>
        <v>5.6082926623615595E-2</v>
      </c>
      <c r="W35" s="19">
        <f>SUMPRODUCT(N([Rentabilidade s/ PL]&gt;0),N(RIGHT([PAPEL],LEN([PAPEL])-(LEN([PAPEL])-1))="3"),[Rentabilidade s/ PL])/SUMPRODUCT(N([Rentabilidade s/ PL]&gt;0),N(RIGHT([PAPEL],LEN([PAPEL])-(LEN([PAPEL])-1))="3"))</f>
        <v>0.1261051308670782</v>
      </c>
      <c r="X35" s="19">
        <f>IF(Tabela3[[#This Row],[Dívida]]&gt;0,Tabela3[[#This Row],[Dívida]]/Tabela3[[#This Row],[Patrimônio Líquido]],0)</f>
        <v>0</v>
      </c>
      <c r="Y35" s="19">
        <f>SUMPRODUCT(N([Dívida / PL]&gt;0),N(RIGHT([PAPEL],LEN([PAPEL])-(LEN([PAPEL])-1))="3"),[Dívida / PL])/SUMPRODUCT(N([Dívida / PL]&gt;0),N(RIGHT([PAPEL],LEN([PAPEL])-(LEN([PAPEL])-1))="3"))</f>
        <v>2.1510410379481146</v>
      </c>
      <c r="Z35" s="6">
        <f>Tabela3[[#This Row],[Capital Social]]*20%</f>
        <v>508047912.77600002</v>
      </c>
      <c r="AA35" s="6">
        <f>IF(([Lucro Líquido]*5%)&gt;[Teto R. Legal],[Teto R. Legal],[Lucro Líquido]*5%)</f>
        <v>54075800</v>
      </c>
      <c r="AB35" s="6">
        <f>IF([Lucro Líquido]&lt;0,0,[Lucro Líquido]-[Reserva Legal])</f>
        <v>1027440200</v>
      </c>
      <c r="AC35" s="6">
        <f>Tabela3[[#This Row],[Lucro Distribuir]]*[%Div]</f>
        <v>256860050</v>
      </c>
      <c r="AD35" s="56">
        <f>SUMPRODUCT(N([Nome]=Tabela3[[#This Row],[Nome]]),[Ações])</f>
        <v>1980000000</v>
      </c>
      <c r="AE35" s="6">
        <f>[Capital Social]/[Total Ações]</f>
        <v>1.2829492746868687</v>
      </c>
      <c r="AF35" s="78">
        <f>Tabela3[[#This Row],[Lucro Líquido]]/Tabela3[[#This Row],[Total Ações]]</f>
        <v>0.54622020202020205</v>
      </c>
      <c r="AG35" s="78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0.12972729797979798</v>
      </c>
      <c r="AH35" s="78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35" s="78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35" s="78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0.12972729797979798</v>
      </c>
      <c r="AK35" s="6">
        <f>[Div Base]*[Ações]</f>
        <v>256860050</v>
      </c>
      <c r="AL35" s="6">
        <f>SUMPRODUCT(N([Nome]=Tabela3[[#This Row],[Nome]]),[Div Base]*[Ações])</f>
        <v>256860050</v>
      </c>
      <c r="AM35" s="6">
        <f>[Patrimônio Líquido]/[Total Ações]</f>
        <v>9.7395095959595963</v>
      </c>
      <c r="AN35" s="48">
        <f>MAX(Tabela3[[#This Row],[Cotação 1]:[Cotação 5]])</f>
        <v>9.58</v>
      </c>
      <c r="AO35" s="44">
        <f>[Cotação]/[VPA]</f>
        <v>0.9836224201652034</v>
      </c>
      <c r="AP35" s="40">
        <f>IF(Tabela3[[#This Row],[Lucro/Ação]]&gt;0,Tabela3[[#This Row],[Cotação]]/(Tabela3[[#This Row],[Lucro/Ação]]/[Ref]*4),0)</f>
        <v>17.538714175287282</v>
      </c>
      <c r="AQ35" s="78">
        <f>[Lucro Distribuir]/[Total Ações]</f>
        <v>0.51890919191919194</v>
      </c>
      <c r="AR35" s="78">
        <f>IF([Unit ON]&gt;0,SUMPRODUCT(N([Nome]=Tabela3[[#This Row],[Nome]]),N(RIGHT([PAPEL],1)="3"),[Div Base])*[Unit ON]+SUMPRODUCT(N([Nome]=Tabela3[[#This Row],[Nome]]),N(RIGHT([PAPEL],1)="4"),[Div Base])*[Unit PN],[Div Base])</f>
        <v>0.12972729797979798</v>
      </c>
      <c r="AS35" s="15" t="str">
        <f>IF(AND([% A.A.]&gt;=6%,SUMPRODUCT(N([Nome]=Tabela3[[#This Row],[Nome]]),[PL])&gt;0,[Rentabilidade s/ PL]&gt;=[Rentabilidade s/ PL Média]),"Sim","Não")</f>
        <v>Não</v>
      </c>
      <c r="AT35" s="42">
        <f>IF([Cotação]&gt;0,Tabela3[[#This Row],[Lucro]]/Tabela3[[#This Row],[Cotação]],0)</f>
        <v>1.3541471605406887E-2</v>
      </c>
      <c r="AU35" s="19">
        <f>((1+Tabela3[[#This Row],[% Yield]])^(1/(3*Tabela3[[#This Row],[Ref]])))^(12)-1</f>
        <v>1.3541471605407418E-2</v>
      </c>
      <c r="AV35" s="14">
        <f>IF([Cotação]&gt;0,($BH$1/Tabela3[[#This Row],[Cotação]]-MOD($BH$1/Tabela3[[#This Row],[Cotação]],100)),)</f>
        <v>0</v>
      </c>
      <c r="AW35" s="17">
        <f>Tabela3[[#This Row],[Ativos]]*[Lucro]</f>
        <v>0</v>
      </c>
      <c r="AX35" s="13">
        <f>SUMPRODUCT(N(Tabela1[Código]=Tabela3[[#This Row],[PAPEL]]),Tabela1[Fechamento])</f>
        <v>0</v>
      </c>
      <c r="AY35" s="55">
        <f>SUMPRODUCT(N(Tabela17[Código]=Tabela3[[#This Row],[PAPEL]]),Tabela17[Fechamento])</f>
        <v>9.58</v>
      </c>
      <c r="AZ35" s="7">
        <f>SUMPRODUCT(N(Tabela176[Código]=Tabela3[[#This Row],[PAPEL]]),Tabela176[Fechamento])</f>
        <v>0</v>
      </c>
      <c r="BA35" s="7">
        <f>SUMPRODUCT(N(Tabela1768[Código]=Tabela3[[#This Row],[PAPEL]]),Tabela1768[Fechamento])</f>
        <v>0</v>
      </c>
      <c r="BB35" s="7">
        <f>SUMPRODUCT(N(Tabela17683[Código]=Tabela3[[#This Row],[PAPEL]]),Tabela17683[Fechamento])</f>
        <v>0</v>
      </c>
    </row>
    <row r="36" spans="1:54">
      <c r="A36" s="3" t="s">
        <v>840</v>
      </c>
      <c r="B36" s="58" t="s">
        <v>841</v>
      </c>
      <c r="C36" s="16" t="str">
        <f>LEFT([PAPEL],LEN([PAPEL])-(LEN([PAPEL])-4))</f>
        <v>PCAR</v>
      </c>
      <c r="D36" s="16">
        <v>4</v>
      </c>
      <c r="E36" s="5">
        <v>6779822380.8500004</v>
      </c>
      <c r="F36" s="56">
        <v>99679851</v>
      </c>
      <c r="G36" s="81">
        <v>0.25</v>
      </c>
      <c r="H36" s="87"/>
      <c r="J36" s="18"/>
      <c r="K36" s="16"/>
      <c r="L36" s="87"/>
      <c r="M36" s="54"/>
      <c r="N36" s="54"/>
      <c r="O36" s="54"/>
      <c r="P36" s="91">
        <v>9483190000</v>
      </c>
      <c r="Q36" s="73">
        <v>1052495000</v>
      </c>
      <c r="R36" s="73">
        <f>IF(Tabela3[[#This Row],[Ativo || Passivo]]&gt;0,Tabela3[[#This Row],[Ativo || Passivo]]-Tabela3[[#This Row],[Patrimônio Líquido]],0)</f>
        <v>0</v>
      </c>
      <c r="S36" s="73">
        <f>Tabela3[[#This Row],[Cotação]]*Tabela3[[#This Row],[Total Ações]]</f>
        <v>19866607490.77</v>
      </c>
      <c r="T36" s="37">
        <f>IF(Tabela3[[#This Row],[Passivo Circulante]]&gt;0,Tabela3[[#This Row],[Ativo Circulante]]/Tabela3[[#This Row],[Passivo Circulante]],0)</f>
        <v>0</v>
      </c>
      <c r="U36" s="37">
        <f>SUMPRODUCT(N([Liquidez Corrente]&gt;0),N(RIGHT([PAPEL],LEN([PAPEL])-(LEN([PAPEL])-1))="3"),[Liquidez Corrente])/SUMPRODUCT(N([Liquidez Corrente]&gt;0),N(RIGHT([PAPEL],LEN([PAPEL])-(LEN([PAPEL])-1))="3"))</f>
        <v>2.331224473064915</v>
      </c>
      <c r="V36" s="18">
        <f>IF(Tabela3[[#This Row],[Lucro Líquido]]&gt;0,Tabela3[[#This Row],[Lucro Líquido]]/Tabela3[[#This Row],[Patrimônio Líquido]],0)</f>
        <v>0.11098533299448814</v>
      </c>
      <c r="W36" s="18">
        <f>SUMPRODUCT(N([Rentabilidade s/ PL]&gt;0),N(RIGHT([PAPEL],LEN([PAPEL])-(LEN([PAPEL])-1))="3"),[Rentabilidade s/ PL])/SUMPRODUCT(N([Rentabilidade s/ PL]&gt;0),N(RIGHT([PAPEL],LEN([PAPEL])-(LEN([PAPEL])-1))="3"))</f>
        <v>0.1261051308670782</v>
      </c>
      <c r="X36" s="18">
        <f>IF(Tabela3[[#This Row],[Dívida]]&gt;0,Tabela3[[#This Row],[Dívida]]/Tabela3[[#This Row],[Patrimônio Líquido]],0)</f>
        <v>0</v>
      </c>
      <c r="Y36" s="18">
        <f>SUMPRODUCT(N([Dívida / PL]&gt;0),N(RIGHT([PAPEL],LEN([PAPEL])-(LEN([PAPEL])-1))="3"),[Dívida / PL])/SUMPRODUCT(N([Dívida / PL]&gt;0),N(RIGHT([PAPEL],LEN([PAPEL])-(LEN([PAPEL])-1))="3"))</f>
        <v>2.1510410379481146</v>
      </c>
      <c r="Z36" s="7">
        <f>Tabela3[[#This Row],[Capital Social]]*20%</f>
        <v>1355964476.1700001</v>
      </c>
      <c r="AA36" s="47">
        <f>IF(([Lucro Líquido]*5%)&gt;[Teto R. Legal],[Teto R. Legal],[Lucro Líquido]*5%)</f>
        <v>52624750</v>
      </c>
      <c r="AB36" s="47">
        <f>IF([Lucro Líquido]&lt;0,0,[Lucro Líquido]-[Reserva Legal])</f>
        <v>999870250</v>
      </c>
      <c r="AC36" s="47">
        <f>Tabela3[[#This Row],[Lucro Distribuir]]*[%Div]</f>
        <v>249967562.5</v>
      </c>
      <c r="AD36" s="56">
        <f>SUMPRODUCT(N([Nome]=Tabela3[[#This Row],[Nome]]),[Ações])</f>
        <v>264923423</v>
      </c>
      <c r="AE36" s="85">
        <f>[Capital Social]/[Total Ações]</f>
        <v>25.591630608102179</v>
      </c>
      <c r="AF36" s="85">
        <f>Tabela3[[#This Row],[Lucro Líquido]]/Tabela3[[#This Row],[Total Ações]]</f>
        <v>3.9728272724303428</v>
      </c>
      <c r="AG36" s="85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0.91418915836661163</v>
      </c>
      <c r="AH36" s="85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36" s="77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36" s="85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0.91418915836661163</v>
      </c>
      <c r="AK36" s="7">
        <f>[Div Base]*[Ações]</f>
        <v>91126239.091799244</v>
      </c>
      <c r="AL36" s="7">
        <f>SUMPRODUCT(N([Nome]=Tabela3[[#This Row],[Nome]]),[Div Base]*[Ações])</f>
        <v>257296509.53282493</v>
      </c>
      <c r="AM36" s="5">
        <f>[Patrimônio Líquido]/[Total Ações]</f>
        <v>35.795966595222502</v>
      </c>
      <c r="AN36" s="52">
        <f>MAX(Tabela3[[#This Row],[Cotação 1]:[Cotação 5]])</f>
        <v>74.989999999999995</v>
      </c>
      <c r="AO36" s="53">
        <f>[Cotação]/[VPA]</f>
        <v>2.0949287624491335</v>
      </c>
      <c r="AP36" s="37">
        <f>IF(Tabela3[[#This Row],[Lucro/Ação]]&gt;0,Tabela3[[#This Row],[Cotação]]/(Tabela3[[#This Row],[Lucro/Ação]]/[Ref]*4),0)</f>
        <v>18.875726241711362</v>
      </c>
      <c r="AQ36" s="85">
        <f>[Lucro Distribuir]/[Total Ações]</f>
        <v>3.7741859088088257</v>
      </c>
      <c r="AR36" s="85">
        <f>IF([Unit ON]&gt;0,SUMPRODUCT(N([Nome]=Tabela3[[#This Row],[Nome]]),N(RIGHT([PAPEL],1)="3"),[Div Base])*[Unit ON]+SUMPRODUCT(N([Nome]=Tabela3[[#This Row],[Nome]]),N(RIGHT([PAPEL],1)="4"),[Div Base])*[Unit PN],[Div Base])</f>
        <v>0.91418915836661163</v>
      </c>
      <c r="AS36" s="10" t="str">
        <f>IF(AND([% A.A.]&gt;=6%,SUMPRODUCT(N([Nome]=Tabela3[[#This Row],[Nome]]),[PL])&gt;0,[Rentabilidade s/ PL]&gt;=[Rentabilidade s/ PL Média]),"Sim","Não")</f>
        <v>Não</v>
      </c>
      <c r="AT36" s="22">
        <f>IF([Cotação]&gt;0,Tabela3[[#This Row],[Lucro]]/Tabela3[[#This Row],[Cotação]],0)</f>
        <v>1.2190814220117505E-2</v>
      </c>
      <c r="AU36" s="22">
        <f>((1+Tabela3[[#This Row],[% Yield]])^(1/(3*Tabela3[[#This Row],[Ref]])))^(12)-1</f>
        <v>1.2190814220116142E-2</v>
      </c>
      <c r="AV36" s="10">
        <f>IF([Cotação]&gt;0,($BH$1/Tabela3[[#This Row],[Cotação]]-MOD($BH$1/Tabela3[[#This Row],[Cotação]],100)),)</f>
        <v>0</v>
      </c>
      <c r="AW36" s="7">
        <f>Tabela3[[#This Row],[Ativos]]*[Lucro]</f>
        <v>0</v>
      </c>
      <c r="AX36" s="7">
        <f>SUMPRODUCT(N(Tabela1[Código]=Tabela3[[#This Row],[PAPEL]]),Tabela1[Fechamento])</f>
        <v>0</v>
      </c>
      <c r="AY36" s="7">
        <f>SUMPRODUCT(N(Tabela17[Código]=Tabela3[[#This Row],[PAPEL]]),Tabela17[Fechamento])</f>
        <v>0</v>
      </c>
      <c r="AZ36" s="7">
        <f>SUMPRODUCT(N(Tabela176[Código]=Tabela3[[#This Row],[PAPEL]]),Tabela176[Fechamento])</f>
        <v>74.989999999999995</v>
      </c>
      <c r="BA36" s="7">
        <f>SUMPRODUCT(N(Tabela1768[Código]=Tabela3[[#This Row],[PAPEL]]),Tabela1768[Fechamento])</f>
        <v>0</v>
      </c>
      <c r="BB36" s="7">
        <f>SUMPRODUCT(N(Tabela17683[Código]=Tabela3[[#This Row],[PAPEL]]),Tabela17683[Fechamento])</f>
        <v>0</v>
      </c>
    </row>
    <row r="37" spans="1:54">
      <c r="A37" s="3" t="s">
        <v>840</v>
      </c>
      <c r="B37" s="58" t="s">
        <v>842</v>
      </c>
      <c r="C37" s="16" t="str">
        <f>LEFT([PAPEL],LEN([PAPEL])-(LEN([PAPEL])-4))</f>
        <v>PCAR</v>
      </c>
      <c r="D37" s="16">
        <v>4</v>
      </c>
      <c r="E37" s="5">
        <v>6779822380.8500004</v>
      </c>
      <c r="F37" s="56">
        <v>165243572</v>
      </c>
      <c r="G37" s="81">
        <v>0.25</v>
      </c>
      <c r="H37" s="87"/>
      <c r="J37" s="18">
        <v>0.1</v>
      </c>
      <c r="K37" s="16"/>
      <c r="L37" s="87"/>
      <c r="M37" s="54"/>
      <c r="N37" s="54"/>
      <c r="O37" s="54"/>
      <c r="P37" s="91">
        <v>9483190000</v>
      </c>
      <c r="Q37" s="73">
        <v>1052495000</v>
      </c>
      <c r="R37" s="73">
        <f>IF(Tabela3[[#This Row],[Ativo || Passivo]]&gt;0,Tabela3[[#This Row],[Ativo || Passivo]]-Tabela3[[#This Row],[Patrimônio Líquido]],0)</f>
        <v>0</v>
      </c>
      <c r="S37" s="73">
        <f>Tabela3[[#This Row],[Cotação]]*Tabela3[[#This Row],[Total Ações]]</f>
        <v>25848578382.109997</v>
      </c>
      <c r="T37" s="37">
        <f>IF(Tabela3[[#This Row],[Passivo Circulante]]&gt;0,Tabela3[[#This Row],[Ativo Circulante]]/Tabela3[[#This Row],[Passivo Circulante]],0)</f>
        <v>0</v>
      </c>
      <c r="U37" s="37">
        <f>SUMPRODUCT(N([Liquidez Corrente]&gt;0),N(RIGHT([PAPEL],LEN([PAPEL])-(LEN([PAPEL])-1))="3"),[Liquidez Corrente])/SUMPRODUCT(N([Liquidez Corrente]&gt;0),N(RIGHT([PAPEL],LEN([PAPEL])-(LEN([PAPEL])-1))="3"))</f>
        <v>2.331224473064915</v>
      </c>
      <c r="V37" s="18">
        <f>IF(Tabela3[[#This Row],[Lucro Líquido]]&gt;0,Tabela3[[#This Row],[Lucro Líquido]]/Tabela3[[#This Row],[Patrimônio Líquido]],0)</f>
        <v>0.11098533299448814</v>
      </c>
      <c r="W37" s="18">
        <f>SUMPRODUCT(N([Rentabilidade s/ PL]&gt;0),N(RIGHT([PAPEL],LEN([PAPEL])-(LEN([PAPEL])-1))="3"),[Rentabilidade s/ PL])/SUMPRODUCT(N([Rentabilidade s/ PL]&gt;0),N(RIGHT([PAPEL],LEN([PAPEL])-(LEN([PAPEL])-1))="3"))</f>
        <v>0.1261051308670782</v>
      </c>
      <c r="X37" s="18">
        <f>IF(Tabela3[[#This Row],[Dívida]]&gt;0,Tabela3[[#This Row],[Dívida]]/Tabela3[[#This Row],[Patrimônio Líquido]],0)</f>
        <v>0</v>
      </c>
      <c r="Y37" s="18">
        <f>SUMPRODUCT(N([Dívida / PL]&gt;0),N(RIGHT([PAPEL],LEN([PAPEL])-(LEN([PAPEL])-1))="3"),[Dívida / PL])/SUMPRODUCT(N([Dívida / PL]&gt;0),N(RIGHT([PAPEL],LEN([PAPEL])-(LEN([PAPEL])-1))="3"))</f>
        <v>2.1510410379481146</v>
      </c>
      <c r="Z37" s="7">
        <f>Tabela3[[#This Row],[Capital Social]]*20%</f>
        <v>1355964476.1700001</v>
      </c>
      <c r="AA37" s="47">
        <f>IF(([Lucro Líquido]*5%)&gt;[Teto R. Legal],[Teto R. Legal],[Lucro Líquido]*5%)</f>
        <v>52624750</v>
      </c>
      <c r="AB37" s="47">
        <f>IF([Lucro Líquido]&lt;0,0,[Lucro Líquido]-[Reserva Legal])</f>
        <v>999870250</v>
      </c>
      <c r="AC37" s="47">
        <f>Tabela3[[#This Row],[Lucro Distribuir]]*[%Div]</f>
        <v>249967562.5</v>
      </c>
      <c r="AD37" s="56">
        <f>SUMPRODUCT(N([Nome]=Tabela3[[#This Row],[Nome]]),[Ações])</f>
        <v>264923423</v>
      </c>
      <c r="AE37" s="85">
        <f>[Capital Social]/[Total Ações]</f>
        <v>25.591630608102179</v>
      </c>
      <c r="AF37" s="85">
        <f>Tabela3[[#This Row],[Lucro Líquido]]/Tabela3[[#This Row],[Total Ações]]</f>
        <v>3.9728272724303428</v>
      </c>
      <c r="AG37" s="85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1.0056080755808505</v>
      </c>
      <c r="AH37" s="85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37" s="77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37" s="85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1.0056080755808505</v>
      </c>
      <c r="AK37" s="7">
        <f>[Div Base]*[Ações]</f>
        <v>166170270.4410257</v>
      </c>
      <c r="AL37" s="7">
        <f>SUMPRODUCT(N([Nome]=Tabela3[[#This Row],[Nome]]),[Div Base]*[Ações])</f>
        <v>257296509.53282493</v>
      </c>
      <c r="AM37" s="5">
        <f>[Patrimônio Líquido]/[Total Ações]</f>
        <v>35.795966595222502</v>
      </c>
      <c r="AN37" s="52">
        <f>MAX(Tabela3[[#This Row],[Cotação 1]:[Cotação 5]])</f>
        <v>97.57</v>
      </c>
      <c r="AO37" s="53">
        <f>[Cotação]/[VPA]</f>
        <v>2.7257260881739156</v>
      </c>
      <c r="AP37" s="37">
        <f>IF(Tabela3[[#This Row],[Lucro/Ação]]&gt;0,Tabela3[[#This Row],[Cotação]]/(Tabela3[[#This Row],[Lucro/Ação]]/[Ref]*4),0)</f>
        <v>24.559336036855282</v>
      </c>
      <c r="AQ37" s="85">
        <f>[Lucro Distribuir]/[Total Ações]</f>
        <v>3.7741859088088257</v>
      </c>
      <c r="AR37" s="85">
        <f>IF([Unit ON]&gt;0,SUMPRODUCT(N([Nome]=Tabela3[[#This Row],[Nome]]),N(RIGHT([PAPEL],1)="3"),[Div Base])*[Unit ON]+SUMPRODUCT(N([Nome]=Tabela3[[#This Row],[Nome]]),N(RIGHT([PAPEL],1)="4"),[Div Base])*[Unit PN],[Div Base])</f>
        <v>1.0056080755808505</v>
      </c>
      <c r="AS37" s="10" t="str">
        <f>IF(AND([% A.A.]&gt;=6%,SUMPRODUCT(N([Nome]=Tabela3[[#This Row],[Nome]]),[PL])&gt;0,[Rentabilidade s/ PL]&gt;=[Rentabilidade s/ PL Média]),"Sim","Não")</f>
        <v>Não</v>
      </c>
      <c r="AT37" s="22">
        <f>IF([Cotação]&gt;0,Tabela3[[#This Row],[Lucro]]/Tabela3[[#This Row],[Cotação]],0)</f>
        <v>1.0306529420732301E-2</v>
      </c>
      <c r="AU37" s="22">
        <f>((1+Tabela3[[#This Row],[% Yield]])^(1/(3*Tabela3[[#This Row],[Ref]])))^(12)-1</f>
        <v>1.0306529420732735E-2</v>
      </c>
      <c r="AV37" s="10">
        <f>IF([Cotação]&gt;0,($BH$1/Tabela3[[#This Row],[Cotação]]-MOD($BH$1/Tabela3[[#This Row],[Cotação]],100)),)</f>
        <v>0</v>
      </c>
      <c r="AW37" s="7">
        <f>Tabela3[[#This Row],[Ativos]]*[Lucro]</f>
        <v>0</v>
      </c>
      <c r="AX37" s="7">
        <f>SUMPRODUCT(N(Tabela1[Código]=Tabela3[[#This Row],[PAPEL]]),Tabela1[Fechamento])</f>
        <v>0</v>
      </c>
      <c r="AY37" s="7">
        <f>SUMPRODUCT(N(Tabela17[Código]=Tabela3[[#This Row],[PAPEL]]),Tabela17[Fechamento])</f>
        <v>0</v>
      </c>
      <c r="AZ37" s="7">
        <f>SUMPRODUCT(N(Tabela176[Código]=Tabela3[[#This Row],[PAPEL]]),Tabela176[Fechamento])</f>
        <v>97.57</v>
      </c>
      <c r="BA37" s="7">
        <f>SUMPRODUCT(N(Tabela1768[Código]=Tabela3[[#This Row],[PAPEL]]),Tabela1768[Fechamento])</f>
        <v>0</v>
      </c>
      <c r="BB37" s="7">
        <f>SUMPRODUCT(N(Tabela17683[Código]=Tabela3[[#This Row],[PAPEL]]),Tabela17683[Fechamento])</f>
        <v>0</v>
      </c>
    </row>
    <row r="38" spans="1:54" hidden="1">
      <c r="A38" s="3" t="s">
        <v>1329</v>
      </c>
      <c r="B38" s="57" t="s">
        <v>1322</v>
      </c>
      <c r="C38" s="16" t="str">
        <f>LEFT([PAPEL],LEN([PAPEL])-(LEN([PAPEL])-4))</f>
        <v>CCRO</v>
      </c>
      <c r="D38" s="16">
        <v>3</v>
      </c>
      <c r="E38" s="5">
        <v>2055495430.54</v>
      </c>
      <c r="F38" s="56">
        <v>1765587200</v>
      </c>
      <c r="G38" s="81">
        <v>0.25</v>
      </c>
      <c r="H38" s="87"/>
      <c r="J38" s="18"/>
      <c r="K38" s="16"/>
      <c r="L38" s="87"/>
      <c r="M38" s="54">
        <v>5045764000</v>
      </c>
      <c r="N38" s="54">
        <v>306010000</v>
      </c>
      <c r="O38" s="54">
        <v>1335678000</v>
      </c>
      <c r="P38" s="91">
        <v>3095932000</v>
      </c>
      <c r="Q38" s="73">
        <v>1044606000</v>
      </c>
      <c r="R38" s="73">
        <f>IF(Tabela3[[#This Row],[Ativo || Passivo]]&gt;0,Tabela3[[#This Row],[Ativo || Passivo]]-Tabela3[[#This Row],[Patrimônio Líquido]],0)</f>
        <v>1949832000</v>
      </c>
      <c r="S38" s="73">
        <f>Tabela3[[#This Row],[Cotação]]*Tabela3[[#This Row],[Total Ações]]</f>
        <v>27560816192</v>
      </c>
      <c r="T38" s="37">
        <f>IF(Tabela3[[#This Row],[Passivo Circulante]]&gt;0,Tabela3[[#This Row],[Ativo Circulante]]/Tabela3[[#This Row],[Passivo Circulante]],0)</f>
        <v>0.22910461952656255</v>
      </c>
      <c r="U38" s="37">
        <f>SUMPRODUCT(N([Liquidez Corrente]&gt;0),N(RIGHT([PAPEL],LEN([PAPEL])-(LEN([PAPEL])-1))="3"),[Liquidez Corrente])/SUMPRODUCT(N([Liquidez Corrente]&gt;0),N(RIGHT([PAPEL],LEN([PAPEL])-(LEN([PAPEL])-1))="3"))</f>
        <v>2.331224473064915</v>
      </c>
      <c r="V38" s="18">
        <f>IF(Tabela3[[#This Row],[Lucro Líquido]]&gt;0,Tabela3[[#This Row],[Lucro Líquido]]/Tabela3[[#This Row],[Patrimônio Líquido]],0)</f>
        <v>0.3374124496274466</v>
      </c>
      <c r="W38" s="18">
        <f>SUMPRODUCT(N([Rentabilidade s/ PL]&gt;0),N(RIGHT([PAPEL],LEN([PAPEL])-(LEN([PAPEL])-1))="3"),[Rentabilidade s/ PL])/SUMPRODUCT(N([Rentabilidade s/ PL]&gt;0),N(RIGHT([PAPEL],LEN([PAPEL])-(LEN([PAPEL])-1))="3"))</f>
        <v>0.1261051308670782</v>
      </c>
      <c r="X38" s="18">
        <f>IF(Tabela3[[#This Row],[Dívida]]&gt;0,Tabela3[[#This Row],[Dívida]]/Tabela3[[#This Row],[Patrimônio Líquido]],0)</f>
        <v>0.62980453059046515</v>
      </c>
      <c r="Y38" s="18">
        <f>SUMPRODUCT(N([Dívida / PL]&gt;0),N(RIGHT([PAPEL],LEN([PAPEL])-(LEN([PAPEL])-1))="3"),[Dívida / PL])/SUMPRODUCT(N([Dívida / PL]&gt;0),N(RIGHT([PAPEL],LEN([PAPEL])-(LEN([PAPEL])-1))="3"))</f>
        <v>2.1510410379481146</v>
      </c>
      <c r="Z38" s="7">
        <f>Tabela3[[#This Row],[Capital Social]]*20%</f>
        <v>411099086.10800004</v>
      </c>
      <c r="AA38" s="47">
        <f>IF(([Lucro Líquido]*5%)&gt;[Teto R. Legal],[Teto R. Legal],[Lucro Líquido]*5%)</f>
        <v>52230300</v>
      </c>
      <c r="AB38" s="47">
        <f>IF([Lucro Líquido]&lt;0,0,[Lucro Líquido]-[Reserva Legal])</f>
        <v>992375700</v>
      </c>
      <c r="AC38" s="47">
        <f>Tabela3[[#This Row],[Lucro Distribuir]]*[%Div]</f>
        <v>248093925</v>
      </c>
      <c r="AD38" s="56">
        <f>SUMPRODUCT(N([Nome]=Tabela3[[#This Row],[Nome]]),[Ações])</f>
        <v>1765587200</v>
      </c>
      <c r="AE38" s="85">
        <f>[Capital Social]/[Total Ações]</f>
        <v>1.1641993273059523</v>
      </c>
      <c r="AF38" s="85">
        <f>Tabela3[[#This Row],[Lucro Líquido]]/Tabela3[[#This Row],[Total Ações]]</f>
        <v>0.59164792313854564</v>
      </c>
      <c r="AG38" s="85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0.14051638174540459</v>
      </c>
      <c r="AH38" s="85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38" s="77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38" s="85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0.14051638174540459</v>
      </c>
      <c r="AK38" s="7">
        <f>[Div Base]*[Ações]</f>
        <v>248093925</v>
      </c>
      <c r="AL38" s="120">
        <f>SUMPRODUCT(N([Nome]=Tabela3[[#This Row],[Nome]]),[Div Base]*[Ações])</f>
        <v>248093925</v>
      </c>
      <c r="AM38" s="5">
        <f>[Patrimônio Líquido]/[Total Ações]</f>
        <v>1.7534857525020571</v>
      </c>
      <c r="AN38" s="52">
        <f>MAX(Tabela3[[#This Row],[Cotação 1]:[Cotação 5]])</f>
        <v>15.61</v>
      </c>
      <c r="AO38" s="53">
        <f>[Cotação]/[VPA]</f>
        <v>8.9022679412855314</v>
      </c>
      <c r="AP38" s="37">
        <f>IF(Tabela3[[#This Row],[Lucro/Ação]]&gt;0,Tabela3[[#This Row],[Cotação]]/(Tabela3[[#This Row],[Lucro/Ação]]/[Ref]*4),0)</f>
        <v>19.787950810161917</v>
      </c>
      <c r="AQ38" s="85">
        <f>[Lucro Distribuir]/[Total Ações]</f>
        <v>0.56206552698161838</v>
      </c>
      <c r="AR38" s="85">
        <f>IF([Unit ON]&gt;0,SUMPRODUCT(N([Nome]=Tabela3[[#This Row],[Nome]]),N(RIGHT([PAPEL],1)="3"),[Div Base])*[Unit ON]+SUMPRODUCT(N([Nome]=Tabela3[[#This Row],[Nome]]),N(RIGHT([PAPEL],1)="4"),[Div Base])*[Unit PN],[Div Base])</f>
        <v>0.14051638174540459</v>
      </c>
      <c r="AS38" s="10" t="str">
        <f>IF(AND([% A.A.]&gt;=6%,SUMPRODUCT(N([Nome]=Tabela3[[#This Row],[Nome]]),[PL])&gt;0,[Rentabilidade s/ PL]&gt;=[Rentabilidade s/ PL Média]),"Sim","Não")</f>
        <v>Não</v>
      </c>
      <c r="AT38" s="22">
        <f>IF([Cotação]&gt;0,Tabela3[[#This Row],[Lucro]]/Tabela3[[#This Row],[Cotação]],0)</f>
        <v>9.0016900541578862E-3</v>
      </c>
      <c r="AU38" s="22">
        <f>((1+Tabela3[[#This Row],[% Yield]])^(1/(3*Tabela3[[#This Row],[Ref]])))^(12)-1</f>
        <v>1.2020224280568037E-2</v>
      </c>
      <c r="AV38" s="10">
        <f>IF([Cotação]&gt;0,($BH$1/Tabela3[[#This Row],[Cotação]]-MOD($BH$1/Tabela3[[#This Row],[Cotação]],100)),)</f>
        <v>0</v>
      </c>
      <c r="AW38" s="7">
        <f>Tabela3[[#This Row],[Ativos]]*[Lucro]</f>
        <v>0</v>
      </c>
      <c r="AX38" s="7">
        <f>SUMPRODUCT(N(Tabela1[Código]=Tabela3[[#This Row],[PAPEL]]),Tabela1[Fechamento])</f>
        <v>0</v>
      </c>
      <c r="AY38" s="7">
        <f>SUMPRODUCT(N(Tabela17[Código]=Tabela3[[#This Row],[PAPEL]]),Tabela17[Fechamento])</f>
        <v>0</v>
      </c>
      <c r="AZ38" s="7">
        <f>SUMPRODUCT(N(Tabela176[Código]=Tabela3[[#This Row],[PAPEL]]),Tabela176[Fechamento])</f>
        <v>0</v>
      </c>
      <c r="BA38" s="7">
        <f>SUMPRODUCT(N(Tabela1768[Código]=Tabela3[[#This Row],[PAPEL]]),Tabela1768[Fechamento])</f>
        <v>0</v>
      </c>
      <c r="BB38" s="7">
        <f>SUMPRODUCT(N(Tabela17683[Código]=Tabela3[[#This Row],[PAPEL]]),Tabela17683[Fechamento])</f>
        <v>15.61</v>
      </c>
    </row>
    <row r="39" spans="1:54" hidden="1">
      <c r="A39" s="4" t="s">
        <v>238</v>
      </c>
      <c r="B39" s="57" t="s">
        <v>604</v>
      </c>
      <c r="C39" s="15" t="str">
        <f>LEFT([PAPEL],LEN([PAPEL])-(LEN([PAPEL])-4))</f>
        <v>CSNA</v>
      </c>
      <c r="D39" s="15">
        <v>3</v>
      </c>
      <c r="E39" s="6">
        <v>4540000000</v>
      </c>
      <c r="F39" s="8">
        <v>1457970108</v>
      </c>
      <c r="G39" s="86">
        <v>0.25</v>
      </c>
      <c r="H39" s="15"/>
      <c r="I39" s="19"/>
      <c r="J39" s="19"/>
      <c r="K39" s="88"/>
      <c r="L39" s="88"/>
      <c r="M39" s="55"/>
      <c r="N39" s="55"/>
      <c r="O39" s="55"/>
      <c r="P39" s="92">
        <v>8507300000</v>
      </c>
      <c r="Q39" s="93">
        <v>1021477000</v>
      </c>
      <c r="R39" s="93">
        <f>IF(Tabela3[[#This Row],[Ativo || Passivo]]&gt;0,Tabela3[[#This Row],[Ativo || Passivo]]-Tabela3[[#This Row],[Patrimônio Líquido]],0)</f>
        <v>0</v>
      </c>
      <c r="S39" s="93">
        <f>Tabela3[[#This Row],[Cotação]]*Tabela3[[#This Row],[Total Ações]]</f>
        <v>16475062220.400002</v>
      </c>
      <c r="T39" s="40">
        <f>IF(Tabela3[[#This Row],[Passivo Circulante]]&gt;0,Tabela3[[#This Row],[Ativo Circulante]]/Tabela3[[#This Row],[Passivo Circulante]],0)</f>
        <v>0</v>
      </c>
      <c r="U39" s="40">
        <f>SUMPRODUCT(N([Liquidez Corrente]&gt;0),N(RIGHT([PAPEL],LEN([PAPEL])-(LEN([PAPEL])-1))="3"),[Liquidez Corrente])/SUMPRODUCT(N([Liquidez Corrente]&gt;0),N(RIGHT([PAPEL],LEN([PAPEL])-(LEN([PAPEL])-1))="3"))</f>
        <v>2.331224473064915</v>
      </c>
      <c r="V39" s="19">
        <f>IF(Tabela3[[#This Row],[Lucro Líquido]]&gt;0,Tabela3[[#This Row],[Lucro Líquido]]/Tabela3[[#This Row],[Patrimônio Líquido]],0)</f>
        <v>0.12007064521058385</v>
      </c>
      <c r="W39" s="19">
        <f>SUMPRODUCT(N([Rentabilidade s/ PL]&gt;0),N(RIGHT([PAPEL],LEN([PAPEL])-(LEN([PAPEL])-1))="3"),[Rentabilidade s/ PL])/SUMPRODUCT(N([Rentabilidade s/ PL]&gt;0),N(RIGHT([PAPEL],LEN([PAPEL])-(LEN([PAPEL])-1))="3"))</f>
        <v>0.1261051308670782</v>
      </c>
      <c r="X39" s="19">
        <f>IF(Tabela3[[#This Row],[Dívida]]&gt;0,Tabela3[[#This Row],[Dívida]]/Tabela3[[#This Row],[Patrimônio Líquido]],0)</f>
        <v>0</v>
      </c>
      <c r="Y39" s="19">
        <f>SUMPRODUCT(N([Dívida / PL]&gt;0),N(RIGHT([PAPEL],LEN([PAPEL])-(LEN([PAPEL])-1))="3"),[Dívida / PL])/SUMPRODUCT(N([Dívida / PL]&gt;0),N(RIGHT([PAPEL],LEN([PAPEL])-(LEN([PAPEL])-1))="3"))</f>
        <v>2.1510410379481146</v>
      </c>
      <c r="Z39" s="13">
        <f>Tabela3[[#This Row],[Capital Social]]*20%</f>
        <v>908000000</v>
      </c>
      <c r="AA39" s="13">
        <f>IF(([Lucro Líquido]*5%)&gt;[Teto R. Legal],[Teto R. Legal],[Lucro Líquido]*5%)</f>
        <v>51073850</v>
      </c>
      <c r="AB39" s="13">
        <f>IF([Lucro Líquido]&lt;0,0,[Lucro Líquido]-[Reserva Legal])</f>
        <v>970403150</v>
      </c>
      <c r="AC39" s="13">
        <f>Tabela3[[#This Row],[Lucro Distribuir]]*[%Div]</f>
        <v>242600787.5</v>
      </c>
      <c r="AD39" s="56">
        <f>SUMPRODUCT(N([Nome]=Tabela3[[#This Row],[Nome]]),[Ações])</f>
        <v>1457970108</v>
      </c>
      <c r="AE39" s="6">
        <f>[Capital Social]/[Total Ações]</f>
        <v>3.1139184370712765</v>
      </c>
      <c r="AF39" s="78">
        <f>Tabela3[[#This Row],[Lucro Líquido]]/Tabela3[[#This Row],[Total Ações]]</f>
        <v>0.70061587298331629</v>
      </c>
      <c r="AG39" s="78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0.16639626983353764</v>
      </c>
      <c r="AH39" s="78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39" s="78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39" s="78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0.16639626983353764</v>
      </c>
      <c r="AK39" s="13">
        <f>[Div Base]*[Ações]</f>
        <v>242600787.50000003</v>
      </c>
      <c r="AL39" s="13">
        <f>SUMPRODUCT(N([Nome]=Tabela3[[#This Row],[Nome]]),[Div Base]*[Ações])</f>
        <v>242600787.50000003</v>
      </c>
      <c r="AM39" s="6">
        <f>[Patrimônio Líquido]/[Total Ações]</f>
        <v>5.8350304668934951</v>
      </c>
      <c r="AN39" s="48">
        <f>MAX(Tabela3[[#This Row],[Cotação 1]:[Cotação 5]])</f>
        <v>11.3</v>
      </c>
      <c r="AO39" s="44">
        <f>[Cotação]/[VPA]</f>
        <v>1.9365794341800573</v>
      </c>
      <c r="AP39" s="40">
        <f>IF(Tabela3[[#This Row],[Lucro/Ação]]&gt;0,Tabela3[[#This Row],[Cotação]]/(Tabela3[[#This Row],[Lucro/Ação]]/[Ref]*4),0)</f>
        <v>12.096500131965772</v>
      </c>
      <c r="AQ39" s="78">
        <f>[Lucro Distribuir]/[Total Ações]</f>
        <v>0.66558507933415056</v>
      </c>
      <c r="AR39" s="78">
        <f>IF([Unit ON]&gt;0,SUMPRODUCT(N([Nome]=Tabela3[[#This Row],[Nome]]),N(RIGHT([PAPEL],1)="3"),[Div Base])*[Unit ON]+SUMPRODUCT(N([Nome]=Tabela3[[#This Row],[Nome]]),N(RIGHT([PAPEL],1)="4"),[Div Base])*[Unit PN],[Div Base])</f>
        <v>0.16639626983353764</v>
      </c>
      <c r="AS39" s="14" t="str">
        <f>IF(AND([% A.A.]&gt;=6%,SUMPRODUCT(N([Nome]=Tabela3[[#This Row],[Nome]]),[PL])&gt;0,[Rentabilidade s/ PL]&gt;=[Rentabilidade s/ PL Média]),"Sim","Não")</f>
        <v>Não</v>
      </c>
      <c r="AT39" s="42">
        <f>IF([Cotação]&gt;0,Tabela3[[#This Row],[Lucro]]/Tabela3[[#This Row],[Cotação]],0)</f>
        <v>1.4725333613587402E-2</v>
      </c>
      <c r="AU39" s="42">
        <f>((1+Tabela3[[#This Row],[% Yield]])^(1/(3*Tabela3[[#This Row],[Ref]])))^(12)-1</f>
        <v>1.9681807089178882E-2</v>
      </c>
      <c r="AV39" s="14">
        <f>IF([Cotação]&gt;0,($BH$1/Tabela3[[#This Row],[Cotação]]-MOD($BH$1/Tabela3[[#This Row],[Cotação]],100)),)</f>
        <v>0</v>
      </c>
      <c r="AW39" s="17">
        <f>Tabela3[[#This Row],[Ativos]]*[Lucro]</f>
        <v>0</v>
      </c>
      <c r="AX39" s="17">
        <f>SUMPRODUCT(N(Tabela1[Código]=Tabela3[[#This Row],[PAPEL]]),Tabela1[Fechamento])</f>
        <v>0</v>
      </c>
      <c r="AY39" s="17">
        <f>SUMPRODUCT(N(Tabela17[Código]=Tabela3[[#This Row],[PAPEL]]),Tabela17[Fechamento])</f>
        <v>0</v>
      </c>
      <c r="AZ39" s="17">
        <f>SUMPRODUCT(N(Tabela176[Código]=Tabela3[[#This Row],[PAPEL]]),Tabela176[Fechamento])</f>
        <v>11.3</v>
      </c>
      <c r="BA39" s="17">
        <f>SUMPRODUCT(N(Tabela1768[Código]=Tabela3[[#This Row],[PAPEL]]),Tabela1768[Fechamento])</f>
        <v>0</v>
      </c>
      <c r="BB39" s="7">
        <f>SUMPRODUCT(N(Tabela17683[Código]=Tabela3[[#This Row],[PAPEL]]),Tabela17683[Fechamento])</f>
        <v>0</v>
      </c>
    </row>
    <row r="40" spans="1:54" hidden="1">
      <c r="A40" s="24" t="s">
        <v>12</v>
      </c>
      <c r="B40" s="57" t="s">
        <v>34</v>
      </c>
      <c r="C40" s="15" t="str">
        <f>LEFT([PAPEL],LEN([PAPEL])-(LEN([PAPEL])-4))</f>
        <v>CPLE</v>
      </c>
      <c r="D40" s="15">
        <v>3</v>
      </c>
      <c r="E40" s="6">
        <v>6910000000</v>
      </c>
      <c r="F40" s="8">
        <v>145031080</v>
      </c>
      <c r="G40" s="86">
        <v>0.25</v>
      </c>
      <c r="H40" s="15"/>
      <c r="I40" s="19"/>
      <c r="J40" s="19"/>
      <c r="K40" s="88"/>
      <c r="L40" s="88"/>
      <c r="M40" s="13">
        <v>14184888000</v>
      </c>
      <c r="N40" s="13">
        <v>1725572000</v>
      </c>
      <c r="O40" s="13">
        <v>626089000</v>
      </c>
      <c r="P40" s="90">
        <v>12828375000</v>
      </c>
      <c r="Q40" s="90">
        <v>898498000</v>
      </c>
      <c r="R40" s="90">
        <f>IF(Tabela3[[#This Row],[Ativo || Passivo]]&gt;0,Tabela3[[#This Row],[Ativo || Passivo]]-Tabela3[[#This Row],[Patrimônio Líquido]],0)</f>
        <v>1356513000</v>
      </c>
      <c r="S40" s="90">
        <f>Tabela3[[#This Row],[Cotação]]*Tabela3[[#This Row],[Total Ações]]</f>
        <v>4871065675</v>
      </c>
      <c r="T40" s="131">
        <f>IF(Tabela3[[#This Row],[Passivo Circulante]]&gt;0,Tabela3[[#This Row],[Ativo Circulante]]/Tabela3[[#This Row],[Passivo Circulante]],0)</f>
        <v>2.7561129487980143</v>
      </c>
      <c r="U40" s="131">
        <f>SUMPRODUCT(N([Liquidez Corrente]&gt;0),N(RIGHT([PAPEL],LEN([PAPEL])-(LEN([PAPEL])-1))="3"),[Liquidez Corrente])/SUMPRODUCT(N([Liquidez Corrente]&gt;0),N(RIGHT([PAPEL],LEN([PAPEL])-(LEN([PAPEL])-1))="3"))</f>
        <v>2.331224473064915</v>
      </c>
      <c r="V40" s="49">
        <f>IF(Tabela3[[#This Row],[Lucro Líquido]]&gt;0,Tabela3[[#This Row],[Lucro Líquido]]/Tabela3[[#This Row],[Patrimônio Líquido]],0)</f>
        <v>7.0039892036208792E-2</v>
      </c>
      <c r="W40" s="49">
        <f>SUMPRODUCT(N([Rentabilidade s/ PL]&gt;0),N(RIGHT([PAPEL],LEN([PAPEL])-(LEN([PAPEL])-1))="3"),[Rentabilidade s/ PL])/SUMPRODUCT(N([Rentabilidade s/ PL]&gt;0),N(RIGHT([PAPEL],LEN([PAPEL])-(LEN([PAPEL])-1))="3"))</f>
        <v>0.1261051308670782</v>
      </c>
      <c r="X40" s="49">
        <f>IF(Tabela3[[#This Row],[Dívida]]&gt;0,Tabela3[[#This Row],[Dívida]]/Tabela3[[#This Row],[Patrimônio Líquido]],0)</f>
        <v>0.10574316700283551</v>
      </c>
      <c r="Y40" s="49">
        <f>SUMPRODUCT(N([Dívida / PL]&gt;0),N(RIGHT([PAPEL],LEN([PAPEL])-(LEN([PAPEL])-1))="3"),[Dívida / PL])/SUMPRODUCT(N([Dívida / PL]&gt;0),N(RIGHT([PAPEL],LEN([PAPEL])-(LEN([PAPEL])-1))="3"))</f>
        <v>2.1510410379481146</v>
      </c>
      <c r="Z40" s="28">
        <f>Tabela3[[#This Row],[Capital Social]]*20%</f>
        <v>1382000000</v>
      </c>
      <c r="AA40" s="28">
        <f>IF(([Lucro Líquido]*5%)&gt;[Teto R. Legal],[Teto R. Legal],[Lucro Líquido]*5%)</f>
        <v>44924900</v>
      </c>
      <c r="AB40" s="90">
        <f>IF([Lucro Líquido]&lt;0,0,[Lucro Líquido]-[Reserva Legal])</f>
        <v>853573100</v>
      </c>
      <c r="AC40" s="90">
        <f>Tabela3[[#This Row],[Lucro Distribuir]]*[%Div]</f>
        <v>213393275</v>
      </c>
      <c r="AD40" s="56">
        <f>SUMPRODUCT(N([Nome]=Tabela3[[#This Row],[Nome]]),[Ações])</f>
        <v>273655375</v>
      </c>
      <c r="AE40" s="28">
        <f>[Capital Social]/[Total Ações]</f>
        <v>25.250737355332415</v>
      </c>
      <c r="AF40" s="79">
        <f>Tabela3[[#This Row],[Lucro Líquido]]/Tabela3[[#This Row],[Total Ações]]</f>
        <v>3.2833193939640322</v>
      </c>
      <c r="AG40" s="79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0.75552617508602748</v>
      </c>
      <c r="AH40" s="79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40" s="79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0.77735058402424118</v>
      </c>
      <c r="AJ40" s="79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0.77735058402424118</v>
      </c>
      <c r="AK40" s="28">
        <f>[Div Base]*[Ações]</f>
        <v>112739994.73966645</v>
      </c>
      <c r="AL40" s="28">
        <f>SUMPRODUCT(N([Nome]=Tabela3[[#This Row],[Nome]]),[Div Base]*[Ações])</f>
        <v>213393275.00000003</v>
      </c>
      <c r="AM40" s="28">
        <f>[Patrimônio Líquido]/[Total Ações]</f>
        <v>46.877847730927996</v>
      </c>
      <c r="AN40" s="29">
        <f>MAX(Tabela3[[#This Row],[Cotação 1]:[Cotação 5]])</f>
        <v>17.8</v>
      </c>
      <c r="AO40" s="30">
        <f>[Cotação]/[VPA]</f>
        <v>0.37971026532978652</v>
      </c>
      <c r="AP40" s="35">
        <f>IF(Tabela3[[#This Row],[Lucro/Ação]]&gt;0,Tabela3[[#This Row],[Cotação]]/(Tabela3[[#This Row],[Lucro/Ação]]/[Ref]*4),0)</f>
        <v>4.066007109921224</v>
      </c>
      <c r="AQ40" s="78">
        <f>[Lucro Distribuir]/[Total Ações]</f>
        <v>3.1191534242658308</v>
      </c>
      <c r="AR40" s="78">
        <f>IF([Unit ON]&gt;0,SUMPRODUCT(N([Nome]=Tabela3[[#This Row],[Nome]]),N(RIGHT([PAPEL],1)="3"),[Div Base])*[Unit ON]+SUMPRODUCT(N([Nome]=Tabela3[[#This Row],[Nome]]),N(RIGHT([PAPEL],1)="4"),[Div Base])*[Unit PN],[Div Base])</f>
        <v>0.77735058402424118</v>
      </c>
      <c r="AS40" s="25" t="str">
        <f>IF(AND([% A.A.]&gt;=6%,SUMPRODUCT(N([Nome]=Tabela3[[#This Row],[Nome]]),[PL])&gt;0,[Rentabilidade s/ PL]&gt;=[Rentabilidade s/ PL Média]),"Sim","Não")</f>
        <v>Não</v>
      </c>
      <c r="AT40" s="27">
        <f>IF([Cotação]&gt;0,Tabela3[[#This Row],[Lucro]]/Tabela3[[#This Row],[Cotação]],0)</f>
        <v>4.3671381124957366E-2</v>
      </c>
      <c r="AU40" s="49">
        <f>((1+Tabela3[[#This Row],[% Yield]])^(1/(3*Tabela3[[#This Row],[Ref]])))^(12)-1</f>
        <v>5.8648288140370264E-2</v>
      </c>
      <c r="AV40" s="10">
        <f>IF([Cotação]&gt;0,($BH$1/Tabela3[[#This Row],[Cotação]]-MOD($BH$1/Tabela3[[#This Row],[Cotação]],100)),)</f>
        <v>0</v>
      </c>
      <c r="AW40" s="5">
        <f>Tabela3[[#This Row],[Ativos]]*[Lucro]</f>
        <v>0</v>
      </c>
      <c r="AX40" s="5">
        <f>SUMPRODUCT(N(Tabela1[Código]=Tabela3[[#This Row],[PAPEL]]),Tabela1[Fechamento])</f>
        <v>17.8</v>
      </c>
      <c r="AY40" s="5">
        <f>SUMPRODUCT(N(Tabela17[Código]=Tabela3[[#This Row],[PAPEL]]),Tabela17[Fechamento])</f>
        <v>0</v>
      </c>
      <c r="AZ40" s="7">
        <f>SUMPRODUCT(N(Tabela176[Código]=Tabela3[[#This Row],[PAPEL]]),Tabela176[Fechamento])</f>
        <v>0</v>
      </c>
      <c r="BA40" s="7">
        <f>SUMPRODUCT(N(Tabela1768[Código]=Tabela3[[#This Row],[PAPEL]]),Tabela1768[Fechamento])</f>
        <v>0</v>
      </c>
      <c r="BB40" s="7">
        <f>SUMPRODUCT(N(Tabela17683[Código]=Tabela3[[#This Row],[PAPEL]]),Tabela17683[Fechamento])</f>
        <v>0</v>
      </c>
    </row>
    <row r="41" spans="1:54" hidden="1">
      <c r="A41" s="4" t="s">
        <v>12</v>
      </c>
      <c r="B41" s="57" t="s">
        <v>99</v>
      </c>
      <c r="C41" s="14" t="str">
        <f>LEFT([PAPEL],LEN([PAPEL])-(LEN([PAPEL])-4))</f>
        <v>CPLE</v>
      </c>
      <c r="D41" s="15">
        <v>3</v>
      </c>
      <c r="E41" s="6">
        <v>6910000000</v>
      </c>
      <c r="F41" s="8">
        <v>381702</v>
      </c>
      <c r="G41" s="81">
        <v>0.25</v>
      </c>
      <c r="H41" s="19"/>
      <c r="I41" s="19">
        <v>0.1</v>
      </c>
      <c r="J41" s="19"/>
      <c r="K41" s="88"/>
      <c r="L41" s="88"/>
      <c r="M41" s="13">
        <v>14184888000</v>
      </c>
      <c r="N41" s="13">
        <v>1725572000</v>
      </c>
      <c r="O41" s="13">
        <v>626089000</v>
      </c>
      <c r="P41" s="90">
        <v>12828375000</v>
      </c>
      <c r="Q41" s="94">
        <v>898498000</v>
      </c>
      <c r="R41" s="94">
        <f>IF(Tabela3[[#This Row],[Ativo || Passivo]]&gt;0,Tabela3[[#This Row],[Ativo || Passivo]]-Tabela3[[#This Row],[Patrimônio Líquido]],0)</f>
        <v>1356513000</v>
      </c>
      <c r="S41" s="129">
        <f>Tabela3[[#This Row],[Cotação]]*Tabela3[[#This Row],[Total Ações]]</f>
        <v>8209661250</v>
      </c>
      <c r="T41" s="133">
        <f>IF(Tabela3[[#This Row],[Passivo Circulante]]&gt;0,Tabela3[[#This Row],[Ativo Circulante]]/Tabela3[[#This Row],[Passivo Circulante]],0)</f>
        <v>2.7561129487980143</v>
      </c>
      <c r="U41" s="133">
        <f>SUMPRODUCT(N([Liquidez Corrente]&gt;0),N(RIGHT([PAPEL],LEN([PAPEL])-(LEN([PAPEL])-1))="3"),[Liquidez Corrente])/SUMPRODUCT(N([Liquidez Corrente]&gt;0),N(RIGHT([PAPEL],LEN([PAPEL])-(LEN([PAPEL])-1))="3"))</f>
        <v>2.331224473064915</v>
      </c>
      <c r="V41" s="135">
        <f>IF(Tabela3[[#This Row],[Lucro Líquido]]&gt;0,Tabela3[[#This Row],[Lucro Líquido]]/Tabela3[[#This Row],[Patrimônio Líquido]],0)</f>
        <v>7.0039892036208792E-2</v>
      </c>
      <c r="W41" s="135">
        <f>SUMPRODUCT(N([Rentabilidade s/ PL]&gt;0),N(RIGHT([PAPEL],LEN([PAPEL])-(LEN([PAPEL])-1))="3"),[Rentabilidade s/ PL])/SUMPRODUCT(N([Rentabilidade s/ PL]&gt;0),N(RIGHT([PAPEL],LEN([PAPEL])-(LEN([PAPEL])-1))="3"))</f>
        <v>0.1261051308670782</v>
      </c>
      <c r="X41" s="135">
        <f>IF(Tabela3[[#This Row],[Dívida]]&gt;0,Tabela3[[#This Row],[Dívida]]/Tabela3[[#This Row],[Patrimônio Líquido]],0)</f>
        <v>0.10574316700283551</v>
      </c>
      <c r="Y41" s="135">
        <f>SUMPRODUCT(N([Dívida / PL]&gt;0),N(RIGHT([PAPEL],LEN([PAPEL])-(LEN([PAPEL])-1))="3"),[Dívida / PL])/SUMPRODUCT(N([Dívida / PL]&gt;0),N(RIGHT([PAPEL],LEN([PAPEL])-(LEN([PAPEL])-1))="3"))</f>
        <v>2.1510410379481146</v>
      </c>
      <c r="Z41" s="28">
        <f>Tabela3[[#This Row],[Capital Social]]*20%</f>
        <v>1382000000</v>
      </c>
      <c r="AA41" s="28">
        <f>IF(([Lucro Líquido]*5%)&gt;[Teto R. Legal],[Teto R. Legal],[Lucro Líquido]*5%)</f>
        <v>44924900</v>
      </c>
      <c r="AB41" s="90">
        <f>IF([Lucro Líquido]&lt;0,0,[Lucro Líquido]-[Reserva Legal])</f>
        <v>853573100</v>
      </c>
      <c r="AC41" s="90">
        <f>Tabela3[[#This Row],[Lucro Distribuir]]*[%Div]</f>
        <v>213393275</v>
      </c>
      <c r="AD41" s="56">
        <f>SUMPRODUCT(N([Nome]=Tabela3[[#This Row],[Nome]]),[Ações])</f>
        <v>273655375</v>
      </c>
      <c r="AE41" s="6">
        <f>[Capital Social]/[Total Ações]</f>
        <v>25.250737355332415</v>
      </c>
      <c r="AF41" s="78">
        <f>Tabela3[[#This Row],[Lucro Líquido]]/Tabela3[[#This Row],[Total Ações]]</f>
        <v>3.2833193939640322</v>
      </c>
      <c r="AG41" s="78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0.75552617508602748</v>
      </c>
      <c r="AH41" s="78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41" s="78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2.5250737355332413</v>
      </c>
      <c r="AJ41" s="78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2.5250737355332413</v>
      </c>
      <c r="AK41" s="6">
        <f>[Div Base]*[Ações]</f>
        <v>963825.69500050927</v>
      </c>
      <c r="AL41" s="6">
        <f>SUMPRODUCT(N([Nome]=Tabela3[[#This Row],[Nome]]),[Div Base]*[Ações])</f>
        <v>213393275.00000003</v>
      </c>
      <c r="AM41" s="6">
        <f>[Patrimônio Líquido]/[Total Ações]</f>
        <v>46.877847730927996</v>
      </c>
      <c r="AN41" s="48">
        <f>MAX(Tabela3[[#This Row],[Cotação 1]:[Cotação 5]])</f>
        <v>30</v>
      </c>
      <c r="AO41" s="44">
        <f>[Cotação]/[VPA]</f>
        <v>0.63996112134233685</v>
      </c>
      <c r="AP41" s="40">
        <f>IF(Tabela3[[#This Row],[Lucro/Ação]]&gt;0,Tabela3[[#This Row],[Cotação]]/(Tabela3[[#This Row],[Lucro/Ação]]/[Ref]*4),0)</f>
        <v>6.8528209717773443</v>
      </c>
      <c r="AQ41" s="78">
        <f>[Lucro Distribuir]/[Total Ações]</f>
        <v>3.1191534242658308</v>
      </c>
      <c r="AR41" s="78">
        <f>IF([Unit ON]&gt;0,SUMPRODUCT(N([Nome]=Tabela3[[#This Row],[Nome]]),N(RIGHT([PAPEL],1)="3"),[Div Base])*[Unit ON]+SUMPRODUCT(N([Nome]=Tabela3[[#This Row],[Nome]]),N(RIGHT([PAPEL],1)="4"),[Div Base])*[Unit PN],[Div Base])</f>
        <v>2.5250737355332413</v>
      </c>
      <c r="AS41" s="15" t="str">
        <f>IF(AND([% A.A.]&gt;=6%,SUMPRODUCT(N([Nome]=Tabela3[[#This Row],[Nome]]),[PL])&gt;0,[Rentabilidade s/ PL]&gt;=[Rentabilidade s/ PL Média]),"Sim","Não")</f>
        <v>Não</v>
      </c>
      <c r="AT41" s="42">
        <f>IF([Cotação]&gt;0,Tabela3[[#This Row],[Lucro]]/Tabela3[[#This Row],[Cotação]],0)</f>
        <v>8.416912451777471E-2</v>
      </c>
      <c r="AU41" s="19">
        <f>((1+Tabela3[[#This Row],[% Yield]])^(1/(3*Tabela3[[#This Row],[Ref]])))^(12)-1</f>
        <v>0.11377136181616954</v>
      </c>
      <c r="AV41" s="14">
        <f>IF([Cotação]&gt;0,($BH$1/Tabela3[[#This Row],[Cotação]]-MOD($BH$1/Tabela3[[#This Row],[Cotação]],100)),)</f>
        <v>0</v>
      </c>
      <c r="AW41" s="17">
        <f>Tabela3[[#This Row],[Ativos]]*[Lucro]</f>
        <v>0</v>
      </c>
      <c r="AX41" s="5">
        <f>SUMPRODUCT(N(Tabela1[Código]=Tabela3[[#This Row],[PAPEL]]),Tabela1[Fechamento])</f>
        <v>30</v>
      </c>
      <c r="AY41" s="5">
        <f>SUMPRODUCT(N(Tabela17[Código]=Tabela3[[#This Row],[PAPEL]]),Tabela17[Fechamento])</f>
        <v>0</v>
      </c>
      <c r="AZ41" s="7">
        <f>SUMPRODUCT(N(Tabela176[Código]=Tabela3[[#This Row],[PAPEL]]),Tabela176[Fechamento])</f>
        <v>0</v>
      </c>
      <c r="BA41" s="7">
        <f>SUMPRODUCT(N(Tabela1768[Código]=Tabela3[[#This Row],[PAPEL]]),Tabela1768[Fechamento])</f>
        <v>0</v>
      </c>
      <c r="BB41" s="7">
        <f>SUMPRODUCT(N(Tabela17683[Código]=Tabela3[[#This Row],[PAPEL]]),Tabela17683[Fechamento])</f>
        <v>0</v>
      </c>
    </row>
    <row r="42" spans="1:54" hidden="1">
      <c r="A42" s="4" t="s">
        <v>12</v>
      </c>
      <c r="B42" s="57" t="s">
        <v>100</v>
      </c>
      <c r="C42" s="14" t="str">
        <f>LEFT([PAPEL],LEN([PAPEL])-(LEN([PAPEL])-4))</f>
        <v>CPLE</v>
      </c>
      <c r="D42" s="15">
        <v>3</v>
      </c>
      <c r="E42" s="6">
        <v>6910000000</v>
      </c>
      <c r="F42" s="8">
        <v>128242593</v>
      </c>
      <c r="G42" s="86">
        <v>0.25</v>
      </c>
      <c r="H42" s="15"/>
      <c r="I42" s="19"/>
      <c r="J42" s="19">
        <v>0.1</v>
      </c>
      <c r="K42" s="88"/>
      <c r="L42" s="88"/>
      <c r="M42" s="13">
        <v>14184888000</v>
      </c>
      <c r="N42" s="13">
        <v>1725572000</v>
      </c>
      <c r="O42" s="13">
        <v>626089000</v>
      </c>
      <c r="P42" s="90">
        <v>12828375000</v>
      </c>
      <c r="Q42" s="90">
        <v>898498000</v>
      </c>
      <c r="R42" s="72">
        <f>IF(Tabela3[[#This Row],[Ativo || Passivo]]&gt;0,Tabela3[[#This Row],[Ativo || Passivo]]-Tabela3[[#This Row],[Patrimônio Líquido]],0)</f>
        <v>1356513000</v>
      </c>
      <c r="S42" s="72">
        <f>Tabela3[[#This Row],[Cotação]]*Tabela3[[#This Row],[Total Ações]]</f>
        <v>6783916746.25</v>
      </c>
      <c r="T42" s="130">
        <f>IF(Tabela3[[#This Row],[Passivo Circulante]]&gt;0,Tabela3[[#This Row],[Ativo Circulante]]/Tabela3[[#This Row],[Passivo Circulante]],0)</f>
        <v>2.7561129487980143</v>
      </c>
      <c r="U42" s="130">
        <f>SUMPRODUCT(N([Liquidez Corrente]&gt;0),N(RIGHT([PAPEL],LEN([PAPEL])-(LEN([PAPEL])-1))="3"),[Liquidez Corrente])/SUMPRODUCT(N([Liquidez Corrente]&gt;0),N(RIGHT([PAPEL],LEN([PAPEL])-(LEN([PAPEL])-1))="3"))</f>
        <v>2.331224473064915</v>
      </c>
      <c r="V42" s="18">
        <f>IF(Tabela3[[#This Row],[Lucro Líquido]]&gt;0,Tabela3[[#This Row],[Lucro Líquido]]/Tabela3[[#This Row],[Patrimônio Líquido]],0)</f>
        <v>7.0039892036208792E-2</v>
      </c>
      <c r="W42" s="18">
        <f>SUMPRODUCT(N([Rentabilidade s/ PL]&gt;0),N(RIGHT([PAPEL],LEN([PAPEL])-(LEN([PAPEL])-1))="3"),[Rentabilidade s/ PL])/SUMPRODUCT(N([Rentabilidade s/ PL]&gt;0),N(RIGHT([PAPEL],LEN([PAPEL])-(LEN([PAPEL])-1))="3"))</f>
        <v>0.1261051308670782</v>
      </c>
      <c r="X42" s="18">
        <f>IF(Tabela3[[#This Row],[Dívida]]&gt;0,Tabela3[[#This Row],[Dívida]]/Tabela3[[#This Row],[Patrimônio Líquido]],0)</f>
        <v>0.10574316700283551</v>
      </c>
      <c r="Y42" s="18">
        <f>SUMPRODUCT(N([Dívida / PL]&gt;0),N(RIGHT([PAPEL],LEN([PAPEL])-(LEN([PAPEL])-1))="3"),[Dívida / PL])/SUMPRODUCT(N([Dívida / PL]&gt;0),N(RIGHT([PAPEL],LEN([PAPEL])-(LEN([PAPEL])-1))="3"))</f>
        <v>2.1510410379481146</v>
      </c>
      <c r="Z42" s="6">
        <f>Tabela3[[#This Row],[Capital Social]]*20%</f>
        <v>1382000000</v>
      </c>
      <c r="AA42" s="6">
        <f>IF(([Lucro Líquido]*5%)&gt;[Teto R. Legal],[Teto R. Legal],[Lucro Líquido]*5%)</f>
        <v>44924900</v>
      </c>
      <c r="AB42" s="89">
        <f>IF([Lucro Líquido]&lt;0,0,[Lucro Líquido]-[Reserva Legal])</f>
        <v>853573100</v>
      </c>
      <c r="AC42" s="89">
        <f>Tabela3[[#This Row],[Lucro Distribuir]]*[%Div]</f>
        <v>213393275</v>
      </c>
      <c r="AD42" s="56">
        <f>SUMPRODUCT(N([Nome]=Tabela3[[#This Row],[Nome]]),[Ações])</f>
        <v>273655375</v>
      </c>
      <c r="AE42" s="6">
        <f>[Capital Social]/[Total Ações]</f>
        <v>25.250737355332415</v>
      </c>
      <c r="AF42" s="78">
        <f>Tabela3[[#This Row],[Lucro Líquido]]/Tabela3[[#This Row],[Total Ações]]</f>
        <v>3.2833193939640322</v>
      </c>
      <c r="AG42" s="78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0.83107879373312121</v>
      </c>
      <c r="AH42" s="78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42" s="78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0.77735058402424118</v>
      </c>
      <c r="AJ42" s="78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0.77735058402424118</v>
      </c>
      <c r="AK42" s="6">
        <f>[Div Base]*[Ações]</f>
        <v>99689454.565333068</v>
      </c>
      <c r="AL42" s="6">
        <f>SUMPRODUCT(N([Nome]=Tabela3[[#This Row],[Nome]]),[Div Base]*[Ações])</f>
        <v>213393275.00000003</v>
      </c>
      <c r="AM42" s="6">
        <f>[Patrimônio Líquido]/[Total Ações]</f>
        <v>46.877847730927996</v>
      </c>
      <c r="AN42" s="48">
        <f>MAX(Tabela3[[#This Row],[Cotação 1]:[Cotação 5]])</f>
        <v>24.79</v>
      </c>
      <c r="AO42" s="44">
        <f>[Cotação]/[VPA]</f>
        <v>0.52882120660255094</v>
      </c>
      <c r="AP42" s="40">
        <f>IF(Tabela3[[#This Row],[Lucro/Ação]]&gt;0,Tabela3[[#This Row],[Cotação]]/(Tabela3[[#This Row],[Lucro/Ação]]/[Ref]*4),0)</f>
        <v>5.6627143963453452</v>
      </c>
      <c r="AQ42" s="78">
        <f>[Lucro Distribuir]/[Total Ações]</f>
        <v>3.1191534242658308</v>
      </c>
      <c r="AR42" s="78">
        <f>IF([Unit ON]&gt;0,SUMPRODUCT(N([Nome]=Tabela3[[#This Row],[Nome]]),N(RIGHT([PAPEL],1)="3"),[Div Base])*[Unit ON]+SUMPRODUCT(N([Nome]=Tabela3[[#This Row],[Nome]]),N(RIGHT([PAPEL],1)="4"),[Div Base])*[Unit PN],[Div Base])</f>
        <v>0.77735058402424118</v>
      </c>
      <c r="AS42" s="15" t="str">
        <f>IF(AND([% A.A.]&gt;=6%,SUMPRODUCT(N([Nome]=Tabela3[[#This Row],[Nome]]),[PL])&gt;0,[Rentabilidade s/ PL]&gt;=[Rentabilidade s/ PL Média]),"Sim","Não")</f>
        <v>Não</v>
      </c>
      <c r="AT42" s="42">
        <f>IF([Cotação]&gt;0,Tabela3[[#This Row],[Lucro]]/Tabela3[[#This Row],[Cotação]],0)</f>
        <v>3.1357425737161805E-2</v>
      </c>
      <c r="AU42" s="19">
        <f>((1+Tabela3[[#This Row],[% Yield]])^(1/(3*Tabela3[[#This Row],[Ref]])))^(12)-1</f>
        <v>4.2026906391790408E-2</v>
      </c>
      <c r="AV42" s="14">
        <f>IF([Cotação]&gt;0,($BH$1/Tabela3[[#This Row],[Cotação]]-MOD($BH$1/Tabela3[[#This Row],[Cotação]],100)),)</f>
        <v>0</v>
      </c>
      <c r="AW42" s="17">
        <f>Tabela3[[#This Row],[Ativos]]*[Lucro]</f>
        <v>0</v>
      </c>
      <c r="AX42" s="5">
        <f>SUMPRODUCT(N(Tabela1[Código]=Tabela3[[#This Row],[PAPEL]]),Tabela1[Fechamento])</f>
        <v>24.79</v>
      </c>
      <c r="AY42" s="5">
        <f>SUMPRODUCT(N(Tabela17[Código]=Tabela3[[#This Row],[PAPEL]]),Tabela17[Fechamento])</f>
        <v>0</v>
      </c>
      <c r="AZ42" s="7">
        <f>SUMPRODUCT(N(Tabela176[Código]=Tabela3[[#This Row],[PAPEL]]),Tabela176[Fechamento])</f>
        <v>0</v>
      </c>
      <c r="BA42" s="7">
        <f>SUMPRODUCT(N(Tabela1768[Código]=Tabela3[[#This Row],[PAPEL]]),Tabela1768[Fechamento])</f>
        <v>0</v>
      </c>
      <c r="BB42" s="7">
        <f>SUMPRODUCT(N(Tabela17683[Código]=Tabela3[[#This Row],[PAPEL]]),Tabela17683[Fechamento])</f>
        <v>0</v>
      </c>
    </row>
    <row r="43" spans="1:54" hidden="1">
      <c r="A43" s="3" t="s">
        <v>277</v>
      </c>
      <c r="B43" s="58" t="s">
        <v>276</v>
      </c>
      <c r="C43" s="83" t="str">
        <f>LEFT([PAPEL],LEN([PAPEL])-(LEN([PAPEL])-4))</f>
        <v>BRFS</v>
      </c>
      <c r="D43" s="16">
        <v>3</v>
      </c>
      <c r="E43" s="5">
        <v>12553417953.360001</v>
      </c>
      <c r="F43" s="56">
        <v>872473246</v>
      </c>
      <c r="G43" s="81">
        <v>0.25</v>
      </c>
      <c r="H43" s="16"/>
      <c r="J43" s="18"/>
      <c r="K43" s="87"/>
      <c r="L43" s="87"/>
      <c r="M43" s="54"/>
      <c r="N43" s="54"/>
      <c r="O43" s="54"/>
      <c r="P43" s="5">
        <v>14822624000</v>
      </c>
      <c r="Q43" s="5">
        <v>853987000</v>
      </c>
      <c r="R43" s="5">
        <f>IF(Tabela3[[#This Row],[Ativo || Passivo]]&gt;0,Tabela3[[#This Row],[Ativo || Passivo]]-Tabela3[[#This Row],[Patrimônio Líquido]],0)</f>
        <v>0</v>
      </c>
      <c r="S43" s="5">
        <f>Tabela3[[#This Row],[Cotação]]*Tabela3[[#This Row],[Total Ações]]</f>
        <v>35736504156.160004</v>
      </c>
      <c r="T43" s="130">
        <f>IF(Tabela3[[#This Row],[Passivo Circulante]]&gt;0,Tabela3[[#This Row],[Ativo Circulante]]/Tabela3[[#This Row],[Passivo Circulante]],0)</f>
        <v>0</v>
      </c>
      <c r="U43" s="130">
        <f>SUMPRODUCT(N([Liquidez Corrente]&gt;0),N(RIGHT([PAPEL],LEN([PAPEL])-(LEN([PAPEL])-1))="3"),[Liquidez Corrente])/SUMPRODUCT(N([Liquidez Corrente]&gt;0),N(RIGHT([PAPEL],LEN([PAPEL])-(LEN([PAPEL])-1))="3"))</f>
        <v>2.331224473064915</v>
      </c>
      <c r="V43" s="18">
        <f>IF(Tabela3[[#This Row],[Lucro Líquido]]&gt;0,Tabela3[[#This Row],[Lucro Líquido]]/Tabela3[[#This Row],[Patrimônio Líquido]],0)</f>
        <v>5.7613753138445661E-2</v>
      </c>
      <c r="W43" s="18">
        <f>SUMPRODUCT(N([Rentabilidade s/ PL]&gt;0),N(RIGHT([PAPEL],LEN([PAPEL])-(LEN([PAPEL])-1))="3"),[Rentabilidade s/ PL])/SUMPRODUCT(N([Rentabilidade s/ PL]&gt;0),N(RIGHT([PAPEL],LEN([PAPEL])-(LEN([PAPEL])-1))="3"))</f>
        <v>0.1261051308670782</v>
      </c>
      <c r="X43" s="18">
        <f>IF(Tabela3[[#This Row],[Dívida]]&gt;0,Tabela3[[#This Row],[Dívida]]/Tabela3[[#This Row],[Patrimônio Líquido]],0)</f>
        <v>0</v>
      </c>
      <c r="Y43" s="18">
        <f>SUMPRODUCT(N([Dívida / PL]&gt;0),N(RIGHT([PAPEL],LEN([PAPEL])-(LEN([PAPEL])-1))="3"),[Dívida / PL])/SUMPRODUCT(N([Dívida / PL]&gt;0),N(RIGHT([PAPEL],LEN([PAPEL])-(LEN([PAPEL])-1))="3"))</f>
        <v>2.1510410379481146</v>
      </c>
      <c r="Z43" s="5">
        <f>Tabela3[[#This Row],[Capital Social]]*20%</f>
        <v>2510683590.6720004</v>
      </c>
      <c r="AA43" s="5">
        <f>IF(([Lucro Líquido]*5%)&gt;[Teto R. Legal],[Teto R. Legal],[Lucro Líquido]*5%)</f>
        <v>42699350</v>
      </c>
      <c r="AB43" s="5">
        <f>IF([Lucro Líquido]&lt;0,0,[Lucro Líquido]-[Reserva Legal])</f>
        <v>811287650</v>
      </c>
      <c r="AC43" s="5">
        <f>Tabela3[[#This Row],[Lucro Distribuir]]*[%Div]</f>
        <v>202821912.5</v>
      </c>
      <c r="AD43" s="21">
        <f>SUMPRODUCT(N([Nome]=Tabela3[[#This Row],[Nome]]),[Ações])</f>
        <v>872473246</v>
      </c>
      <c r="AE43" s="5">
        <f>[Capital Social]/[Total Ações]</f>
        <v>14.388312777398335</v>
      </c>
      <c r="AF43" s="77">
        <f>Tabela3[[#This Row],[Lucro Líquido]]/Tabela3[[#This Row],[Total Ações]]</f>
        <v>0.97881167579091588</v>
      </c>
      <c r="AG43" s="77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0.23246777300034252</v>
      </c>
      <c r="AH43" s="77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43" s="77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43" s="77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0.23246777300034252</v>
      </c>
      <c r="AK43" s="5">
        <f>[Div Base]*[Ações]</f>
        <v>202821912.5</v>
      </c>
      <c r="AL43" s="5">
        <f>SUMPRODUCT(N([Nome]=Tabela3[[#This Row],[Nome]]),[Div Base]*[Ações])</f>
        <v>202821912.5</v>
      </c>
      <c r="AM43" s="5">
        <f>[Patrimônio Líquido]/[Total Ações]</f>
        <v>16.989201752554369</v>
      </c>
      <c r="AN43" s="52">
        <f>MAX(Tabela3[[#This Row],[Cotação 1]:[Cotação 5]])</f>
        <v>40.96</v>
      </c>
      <c r="AO43" s="53">
        <f>[Cotação]/[VPA]</f>
        <v>2.4109431741748293</v>
      </c>
      <c r="AP43" s="37">
        <f>IF(Tabela3[[#This Row],[Lucro/Ação]]&gt;0,Tabela3[[#This Row],[Cotação]]/(Tabela3[[#This Row],[Lucro/Ação]]/[Ref]*4),0)</f>
        <v>31.384995459087786</v>
      </c>
      <c r="AQ43" s="77">
        <f>[Lucro Distribuir]/[Total Ações]</f>
        <v>0.92987109200137008</v>
      </c>
      <c r="AR43" s="77">
        <f>IF([Unit ON]&gt;0,SUMPRODUCT(N([Nome]=Tabela3[[#This Row],[Nome]]),N(RIGHT([PAPEL],1)="3"),[Div Base])*[Unit ON]+SUMPRODUCT(N([Nome]=Tabela3[[#This Row],[Nome]]),N(RIGHT([PAPEL],1)="4"),[Div Base])*[Unit PN],[Div Base])</f>
        <v>0.23246777300034252</v>
      </c>
      <c r="AS43" s="16" t="str">
        <f>IF(AND([% A.A.]&gt;=6%,SUMPRODUCT(N([Nome]=Tabela3[[#This Row],[Nome]]),[PL])&gt;0,[Rentabilidade s/ PL]&gt;=[Rentabilidade s/ PL Média]),"Sim","Não")</f>
        <v>Não</v>
      </c>
      <c r="AT43" s="22">
        <f>IF([Cotação]&gt;0,Tabela3[[#This Row],[Lucro]]/Tabela3[[#This Row],[Cotação]],0)</f>
        <v>5.6754827392661751E-3</v>
      </c>
      <c r="AU43" s="18">
        <f>((1+Tabela3[[#This Row],[% Yield]])^(1/(3*Tabela3[[#This Row],[Ref]])))^(12)-1</f>
        <v>7.574459335659478E-3</v>
      </c>
      <c r="AV43" s="10">
        <f>IF([Cotação]&gt;0,($BH$1/Tabela3[[#This Row],[Cotação]]-MOD($BH$1/Tabela3[[#This Row],[Cotação]],100)),)</f>
        <v>0</v>
      </c>
      <c r="AW43" s="7">
        <f>Tabela3[[#This Row],[Ativos]]*[Lucro]</f>
        <v>0</v>
      </c>
      <c r="AX43" s="47">
        <f>SUMPRODUCT(N(Tabela1[Código]=Tabela3[[#This Row],[PAPEL]]),Tabela1[Fechamento])</f>
        <v>0</v>
      </c>
      <c r="AY43" s="54">
        <f>SUMPRODUCT(N(Tabela17[Código]=Tabela3[[#This Row],[PAPEL]]),Tabela17[Fechamento])</f>
        <v>40.96</v>
      </c>
      <c r="AZ43" s="7">
        <f>SUMPRODUCT(N(Tabela176[Código]=Tabela3[[#This Row],[PAPEL]]),Tabela176[Fechamento])</f>
        <v>0</v>
      </c>
      <c r="BA43" s="7">
        <f>SUMPRODUCT(N(Tabela1768[Código]=Tabela3[[#This Row],[PAPEL]]),Tabela1768[Fechamento])</f>
        <v>0</v>
      </c>
      <c r="BB43" s="7">
        <f>SUMPRODUCT(N(Tabela17683[Código]=Tabela3[[#This Row],[PAPEL]]),Tabela17683[Fechamento])</f>
        <v>0</v>
      </c>
    </row>
    <row r="44" spans="1:54" hidden="1">
      <c r="A44" s="3" t="s">
        <v>296</v>
      </c>
      <c r="B44" s="58" t="s">
        <v>294</v>
      </c>
      <c r="C44" s="83" t="str">
        <f>LEFT([PAPEL],LEN([PAPEL])-(LEN([PAPEL])-4))</f>
        <v>BRAP</v>
      </c>
      <c r="D44" s="16">
        <v>3</v>
      </c>
      <c r="E44" s="5">
        <v>4100000000</v>
      </c>
      <c r="F44" s="56">
        <v>122523049</v>
      </c>
      <c r="G44" s="81">
        <v>0.25</v>
      </c>
      <c r="H44" s="16"/>
      <c r="J44" s="18"/>
      <c r="K44" s="87"/>
      <c r="L44" s="87"/>
      <c r="M44" s="54"/>
      <c r="N44" s="54"/>
      <c r="O44" s="54"/>
      <c r="P44" s="5">
        <v>10031194000</v>
      </c>
      <c r="Q44" s="5">
        <v>852679000</v>
      </c>
      <c r="R44" s="5">
        <f>IF(Tabela3[[#This Row],[Ativo || Passivo]]&gt;0,Tabela3[[#This Row],[Ativo || Passivo]]-Tabela3[[#This Row],[Patrimônio Líquido]],0)</f>
        <v>0</v>
      </c>
      <c r="S44" s="5">
        <f>Tabela3[[#This Row],[Cotação]]*Tabela3[[#This Row],[Total Ações]]</f>
        <v>6410709311.3000002</v>
      </c>
      <c r="T44" s="130">
        <f>IF(Tabela3[[#This Row],[Passivo Circulante]]&gt;0,Tabela3[[#This Row],[Ativo Circulante]]/Tabela3[[#This Row],[Passivo Circulante]],0)</f>
        <v>0</v>
      </c>
      <c r="U44" s="130">
        <f>SUMPRODUCT(N([Liquidez Corrente]&gt;0),N(RIGHT([PAPEL],LEN([PAPEL])-(LEN([PAPEL])-1))="3"),[Liquidez Corrente])/SUMPRODUCT(N([Liquidez Corrente]&gt;0),N(RIGHT([PAPEL],LEN([PAPEL])-(LEN([PAPEL])-1))="3"))</f>
        <v>2.331224473064915</v>
      </c>
      <c r="V44" s="18">
        <f>IF(Tabela3[[#This Row],[Lucro Líquido]]&gt;0,Tabela3[[#This Row],[Lucro Líquido]]/Tabela3[[#This Row],[Patrimônio Líquido]],0)</f>
        <v>8.5002742445216398E-2</v>
      </c>
      <c r="W44" s="18">
        <f>SUMPRODUCT(N([Rentabilidade s/ PL]&gt;0),N(RIGHT([PAPEL],LEN([PAPEL])-(LEN([PAPEL])-1))="3"),[Rentabilidade s/ PL])/SUMPRODUCT(N([Rentabilidade s/ PL]&gt;0),N(RIGHT([PAPEL],LEN([PAPEL])-(LEN([PAPEL])-1))="3"))</f>
        <v>0.1261051308670782</v>
      </c>
      <c r="X44" s="18">
        <f>IF(Tabela3[[#This Row],[Dívida]]&gt;0,Tabela3[[#This Row],[Dívida]]/Tabela3[[#This Row],[Patrimônio Líquido]],0)</f>
        <v>0</v>
      </c>
      <c r="Y44" s="18">
        <f>SUMPRODUCT(N([Dívida / PL]&gt;0),N(RIGHT([PAPEL],LEN([PAPEL])-(LEN([PAPEL])-1))="3"),[Dívida / PL])/SUMPRODUCT(N([Dívida / PL]&gt;0),N(RIGHT([PAPEL],LEN([PAPEL])-(LEN([PAPEL])-1))="3"))</f>
        <v>2.1510410379481146</v>
      </c>
      <c r="Z44" s="5">
        <f>Tabela3[[#This Row],[Capital Social]]*20%</f>
        <v>820000000</v>
      </c>
      <c r="AA44" s="5">
        <f>IF(([Lucro Líquido]*5%)&gt;[Teto R. Legal],[Teto R. Legal],[Lucro Líquido]*5%)</f>
        <v>42633950</v>
      </c>
      <c r="AB44" s="5">
        <f>IF([Lucro Líquido]&lt;0,0,[Lucro Líquido]-[Reserva Legal])</f>
        <v>810045050</v>
      </c>
      <c r="AC44" s="5">
        <f>Tabela3[[#This Row],[Lucro Distribuir]]*[%Div]</f>
        <v>202511262.5</v>
      </c>
      <c r="AD44" s="21">
        <f>SUMPRODUCT(N([Nome]=Tabela3[[#This Row],[Nome]]),[Ações])</f>
        <v>349547945</v>
      </c>
      <c r="AE44" s="5">
        <f>[Capital Social]/[Total Ações]</f>
        <v>11.729435285336894</v>
      </c>
      <c r="AF44" s="77">
        <f>Tabela3[[#This Row],[Lucro Líquido]]/Tabela3[[#This Row],[Total Ações]]</f>
        <v>2.439376377967263</v>
      </c>
      <c r="AG44" s="77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0.56132604943307063</v>
      </c>
      <c r="AH44" s="77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44" s="77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44" s="77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0.56132604943307063</v>
      </c>
      <c r="AK44" s="5">
        <f>[Div Base]*[Ações]</f>
        <v>68775379.059664533</v>
      </c>
      <c r="AL44" s="5">
        <f>SUMPRODUCT(N([Nome]=Tabela3[[#This Row],[Nome]]),[Div Base]*[Ações])</f>
        <v>208953866.04579151</v>
      </c>
      <c r="AM44" s="5">
        <f>[Patrimônio Líquido]/[Total Ações]</f>
        <v>28.697619721380423</v>
      </c>
      <c r="AN44" s="52">
        <f>MAX(Tabela3[[#This Row],[Cotação 1]:[Cotação 5]])</f>
        <v>18.34</v>
      </c>
      <c r="AO44" s="53">
        <f>[Cotação]/[VPA]</f>
        <v>0.63907739310993295</v>
      </c>
      <c r="AP44" s="37">
        <f>IF(Tabela3[[#This Row],[Lucro/Ação]]&gt;0,Tabela3[[#This Row],[Cotação]]/(Tabela3[[#This Row],[Lucro/Ação]]/[Ref]*4),0)</f>
        <v>5.638736245967122</v>
      </c>
      <c r="AQ44" s="77">
        <f>[Lucro Distribuir]/[Total Ações]</f>
        <v>2.3174075590688998</v>
      </c>
      <c r="AR44" s="77">
        <f>IF([Unit ON]&gt;0,SUMPRODUCT(N([Nome]=Tabela3[[#This Row],[Nome]]),N(RIGHT([PAPEL],1)="3"),[Div Base])*[Unit ON]+SUMPRODUCT(N([Nome]=Tabela3[[#This Row],[Nome]]),N(RIGHT([PAPEL],1)="4"),[Div Base])*[Unit PN],[Div Base])</f>
        <v>0.56132604943307063</v>
      </c>
      <c r="AS44" s="16" t="str">
        <f>IF(AND([% A.A.]&gt;=6%,SUMPRODUCT(N([Nome]=Tabela3[[#This Row],[Nome]]),[PL])&gt;0,[Rentabilidade s/ PL]&gt;=[Rentabilidade s/ PL Média]),"Sim","Não")</f>
        <v>Não</v>
      </c>
      <c r="AT44" s="22">
        <f>IF([Cotação]&gt;0,Tabela3[[#This Row],[Lucro]]/Tabela3[[#This Row],[Cotação]],0)</f>
        <v>3.0606654821868629E-2</v>
      </c>
      <c r="AU44" s="18">
        <f>((1+Tabela3[[#This Row],[% Yield]])^(1/(3*Tabela3[[#This Row],[Ref]])))^(12)-1</f>
        <v>4.1015645510781518E-2</v>
      </c>
      <c r="AV44" s="10">
        <f>IF([Cotação]&gt;0,($BH$1/Tabela3[[#This Row],[Cotação]]-MOD($BH$1/Tabela3[[#This Row],[Cotação]],100)),)</f>
        <v>0</v>
      </c>
      <c r="AW44" s="7">
        <f>Tabela3[[#This Row],[Ativos]]*[Lucro]</f>
        <v>0</v>
      </c>
      <c r="AX44" s="47">
        <f>SUMPRODUCT(N(Tabela1[Código]=Tabela3[[#This Row],[PAPEL]]),Tabela1[Fechamento])</f>
        <v>0</v>
      </c>
      <c r="AY44" s="54">
        <f>SUMPRODUCT(N(Tabela17[Código]=Tabela3[[#This Row],[PAPEL]]),Tabela17[Fechamento])</f>
        <v>18.34</v>
      </c>
      <c r="AZ44" s="7">
        <f>SUMPRODUCT(N(Tabela176[Código]=Tabela3[[#This Row],[PAPEL]]),Tabela176[Fechamento])</f>
        <v>0</v>
      </c>
      <c r="BA44" s="7">
        <f>SUMPRODUCT(N(Tabela1768[Código]=Tabela3[[#This Row],[PAPEL]]),Tabela1768[Fechamento])</f>
        <v>0</v>
      </c>
      <c r="BB44" s="7">
        <f>SUMPRODUCT(N(Tabela17683[Código]=Tabela3[[#This Row],[PAPEL]]),Tabela17683[Fechamento])</f>
        <v>0</v>
      </c>
    </row>
    <row r="45" spans="1:54" hidden="1">
      <c r="A45" s="3" t="s">
        <v>296</v>
      </c>
      <c r="B45" s="60" t="s">
        <v>295</v>
      </c>
      <c r="C45" s="83" t="str">
        <f>LEFT([PAPEL],LEN([PAPEL])-(LEN([PAPEL])-4))</f>
        <v>BRAP</v>
      </c>
      <c r="D45" s="16">
        <v>3</v>
      </c>
      <c r="E45" s="5">
        <v>4100000000</v>
      </c>
      <c r="F45" s="56">
        <v>227024896</v>
      </c>
      <c r="G45" s="86">
        <v>0.25</v>
      </c>
      <c r="H45" s="16"/>
      <c r="J45" s="18">
        <v>0.1</v>
      </c>
      <c r="K45" s="87"/>
      <c r="L45" s="87"/>
      <c r="M45" s="54"/>
      <c r="N45" s="54"/>
      <c r="O45" s="54"/>
      <c r="P45" s="5">
        <v>10031194000</v>
      </c>
      <c r="Q45" s="5">
        <v>852679000</v>
      </c>
      <c r="R45" s="5">
        <f>IF(Tabela3[[#This Row],[Ativo || Passivo]]&gt;0,Tabela3[[#This Row],[Ativo || Passivo]]-Tabela3[[#This Row],[Patrimônio Líquido]],0)</f>
        <v>0</v>
      </c>
      <c r="S45" s="5">
        <f>Tabela3[[#This Row],[Cotação]]*Tabela3[[#This Row],[Total Ações]]</f>
        <v>7766955337.8999996</v>
      </c>
      <c r="T45" s="130">
        <f>IF(Tabela3[[#This Row],[Passivo Circulante]]&gt;0,Tabela3[[#This Row],[Ativo Circulante]]/Tabela3[[#This Row],[Passivo Circulante]],0)</f>
        <v>0</v>
      </c>
      <c r="U45" s="130">
        <f>SUMPRODUCT(N([Liquidez Corrente]&gt;0),N(RIGHT([PAPEL],LEN([PAPEL])-(LEN([PAPEL])-1))="3"),[Liquidez Corrente])/SUMPRODUCT(N([Liquidez Corrente]&gt;0),N(RIGHT([PAPEL],LEN([PAPEL])-(LEN([PAPEL])-1))="3"))</f>
        <v>2.331224473064915</v>
      </c>
      <c r="V45" s="18">
        <f>IF(Tabela3[[#This Row],[Lucro Líquido]]&gt;0,Tabela3[[#This Row],[Lucro Líquido]]/Tabela3[[#This Row],[Patrimônio Líquido]],0)</f>
        <v>8.5002742445216398E-2</v>
      </c>
      <c r="W45" s="18">
        <f>SUMPRODUCT(N([Rentabilidade s/ PL]&gt;0),N(RIGHT([PAPEL],LEN([PAPEL])-(LEN([PAPEL])-1))="3"),[Rentabilidade s/ PL])/SUMPRODUCT(N([Rentabilidade s/ PL]&gt;0),N(RIGHT([PAPEL],LEN([PAPEL])-(LEN([PAPEL])-1))="3"))</f>
        <v>0.1261051308670782</v>
      </c>
      <c r="X45" s="18">
        <f>IF(Tabela3[[#This Row],[Dívida]]&gt;0,Tabela3[[#This Row],[Dívida]]/Tabela3[[#This Row],[Patrimônio Líquido]],0)</f>
        <v>0</v>
      </c>
      <c r="Y45" s="18">
        <f>SUMPRODUCT(N([Dívida / PL]&gt;0),N(RIGHT([PAPEL],LEN([PAPEL])-(LEN([PAPEL])-1))="3"),[Dívida / PL])/SUMPRODUCT(N([Dívida / PL]&gt;0),N(RIGHT([PAPEL],LEN([PAPEL])-(LEN([PAPEL])-1))="3"))</f>
        <v>2.1510410379481146</v>
      </c>
      <c r="Z45" s="5">
        <f>Tabela3[[#This Row],[Capital Social]]*20%</f>
        <v>820000000</v>
      </c>
      <c r="AA45" s="5">
        <f>IF(([Lucro Líquido]*5%)&gt;[Teto R. Legal],[Teto R. Legal],[Lucro Líquido]*5%)</f>
        <v>42633950</v>
      </c>
      <c r="AB45" s="5">
        <f>IF([Lucro Líquido]&lt;0,0,[Lucro Líquido]-[Reserva Legal])</f>
        <v>810045050</v>
      </c>
      <c r="AC45" s="5">
        <f>Tabela3[[#This Row],[Lucro Distribuir]]*[%Div]</f>
        <v>202511262.5</v>
      </c>
      <c r="AD45" s="21">
        <f>SUMPRODUCT(N([Nome]=Tabela3[[#This Row],[Nome]]),[Ações])</f>
        <v>349547945</v>
      </c>
      <c r="AE45" s="5">
        <f>[Capital Social]/[Total Ações]</f>
        <v>11.729435285336894</v>
      </c>
      <c r="AF45" s="77">
        <f>Tabela3[[#This Row],[Lucro Líquido]]/Tabela3[[#This Row],[Total Ações]]</f>
        <v>2.439376377967263</v>
      </c>
      <c r="AG45" s="77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0.61745865522223142</v>
      </c>
      <c r="AH45" s="77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45" s="77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45" s="77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0.61745865522223142</v>
      </c>
      <c r="AK45" s="5">
        <f>[Div Base]*[Ações]</f>
        <v>140178486.98612696</v>
      </c>
      <c r="AL45" s="5">
        <f>SUMPRODUCT(N([Nome]=Tabela3[[#This Row],[Nome]]),[Div Base]*[Ações])</f>
        <v>208953866.04579151</v>
      </c>
      <c r="AM45" s="5">
        <f>[Patrimônio Líquido]/[Total Ações]</f>
        <v>28.697619721380423</v>
      </c>
      <c r="AN45" s="52">
        <f>MAX(Tabela3[[#This Row],[Cotação 1]:[Cotação 5]])</f>
        <v>22.22</v>
      </c>
      <c r="AO45" s="53">
        <f>[Cotação]/[VPA]</f>
        <v>0.77428024399687612</v>
      </c>
      <c r="AP45" s="37">
        <f>IF(Tabela3[[#This Row],[Lucro/Ação]]&gt;0,Tabela3[[#This Row],[Cotação]]/(Tabela3[[#This Row],[Lucro/Ação]]/[Ref]*4),0)</f>
        <v>6.831664088625379</v>
      </c>
      <c r="AQ45" s="77">
        <f>[Lucro Distribuir]/[Total Ações]</f>
        <v>2.3174075590688998</v>
      </c>
      <c r="AR45" s="77">
        <f>IF([Unit ON]&gt;0,SUMPRODUCT(N([Nome]=Tabela3[[#This Row],[Nome]]),N(RIGHT([PAPEL],1)="3"),[Div Base])*[Unit ON]+SUMPRODUCT(N([Nome]=Tabela3[[#This Row],[Nome]]),N(RIGHT([PAPEL],1)="4"),[Div Base])*[Unit PN],[Div Base])</f>
        <v>0.61745865522223142</v>
      </c>
      <c r="AS45" s="16" t="str">
        <f>IF(AND([% A.A.]&gt;=6%,SUMPRODUCT(N([Nome]=Tabela3[[#This Row],[Nome]]),[PL])&gt;0,[Rentabilidade s/ PL]&gt;=[Rentabilidade s/ PL Média]),"Sim","Não")</f>
        <v>Não</v>
      </c>
      <c r="AT45" s="22">
        <f>IF([Cotação]&gt;0,Tabela3[[#This Row],[Lucro]]/Tabela3[[#This Row],[Cotação]],0)</f>
        <v>2.7788418326833098E-2</v>
      </c>
      <c r="AU45" s="18">
        <f>((1+Tabela3[[#This Row],[% Yield]])^(1/(3*Tabela3[[#This Row],[Ref]])))^(12)-1</f>
        <v>3.7221776020480712E-2</v>
      </c>
      <c r="AV45" s="10">
        <f>IF([Cotação]&gt;0,($BH$1/Tabela3[[#This Row],[Cotação]]-MOD($BH$1/Tabela3[[#This Row],[Cotação]],100)),)</f>
        <v>0</v>
      </c>
      <c r="AW45" s="7">
        <f>Tabela3[[#This Row],[Ativos]]*[Lucro]</f>
        <v>0</v>
      </c>
      <c r="AX45" s="47">
        <f>SUMPRODUCT(N(Tabela1[Código]=Tabela3[[#This Row],[PAPEL]]),Tabela1[Fechamento])</f>
        <v>0</v>
      </c>
      <c r="AY45" s="54">
        <f>SUMPRODUCT(N(Tabela17[Código]=Tabela3[[#This Row],[PAPEL]]),Tabela17[Fechamento])</f>
        <v>22.22</v>
      </c>
      <c r="AZ45" s="7">
        <f>SUMPRODUCT(N(Tabela176[Código]=Tabela3[[#This Row],[PAPEL]]),Tabela176[Fechamento])</f>
        <v>0</v>
      </c>
      <c r="BA45" s="7">
        <f>SUMPRODUCT(N(Tabela1768[Código]=Tabela3[[#This Row],[PAPEL]]),Tabela1768[Fechamento])</f>
        <v>0</v>
      </c>
      <c r="BB45" s="7">
        <f>SUMPRODUCT(N(Tabela17683[Código]=Tabela3[[#This Row],[PAPEL]]),Tabela17683[Fechamento])</f>
        <v>0</v>
      </c>
    </row>
    <row r="46" spans="1:54">
      <c r="A46" s="3" t="s">
        <v>805</v>
      </c>
      <c r="B46" s="58" t="s">
        <v>806</v>
      </c>
      <c r="C46" s="16" t="str">
        <f>LEFT([PAPEL],LEN([PAPEL])-(LEN([PAPEL])-4))</f>
        <v>NATU</v>
      </c>
      <c r="D46" s="16">
        <v>4</v>
      </c>
      <c r="E46" s="5">
        <v>427072707.31999999</v>
      </c>
      <c r="F46" s="56">
        <v>431239264</v>
      </c>
      <c r="G46" s="81">
        <v>0.3</v>
      </c>
      <c r="H46" s="87"/>
      <c r="J46" s="18"/>
      <c r="K46" s="16"/>
      <c r="L46" s="87"/>
      <c r="M46" s="54">
        <v>5038768000</v>
      </c>
      <c r="N46" s="54">
        <v>2239016000</v>
      </c>
      <c r="O46" s="54">
        <v>1674745000</v>
      </c>
      <c r="P46" s="91">
        <v>1145637000</v>
      </c>
      <c r="Q46" s="73">
        <v>842608000</v>
      </c>
      <c r="R46" s="73">
        <f>IF(Tabela3[[#This Row],[Ativo || Passivo]]&gt;0,Tabela3[[#This Row],[Ativo || Passivo]]-Tabela3[[#This Row],[Patrimônio Líquido]],0)</f>
        <v>3893131000</v>
      </c>
      <c r="S46" s="73">
        <f>Tabela3[[#This Row],[Cotação]]*Tabela3[[#This Row],[Total Ações]]</f>
        <v>15058875098.880001</v>
      </c>
      <c r="T46" s="37">
        <f>IF(Tabela3[[#This Row],[Passivo Circulante]]&gt;0,Tabela3[[#This Row],[Ativo Circulante]]/Tabela3[[#This Row],[Passivo Circulante]],0)</f>
        <v>1.3369295027004111</v>
      </c>
      <c r="U46" s="37">
        <f>SUMPRODUCT(N([Liquidez Corrente]&gt;0),N(RIGHT([PAPEL],LEN([PAPEL])-(LEN([PAPEL])-1))="3"),[Liquidez Corrente])/SUMPRODUCT(N([Liquidez Corrente]&gt;0),N(RIGHT([PAPEL],LEN([PAPEL])-(LEN([PAPEL])-1))="3"))</f>
        <v>2.331224473064915</v>
      </c>
      <c r="V46" s="18">
        <f>IF(Tabela3[[#This Row],[Lucro Líquido]]&gt;0,Tabela3[[#This Row],[Lucro Líquido]]/Tabela3[[#This Row],[Patrimônio Líquido]],0)</f>
        <v>0.73549300520147309</v>
      </c>
      <c r="W46" s="18">
        <f>SUMPRODUCT(N([Rentabilidade s/ PL]&gt;0),N(RIGHT([PAPEL],LEN([PAPEL])-(LEN([PAPEL])-1))="3"),[Rentabilidade s/ PL])/SUMPRODUCT(N([Rentabilidade s/ PL]&gt;0),N(RIGHT([PAPEL],LEN([PAPEL])-(LEN([PAPEL])-1))="3"))</f>
        <v>0.1261051308670782</v>
      </c>
      <c r="X46" s="18">
        <f>IF(Tabela3[[#This Row],[Dívida]]&gt;0,Tabela3[[#This Row],[Dívida]]/Tabela3[[#This Row],[Patrimônio Líquido]],0)</f>
        <v>3.3982238702136889</v>
      </c>
      <c r="Y46" s="18">
        <f>SUMPRODUCT(N([Dívida / PL]&gt;0),N(RIGHT([PAPEL],LEN([PAPEL])-(LEN([PAPEL])-1))="3"),[Dívida / PL])/SUMPRODUCT(N([Dívida / PL]&gt;0),N(RIGHT([PAPEL],LEN([PAPEL])-(LEN([PAPEL])-1))="3"))</f>
        <v>2.1510410379481146</v>
      </c>
      <c r="Z46" s="7">
        <f>Tabela3[[#This Row],[Capital Social]]*20%</f>
        <v>85414541.464000002</v>
      </c>
      <c r="AA46" s="47">
        <f>IF(([Lucro Líquido]*5%)&gt;[Teto R. Legal],[Teto R. Legal],[Lucro Líquido]*5%)</f>
        <v>42130400</v>
      </c>
      <c r="AB46" s="47">
        <f>IF([Lucro Líquido]&lt;0,0,[Lucro Líquido]-[Reserva Legal])</f>
        <v>800477600</v>
      </c>
      <c r="AC46" s="47">
        <f>Tabela3[[#This Row],[Lucro Distribuir]]*[%Div]</f>
        <v>240143280</v>
      </c>
      <c r="AD46" s="56">
        <f>SUMPRODUCT(N([Nome]=Tabela3[[#This Row],[Nome]]),[Ações])</f>
        <v>431239264</v>
      </c>
      <c r="AE46" s="85">
        <f>[Capital Social]/[Total Ações]</f>
        <v>0.99033817876101371</v>
      </c>
      <c r="AF46" s="85">
        <f>Tabela3[[#This Row],[Lucro Líquido]]/Tabela3[[#This Row],[Total Ações]]</f>
        <v>1.9539222662248121</v>
      </c>
      <c r="AG46" s="85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0.55686784587407145</v>
      </c>
      <c r="AH46" s="85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46" s="77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46" s="85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0.55686784587407145</v>
      </c>
      <c r="AK46" s="7">
        <f>[Div Base]*[Ações]</f>
        <v>240143280</v>
      </c>
      <c r="AL46" s="7">
        <f>SUMPRODUCT(N([Nome]=Tabela3[[#This Row],[Nome]]),[Div Base]*[Ações])</f>
        <v>240143280</v>
      </c>
      <c r="AM46" s="5">
        <f>[Patrimônio Líquido]/[Total Ações]</f>
        <v>2.6566157018577976</v>
      </c>
      <c r="AN46" s="52">
        <f>MAX(Tabela3[[#This Row],[Cotação 1]:[Cotação 5]])</f>
        <v>34.92</v>
      </c>
      <c r="AO46" s="53">
        <f>[Cotação]/[VPA]</f>
        <v>13.144543253124681</v>
      </c>
      <c r="AP46" s="37">
        <f>IF(Tabela3[[#This Row],[Lucro/Ação]]&gt;0,Tabela3[[#This Row],[Cotação]]/(Tabela3[[#This Row],[Lucro/Ação]]/[Ref]*4),0)</f>
        <v>17.871744748305261</v>
      </c>
      <c r="AQ46" s="85">
        <f>[Lucro Distribuir]/[Total Ações]</f>
        <v>1.8562261529135715</v>
      </c>
      <c r="AR46" s="85">
        <f>IF([Unit ON]&gt;0,SUMPRODUCT(N([Nome]=Tabela3[[#This Row],[Nome]]),N(RIGHT([PAPEL],1)="3"),[Div Base])*[Unit ON]+SUMPRODUCT(N([Nome]=Tabela3[[#This Row],[Nome]]),N(RIGHT([PAPEL],1)="4"),[Div Base])*[Unit PN],[Div Base])</f>
        <v>0.55686784587407145</v>
      </c>
      <c r="AS46" s="10" t="str">
        <f>IF(AND([% A.A.]&gt;=6%,SUMPRODUCT(N([Nome]=Tabela3[[#This Row],[Nome]]),[PL])&gt;0,[Rentabilidade s/ PL]&gt;=[Rentabilidade s/ PL Média]),"Sim","Não")</f>
        <v>Não</v>
      </c>
      <c r="AT46" s="22">
        <f>IF([Cotação]&gt;0,Tabela3[[#This Row],[Lucro]]/Tabela3[[#This Row],[Cotação]],0)</f>
        <v>1.5946960076577074E-2</v>
      </c>
      <c r="AU46" s="22">
        <f>((1+Tabela3[[#This Row],[% Yield]])^(1/(3*Tabela3[[#This Row],[Ref]])))^(12)-1</f>
        <v>1.5946960076578032E-2</v>
      </c>
      <c r="AV46" s="10">
        <f>IF([Cotação]&gt;0,($BH$1/Tabela3[[#This Row],[Cotação]]-MOD($BH$1/Tabela3[[#This Row],[Cotação]],100)),)</f>
        <v>0</v>
      </c>
      <c r="AW46" s="7">
        <f>Tabela3[[#This Row],[Ativos]]*[Lucro]</f>
        <v>0</v>
      </c>
      <c r="AX46" s="7">
        <f>SUMPRODUCT(N(Tabela1[Código]=Tabela3[[#This Row],[PAPEL]]),Tabela1[Fechamento])</f>
        <v>0</v>
      </c>
      <c r="AY46" s="7">
        <f>SUMPRODUCT(N(Tabela17[Código]=Tabela3[[#This Row],[PAPEL]]),Tabela17[Fechamento])</f>
        <v>0</v>
      </c>
      <c r="AZ46" s="7">
        <f>SUMPRODUCT(N(Tabela176[Código]=Tabela3[[#This Row],[PAPEL]]),Tabela176[Fechamento])</f>
        <v>34.92</v>
      </c>
      <c r="BA46" s="7">
        <f>SUMPRODUCT(N(Tabela1768[Código]=Tabela3[[#This Row],[PAPEL]]),Tabela1768[Fechamento])</f>
        <v>0</v>
      </c>
      <c r="BB46" s="7">
        <f>SUMPRODUCT(N(Tabela17683[Código]=Tabela3[[#This Row],[PAPEL]]),Tabela17683[Fechamento])</f>
        <v>0</v>
      </c>
    </row>
    <row r="47" spans="1:54">
      <c r="A47" s="3" t="s">
        <v>907</v>
      </c>
      <c r="B47" s="57" t="s">
        <v>908</v>
      </c>
      <c r="C47" s="16" t="str">
        <f>LEFT([PAPEL],LEN([PAPEL])-(LEN([PAPEL])-4))</f>
        <v>WHRL</v>
      </c>
      <c r="D47" s="16">
        <v>4</v>
      </c>
      <c r="E47" s="5">
        <v>1085793037.9300001</v>
      </c>
      <c r="F47" s="56">
        <v>1028700892</v>
      </c>
      <c r="G47" s="81">
        <v>0.25</v>
      </c>
      <c r="H47" s="87"/>
      <c r="J47" s="18"/>
      <c r="K47" s="16"/>
      <c r="L47" s="87"/>
      <c r="M47" s="54">
        <v>6582450000</v>
      </c>
      <c r="N47" s="54">
        <v>3796950000</v>
      </c>
      <c r="O47" s="54">
        <v>2757514000</v>
      </c>
      <c r="P47" s="91">
        <v>2351149000</v>
      </c>
      <c r="Q47" s="91">
        <v>812747000</v>
      </c>
      <c r="R47" s="91">
        <f>IF(Tabela3[[#This Row],[Ativo || Passivo]]&gt;0,Tabela3[[#This Row],[Ativo || Passivo]]-Tabela3[[#This Row],[Patrimônio Líquido]],0)</f>
        <v>4231301000</v>
      </c>
      <c r="S47" s="91">
        <f>Tabela3[[#This Row],[Cotação]]*Tabela3[[#This Row],[Total Ações]]</f>
        <v>5635447522.5</v>
      </c>
      <c r="T47" s="34">
        <f>IF(Tabela3[[#This Row],[Passivo Circulante]]&gt;0,Tabela3[[#This Row],[Ativo Circulante]]/Tabela3[[#This Row],[Passivo Circulante]],0)</f>
        <v>1.376946771621105</v>
      </c>
      <c r="U47" s="34">
        <f>SUMPRODUCT(N([Liquidez Corrente]&gt;0),N(RIGHT([PAPEL],LEN([PAPEL])-(LEN([PAPEL])-1))="3"),[Liquidez Corrente])/SUMPRODUCT(N([Liquidez Corrente]&gt;0),N(RIGHT([PAPEL],LEN([PAPEL])-(LEN([PAPEL])-1))="3"))</f>
        <v>2.331224473064915</v>
      </c>
      <c r="V47" s="18">
        <f>IF(Tabela3[[#This Row],[Lucro Líquido]]&gt;0,Tabela3[[#This Row],[Lucro Líquido]]/Tabela3[[#This Row],[Patrimônio Líquido]],0)</f>
        <v>0.34568077140155729</v>
      </c>
      <c r="W47" s="18">
        <f>SUMPRODUCT(N([Rentabilidade s/ PL]&gt;0),N(RIGHT([PAPEL],LEN([PAPEL])-(LEN([PAPEL])-1))="3"),[Rentabilidade s/ PL])/SUMPRODUCT(N([Rentabilidade s/ PL]&gt;0),N(RIGHT([PAPEL],LEN([PAPEL])-(LEN([PAPEL])-1))="3"))</f>
        <v>0.1261051308670782</v>
      </c>
      <c r="X47" s="18">
        <f>IF(Tabela3[[#This Row],[Dívida]]&gt;0,Tabela3[[#This Row],[Dívida]]/Tabela3[[#This Row],[Patrimônio Líquido]],0)</f>
        <v>1.799673691458942</v>
      </c>
      <c r="Y47" s="18">
        <f>SUMPRODUCT(N([Dívida / PL]&gt;0),N(RIGHT([PAPEL],LEN([PAPEL])-(LEN([PAPEL])-1))="3"),[Dívida / PL])/SUMPRODUCT(N([Dívida / PL]&gt;0),N(RIGHT([PAPEL],LEN([PAPEL])-(LEN([PAPEL])-1))="3"))</f>
        <v>2.1510410379481146</v>
      </c>
      <c r="Z47" s="7">
        <f>Tabela3[[#This Row],[Capital Social]]*20%</f>
        <v>217158607.58600003</v>
      </c>
      <c r="AA47" s="47">
        <f>IF(([Lucro Líquido]*5%)&gt;[Teto R. Legal],[Teto R. Legal],[Lucro Líquido]*5%)</f>
        <v>40637350</v>
      </c>
      <c r="AB47" s="47">
        <f>IF([Lucro Líquido]&lt;0,0,[Lucro Líquido]-[Reserva Legal])</f>
        <v>772109650</v>
      </c>
      <c r="AC47" s="47">
        <f>Tabela3[[#This Row],[Lucro Distribuir]]*[%Div]</f>
        <v>193027412.5</v>
      </c>
      <c r="AD47" s="56">
        <f>SUMPRODUCT(N([Nome]=Tabela3[[#This Row],[Nome]]),[Ações])</f>
        <v>1502786006</v>
      </c>
      <c r="AE47" s="85">
        <f>[Capital Social]/[Total Ações]</f>
        <v>0.72252006180179995</v>
      </c>
      <c r="AF47" s="85">
        <f>Tabela3[[#This Row],[Lucro Líquido]]/Tabela3[[#This Row],[Total Ações]]</f>
        <v>0.54082683546096322</v>
      </c>
      <c r="AG47" s="85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0.12444991831464143</v>
      </c>
      <c r="AH47" s="85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47" s="77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47" s="85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0.12444991831464143</v>
      </c>
      <c r="AK47" s="7">
        <f>[Div Base]*[Ações]</f>
        <v>128021741.97959878</v>
      </c>
      <c r="AL47" s="7">
        <f>SUMPRODUCT(N([Nome]=Tabela3[[#This Row],[Nome]]),[Div Base]*[Ações])</f>
        <v>192921581.15114099</v>
      </c>
      <c r="AM47" s="5">
        <f>[Patrimônio Líquido]/[Total Ações]</f>
        <v>1.5645268126086076</v>
      </c>
      <c r="AN47" s="52">
        <f>MAX(Tabela3[[#This Row],[Cotação 1]:[Cotação 5]])</f>
        <v>3.75</v>
      </c>
      <c r="AO47" s="53">
        <f>[Cotação]/[VPA]</f>
        <v>2.3968908488998357</v>
      </c>
      <c r="AP47" s="37">
        <f>IF(Tabela3[[#This Row],[Lucro/Ação]]&gt;0,Tabela3[[#This Row],[Cotação]]/(Tabela3[[#This Row],[Lucro/Ação]]/[Ref]*4),0)</f>
        <v>6.9338275287389548</v>
      </c>
      <c r="AQ47" s="85">
        <f>[Lucro Distribuir]/[Total Ações]</f>
        <v>0.51378549368791504</v>
      </c>
      <c r="AR47" s="85">
        <f>IF([Unit ON]&gt;0,SUMPRODUCT(N([Nome]=Tabela3[[#This Row],[Nome]]),N(RIGHT([PAPEL],1)="3"),[Div Base])*[Unit ON]+SUMPRODUCT(N([Nome]=Tabela3[[#This Row],[Nome]]),N(RIGHT([PAPEL],1)="4"),[Div Base])*[Unit PN],[Div Base])</f>
        <v>0.12444991831464143</v>
      </c>
      <c r="AS47" s="10" t="str">
        <f>IF(AND([% A.A.]&gt;=6%,SUMPRODUCT(N([Nome]=Tabela3[[#This Row],[Nome]]),[PL])&gt;0,[Rentabilidade s/ PL]&gt;=[Rentabilidade s/ PL Média]),"Sim","Não")</f>
        <v>Não</v>
      </c>
      <c r="AT47" s="22">
        <f>IF([Cotação]&gt;0,Tabela3[[#This Row],[Lucro]]/Tabela3[[#This Row],[Cotação]],0)</f>
        <v>3.3186644883904381E-2</v>
      </c>
      <c r="AU47" s="22">
        <f>((1+Tabela3[[#This Row],[% Yield]])^(1/(3*Tabela3[[#This Row],[Ref]])))^(12)-1</f>
        <v>3.3186644883903771E-2</v>
      </c>
      <c r="AV47" s="10">
        <f>IF([Cotação]&gt;0,($BH$1/Tabela3[[#This Row],[Cotação]]-MOD($BH$1/Tabela3[[#This Row],[Cotação]],100)),)</f>
        <v>100</v>
      </c>
      <c r="AW47" s="7">
        <f>Tabela3[[#This Row],[Ativos]]*[Lucro]</f>
        <v>12.444991831464144</v>
      </c>
      <c r="AX47" s="7">
        <f>SUMPRODUCT(N(Tabela1[Código]=Tabela3[[#This Row],[PAPEL]]),Tabela1[Fechamento])</f>
        <v>0</v>
      </c>
      <c r="AY47" s="7">
        <f>SUMPRODUCT(N(Tabela17[Código]=Tabela3[[#This Row],[PAPEL]]),Tabela17[Fechamento])</f>
        <v>0</v>
      </c>
      <c r="AZ47" s="7">
        <f>SUMPRODUCT(N(Tabela176[Código]=Tabela3[[#This Row],[PAPEL]]),Tabela176[Fechamento])</f>
        <v>0</v>
      </c>
      <c r="BA47" s="7">
        <f>SUMPRODUCT(N(Tabela1768[Código]=Tabela3[[#This Row],[PAPEL]]),Tabela1768[Fechamento])</f>
        <v>3.75</v>
      </c>
      <c r="BB47" s="7">
        <f>SUMPRODUCT(N(Tabela17683[Código]=Tabela3[[#This Row],[PAPEL]]),Tabela17683[Fechamento])</f>
        <v>0</v>
      </c>
    </row>
    <row r="48" spans="1:54">
      <c r="A48" s="3" t="s">
        <v>907</v>
      </c>
      <c r="B48" s="57" t="s">
        <v>909</v>
      </c>
      <c r="C48" s="16" t="str">
        <f>LEFT([PAPEL],LEN([PAPEL])-(LEN([PAPEL])-4))</f>
        <v>WHRL</v>
      </c>
      <c r="D48" s="16">
        <v>4</v>
      </c>
      <c r="E48" s="5">
        <v>1085793037.9300001</v>
      </c>
      <c r="F48" s="56">
        <v>474085114</v>
      </c>
      <c r="G48" s="81">
        <v>0.25</v>
      </c>
      <c r="H48" s="87"/>
      <c r="J48" s="18">
        <v>0.1</v>
      </c>
      <c r="K48" s="16"/>
      <c r="L48" s="87"/>
      <c r="M48" s="54">
        <v>6582450000</v>
      </c>
      <c r="N48" s="54">
        <v>3796950000</v>
      </c>
      <c r="O48" s="54">
        <v>2757514000</v>
      </c>
      <c r="P48" s="91">
        <v>2351149000</v>
      </c>
      <c r="Q48" s="91">
        <v>812747000</v>
      </c>
      <c r="R48" s="91">
        <f>IF(Tabela3[[#This Row],[Ativo || Passivo]]&gt;0,Tabela3[[#This Row],[Ativo || Passivo]]-Tabela3[[#This Row],[Patrimônio Líquido]],0)</f>
        <v>4231301000</v>
      </c>
      <c r="S48" s="91">
        <f>Tabela3[[#This Row],[Cotação]]*Tabela3[[#This Row],[Total Ações]]</f>
        <v>6011144024</v>
      </c>
      <c r="T48" s="34">
        <f>IF(Tabela3[[#This Row],[Passivo Circulante]]&gt;0,Tabela3[[#This Row],[Ativo Circulante]]/Tabela3[[#This Row],[Passivo Circulante]],0)</f>
        <v>1.376946771621105</v>
      </c>
      <c r="U48" s="34">
        <f>SUMPRODUCT(N([Liquidez Corrente]&gt;0),N(RIGHT([PAPEL],LEN([PAPEL])-(LEN([PAPEL])-1))="3"),[Liquidez Corrente])/SUMPRODUCT(N([Liquidez Corrente]&gt;0),N(RIGHT([PAPEL],LEN([PAPEL])-(LEN([PAPEL])-1))="3"))</f>
        <v>2.331224473064915</v>
      </c>
      <c r="V48" s="18">
        <f>IF(Tabela3[[#This Row],[Lucro Líquido]]&gt;0,Tabela3[[#This Row],[Lucro Líquido]]/Tabela3[[#This Row],[Patrimônio Líquido]],0)</f>
        <v>0.34568077140155729</v>
      </c>
      <c r="W48" s="18">
        <f>SUMPRODUCT(N([Rentabilidade s/ PL]&gt;0),N(RIGHT([PAPEL],LEN([PAPEL])-(LEN([PAPEL])-1))="3"),[Rentabilidade s/ PL])/SUMPRODUCT(N([Rentabilidade s/ PL]&gt;0),N(RIGHT([PAPEL],LEN([PAPEL])-(LEN([PAPEL])-1))="3"))</f>
        <v>0.1261051308670782</v>
      </c>
      <c r="X48" s="18">
        <f>IF(Tabela3[[#This Row],[Dívida]]&gt;0,Tabela3[[#This Row],[Dívida]]/Tabela3[[#This Row],[Patrimônio Líquido]],0)</f>
        <v>1.799673691458942</v>
      </c>
      <c r="Y48" s="18">
        <f>SUMPRODUCT(N([Dívida / PL]&gt;0),N(RIGHT([PAPEL],LEN([PAPEL])-(LEN([PAPEL])-1))="3"),[Dívida / PL])/SUMPRODUCT(N([Dívida / PL]&gt;0),N(RIGHT([PAPEL],LEN([PAPEL])-(LEN([PAPEL])-1))="3"))</f>
        <v>2.1510410379481146</v>
      </c>
      <c r="Z48" s="7">
        <f>Tabela3[[#This Row],[Capital Social]]*20%</f>
        <v>217158607.58600003</v>
      </c>
      <c r="AA48" s="47">
        <f>IF(([Lucro Líquido]*5%)&gt;[Teto R. Legal],[Teto R. Legal],[Lucro Líquido]*5%)</f>
        <v>40637350</v>
      </c>
      <c r="AB48" s="47">
        <f>IF([Lucro Líquido]&lt;0,0,[Lucro Líquido]-[Reserva Legal])</f>
        <v>772109650</v>
      </c>
      <c r="AC48" s="47">
        <f>Tabela3[[#This Row],[Lucro Distribuir]]*[%Div]</f>
        <v>193027412.5</v>
      </c>
      <c r="AD48" s="56">
        <f>SUMPRODUCT(N([Nome]=Tabela3[[#This Row],[Nome]]),[Ações])</f>
        <v>1502786006</v>
      </c>
      <c r="AE48" s="85">
        <f>[Capital Social]/[Total Ações]</f>
        <v>0.72252006180179995</v>
      </c>
      <c r="AF48" s="85">
        <f>Tabela3[[#This Row],[Lucro Líquido]]/Tabela3[[#This Row],[Total Ações]]</f>
        <v>0.54082683546096322</v>
      </c>
      <c r="AG48" s="85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0.13689491033363727</v>
      </c>
      <c r="AH48" s="85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48" s="77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48" s="85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0.13689491033363727</v>
      </c>
      <c r="AK48" s="7">
        <f>[Div Base]*[Ações]</f>
        <v>64899839.171542197</v>
      </c>
      <c r="AL48" s="7">
        <f>SUMPRODUCT(N([Nome]=Tabela3[[#This Row],[Nome]]),[Div Base]*[Ações])</f>
        <v>192921581.15114099</v>
      </c>
      <c r="AM48" s="5">
        <f>[Patrimônio Líquido]/[Total Ações]</f>
        <v>1.5645268126086076</v>
      </c>
      <c r="AN48" s="52">
        <f>MAX(Tabela3[[#This Row],[Cotação 1]:[Cotação 5]])</f>
        <v>4</v>
      </c>
      <c r="AO48" s="53">
        <f>[Cotação]/[VPA]</f>
        <v>2.5566835721598249</v>
      </c>
      <c r="AP48" s="37">
        <f>IF(Tabela3[[#This Row],[Lucro/Ação]]&gt;0,Tabela3[[#This Row],[Cotação]]/(Tabela3[[#This Row],[Lucro/Ação]]/[Ref]*4),0)</f>
        <v>7.3960826973215523</v>
      </c>
      <c r="AQ48" s="85">
        <f>[Lucro Distribuir]/[Total Ações]</f>
        <v>0.51378549368791504</v>
      </c>
      <c r="AR48" s="85">
        <f>IF([Unit ON]&gt;0,SUMPRODUCT(N([Nome]=Tabela3[[#This Row],[Nome]]),N(RIGHT([PAPEL],1)="3"),[Div Base])*[Unit ON]+SUMPRODUCT(N([Nome]=Tabela3[[#This Row],[Nome]]),N(RIGHT([PAPEL],1)="4"),[Div Base])*[Unit PN],[Div Base])</f>
        <v>0.13689491033363727</v>
      </c>
      <c r="AS48" s="10" t="str">
        <f>IF(AND([% A.A.]&gt;=6%,SUMPRODUCT(N([Nome]=Tabela3[[#This Row],[Nome]]),[PL])&gt;0,[Rentabilidade s/ PL]&gt;=[Rentabilidade s/ PL Média]),"Sim","Não")</f>
        <v>Não</v>
      </c>
      <c r="AT48" s="22">
        <f>IF([Cotação]&gt;0,Tabela3[[#This Row],[Lucro]]/Tabela3[[#This Row],[Cotação]],0)</f>
        <v>3.4223727583409316E-2</v>
      </c>
      <c r="AU48" s="22">
        <f>((1+Tabela3[[#This Row],[% Yield]])^(1/(3*Tabela3[[#This Row],[Ref]])))^(12)-1</f>
        <v>3.4223727583409858E-2</v>
      </c>
      <c r="AV48" s="10">
        <f>IF([Cotação]&gt;0,($BH$1/Tabela3[[#This Row],[Cotação]]-MOD($BH$1/Tabela3[[#This Row],[Cotação]],100)),)</f>
        <v>100</v>
      </c>
      <c r="AW48" s="7">
        <f>Tabela3[[#This Row],[Ativos]]*[Lucro]</f>
        <v>13.689491033363726</v>
      </c>
      <c r="AX48" s="7">
        <f>SUMPRODUCT(N(Tabela1[Código]=Tabela3[[#This Row],[PAPEL]]),Tabela1[Fechamento])</f>
        <v>0</v>
      </c>
      <c r="AY48" s="7">
        <f>SUMPRODUCT(N(Tabela17[Código]=Tabela3[[#This Row],[PAPEL]]),Tabela17[Fechamento])</f>
        <v>0</v>
      </c>
      <c r="AZ48" s="7">
        <f>SUMPRODUCT(N(Tabela176[Código]=Tabela3[[#This Row],[PAPEL]]),Tabela176[Fechamento])</f>
        <v>0</v>
      </c>
      <c r="BA48" s="7">
        <f>SUMPRODUCT(N(Tabela1768[Código]=Tabela3[[#This Row],[PAPEL]]),Tabela1768[Fechamento])</f>
        <v>4</v>
      </c>
      <c r="BB48" s="7">
        <f>SUMPRODUCT(N(Tabela17683[Código]=Tabela3[[#This Row],[PAPEL]]),Tabela17683[Fechamento])</f>
        <v>0</v>
      </c>
    </row>
    <row r="49" spans="1:54" hidden="1">
      <c r="A49" s="4" t="s">
        <v>12</v>
      </c>
      <c r="B49" s="57" t="s">
        <v>72</v>
      </c>
      <c r="C49" s="82" t="str">
        <f>LEFT([PAPEL],LEN([PAPEL])-(LEN([PAPEL])-4))</f>
        <v>CESP</v>
      </c>
      <c r="D49" s="15">
        <v>3</v>
      </c>
      <c r="E49" s="6">
        <v>5975433454.4300003</v>
      </c>
      <c r="F49" s="8">
        <v>109167558</v>
      </c>
      <c r="G49" s="86">
        <v>0.25</v>
      </c>
      <c r="H49" s="19"/>
      <c r="I49" s="19"/>
      <c r="J49" s="19"/>
      <c r="K49" s="88"/>
      <c r="L49" s="88"/>
      <c r="M49" s="13">
        <v>16942307000</v>
      </c>
      <c r="N49" s="13">
        <v>1594817000</v>
      </c>
      <c r="O49" s="13">
        <v>1283878000</v>
      </c>
      <c r="P49" s="89">
        <v>10479149000</v>
      </c>
      <c r="Q49" s="89">
        <v>795212000</v>
      </c>
      <c r="R49" s="89">
        <f>IF(Tabela3[[#This Row],[Ativo || Passivo]]&gt;0,Tabela3[[#This Row],[Ativo || Passivo]]-Tabela3[[#This Row],[Patrimônio Líquido]],0)</f>
        <v>6463158000</v>
      </c>
      <c r="S49" s="89">
        <f>Tabela3[[#This Row],[Cotação]]*Tabela3[[#This Row],[Total Ações]]</f>
        <v>6304426455.25</v>
      </c>
      <c r="T49" s="132">
        <f>IF(Tabela3[[#This Row],[Passivo Circulante]]&gt;0,Tabela3[[#This Row],[Ativo Circulante]]/Tabela3[[#This Row],[Passivo Circulante]],0)</f>
        <v>1.2421873417879268</v>
      </c>
      <c r="U49" s="132">
        <f>SUMPRODUCT(N([Liquidez Corrente]&gt;0),N(RIGHT([PAPEL],LEN([PAPEL])-(LEN([PAPEL])-1))="3"),[Liquidez Corrente])/SUMPRODUCT(N([Liquidez Corrente]&gt;0),N(RIGHT([PAPEL],LEN([PAPEL])-(LEN([PAPEL])-1))="3"))</f>
        <v>2.331224473064915</v>
      </c>
      <c r="V49" s="19">
        <f>IF(Tabela3[[#This Row],[Lucro Líquido]]&gt;0,Tabela3[[#This Row],[Lucro Líquido]]/Tabela3[[#This Row],[Patrimônio Líquido]],0)</f>
        <v>7.5885169683148887E-2</v>
      </c>
      <c r="W49" s="19">
        <f>SUMPRODUCT(N([Rentabilidade s/ PL]&gt;0),N(RIGHT([PAPEL],LEN([PAPEL])-(LEN([PAPEL])-1))="3"),[Rentabilidade s/ PL])/SUMPRODUCT(N([Rentabilidade s/ PL]&gt;0),N(RIGHT([PAPEL],LEN([PAPEL])-(LEN([PAPEL])-1))="3"))</f>
        <v>0.1261051308670782</v>
      </c>
      <c r="X49" s="19">
        <f>IF(Tabela3[[#This Row],[Dívida]]&gt;0,Tabela3[[#This Row],[Dívida]]/Tabela3[[#This Row],[Patrimônio Líquido]],0)</f>
        <v>0.61676363223769415</v>
      </c>
      <c r="Y49" s="19">
        <f>SUMPRODUCT(N([Dívida / PL]&gt;0),N(RIGHT([PAPEL],LEN([PAPEL])-(LEN([PAPEL])-1))="3"),[Dívida / PL])/SUMPRODUCT(N([Dívida / PL]&gt;0),N(RIGHT([PAPEL],LEN([PAPEL])-(LEN([PAPEL])-1))="3"))</f>
        <v>2.1510410379481146</v>
      </c>
      <c r="Z49" s="6">
        <f>Tabela3[[#This Row],[Capital Social]]*20%</f>
        <v>1195086690.8860002</v>
      </c>
      <c r="AA49" s="6">
        <f>IF(([Lucro Líquido]*5%)&gt;[Teto R. Legal],[Teto R. Legal],[Lucro Líquido]*5%)</f>
        <v>39760600</v>
      </c>
      <c r="AB49" s="89">
        <f>IF([Lucro Líquido]&lt;0,0,[Lucro Líquido]-[Reserva Legal])</f>
        <v>755451400</v>
      </c>
      <c r="AC49" s="89">
        <f>Tabela3[[#This Row],[Lucro Distribuir]]*[%Div]</f>
        <v>188862850</v>
      </c>
      <c r="AD49" s="56">
        <f>SUMPRODUCT(N([Nome]=Tabela3[[#This Row],[Nome]]),[Ações])</f>
        <v>327502673</v>
      </c>
      <c r="AE49" s="6">
        <f>[Capital Social]/[Total Ações]</f>
        <v>18.245449417843378</v>
      </c>
      <c r="AF49" s="78">
        <f>Tabela3[[#This Row],[Lucro Líquido]]/Tabela3[[#This Row],[Total Ações]]</f>
        <v>2.4281084264616064</v>
      </c>
      <c r="AG49" s="78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0.57667575128463155</v>
      </c>
      <c r="AH49" s="78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49" s="78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0.5466194784539764</v>
      </c>
      <c r="AJ49" s="78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0.5466194784539764</v>
      </c>
      <c r="AK49" s="6">
        <f>[Div Base]*[Ações]</f>
        <v>59673113.618054219</v>
      </c>
      <c r="AL49" s="6">
        <f>SUMPRODUCT(N([Nome]=Tabela3[[#This Row],[Nome]]),[Div Base]*[Ações])</f>
        <v>188862850</v>
      </c>
      <c r="AM49" s="6">
        <f>[Patrimônio Líquido]/[Total Ações]</f>
        <v>31.99714037143141</v>
      </c>
      <c r="AN49" s="48">
        <f>MAX(Tabela3[[#This Row],[Cotação 1]:[Cotação 5]])</f>
        <v>19.25</v>
      </c>
      <c r="AO49" s="44">
        <f>[Cotação]/[VPA]</f>
        <v>0.60161626247035904</v>
      </c>
      <c r="AP49" s="40">
        <f>IF(Tabela3[[#This Row],[Lucro/Ação]]&gt;0,Tabela3[[#This Row],[Cotação]]/(Tabela3[[#This Row],[Lucro/Ação]]/[Ref]*4),0)</f>
        <v>5.9459865311860227</v>
      </c>
      <c r="AQ49" s="78">
        <f>[Lucro Distribuir]/[Total Ações]</f>
        <v>2.3067030051385262</v>
      </c>
      <c r="AR49" s="78">
        <f>IF([Unit ON]&gt;0,SUMPRODUCT(N([Nome]=Tabela3[[#This Row],[Nome]]),N(RIGHT([PAPEL],1)="3"),[Div Base])*[Unit ON]+SUMPRODUCT(N([Nome]=Tabela3[[#This Row],[Nome]]),N(RIGHT([PAPEL],1)="4"),[Div Base])*[Unit PN],[Div Base])</f>
        <v>0.5466194784539764</v>
      </c>
      <c r="AS49" s="14" t="str">
        <f>IF(AND([% A.A.]&gt;=6%,SUMPRODUCT(N([Nome]=Tabela3[[#This Row],[Nome]]),[PL])&gt;0,[Rentabilidade s/ PL]&gt;=[Rentabilidade s/ PL Média]),"Sim","Não")</f>
        <v>Não</v>
      </c>
      <c r="AT49" s="42">
        <f>IF([Cotação]&gt;0,Tabela3[[#This Row],[Lucro]]/Tabela3[[#This Row],[Cotação]],0)</f>
        <v>2.839581706254423E-2</v>
      </c>
      <c r="AU49" s="19">
        <f>((1+Tabela3[[#This Row],[% Yield]])^(1/(3*Tabela3[[#This Row],[Ref]])))^(12)-1</f>
        <v>3.8039154680989062E-2</v>
      </c>
      <c r="AV49" s="14">
        <f>IF([Cotação]&gt;0,($BH$1/Tabela3[[#This Row],[Cotação]]-MOD($BH$1/Tabela3[[#This Row],[Cotação]],100)),)</f>
        <v>0</v>
      </c>
      <c r="AW49" s="17">
        <f>Tabela3[[#This Row],[Ativos]]*[Lucro]</f>
        <v>0</v>
      </c>
      <c r="AX49" s="5">
        <f>SUMPRODUCT(N(Tabela1[Código]=Tabela3[[#This Row],[PAPEL]]),Tabela1[Fechamento])</f>
        <v>19.25</v>
      </c>
      <c r="AY49" s="5">
        <f>SUMPRODUCT(N(Tabela17[Código]=Tabela3[[#This Row],[PAPEL]]),Tabela17[Fechamento])</f>
        <v>0</v>
      </c>
      <c r="AZ49" s="7">
        <f>SUMPRODUCT(N(Tabela176[Código]=Tabela3[[#This Row],[PAPEL]]),Tabela176[Fechamento])</f>
        <v>0</v>
      </c>
      <c r="BA49" s="7">
        <f>SUMPRODUCT(N(Tabela1768[Código]=Tabela3[[#This Row],[PAPEL]]),Tabela1768[Fechamento])</f>
        <v>0</v>
      </c>
      <c r="BB49" s="7">
        <f>SUMPRODUCT(N(Tabela17683[Código]=Tabela3[[#This Row],[PAPEL]]),Tabela17683[Fechamento])</f>
        <v>0</v>
      </c>
    </row>
    <row r="50" spans="1:54" hidden="1">
      <c r="A50" s="4" t="s">
        <v>12</v>
      </c>
      <c r="B50" s="57" t="s">
        <v>86</v>
      </c>
      <c r="C50" s="84" t="str">
        <f>LEFT([PAPEL],LEN([PAPEL])-(LEN([PAPEL])-4))</f>
        <v>CESP</v>
      </c>
      <c r="D50" s="15">
        <v>3</v>
      </c>
      <c r="E50" s="6">
        <v>5975433454.4300003</v>
      </c>
      <c r="F50" s="8">
        <v>7702726</v>
      </c>
      <c r="G50" s="81">
        <v>0.25</v>
      </c>
      <c r="H50" s="15"/>
      <c r="I50" s="19">
        <v>0.1</v>
      </c>
      <c r="J50" s="19"/>
      <c r="K50" s="88"/>
      <c r="L50" s="88"/>
      <c r="M50" s="13">
        <v>16942307000</v>
      </c>
      <c r="N50" s="13">
        <v>1594817000</v>
      </c>
      <c r="O50" s="13">
        <v>1283878000</v>
      </c>
      <c r="P50" s="89">
        <v>10479149000</v>
      </c>
      <c r="Q50" s="89">
        <v>795212000</v>
      </c>
      <c r="R50" s="89">
        <f>IF(Tabela3[[#This Row],[Ativo || Passivo]]&gt;0,Tabela3[[#This Row],[Ativo || Passivo]]-Tabela3[[#This Row],[Patrimônio Líquido]],0)</f>
        <v>6463158000</v>
      </c>
      <c r="S50" s="13">
        <f>Tabela3[[#This Row],[Cotação]]*Tabela3[[#This Row],[Total Ações]]</f>
        <v>7516186345.3499994</v>
      </c>
      <c r="T50" s="132">
        <f>IF(Tabela3[[#This Row],[Passivo Circulante]]&gt;0,Tabela3[[#This Row],[Ativo Circulante]]/Tabela3[[#This Row],[Passivo Circulante]],0)</f>
        <v>1.2421873417879268</v>
      </c>
      <c r="U50" s="132">
        <f>SUMPRODUCT(N([Liquidez Corrente]&gt;0),N(RIGHT([PAPEL],LEN([PAPEL])-(LEN([PAPEL])-1))="3"),[Liquidez Corrente])/SUMPRODUCT(N([Liquidez Corrente]&gt;0),N(RIGHT([PAPEL],LEN([PAPEL])-(LEN([PAPEL])-1))="3"))</f>
        <v>2.331224473064915</v>
      </c>
      <c r="V50" s="19">
        <f>IF(Tabela3[[#This Row],[Lucro Líquido]]&gt;0,Tabela3[[#This Row],[Lucro Líquido]]/Tabela3[[#This Row],[Patrimônio Líquido]],0)</f>
        <v>7.5885169683148887E-2</v>
      </c>
      <c r="W50" s="19">
        <f>SUMPRODUCT(N([Rentabilidade s/ PL]&gt;0),N(RIGHT([PAPEL],LEN([PAPEL])-(LEN([PAPEL])-1))="3"),[Rentabilidade s/ PL])/SUMPRODUCT(N([Rentabilidade s/ PL]&gt;0),N(RIGHT([PAPEL],LEN([PAPEL])-(LEN([PAPEL])-1))="3"))</f>
        <v>0.1261051308670782</v>
      </c>
      <c r="X50" s="19">
        <f>IF(Tabela3[[#This Row],[Dívida]]&gt;0,Tabela3[[#This Row],[Dívida]]/Tabela3[[#This Row],[Patrimônio Líquido]],0)</f>
        <v>0.61676363223769415</v>
      </c>
      <c r="Y50" s="19">
        <f>SUMPRODUCT(N([Dívida / PL]&gt;0),N(RIGHT([PAPEL],LEN([PAPEL])-(LEN([PAPEL])-1))="3"),[Dívida / PL])/SUMPRODUCT(N([Dívida / PL]&gt;0),N(RIGHT([PAPEL],LEN([PAPEL])-(LEN([PAPEL])-1))="3"))</f>
        <v>2.1510410379481146</v>
      </c>
      <c r="Z50" s="13">
        <f>Tabela3[[#This Row],[Capital Social]]*20%</f>
        <v>1195086690.8860002</v>
      </c>
      <c r="AA50" s="13">
        <f>IF(([Lucro Líquido]*5%)&gt;[Teto R. Legal],[Teto R. Legal],[Lucro Líquido]*5%)</f>
        <v>39760600</v>
      </c>
      <c r="AB50" s="89">
        <f>IF([Lucro Líquido]&lt;0,0,[Lucro Líquido]-[Reserva Legal])</f>
        <v>755451400</v>
      </c>
      <c r="AC50" s="89">
        <f>Tabela3[[#This Row],[Lucro Distribuir]]*[%Div]</f>
        <v>188862850</v>
      </c>
      <c r="AD50" s="56">
        <f>SUMPRODUCT(N([Nome]=Tabela3[[#This Row],[Nome]]),[Ações])</f>
        <v>327502673</v>
      </c>
      <c r="AE50" s="6">
        <f>[Capital Social]/[Total Ações]</f>
        <v>18.245449417843378</v>
      </c>
      <c r="AF50" s="78">
        <f>Tabela3[[#This Row],[Lucro Líquido]]/Tabela3[[#This Row],[Total Ações]]</f>
        <v>2.4281084264616064</v>
      </c>
      <c r="AG50" s="78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0.57667575128463155</v>
      </c>
      <c r="AH50" s="78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50" s="78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1.824544941784338</v>
      </c>
      <c r="AJ50" s="78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1.824544941784338</v>
      </c>
      <c r="AK50" s="13">
        <f>[Div Base]*[Ações]</f>
        <v>14053969.761250706</v>
      </c>
      <c r="AL50" s="13">
        <f>SUMPRODUCT(N([Nome]=Tabela3[[#This Row],[Nome]]),[Div Base]*[Ações])</f>
        <v>188862850</v>
      </c>
      <c r="AM50" s="6">
        <f>[Patrimônio Líquido]/[Total Ações]</f>
        <v>31.99714037143141</v>
      </c>
      <c r="AN50" s="48">
        <f>MAX(Tabela3[[#This Row],[Cotação 1]:[Cotação 5]])</f>
        <v>22.95</v>
      </c>
      <c r="AO50" s="44">
        <f>[Cotação]/[VPA]</f>
        <v>0.71725159603609034</v>
      </c>
      <c r="AP50" s="40">
        <f>IF(Tabela3[[#This Row],[Lucro/Ação]]&gt;0,Tabela3[[#This Row],[Cotação]]/(Tabela3[[#This Row],[Lucro/Ação]]/[Ref]*4),0)</f>
        <v>7.0888514748425573</v>
      </c>
      <c r="AQ50" s="78">
        <f>[Lucro Distribuir]/[Total Ações]</f>
        <v>2.3067030051385262</v>
      </c>
      <c r="AR50" s="78">
        <f>IF([Unit ON]&gt;0,SUMPRODUCT(N([Nome]=Tabela3[[#This Row],[Nome]]),N(RIGHT([PAPEL],1)="3"),[Div Base])*[Unit ON]+SUMPRODUCT(N([Nome]=Tabela3[[#This Row],[Nome]]),N(RIGHT([PAPEL],1)="4"),[Div Base])*[Unit PN],[Div Base])</f>
        <v>1.824544941784338</v>
      </c>
      <c r="AS50" s="14" t="str">
        <f>IF(AND([% A.A.]&gt;=6%,SUMPRODUCT(N([Nome]=Tabela3[[#This Row],[Nome]]),[PL])&gt;0,[Rentabilidade s/ PL]&gt;=[Rentabilidade s/ PL Média]),"Sim","Não")</f>
        <v>Não</v>
      </c>
      <c r="AT50" s="42">
        <f>IF([Cotação]&gt;0,Tabela3[[#This Row],[Lucro]]/Tabela3[[#This Row],[Cotação]],0)</f>
        <v>7.9500868923064835E-2</v>
      </c>
      <c r="AU50" s="19">
        <f>((1+Tabela3[[#This Row],[% Yield]])^(1/(3*Tabela3[[#This Row],[Ref]])))^(12)-1</f>
        <v>0.10738166433702157</v>
      </c>
      <c r="AV50" s="14">
        <f>IF([Cotação]&gt;0,($BH$1/Tabela3[[#This Row],[Cotação]]-MOD($BH$1/Tabela3[[#This Row],[Cotação]],100)),)</f>
        <v>0</v>
      </c>
      <c r="AW50" s="17">
        <f>Tabela3[[#This Row],[Ativos]]*[Lucro]</f>
        <v>0</v>
      </c>
      <c r="AX50" s="47">
        <f>SUMPRODUCT(N(Tabela1[Código]=Tabela3[[#This Row],[PAPEL]]),Tabela1[Fechamento])</f>
        <v>22.95</v>
      </c>
      <c r="AY50" s="47">
        <f>SUMPRODUCT(N(Tabela17[Código]=Tabela3[[#This Row],[PAPEL]]),Tabela17[Fechamento])</f>
        <v>0</v>
      </c>
      <c r="AZ50" s="7">
        <f>SUMPRODUCT(N(Tabela176[Código]=Tabela3[[#This Row],[PAPEL]]),Tabela176[Fechamento])</f>
        <v>0</v>
      </c>
      <c r="BA50" s="7">
        <f>SUMPRODUCT(N(Tabela1768[Código]=Tabela3[[#This Row],[PAPEL]]),Tabela1768[Fechamento])</f>
        <v>0</v>
      </c>
      <c r="BB50" s="7">
        <f>SUMPRODUCT(N(Tabela17683[Código]=Tabela3[[#This Row],[PAPEL]]),Tabela17683[Fechamento])</f>
        <v>0</v>
      </c>
    </row>
    <row r="51" spans="1:54" hidden="1">
      <c r="A51" s="4" t="s">
        <v>12</v>
      </c>
      <c r="B51" s="57" t="s">
        <v>87</v>
      </c>
      <c r="C51" s="14" t="str">
        <f>LEFT([PAPEL],LEN([PAPEL])-(LEN([PAPEL])-4))</f>
        <v>CESP</v>
      </c>
      <c r="D51" s="15">
        <v>3</v>
      </c>
      <c r="E51" s="6">
        <v>5975433454.4300003</v>
      </c>
      <c r="F51" s="8">
        <v>210632389</v>
      </c>
      <c r="G51" s="86">
        <v>0.25</v>
      </c>
      <c r="H51" s="19"/>
      <c r="I51" s="19"/>
      <c r="J51" s="19"/>
      <c r="K51" s="88"/>
      <c r="L51" s="88"/>
      <c r="M51" s="13">
        <v>16942307000</v>
      </c>
      <c r="N51" s="13">
        <v>1594817000</v>
      </c>
      <c r="O51" s="13">
        <v>1283878000</v>
      </c>
      <c r="P51" s="89">
        <v>10479149000</v>
      </c>
      <c r="Q51" s="89">
        <v>795212000</v>
      </c>
      <c r="R51" s="89">
        <f>IF(Tabela3[[#This Row],[Ativo || Passivo]]&gt;0,Tabela3[[#This Row],[Ativo || Passivo]]-Tabela3[[#This Row],[Patrimônio Líquido]],0)</f>
        <v>6463158000</v>
      </c>
      <c r="S51" s="89">
        <f>Tabela3[[#This Row],[Cotação]]*Tabela3[[#This Row],[Total Ações]]</f>
        <v>7434310677.0999994</v>
      </c>
      <c r="T51" s="132">
        <f>IF(Tabela3[[#This Row],[Passivo Circulante]]&gt;0,Tabela3[[#This Row],[Ativo Circulante]]/Tabela3[[#This Row],[Passivo Circulante]],0)</f>
        <v>1.2421873417879268</v>
      </c>
      <c r="U51" s="132">
        <f>SUMPRODUCT(N([Liquidez Corrente]&gt;0),N(RIGHT([PAPEL],LEN([PAPEL])-(LEN([PAPEL])-1))="3"),[Liquidez Corrente])/SUMPRODUCT(N([Liquidez Corrente]&gt;0),N(RIGHT([PAPEL],LEN([PAPEL])-(LEN([PAPEL])-1))="3"))</f>
        <v>2.331224473064915</v>
      </c>
      <c r="V51" s="19">
        <f>IF(Tabela3[[#This Row],[Lucro Líquido]]&gt;0,Tabela3[[#This Row],[Lucro Líquido]]/Tabela3[[#This Row],[Patrimônio Líquido]],0)</f>
        <v>7.5885169683148887E-2</v>
      </c>
      <c r="W51" s="19">
        <f>SUMPRODUCT(N([Rentabilidade s/ PL]&gt;0),N(RIGHT([PAPEL],LEN([PAPEL])-(LEN([PAPEL])-1))="3"),[Rentabilidade s/ PL])/SUMPRODUCT(N([Rentabilidade s/ PL]&gt;0),N(RIGHT([PAPEL],LEN([PAPEL])-(LEN([PAPEL])-1))="3"))</f>
        <v>0.1261051308670782</v>
      </c>
      <c r="X51" s="19">
        <f>IF(Tabela3[[#This Row],[Dívida]]&gt;0,Tabela3[[#This Row],[Dívida]]/Tabela3[[#This Row],[Patrimônio Líquido]],0)</f>
        <v>0.61676363223769415</v>
      </c>
      <c r="Y51" s="19">
        <f>SUMPRODUCT(N([Dívida / PL]&gt;0),N(RIGHT([PAPEL],LEN([PAPEL])-(LEN([PAPEL])-1))="3"),[Dívida / PL])/SUMPRODUCT(N([Dívida / PL]&gt;0),N(RIGHT([PAPEL],LEN([PAPEL])-(LEN([PAPEL])-1))="3"))</f>
        <v>2.1510410379481146</v>
      </c>
      <c r="Z51" s="6">
        <f>Tabela3[[#This Row],[Capital Social]]*20%</f>
        <v>1195086690.8860002</v>
      </c>
      <c r="AA51" s="6">
        <f>IF(([Lucro Líquido]*5%)&gt;[Teto R. Legal],[Teto R. Legal],[Lucro Líquido]*5%)</f>
        <v>39760600</v>
      </c>
      <c r="AB51" s="89">
        <f>IF([Lucro Líquido]&lt;0,0,[Lucro Líquido]-[Reserva Legal])</f>
        <v>755451400</v>
      </c>
      <c r="AC51" s="89">
        <f>Tabela3[[#This Row],[Lucro Distribuir]]*[%Div]</f>
        <v>188862850</v>
      </c>
      <c r="AD51" s="56">
        <f>SUMPRODUCT(N([Nome]=Tabela3[[#This Row],[Nome]]),[Ações])</f>
        <v>327502673</v>
      </c>
      <c r="AE51" s="6">
        <f>[Capital Social]/[Total Ações]</f>
        <v>18.245449417843378</v>
      </c>
      <c r="AF51" s="78">
        <f>Tabela3[[#This Row],[Lucro Líquido]]/Tabela3[[#This Row],[Total Ações]]</f>
        <v>2.4281084264616064</v>
      </c>
      <c r="AG51" s="78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0.57667575128463155</v>
      </c>
      <c r="AH51" s="78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51" s="78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0.5466194784539764</v>
      </c>
      <c r="AJ51" s="78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0.5466194784539764</v>
      </c>
      <c r="AK51" s="6">
        <f>[Div Base]*[Ações]</f>
        <v>115135766.62069507</v>
      </c>
      <c r="AL51" s="6">
        <f>SUMPRODUCT(N([Nome]=Tabela3[[#This Row],[Nome]]),[Div Base]*[Ações])</f>
        <v>188862850</v>
      </c>
      <c r="AM51" s="6">
        <f>[Patrimônio Líquido]/[Total Ações]</f>
        <v>31.99714037143141</v>
      </c>
      <c r="AN51" s="48">
        <f>MAX(Tabela3[[#This Row],[Cotação 1]:[Cotação 5]])</f>
        <v>22.7</v>
      </c>
      <c r="AO51" s="44">
        <f>[Cotação]/[VPA]</f>
        <v>0.70943839782218954</v>
      </c>
      <c r="AP51" s="40">
        <f>IF(Tabela3[[#This Row],[Lucro/Ação]]&gt;0,Tabela3[[#This Row],[Cotação]]/(Tabela3[[#This Row],[Lucro/Ação]]/[Ref]*4),0)</f>
        <v>7.0116308705414401</v>
      </c>
      <c r="AQ51" s="78">
        <f>[Lucro Distribuir]/[Total Ações]</f>
        <v>2.3067030051385262</v>
      </c>
      <c r="AR51" s="78">
        <f>IF([Unit ON]&gt;0,SUMPRODUCT(N([Nome]=Tabela3[[#This Row],[Nome]]),N(RIGHT([PAPEL],1)="3"),[Div Base])*[Unit ON]+SUMPRODUCT(N([Nome]=Tabela3[[#This Row],[Nome]]),N(RIGHT([PAPEL],1)="4"),[Div Base])*[Unit PN],[Div Base])</f>
        <v>0.5466194784539764</v>
      </c>
      <c r="AS51" s="15" t="str">
        <f>IF(AND([% A.A.]&gt;=6%,SUMPRODUCT(N([Nome]=Tabela3[[#This Row],[Nome]]),[PL])&gt;0,[Rentabilidade s/ PL]&gt;=[Rentabilidade s/ PL Média]),"Sim","Não")</f>
        <v>Não</v>
      </c>
      <c r="AT51" s="42">
        <f>IF([Cotação]&gt;0,Tabela3[[#This Row],[Lucro]]/Tabela3[[#This Row],[Cotação]],0)</f>
        <v>2.4080153235857993E-2</v>
      </c>
      <c r="AU51" s="19">
        <f>((1+Tabela3[[#This Row],[% Yield]])^(1/(3*Tabela3[[#This Row],[Ref]])))^(12)-1</f>
        <v>3.2235044678149638E-2</v>
      </c>
      <c r="AV51" s="14">
        <f>IF([Cotação]&gt;0,($BH$1/Tabela3[[#This Row],[Cotação]]-MOD($BH$1/Tabela3[[#This Row],[Cotação]],100)),)</f>
        <v>0</v>
      </c>
      <c r="AW51" s="17">
        <f>Tabela3[[#This Row],[Ativos]]*[Lucro]</f>
        <v>0</v>
      </c>
      <c r="AX51" s="5">
        <f>SUMPRODUCT(N(Tabela1[Código]=Tabela3[[#This Row],[PAPEL]]),Tabela1[Fechamento])</f>
        <v>22.7</v>
      </c>
      <c r="AY51" s="5">
        <f>SUMPRODUCT(N(Tabela17[Código]=Tabela3[[#This Row],[PAPEL]]),Tabela17[Fechamento])</f>
        <v>0</v>
      </c>
      <c r="AZ51" s="7">
        <f>SUMPRODUCT(N(Tabela176[Código]=Tabela3[[#This Row],[PAPEL]]),Tabela176[Fechamento])</f>
        <v>0</v>
      </c>
      <c r="BA51" s="7">
        <f>SUMPRODUCT(N(Tabela1768[Código]=Tabela3[[#This Row],[PAPEL]]),Tabela1768[Fechamento])</f>
        <v>0</v>
      </c>
      <c r="BB51" s="7">
        <f>SUMPRODUCT(N(Tabela17683[Código]=Tabela3[[#This Row],[PAPEL]]),Tabela17683[Fechamento])</f>
        <v>0</v>
      </c>
    </row>
    <row r="52" spans="1:54">
      <c r="A52" s="4" t="s">
        <v>14</v>
      </c>
      <c r="B52" s="57" t="s">
        <v>204</v>
      </c>
      <c r="C52" s="14" t="str">
        <f>LEFT([PAPEL],LEN([PAPEL])-(LEN([PAPEL])-4))</f>
        <v>BRSR</v>
      </c>
      <c r="D52" s="15">
        <v>4</v>
      </c>
      <c r="E52" s="6">
        <v>3750000000</v>
      </c>
      <c r="F52" s="8">
        <v>205043374</v>
      </c>
      <c r="G52" s="81">
        <v>0.25</v>
      </c>
      <c r="H52" s="15"/>
      <c r="I52" s="19"/>
      <c r="J52" s="19"/>
      <c r="K52" s="88"/>
      <c r="L52" s="88"/>
      <c r="M52" s="55"/>
      <c r="N52" s="55"/>
      <c r="O52" s="55"/>
      <c r="P52" s="6">
        <v>5147862000</v>
      </c>
      <c r="Q52" s="6">
        <v>791614000</v>
      </c>
      <c r="R52" s="6">
        <f>IF(Tabela3[[#This Row],[Ativo || Passivo]]&gt;0,Tabela3[[#This Row],[Ativo || Passivo]]-Tabela3[[#This Row],[Patrimônio Líquido]],0)</f>
        <v>0</v>
      </c>
      <c r="S52" s="6">
        <f>Tabela3[[#This Row],[Cotação]]*Tabela3[[#This Row],[Total Ações]]</f>
        <v>4989488619.3999996</v>
      </c>
      <c r="T52" s="132">
        <f>IF(Tabela3[[#This Row],[Passivo Circulante]]&gt;0,Tabela3[[#This Row],[Ativo Circulante]]/Tabela3[[#This Row],[Passivo Circulante]],0)</f>
        <v>0</v>
      </c>
      <c r="U52" s="132">
        <f>SUMPRODUCT(N([Liquidez Corrente]&gt;0),N(RIGHT([PAPEL],LEN([PAPEL])-(LEN([PAPEL])-1))="3"),[Liquidez Corrente])/SUMPRODUCT(N([Liquidez Corrente]&gt;0),N(RIGHT([PAPEL],LEN([PAPEL])-(LEN([PAPEL])-1))="3"))</f>
        <v>2.331224473064915</v>
      </c>
      <c r="V52" s="19">
        <f>IF(Tabela3[[#This Row],[Lucro Líquido]]&gt;0,Tabela3[[#This Row],[Lucro Líquido]]/Tabela3[[#This Row],[Patrimônio Líquido]],0)</f>
        <v>0.15377529545275301</v>
      </c>
      <c r="W52" s="19">
        <f>SUMPRODUCT(N([Rentabilidade s/ PL]&gt;0),N(RIGHT([PAPEL],LEN([PAPEL])-(LEN([PAPEL])-1))="3"),[Rentabilidade s/ PL])/SUMPRODUCT(N([Rentabilidade s/ PL]&gt;0),N(RIGHT([PAPEL],LEN([PAPEL])-(LEN([PAPEL])-1))="3"))</f>
        <v>0.1261051308670782</v>
      </c>
      <c r="X52" s="19">
        <f>IF(Tabela3[[#This Row],[Dívida]]&gt;0,Tabela3[[#This Row],[Dívida]]/Tabela3[[#This Row],[Patrimônio Líquido]],0)</f>
        <v>0</v>
      </c>
      <c r="Y52" s="19">
        <f>SUMPRODUCT(N([Dívida / PL]&gt;0),N(RIGHT([PAPEL],LEN([PAPEL])-(LEN([PAPEL])-1))="3"),[Dívida / PL])/SUMPRODUCT(N([Dívida / PL]&gt;0),N(RIGHT([PAPEL],LEN([PAPEL])-(LEN([PAPEL])-1))="3"))</f>
        <v>2.1510410379481146</v>
      </c>
      <c r="Z52" s="6">
        <f>Tabela3[[#This Row],[Capital Social]]*20%</f>
        <v>750000000</v>
      </c>
      <c r="AA52" s="6">
        <f>IF(([Lucro Líquido]*5%)&gt;[Teto R. Legal],[Teto R. Legal],[Lucro Líquido]*5%)</f>
        <v>39580700</v>
      </c>
      <c r="AB52" s="6">
        <f>IF([Lucro Líquido]&lt;0,0,[Lucro Líquido]-[Reserva Legal])</f>
        <v>752033300</v>
      </c>
      <c r="AC52" s="6">
        <f>Tabela3[[#This Row],[Lucro Distribuir]]*[%Div]</f>
        <v>188008325</v>
      </c>
      <c r="AD52" s="21">
        <f>SUMPRODUCT(N([Nome]=Tabela3[[#This Row],[Nome]]),[Ações])</f>
        <v>408974477</v>
      </c>
      <c r="AE52" s="6">
        <f>[Capital Social]/[Total Ações]</f>
        <v>9.1692763507097776</v>
      </c>
      <c r="AF52" s="78">
        <f>Tabela3[[#This Row],[Lucro Líquido]]/Tabela3[[#This Row],[Total Ações]]</f>
        <v>1.9356073410908721</v>
      </c>
      <c r="AG52" s="78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0.44540351863765171</v>
      </c>
      <c r="AH52" s="78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52" s="78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0.45891645723393909</v>
      </c>
      <c r="AJ52" s="78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0.45891645723393909</v>
      </c>
      <c r="AK52" s="6">
        <f>[Div Base]*[Ações]</f>
        <v>94097778.775373578</v>
      </c>
      <c r="AL52" s="6">
        <f>SUMPRODUCT(N([Nome]=Tabela3[[#This Row],[Nome]]),[Div Base]*[Ações])</f>
        <v>188008325</v>
      </c>
      <c r="AM52" s="6">
        <f>[Patrimônio Líquido]/[Total Ações]</f>
        <v>12.587245144884678</v>
      </c>
      <c r="AN52" s="48">
        <f>MAX(Tabela3[[#This Row],[Cotação 1]:[Cotação 5]])</f>
        <v>12.2</v>
      </c>
      <c r="AO52" s="44">
        <f>[Cotação]/[VPA]</f>
        <v>0.96923511535468498</v>
      </c>
      <c r="AP52" s="40">
        <f>IF(Tabela3[[#This Row],[Lucro/Ação]]&gt;0,Tabela3[[#This Row],[Cotação]]/(Tabela3[[#This Row],[Lucro/Ação]]/[Ref]*4),0)</f>
        <v>6.3029312510895457</v>
      </c>
      <c r="AQ52" s="78">
        <f>[Lucro Distribuir]/[Total Ações]</f>
        <v>1.8388269740363283</v>
      </c>
      <c r="AR52" s="78">
        <f>IF([Unit ON]&gt;0,SUMPRODUCT(N([Nome]=Tabela3[[#This Row],[Nome]]),N(RIGHT([PAPEL],1)="3"),[Div Base])*[Unit ON]+SUMPRODUCT(N([Nome]=Tabela3[[#This Row],[Nome]]),N(RIGHT([PAPEL],1)="4"),[Div Base])*[Unit PN],[Div Base])</f>
        <v>0.45891645723393909</v>
      </c>
      <c r="AS52" s="15" t="str">
        <f>IF(AND([% A.A.]&gt;=6%,SUMPRODUCT(N([Nome]=Tabela3[[#This Row],[Nome]]),[PL])&gt;0,[Rentabilidade s/ PL]&gt;=[Rentabilidade s/ PL Média]),"Sim","Não")</f>
        <v>Não</v>
      </c>
      <c r="AT52" s="42">
        <f>IF([Cotação]&gt;0,Tabela3[[#This Row],[Lucro]]/Tabela3[[#This Row],[Cotação]],0)</f>
        <v>3.7616103051962224E-2</v>
      </c>
      <c r="AU52" s="19">
        <f>((1+Tabela3[[#This Row],[% Yield]])^(1/(3*Tabela3[[#This Row],[Ref]])))^(12)-1</f>
        <v>3.7616103051960614E-2</v>
      </c>
      <c r="AV52" s="14">
        <f>IF([Cotação]&gt;0,($BH$1/Tabela3[[#This Row],[Cotação]]-MOD($BH$1/Tabela3[[#This Row],[Cotação]],100)),)</f>
        <v>0</v>
      </c>
      <c r="AW52" s="17">
        <f>Tabela3[[#This Row],[Ativos]]*[Lucro]</f>
        <v>0</v>
      </c>
      <c r="AX52" s="5">
        <f>SUMPRODUCT(N(Tabela1[Código]=Tabela3[[#This Row],[PAPEL]]),Tabela1[Fechamento])</f>
        <v>12.2</v>
      </c>
      <c r="AY52" s="5">
        <f>SUMPRODUCT(N(Tabela17[Código]=Tabela3[[#This Row],[PAPEL]]),Tabela17[Fechamento])</f>
        <v>0</v>
      </c>
      <c r="AZ52" s="7">
        <f>SUMPRODUCT(N(Tabela176[Código]=Tabela3[[#This Row],[PAPEL]]),Tabela176[Fechamento])</f>
        <v>0</v>
      </c>
      <c r="BA52" s="7">
        <f>SUMPRODUCT(N(Tabela1768[Código]=Tabela3[[#This Row],[PAPEL]]),Tabela1768[Fechamento])</f>
        <v>0</v>
      </c>
      <c r="BB52" s="7">
        <f>SUMPRODUCT(N(Tabela17683[Código]=Tabela3[[#This Row],[PAPEL]]),Tabela17683[Fechamento])</f>
        <v>0</v>
      </c>
    </row>
    <row r="53" spans="1:54">
      <c r="A53" s="4" t="s">
        <v>14</v>
      </c>
      <c r="B53" s="57" t="s">
        <v>205</v>
      </c>
      <c r="C53" s="14" t="str">
        <f>LEFT([PAPEL],LEN([PAPEL])-(LEN([PAPEL])-4))</f>
        <v>BRSR</v>
      </c>
      <c r="D53" s="15">
        <v>4</v>
      </c>
      <c r="E53" s="6">
        <v>3750000000</v>
      </c>
      <c r="F53" s="8">
        <v>3542377</v>
      </c>
      <c r="G53" s="86">
        <v>0.25</v>
      </c>
      <c r="H53" s="15"/>
      <c r="I53" s="19">
        <v>0.06</v>
      </c>
      <c r="J53" s="19"/>
      <c r="K53" s="88"/>
      <c r="L53" s="88"/>
      <c r="M53" s="55"/>
      <c r="N53" s="55"/>
      <c r="O53" s="55"/>
      <c r="P53" s="6">
        <v>5147862000</v>
      </c>
      <c r="Q53" s="6">
        <v>791614000</v>
      </c>
      <c r="R53" s="6">
        <f>IF(Tabela3[[#This Row],[Ativo || Passivo]]&gt;0,Tabela3[[#This Row],[Ativo || Passivo]]-Tabela3[[#This Row],[Patrimônio Líquido]],0)</f>
        <v>0</v>
      </c>
      <c r="S53" s="6">
        <f>Tabela3[[#This Row],[Cotação]]*Tabela3[[#This Row],[Total Ações]]</f>
        <v>4461911544.0699997</v>
      </c>
      <c r="T53" s="132">
        <f>IF(Tabela3[[#This Row],[Passivo Circulante]]&gt;0,Tabela3[[#This Row],[Ativo Circulante]]/Tabela3[[#This Row],[Passivo Circulante]],0)</f>
        <v>0</v>
      </c>
      <c r="U53" s="132">
        <f>SUMPRODUCT(N([Liquidez Corrente]&gt;0),N(RIGHT([PAPEL],LEN([PAPEL])-(LEN([PAPEL])-1))="3"),[Liquidez Corrente])/SUMPRODUCT(N([Liquidez Corrente]&gt;0),N(RIGHT([PAPEL],LEN([PAPEL])-(LEN([PAPEL])-1))="3"))</f>
        <v>2.331224473064915</v>
      </c>
      <c r="V53" s="19">
        <f>IF(Tabela3[[#This Row],[Lucro Líquido]]&gt;0,Tabela3[[#This Row],[Lucro Líquido]]/Tabela3[[#This Row],[Patrimônio Líquido]],0)</f>
        <v>0.15377529545275301</v>
      </c>
      <c r="W53" s="19">
        <f>SUMPRODUCT(N([Rentabilidade s/ PL]&gt;0),N(RIGHT([PAPEL],LEN([PAPEL])-(LEN([PAPEL])-1))="3"),[Rentabilidade s/ PL])/SUMPRODUCT(N([Rentabilidade s/ PL]&gt;0),N(RIGHT([PAPEL],LEN([PAPEL])-(LEN([PAPEL])-1))="3"))</f>
        <v>0.1261051308670782</v>
      </c>
      <c r="X53" s="19">
        <f>IF(Tabela3[[#This Row],[Dívida]]&gt;0,Tabela3[[#This Row],[Dívida]]/Tabela3[[#This Row],[Patrimônio Líquido]],0)</f>
        <v>0</v>
      </c>
      <c r="Y53" s="19">
        <f>SUMPRODUCT(N([Dívida / PL]&gt;0),N(RIGHT([PAPEL],LEN([PAPEL])-(LEN([PAPEL])-1))="3"),[Dívida / PL])/SUMPRODUCT(N([Dívida / PL]&gt;0),N(RIGHT([PAPEL],LEN([PAPEL])-(LEN([PAPEL])-1))="3"))</f>
        <v>2.1510410379481146</v>
      </c>
      <c r="Z53" s="6">
        <f>Tabela3[[#This Row],[Capital Social]]*20%</f>
        <v>750000000</v>
      </c>
      <c r="AA53" s="6">
        <f>IF(([Lucro Líquido]*5%)&gt;[Teto R. Legal],[Teto R. Legal],[Lucro Líquido]*5%)</f>
        <v>39580700</v>
      </c>
      <c r="AB53" s="6">
        <f>IF([Lucro Líquido]&lt;0,0,[Lucro Líquido]-[Reserva Legal])</f>
        <v>752033300</v>
      </c>
      <c r="AC53" s="6">
        <f>Tabela3[[#This Row],[Lucro Distribuir]]*[%Div]</f>
        <v>188008325</v>
      </c>
      <c r="AD53" s="21">
        <f>SUMPRODUCT(N([Nome]=Tabela3[[#This Row],[Nome]]),[Ações])</f>
        <v>408974477</v>
      </c>
      <c r="AE53" s="6">
        <f>[Capital Social]/[Total Ações]</f>
        <v>9.1692763507097776</v>
      </c>
      <c r="AF53" s="78">
        <f>Tabela3[[#This Row],[Lucro Líquido]]/Tabela3[[#This Row],[Total Ações]]</f>
        <v>1.9356073410908721</v>
      </c>
      <c r="AG53" s="78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0.44540351863765171</v>
      </c>
      <c r="AH53" s="78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53" s="78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0.55015658104258669</v>
      </c>
      <c r="AJ53" s="78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0.55015658104258669</v>
      </c>
      <c r="AK53" s="6">
        <f>[Div Base]*[Ações]</f>
        <v>1948862.019083895</v>
      </c>
      <c r="AL53" s="6">
        <f>SUMPRODUCT(N([Nome]=Tabela3[[#This Row],[Nome]]),[Div Base]*[Ações])</f>
        <v>188008325</v>
      </c>
      <c r="AM53" s="6">
        <f>[Patrimônio Líquido]/[Total Ações]</f>
        <v>12.587245144884678</v>
      </c>
      <c r="AN53" s="48">
        <f>MAX(Tabela3[[#This Row],[Cotação 1]:[Cotação 5]])</f>
        <v>10.91</v>
      </c>
      <c r="AO53" s="44">
        <f>[Cotação]/[VPA]</f>
        <v>0.86675041873111591</v>
      </c>
      <c r="AP53" s="40">
        <f>IF(Tabela3[[#This Row],[Lucro/Ação]]&gt;0,Tabela3[[#This Row],[Cotação]]/(Tabela3[[#This Row],[Lucro/Ação]]/[Ref]*4),0)</f>
        <v>5.6364737663431921</v>
      </c>
      <c r="AQ53" s="78">
        <f>[Lucro Distribuir]/[Total Ações]</f>
        <v>1.8388269740363283</v>
      </c>
      <c r="AR53" s="78">
        <f>IF([Unit ON]&gt;0,SUMPRODUCT(N([Nome]=Tabela3[[#This Row],[Nome]]),N(RIGHT([PAPEL],1)="3"),[Div Base])*[Unit ON]+SUMPRODUCT(N([Nome]=Tabela3[[#This Row],[Nome]]),N(RIGHT([PAPEL],1)="4"),[Div Base])*[Unit PN],[Div Base])</f>
        <v>0.55015658104258669</v>
      </c>
      <c r="AS53" s="15" t="str">
        <f>IF(AND([% A.A.]&gt;=6%,SUMPRODUCT(N([Nome]=Tabela3[[#This Row],[Nome]]),[PL])&gt;0,[Rentabilidade s/ PL]&gt;=[Rentabilidade s/ PL Média]),"Sim","Não")</f>
        <v>Não</v>
      </c>
      <c r="AT53" s="42">
        <f>IF([Cotação]&gt;0,Tabela3[[#This Row],[Lucro]]/Tabela3[[#This Row],[Cotação]],0)</f>
        <v>5.0426817694095939E-2</v>
      </c>
      <c r="AU53" s="19">
        <f>((1+Tabela3[[#This Row],[% Yield]])^(1/(3*Tabela3[[#This Row],[Ref]])))^(12)-1</f>
        <v>5.0426817694095627E-2</v>
      </c>
      <c r="AV53" s="14">
        <f>IF([Cotação]&gt;0,($BH$1/Tabela3[[#This Row],[Cotação]]-MOD($BH$1/Tabela3[[#This Row],[Cotação]],100)),)</f>
        <v>0</v>
      </c>
      <c r="AW53" s="17">
        <f>Tabela3[[#This Row],[Ativos]]*[Lucro]</f>
        <v>0</v>
      </c>
      <c r="AX53" s="5">
        <f>SUMPRODUCT(N(Tabela1[Código]=Tabela3[[#This Row],[PAPEL]]),Tabela1[Fechamento])</f>
        <v>10.91</v>
      </c>
      <c r="AY53" s="5">
        <f>SUMPRODUCT(N(Tabela17[Código]=Tabela3[[#This Row],[PAPEL]]),Tabela17[Fechamento])</f>
        <v>0</v>
      </c>
      <c r="AZ53" s="7">
        <f>SUMPRODUCT(N(Tabela176[Código]=Tabela3[[#This Row],[PAPEL]]),Tabela176[Fechamento])</f>
        <v>0</v>
      </c>
      <c r="BA53" s="7">
        <f>SUMPRODUCT(N(Tabela1768[Código]=Tabela3[[#This Row],[PAPEL]]),Tabela1768[Fechamento])</f>
        <v>0</v>
      </c>
      <c r="BB53" s="7">
        <f>SUMPRODUCT(N(Tabela17683[Código]=Tabela3[[#This Row],[PAPEL]]),Tabela17683[Fechamento])</f>
        <v>0</v>
      </c>
    </row>
    <row r="54" spans="1:54">
      <c r="A54" s="4" t="s">
        <v>14</v>
      </c>
      <c r="B54" s="57" t="s">
        <v>23</v>
      </c>
      <c r="C54" s="14" t="str">
        <f>LEFT([PAPEL],LEN([PAPEL])-(LEN([PAPEL])-4))</f>
        <v>BRSR</v>
      </c>
      <c r="D54" s="15">
        <v>4</v>
      </c>
      <c r="E54" s="6">
        <v>3750000000</v>
      </c>
      <c r="F54" s="8">
        <v>200388726</v>
      </c>
      <c r="G54" s="81">
        <v>0.25</v>
      </c>
      <c r="H54" s="15"/>
      <c r="I54" s="19"/>
      <c r="J54" s="19">
        <v>0.1</v>
      </c>
      <c r="K54" s="88"/>
      <c r="L54" s="88"/>
      <c r="M54" s="55"/>
      <c r="N54" s="55"/>
      <c r="O54" s="55"/>
      <c r="P54" s="6">
        <v>5147862000</v>
      </c>
      <c r="Q54" s="6">
        <v>791614000</v>
      </c>
      <c r="R54" s="6">
        <f>IF(Tabela3[[#This Row],[Ativo || Passivo]]&gt;0,Tabela3[[#This Row],[Ativo || Passivo]]-Tabela3[[#This Row],[Patrimônio Líquido]],0)</f>
        <v>0</v>
      </c>
      <c r="S54" s="6">
        <f>Tabela3[[#This Row],[Cotação]]*Tabela3[[#This Row],[Total Ações]]</f>
        <v>4498719247</v>
      </c>
      <c r="T54" s="132">
        <f>IF(Tabela3[[#This Row],[Passivo Circulante]]&gt;0,Tabela3[[#This Row],[Ativo Circulante]]/Tabela3[[#This Row],[Passivo Circulante]],0)</f>
        <v>0</v>
      </c>
      <c r="U54" s="132">
        <f>SUMPRODUCT(N([Liquidez Corrente]&gt;0),N(RIGHT([PAPEL],LEN([PAPEL])-(LEN([PAPEL])-1))="3"),[Liquidez Corrente])/SUMPRODUCT(N([Liquidez Corrente]&gt;0),N(RIGHT([PAPEL],LEN([PAPEL])-(LEN([PAPEL])-1))="3"))</f>
        <v>2.331224473064915</v>
      </c>
      <c r="V54" s="19">
        <f>IF(Tabela3[[#This Row],[Lucro Líquido]]&gt;0,Tabela3[[#This Row],[Lucro Líquido]]/Tabela3[[#This Row],[Patrimônio Líquido]],0)</f>
        <v>0.15377529545275301</v>
      </c>
      <c r="W54" s="19">
        <f>SUMPRODUCT(N([Rentabilidade s/ PL]&gt;0),N(RIGHT([PAPEL],LEN([PAPEL])-(LEN([PAPEL])-1))="3"),[Rentabilidade s/ PL])/SUMPRODUCT(N([Rentabilidade s/ PL]&gt;0),N(RIGHT([PAPEL],LEN([PAPEL])-(LEN([PAPEL])-1))="3"))</f>
        <v>0.1261051308670782</v>
      </c>
      <c r="X54" s="19">
        <f>IF(Tabela3[[#This Row],[Dívida]]&gt;0,Tabela3[[#This Row],[Dívida]]/Tabela3[[#This Row],[Patrimônio Líquido]],0)</f>
        <v>0</v>
      </c>
      <c r="Y54" s="19">
        <f>SUMPRODUCT(N([Dívida / PL]&gt;0),N(RIGHT([PAPEL],LEN([PAPEL])-(LEN([PAPEL])-1))="3"),[Dívida / PL])/SUMPRODUCT(N([Dívida / PL]&gt;0),N(RIGHT([PAPEL],LEN([PAPEL])-(LEN([PAPEL])-1))="3"))</f>
        <v>2.1510410379481146</v>
      </c>
      <c r="Z54" s="6">
        <f>Tabela3[[#This Row],[Capital Social]]*20%</f>
        <v>750000000</v>
      </c>
      <c r="AA54" s="6">
        <f>IF(([Lucro Líquido]*5%)&gt;[Teto R. Legal],[Teto R. Legal],[Lucro Líquido]*5%)</f>
        <v>39580700</v>
      </c>
      <c r="AB54" s="6">
        <f>IF([Lucro Líquido]&lt;0,0,[Lucro Líquido]-[Reserva Legal])</f>
        <v>752033300</v>
      </c>
      <c r="AC54" s="6">
        <f>Tabela3[[#This Row],[Lucro Distribuir]]*[%Div]</f>
        <v>188008325</v>
      </c>
      <c r="AD54" s="21">
        <f>SUMPRODUCT(N([Nome]=Tabela3[[#This Row],[Nome]]),[Ações])</f>
        <v>408974477</v>
      </c>
      <c r="AE54" s="6">
        <f>[Capital Social]/[Total Ações]</f>
        <v>9.1692763507097776</v>
      </c>
      <c r="AF54" s="78">
        <f>Tabela3[[#This Row],[Lucro Líquido]]/Tabela3[[#This Row],[Total Ações]]</f>
        <v>1.9356073410908721</v>
      </c>
      <c r="AG54" s="78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0.4899438711725887</v>
      </c>
      <c r="AH54" s="78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54" s="78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0.45891645723393909</v>
      </c>
      <c r="AJ54" s="78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0.45891645723393909</v>
      </c>
      <c r="AK54" s="6">
        <f>[Div Base]*[Ações]</f>
        <v>91961684.205542535</v>
      </c>
      <c r="AL54" s="6">
        <f>SUMPRODUCT(N([Nome]=Tabela3[[#This Row],[Nome]]),[Div Base]*[Ações])</f>
        <v>188008325</v>
      </c>
      <c r="AM54" s="6">
        <f>[Patrimônio Líquido]/[Total Ações]</f>
        <v>12.587245144884678</v>
      </c>
      <c r="AN54" s="48">
        <f>MAX(Tabela3[[#This Row],[Cotação 1]:[Cotação 5]])</f>
        <v>11</v>
      </c>
      <c r="AO54" s="44">
        <f>[Cotação]/[VPA]</f>
        <v>0.87390051384438816</v>
      </c>
      <c r="AP54" s="40">
        <f>IF(Tabela3[[#This Row],[Lucro/Ação]]&gt;0,Tabela3[[#This Row],[Cotação]]/(Tabela3[[#This Row],[Lucro/Ação]]/[Ref]*4),0)</f>
        <v>5.6829708001627051</v>
      </c>
      <c r="AQ54" s="78">
        <f>[Lucro Distribuir]/[Total Ações]</f>
        <v>1.8388269740363283</v>
      </c>
      <c r="AR54" s="78">
        <f>IF([Unit ON]&gt;0,SUMPRODUCT(N([Nome]=Tabela3[[#This Row],[Nome]]),N(RIGHT([PAPEL],1)="3"),[Div Base])*[Unit ON]+SUMPRODUCT(N([Nome]=Tabela3[[#This Row],[Nome]]),N(RIGHT([PAPEL],1)="4"),[Div Base])*[Unit PN],[Div Base])</f>
        <v>0.45891645723393909</v>
      </c>
      <c r="AS54" s="15" t="str">
        <f>IF(AND([% A.A.]&gt;=6%,SUMPRODUCT(N([Nome]=Tabela3[[#This Row],[Nome]]),[PL])&gt;0,[Rentabilidade s/ PL]&gt;=[Rentabilidade s/ PL Média]),"Sim","Não")</f>
        <v>Não</v>
      </c>
      <c r="AT54" s="42">
        <f>IF([Cotação]&gt;0,Tabela3[[#This Row],[Lucro]]/Tabela3[[#This Row],[Cotação]],0)</f>
        <v>4.17196779303581E-2</v>
      </c>
      <c r="AU54" s="19">
        <f>((1+Tabela3[[#This Row],[% Yield]])^(1/(3*Tabela3[[#This Row],[Ref]])))^(12)-1</f>
        <v>4.1719677930358134E-2</v>
      </c>
      <c r="AV54" s="14">
        <f>IF([Cotação]&gt;0,($BH$1/Tabela3[[#This Row],[Cotação]]-MOD($BH$1/Tabela3[[#This Row],[Cotação]],100)),)</f>
        <v>0</v>
      </c>
      <c r="AW54" s="17">
        <f>Tabela3[[#This Row],[Ativos]]*[Lucro]</f>
        <v>0</v>
      </c>
      <c r="AX54" s="5">
        <f>SUMPRODUCT(N(Tabela1[Código]=Tabela3[[#This Row],[PAPEL]]),Tabela1[Fechamento])</f>
        <v>11</v>
      </c>
      <c r="AY54" s="5">
        <f>SUMPRODUCT(N(Tabela17[Código]=Tabela3[[#This Row],[PAPEL]]),Tabela17[Fechamento])</f>
        <v>0</v>
      </c>
      <c r="AZ54" s="7">
        <f>SUMPRODUCT(N(Tabela176[Código]=Tabela3[[#This Row],[PAPEL]]),Tabela176[Fechamento])</f>
        <v>0</v>
      </c>
      <c r="BA54" s="7">
        <f>SUMPRODUCT(N(Tabela1768[Código]=Tabela3[[#This Row],[PAPEL]]),Tabela1768[Fechamento])</f>
        <v>0</v>
      </c>
      <c r="BB54" s="7">
        <f>SUMPRODUCT(N(Tabela17683[Código]=Tabela3[[#This Row],[PAPEL]]),Tabela17683[Fechamento])</f>
        <v>0</v>
      </c>
    </row>
    <row r="55" spans="1:54" hidden="1">
      <c r="A55" s="3" t="s">
        <v>277</v>
      </c>
      <c r="B55" s="58" t="s">
        <v>279</v>
      </c>
      <c r="C55" s="83" t="str">
        <f>LEFT([PAPEL],LEN([PAPEL])-(LEN([PAPEL])-4))</f>
        <v>JBSS</v>
      </c>
      <c r="D55" s="16">
        <v>3</v>
      </c>
      <c r="E55" s="5">
        <v>21561112078.68</v>
      </c>
      <c r="F55" s="21">
        <v>2943644008</v>
      </c>
      <c r="G55" s="81">
        <v>0.25</v>
      </c>
      <c r="H55" s="16"/>
      <c r="J55" s="18"/>
      <c r="K55" s="87"/>
      <c r="L55" s="87"/>
      <c r="M55" s="54"/>
      <c r="N55" s="54"/>
      <c r="O55" s="54"/>
      <c r="P55" s="5">
        <v>21913989000</v>
      </c>
      <c r="Q55" s="5">
        <v>786184000</v>
      </c>
      <c r="R55" s="5">
        <f>IF(Tabela3[[#This Row],[Ativo || Passivo]]&gt;0,Tabela3[[#This Row],[Ativo || Passivo]]-Tabela3[[#This Row],[Patrimônio Líquido]],0)</f>
        <v>0</v>
      </c>
      <c r="S55" s="5">
        <f>Tabela3[[#This Row],[Cotação]]*Tabela3[[#This Row],[Total Ações]]</f>
        <v>22577749541.360001</v>
      </c>
      <c r="T55" s="130">
        <f>IF(Tabela3[[#This Row],[Passivo Circulante]]&gt;0,Tabela3[[#This Row],[Ativo Circulante]]/Tabela3[[#This Row],[Passivo Circulante]],0)</f>
        <v>0</v>
      </c>
      <c r="U55" s="130">
        <f>SUMPRODUCT(N([Liquidez Corrente]&gt;0),N(RIGHT([PAPEL],LEN([PAPEL])-(LEN([PAPEL])-1))="3"),[Liquidez Corrente])/SUMPRODUCT(N([Liquidez Corrente]&gt;0),N(RIGHT([PAPEL],LEN([PAPEL])-(LEN([PAPEL])-1))="3"))</f>
        <v>2.331224473064915</v>
      </c>
      <c r="V55" s="18">
        <f>IF(Tabela3[[#This Row],[Lucro Líquido]]&gt;0,Tabela3[[#This Row],[Lucro Líquido]]/Tabela3[[#This Row],[Patrimônio Líquido]],0)</f>
        <v>3.587589644222236E-2</v>
      </c>
      <c r="W55" s="18">
        <f>SUMPRODUCT(N([Rentabilidade s/ PL]&gt;0),N(RIGHT([PAPEL],LEN([PAPEL])-(LEN([PAPEL])-1))="3"),[Rentabilidade s/ PL])/SUMPRODUCT(N([Rentabilidade s/ PL]&gt;0),N(RIGHT([PAPEL],LEN([PAPEL])-(LEN([PAPEL])-1))="3"))</f>
        <v>0.1261051308670782</v>
      </c>
      <c r="X55" s="18">
        <f>IF(Tabela3[[#This Row],[Dívida]]&gt;0,Tabela3[[#This Row],[Dívida]]/Tabela3[[#This Row],[Patrimônio Líquido]],0)</f>
        <v>0</v>
      </c>
      <c r="Y55" s="18">
        <f>SUMPRODUCT(N([Dívida / PL]&gt;0),N(RIGHT([PAPEL],LEN([PAPEL])-(LEN([PAPEL])-1))="3"),[Dívida / PL])/SUMPRODUCT(N([Dívida / PL]&gt;0),N(RIGHT([PAPEL],LEN([PAPEL])-(LEN([PAPEL])-1))="3"))</f>
        <v>2.1510410379481146</v>
      </c>
      <c r="Z55" s="5">
        <f>Tabela3[[#This Row],[Capital Social]]*20%</f>
        <v>4312222415.7360001</v>
      </c>
      <c r="AA55" s="5">
        <f>IF(([Lucro Líquido]*5%)&gt;[Teto R. Legal],[Teto R. Legal],[Lucro Líquido]*5%)</f>
        <v>39309200</v>
      </c>
      <c r="AB55" s="5">
        <f>IF([Lucro Líquido]&lt;0,0,[Lucro Líquido]-[Reserva Legal])</f>
        <v>746874800</v>
      </c>
      <c r="AC55" s="5">
        <f>Tabela3[[#This Row],[Lucro Distribuir]]*[%Div]</f>
        <v>186718700</v>
      </c>
      <c r="AD55" s="56">
        <f>SUMPRODUCT(N([Nome]=Tabela3[[#This Row],[Nome]]),[Ações])</f>
        <v>2943644008</v>
      </c>
      <c r="AE55" s="5">
        <f>[Capital Social]/[Total Ações]</f>
        <v>7.3246330127158501</v>
      </c>
      <c r="AF55" s="77">
        <f>Tabela3[[#This Row],[Lucro Líquido]]/Tabela3[[#This Row],[Total Ações]]</f>
        <v>0.26707849110265103</v>
      </c>
      <c r="AG55" s="77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6.3431141636879615E-2</v>
      </c>
      <c r="AH55" s="77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55" s="77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55" s="77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6.3431141636879615E-2</v>
      </c>
      <c r="AK55" s="5">
        <f>[Div Base]*[Ações]</f>
        <v>186718700</v>
      </c>
      <c r="AL55" s="5">
        <f>SUMPRODUCT(N([Nome]=Tabela3[[#This Row],[Nome]]),[Div Base]*[Ações])</f>
        <v>186718700</v>
      </c>
      <c r="AM55" s="5">
        <f>[Patrimônio Líquido]/[Total Ações]</f>
        <v>7.4445105931437077</v>
      </c>
      <c r="AN55" s="52">
        <f>MAX(Tabela3[[#This Row],[Cotação 1]:[Cotação 5]])</f>
        <v>7.67</v>
      </c>
      <c r="AO55" s="53">
        <f>[Cotação]/[VPA]</f>
        <v>1.0302893526760464</v>
      </c>
      <c r="AP55" s="37">
        <f>IF(Tabela3[[#This Row],[Lucro/Ação]]&gt;0,Tabela3[[#This Row],[Cotação]]/(Tabela3[[#This Row],[Lucro/Ação]]/[Ref]*4),0)</f>
        <v>21.538612024691421</v>
      </c>
      <c r="AQ55" s="77">
        <f>[Lucro Distribuir]/[Total Ações]</f>
        <v>0.25372456654751846</v>
      </c>
      <c r="AR55" s="77">
        <f>IF([Unit ON]&gt;0,SUMPRODUCT(N([Nome]=Tabela3[[#This Row],[Nome]]),N(RIGHT([PAPEL],1)="3"),[Div Base])*[Unit ON]+SUMPRODUCT(N([Nome]=Tabela3[[#This Row],[Nome]]),N(RIGHT([PAPEL],1)="4"),[Div Base])*[Unit PN],[Div Base])</f>
        <v>6.3431141636879615E-2</v>
      </c>
      <c r="AS55" s="16" t="str">
        <f>IF(AND([% A.A.]&gt;=6%,SUMPRODUCT(N([Nome]=Tabela3[[#This Row],[Nome]]),[PL])&gt;0,[Rentabilidade s/ PL]&gt;=[Rentabilidade s/ PL Média]),"Sim","Não")</f>
        <v>Não</v>
      </c>
      <c r="AT55" s="22">
        <f>IF([Cotação]&gt;0,Tabela3[[#This Row],[Lucro]]/Tabela3[[#This Row],[Cotação]],0)</f>
        <v>8.270031504156403E-3</v>
      </c>
      <c r="AU55" s="18">
        <f>((1+Tabela3[[#This Row],[% Yield]])^(1/(3*Tabela3[[#This Row],[Ref]])))^(12)-1</f>
        <v>1.1041879374411145E-2</v>
      </c>
      <c r="AV55" s="10">
        <f>IF([Cotação]&gt;0,($BH$1/Tabela3[[#This Row],[Cotação]]-MOD($BH$1/Tabela3[[#This Row],[Cotação]],100)),)</f>
        <v>0</v>
      </c>
      <c r="AW55" s="7">
        <f>Tabela3[[#This Row],[Ativos]]*[Lucro]</f>
        <v>0</v>
      </c>
      <c r="AX55" s="47">
        <f>SUMPRODUCT(N(Tabela1[Código]=Tabela3[[#This Row],[PAPEL]]),Tabela1[Fechamento])</f>
        <v>0</v>
      </c>
      <c r="AY55" s="54">
        <f>SUMPRODUCT(N(Tabela17[Código]=Tabela3[[#This Row],[PAPEL]]),Tabela17[Fechamento])</f>
        <v>7.67</v>
      </c>
      <c r="AZ55" s="7">
        <f>SUMPRODUCT(N(Tabela176[Código]=Tabela3[[#This Row],[PAPEL]]),Tabela176[Fechamento])</f>
        <v>0</v>
      </c>
      <c r="BA55" s="7">
        <f>SUMPRODUCT(N(Tabela1768[Código]=Tabela3[[#This Row],[PAPEL]]),Tabela1768[Fechamento])</f>
        <v>0</v>
      </c>
      <c r="BB55" s="7">
        <f>SUMPRODUCT(N(Tabela17683[Código]=Tabela3[[#This Row],[PAPEL]]),Tabela17683[Fechamento])</f>
        <v>0</v>
      </c>
    </row>
    <row r="56" spans="1:54" hidden="1">
      <c r="A56" s="4" t="s">
        <v>12</v>
      </c>
      <c r="B56" s="60" t="s">
        <v>56</v>
      </c>
      <c r="C56" s="14" t="str">
        <f>LEFT([PAPEL],LEN([PAPEL])-(LEN([PAPEL])-4))</f>
        <v>TAEE</v>
      </c>
      <c r="D56" s="15">
        <v>3</v>
      </c>
      <c r="E56" s="6"/>
      <c r="F56" s="8"/>
      <c r="G56" s="81">
        <v>0.5</v>
      </c>
      <c r="H56" s="15"/>
      <c r="I56" s="19"/>
      <c r="J56" s="19"/>
      <c r="K56" s="88">
        <v>1</v>
      </c>
      <c r="L56" s="88">
        <v>2</v>
      </c>
      <c r="M56" s="55">
        <v>9101836000</v>
      </c>
      <c r="N56" s="55">
        <v>1859239000</v>
      </c>
      <c r="O56" s="55">
        <v>923506000</v>
      </c>
      <c r="P56" s="89">
        <v>4589097000</v>
      </c>
      <c r="Q56" s="89">
        <v>751496000</v>
      </c>
      <c r="R56" s="89">
        <f>IF(Tabela3[[#This Row],[Ativo || Passivo]]&gt;0,Tabela3[[#This Row],[Ativo || Passivo]]-Tabela3[[#This Row],[Patrimônio Líquido]],0)</f>
        <v>4512739000</v>
      </c>
      <c r="S56" s="89">
        <f>Tabela3[[#This Row],[Cotação]]*Tabela3[[#This Row],[Total Ações]]</f>
        <v>17982842945.399998</v>
      </c>
      <c r="T56" s="132">
        <f>IF(Tabela3[[#This Row],[Passivo Circulante]]&gt;0,Tabela3[[#This Row],[Ativo Circulante]]/Tabela3[[#This Row],[Passivo Circulante]],0)</f>
        <v>2.0132397623837854</v>
      </c>
      <c r="U56" s="132">
        <f>SUMPRODUCT(N([Liquidez Corrente]&gt;0),N(RIGHT([PAPEL],LEN([PAPEL])-(LEN([PAPEL])-1))="3"),[Liquidez Corrente])/SUMPRODUCT(N([Liquidez Corrente]&gt;0),N(RIGHT([PAPEL],LEN([PAPEL])-(LEN([PAPEL])-1))="3"))</f>
        <v>2.331224473064915</v>
      </c>
      <c r="V56" s="19">
        <f>IF(Tabela3[[#This Row],[Lucro Líquido]]&gt;0,Tabela3[[#This Row],[Lucro Líquido]]/Tabela3[[#This Row],[Patrimônio Líquido]],0)</f>
        <v>0.16375683495031812</v>
      </c>
      <c r="W56" s="19">
        <f>SUMPRODUCT(N([Rentabilidade s/ PL]&gt;0),N(RIGHT([PAPEL],LEN([PAPEL])-(LEN([PAPEL])-1))="3"),[Rentabilidade s/ PL])/SUMPRODUCT(N([Rentabilidade s/ PL]&gt;0),N(RIGHT([PAPEL],LEN([PAPEL])-(LEN([PAPEL])-1))="3"))</f>
        <v>0.1261051308670782</v>
      </c>
      <c r="X56" s="19">
        <f>IF(Tabela3[[#This Row],[Dívida]]&gt;0,Tabela3[[#This Row],[Dívida]]/Tabela3[[#This Row],[Patrimônio Líquido]],0)</f>
        <v>0.98336099672767863</v>
      </c>
      <c r="Y56" s="19">
        <f>SUMPRODUCT(N([Dívida / PL]&gt;0),N(RIGHT([PAPEL],LEN([PAPEL])-(LEN([PAPEL])-1))="3"),[Dívida / PL])/SUMPRODUCT(N([Dívida / PL]&gt;0),N(RIGHT([PAPEL],LEN([PAPEL])-(LEN([PAPEL])-1))="3"))</f>
        <v>2.1510410379481146</v>
      </c>
      <c r="Z56" s="6">
        <f>Tabela3[[#This Row],[Capital Social]]*20%</f>
        <v>0</v>
      </c>
      <c r="AA56" s="6">
        <f>IF(([Lucro Líquido]*5%)&gt;[Teto R. Legal],[Teto R. Legal],[Lucro Líquido]*5%)</f>
        <v>0</v>
      </c>
      <c r="AB56" s="89">
        <f>IF([Lucro Líquido]&lt;0,0,[Lucro Líquido]-[Reserva Legal])</f>
        <v>751496000</v>
      </c>
      <c r="AC56" s="89">
        <f>Tabela3[[#This Row],[Lucro Distribuir]]*[%Div]</f>
        <v>375748000</v>
      </c>
      <c r="AD56" s="56">
        <f>SUMPRODUCT(N([Nome]=Tabela3[[#This Row],[Nome]]),[Ações])</f>
        <v>1033496721</v>
      </c>
      <c r="AE56" s="6">
        <f>[Capital Social]/[Total Ações]</f>
        <v>0</v>
      </c>
      <c r="AF56" s="78">
        <f>Tabela3[[#This Row],[Lucro Líquido]]/Tabela3[[#This Row],[Total Ações]]</f>
        <v>0.72713922040590584</v>
      </c>
      <c r="AG56" s="78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</v>
      </c>
      <c r="AH56" s="78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56" s="78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56" s="78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</v>
      </c>
      <c r="AK56" s="6">
        <f>[Div Base]*[Ações]</f>
        <v>0</v>
      </c>
      <c r="AL56" s="6">
        <f>SUMPRODUCT(N([Nome]=Tabela3[[#This Row],[Nome]]),[Div Base]*[Ações])</f>
        <v>356960600</v>
      </c>
      <c r="AM56" s="6">
        <f>[Patrimônio Líquido]/[Total Ações]</f>
        <v>4.4403595161478986</v>
      </c>
      <c r="AN56" s="48">
        <f>MAX(Tabela3[[#This Row],[Cotação 1]:[Cotação 5]])</f>
        <v>17.399999999999999</v>
      </c>
      <c r="AO56" s="44">
        <f>[Cotação]/[VPA]</f>
        <v>3.9186016214954704</v>
      </c>
      <c r="AP56" s="40">
        <f>IF(Tabela3[[#This Row],[Lucro/Ação]]&gt;0,Tabela3[[#This Row],[Cotação]]/(Tabela3[[#This Row],[Lucro/Ação]]/[Ref]*4),0)</f>
        <v>17.947044573823412</v>
      </c>
      <c r="AQ56" s="78">
        <f>[Lucro Distribuir]/[Total Ações]</f>
        <v>0.72713922040590584</v>
      </c>
      <c r="AR56" s="78">
        <f>IF([Unit ON]&gt;0,SUMPRODUCT(N([Nome]=Tabela3[[#This Row],[Nome]]),N(RIGHT([PAPEL],1)="3"),[Div Base])*[Unit ON]+SUMPRODUCT(N([Nome]=Tabela3[[#This Row],[Nome]]),N(RIGHT([PAPEL],1)="4"),[Div Base])*[Unit PN],[Div Base])</f>
        <v>1.0361733890784159</v>
      </c>
      <c r="AS56" s="15" t="str">
        <f>IF(AND([% A.A.]&gt;=6%,SUMPRODUCT(N([Nome]=Tabela3[[#This Row],[Nome]]),[PL])&gt;0,[Rentabilidade s/ PL]&gt;=[Rentabilidade s/ PL Média]),"Sim","Não")</f>
        <v>Sim</v>
      </c>
      <c r="AT56" s="42">
        <f>IF([Cotação]&gt;0,Tabela3[[#This Row],[Lucro]]/Tabela3[[#This Row],[Cotação]],0)</f>
        <v>5.9550194774621611E-2</v>
      </c>
      <c r="AU56" s="19">
        <f>((1+Tabela3[[#This Row],[% Yield]])^(1/(3*Tabela3[[#This Row],[Ref]])))^(12)-1</f>
        <v>8.0178132119097967E-2</v>
      </c>
      <c r="AV56" s="14">
        <f>IF([Cotação]&gt;0,($BH$1/Tabela3[[#This Row],[Cotação]]-MOD($BH$1/Tabela3[[#This Row],[Cotação]],100)),)</f>
        <v>0</v>
      </c>
      <c r="AW56" s="17">
        <f>Tabela3[[#This Row],[Ativos]]*[Lucro]</f>
        <v>0</v>
      </c>
      <c r="AX56" s="5">
        <f>SUMPRODUCT(N(Tabela1[Código]=Tabela3[[#This Row],[PAPEL]]),Tabela1[Fechamento])</f>
        <v>17.399999999999999</v>
      </c>
      <c r="AY56" s="5">
        <f>SUMPRODUCT(N(Tabela17[Código]=Tabela3[[#This Row],[PAPEL]]),Tabela17[Fechamento])</f>
        <v>0</v>
      </c>
      <c r="AZ56" s="7">
        <f>SUMPRODUCT(N(Tabela176[Código]=Tabela3[[#This Row],[PAPEL]]),Tabela176[Fechamento])</f>
        <v>0</v>
      </c>
      <c r="BA56" s="7">
        <f>SUMPRODUCT(N(Tabela1768[Código]=Tabela3[[#This Row],[PAPEL]]),Tabela1768[Fechamento])</f>
        <v>0</v>
      </c>
      <c r="BB56" s="7">
        <f>SUMPRODUCT(N(Tabela17683[Código]=Tabela3[[#This Row],[PAPEL]]),Tabela17683[Fechamento])</f>
        <v>0</v>
      </c>
    </row>
    <row r="57" spans="1:54" hidden="1">
      <c r="A57" s="4" t="s">
        <v>12</v>
      </c>
      <c r="B57" s="60" t="s">
        <v>517</v>
      </c>
      <c r="C57" s="14" t="str">
        <f>LEFT([PAPEL],LEN([PAPEL])-(LEN([PAPEL])-4))</f>
        <v>TAEE</v>
      </c>
      <c r="D57" s="15">
        <v>3</v>
      </c>
      <c r="E57" s="6">
        <v>3067535193.2800002</v>
      </c>
      <c r="F57" s="8">
        <v>691553133</v>
      </c>
      <c r="G57" s="81">
        <v>0.5</v>
      </c>
      <c r="H57" s="15"/>
      <c r="I57" s="19"/>
      <c r="J57" s="19"/>
      <c r="K57" s="88"/>
      <c r="L57" s="88"/>
      <c r="M57" s="55">
        <v>9101836000</v>
      </c>
      <c r="N57" s="55">
        <v>1859239000</v>
      </c>
      <c r="O57" s="55">
        <v>923506000</v>
      </c>
      <c r="P57" s="89">
        <v>4589097000</v>
      </c>
      <c r="Q57" s="89">
        <v>751496000</v>
      </c>
      <c r="R57" s="89">
        <f>IF(Tabela3[[#This Row],[Ativo || Passivo]]&gt;0,Tabela3[[#This Row],[Ativo || Passivo]]-Tabela3[[#This Row],[Patrimônio Líquido]],0)</f>
        <v>4512739000</v>
      </c>
      <c r="S57" s="89">
        <f>Tabela3[[#This Row],[Cotação]]*Tabela3[[#This Row],[Total Ações]]</f>
        <v>0</v>
      </c>
      <c r="T57" s="132">
        <f>IF(Tabela3[[#This Row],[Passivo Circulante]]&gt;0,Tabela3[[#This Row],[Ativo Circulante]]/Tabela3[[#This Row],[Passivo Circulante]],0)</f>
        <v>2.0132397623837854</v>
      </c>
      <c r="U57" s="132">
        <f>SUMPRODUCT(N([Liquidez Corrente]&gt;0),N(RIGHT([PAPEL],LEN([PAPEL])-(LEN([PAPEL])-1))="3"),[Liquidez Corrente])/SUMPRODUCT(N([Liquidez Corrente]&gt;0),N(RIGHT([PAPEL],LEN([PAPEL])-(LEN([PAPEL])-1))="3"))</f>
        <v>2.331224473064915</v>
      </c>
      <c r="V57" s="19">
        <f>IF(Tabela3[[#This Row],[Lucro Líquido]]&gt;0,Tabela3[[#This Row],[Lucro Líquido]]/Tabela3[[#This Row],[Patrimônio Líquido]],0)</f>
        <v>0.16375683495031812</v>
      </c>
      <c r="W57" s="19">
        <f>SUMPRODUCT(N([Rentabilidade s/ PL]&gt;0),N(RIGHT([PAPEL],LEN([PAPEL])-(LEN([PAPEL])-1))="3"),[Rentabilidade s/ PL])/SUMPRODUCT(N([Rentabilidade s/ PL]&gt;0),N(RIGHT([PAPEL],LEN([PAPEL])-(LEN([PAPEL])-1))="3"))</f>
        <v>0.1261051308670782</v>
      </c>
      <c r="X57" s="19">
        <f>IF(Tabela3[[#This Row],[Dívida]]&gt;0,Tabela3[[#This Row],[Dívida]]/Tabela3[[#This Row],[Patrimônio Líquido]],0)</f>
        <v>0.98336099672767863</v>
      </c>
      <c r="Y57" s="19">
        <f>SUMPRODUCT(N([Dívida / PL]&gt;0),N(RIGHT([PAPEL],LEN([PAPEL])-(LEN([PAPEL])-1))="3"),[Dívida / PL])/SUMPRODUCT(N([Dívida / PL]&gt;0),N(RIGHT([PAPEL],LEN([PAPEL])-(LEN([PAPEL])-1))="3"))</f>
        <v>2.1510410379481146</v>
      </c>
      <c r="Z57" s="6">
        <f>Tabela3[[#This Row],[Capital Social]]*20%</f>
        <v>613507038.65600002</v>
      </c>
      <c r="AA57" s="6">
        <f>IF(([Lucro Líquido]*5%)&gt;[Teto R. Legal],[Teto R. Legal],[Lucro Líquido]*5%)</f>
        <v>37574800</v>
      </c>
      <c r="AB57" s="89">
        <f>IF([Lucro Líquido]&lt;0,0,[Lucro Líquido]-[Reserva Legal])</f>
        <v>713921200</v>
      </c>
      <c r="AC57" s="89">
        <f>Tabela3[[#This Row],[Lucro Distribuir]]*[%Div]</f>
        <v>356960600</v>
      </c>
      <c r="AD57" s="56">
        <f>SUMPRODUCT(N([Nome]=Tabela3[[#This Row],[Nome]]),[Ações])</f>
        <v>1033496721</v>
      </c>
      <c r="AE57" s="6">
        <f>[Capital Social]/[Total Ações]</f>
        <v>2.968113135677767</v>
      </c>
      <c r="AF57" s="78">
        <f>Tabela3[[#This Row],[Lucro Líquido]]/Tabela3[[#This Row],[Total Ações]]</f>
        <v>0.72713922040590584</v>
      </c>
      <c r="AG57" s="78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0.34539112969280528</v>
      </c>
      <c r="AH57" s="78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57" s="78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57" s="78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0.34539112969280528</v>
      </c>
      <c r="AK57" s="6">
        <f>[Div Base]*[Ações]</f>
        <v>238856317.84946883</v>
      </c>
      <c r="AL57" s="6">
        <f>SUMPRODUCT(N([Nome]=Tabela3[[#This Row],[Nome]]),[Div Base]*[Ações])</f>
        <v>356960600</v>
      </c>
      <c r="AM57" s="6">
        <f>[Patrimônio Líquido]/[Total Ações]</f>
        <v>4.4403595161478986</v>
      </c>
      <c r="AN57" s="48">
        <f>MAX(Tabela3[[#This Row],[Cotação 1]:[Cotação 5]])</f>
        <v>0</v>
      </c>
      <c r="AO57" s="44">
        <f>[Cotação]/[VPA]</f>
        <v>0</v>
      </c>
      <c r="AP57" s="40">
        <f>IF(Tabela3[[#This Row],[Lucro/Ação]]&gt;0,Tabela3[[#This Row],[Cotação]]/(Tabela3[[#This Row],[Lucro/Ação]]/[Ref]*4),0)</f>
        <v>0</v>
      </c>
      <c r="AQ57" s="78">
        <f>[Lucro Distribuir]/[Total Ações]</f>
        <v>0.69078225938561055</v>
      </c>
      <c r="AR57" s="78">
        <f>IF([Unit ON]&gt;0,SUMPRODUCT(N([Nome]=Tabela3[[#This Row],[Nome]]),N(RIGHT([PAPEL],1)="3"),[Div Base])*[Unit ON]+SUMPRODUCT(N([Nome]=Tabela3[[#This Row],[Nome]]),N(RIGHT([PAPEL],1)="4"),[Div Base])*[Unit PN],[Div Base])</f>
        <v>0.34539112969280528</v>
      </c>
      <c r="AS57" s="15" t="str">
        <f>IF(AND([% A.A.]&gt;=6%,SUMPRODUCT(N([Nome]=Tabela3[[#This Row],[Nome]]),[PL])&gt;0,[Rentabilidade s/ PL]&gt;=[Rentabilidade s/ PL Média]),"Sim","Não")</f>
        <v>Não</v>
      </c>
      <c r="AT57" s="42">
        <f>IF([Cotação]&gt;0,Tabela3[[#This Row],[Lucro]]/Tabela3[[#This Row],[Cotação]],0)</f>
        <v>0</v>
      </c>
      <c r="AU57" s="19">
        <f>((1+Tabela3[[#This Row],[% Yield]])^(1/(3*Tabela3[[#This Row],[Ref]])))^(12)-1</f>
        <v>0</v>
      </c>
      <c r="AV57" s="14">
        <f>IF([Cotação]&gt;0,($BH$1/Tabela3[[#This Row],[Cotação]]-MOD($BH$1/Tabela3[[#This Row],[Cotação]],100)),)</f>
        <v>0</v>
      </c>
      <c r="AW57" s="17">
        <f>Tabela3[[#This Row],[Ativos]]*[Lucro]</f>
        <v>0</v>
      </c>
      <c r="AX57" s="5">
        <f>SUMPRODUCT(N(Tabela1[Código]=Tabela3[[#This Row],[PAPEL]]),Tabela1[Fechamento])</f>
        <v>0</v>
      </c>
      <c r="AY57" s="5">
        <f>SUMPRODUCT(N(Tabela17[Código]=Tabela3[[#This Row],[PAPEL]]),Tabela17[Fechamento])</f>
        <v>0</v>
      </c>
      <c r="AZ57" s="7">
        <f>SUMPRODUCT(N(Tabela176[Código]=Tabela3[[#This Row],[PAPEL]]),Tabela176[Fechamento])</f>
        <v>0</v>
      </c>
      <c r="BA57" s="7">
        <f>SUMPRODUCT(N(Tabela1768[Código]=Tabela3[[#This Row],[PAPEL]]),Tabela1768[Fechamento])</f>
        <v>0</v>
      </c>
      <c r="BB57" s="7">
        <f>SUMPRODUCT(N(Tabela17683[Código]=Tabela3[[#This Row],[PAPEL]]),Tabela17683[Fechamento])</f>
        <v>0</v>
      </c>
    </row>
    <row r="58" spans="1:54" hidden="1">
      <c r="A58" s="4" t="s">
        <v>12</v>
      </c>
      <c r="B58" s="60" t="s">
        <v>518</v>
      </c>
      <c r="C58" s="14" t="str">
        <f>LEFT([PAPEL],LEN([PAPEL])-(LEN([PAPEL])-4))</f>
        <v>TAEE</v>
      </c>
      <c r="D58" s="15">
        <v>3</v>
      </c>
      <c r="E58" s="6">
        <v>3067535193.2800002</v>
      </c>
      <c r="F58" s="8">
        <v>341943588</v>
      </c>
      <c r="G58" s="81">
        <v>0.5</v>
      </c>
      <c r="H58" s="15"/>
      <c r="I58" s="19"/>
      <c r="J58" s="19"/>
      <c r="K58" s="88"/>
      <c r="L58" s="88"/>
      <c r="M58" s="55">
        <v>9101836000</v>
      </c>
      <c r="N58" s="55">
        <v>1859239000</v>
      </c>
      <c r="O58" s="55">
        <v>923506000</v>
      </c>
      <c r="P58" s="89">
        <v>4589097000</v>
      </c>
      <c r="Q58" s="89">
        <v>751496000</v>
      </c>
      <c r="R58" s="89">
        <f>IF(Tabela3[[#This Row],[Ativo || Passivo]]&gt;0,Tabela3[[#This Row],[Ativo || Passivo]]-Tabela3[[#This Row],[Patrimônio Líquido]],0)</f>
        <v>4512739000</v>
      </c>
      <c r="S58" s="89">
        <f>Tabela3[[#This Row],[Cotação]]*Tabela3[[#This Row],[Total Ações]]</f>
        <v>0</v>
      </c>
      <c r="T58" s="132">
        <f>IF(Tabela3[[#This Row],[Passivo Circulante]]&gt;0,Tabela3[[#This Row],[Ativo Circulante]]/Tabela3[[#This Row],[Passivo Circulante]],0)</f>
        <v>2.0132397623837854</v>
      </c>
      <c r="U58" s="132">
        <f>SUMPRODUCT(N([Liquidez Corrente]&gt;0),N(RIGHT([PAPEL],LEN([PAPEL])-(LEN([PAPEL])-1))="3"),[Liquidez Corrente])/SUMPRODUCT(N([Liquidez Corrente]&gt;0),N(RIGHT([PAPEL],LEN([PAPEL])-(LEN([PAPEL])-1))="3"))</f>
        <v>2.331224473064915</v>
      </c>
      <c r="V58" s="19">
        <f>IF(Tabela3[[#This Row],[Lucro Líquido]]&gt;0,Tabela3[[#This Row],[Lucro Líquido]]/Tabela3[[#This Row],[Patrimônio Líquido]],0)</f>
        <v>0.16375683495031812</v>
      </c>
      <c r="W58" s="19">
        <f>SUMPRODUCT(N([Rentabilidade s/ PL]&gt;0),N(RIGHT([PAPEL],LEN([PAPEL])-(LEN([PAPEL])-1))="3"),[Rentabilidade s/ PL])/SUMPRODUCT(N([Rentabilidade s/ PL]&gt;0),N(RIGHT([PAPEL],LEN([PAPEL])-(LEN([PAPEL])-1))="3"))</f>
        <v>0.1261051308670782</v>
      </c>
      <c r="X58" s="19">
        <f>IF(Tabela3[[#This Row],[Dívida]]&gt;0,Tabela3[[#This Row],[Dívida]]/Tabela3[[#This Row],[Patrimônio Líquido]],0)</f>
        <v>0.98336099672767863</v>
      </c>
      <c r="Y58" s="19">
        <f>SUMPRODUCT(N([Dívida / PL]&gt;0),N(RIGHT([PAPEL],LEN([PAPEL])-(LEN([PAPEL])-1))="3"),[Dívida / PL])/SUMPRODUCT(N([Dívida / PL]&gt;0),N(RIGHT([PAPEL],LEN([PAPEL])-(LEN([PAPEL])-1))="3"))</f>
        <v>2.1510410379481146</v>
      </c>
      <c r="Z58" s="6">
        <f>Tabela3[[#This Row],[Capital Social]]*20%</f>
        <v>613507038.65600002</v>
      </c>
      <c r="AA58" s="6">
        <f>IF(([Lucro Líquido]*5%)&gt;[Teto R. Legal],[Teto R. Legal],[Lucro Líquido]*5%)</f>
        <v>37574800</v>
      </c>
      <c r="AB58" s="89">
        <f>IF([Lucro Líquido]&lt;0,0,[Lucro Líquido]-[Reserva Legal])</f>
        <v>713921200</v>
      </c>
      <c r="AC58" s="89">
        <f>Tabela3[[#This Row],[Lucro Distribuir]]*[%Div]</f>
        <v>356960600</v>
      </c>
      <c r="AD58" s="56">
        <f>SUMPRODUCT(N([Nome]=Tabela3[[#This Row],[Nome]]),[Ações])</f>
        <v>1033496721</v>
      </c>
      <c r="AE58" s="6">
        <f>[Capital Social]/[Total Ações]</f>
        <v>2.968113135677767</v>
      </c>
      <c r="AF58" s="78">
        <f>Tabela3[[#This Row],[Lucro Líquido]]/Tabela3[[#This Row],[Total Ações]]</f>
        <v>0.72713922040590584</v>
      </c>
      <c r="AG58" s="78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0.34539112969280528</v>
      </c>
      <c r="AH58" s="78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58" s="78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58" s="78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0.34539112969280528</v>
      </c>
      <c r="AK58" s="6">
        <f>[Div Base]*[Ações]</f>
        <v>118104282.15053117</v>
      </c>
      <c r="AL58" s="6">
        <f>SUMPRODUCT(N([Nome]=Tabela3[[#This Row],[Nome]]),[Div Base]*[Ações])</f>
        <v>356960600</v>
      </c>
      <c r="AM58" s="6">
        <f>[Patrimônio Líquido]/[Total Ações]</f>
        <v>4.4403595161478986</v>
      </c>
      <c r="AN58" s="48">
        <f>MAX(Tabela3[[#This Row],[Cotação 1]:[Cotação 5]])</f>
        <v>0</v>
      </c>
      <c r="AO58" s="44">
        <f>[Cotação]/[VPA]</f>
        <v>0</v>
      </c>
      <c r="AP58" s="40">
        <f>IF(Tabela3[[#This Row],[Lucro/Ação]]&gt;0,Tabela3[[#This Row],[Cotação]]/(Tabela3[[#This Row],[Lucro/Ação]]/[Ref]*4),0)</f>
        <v>0</v>
      </c>
      <c r="AQ58" s="78">
        <f>[Lucro Distribuir]/[Total Ações]</f>
        <v>0.69078225938561055</v>
      </c>
      <c r="AR58" s="78">
        <f>IF([Unit ON]&gt;0,SUMPRODUCT(N([Nome]=Tabela3[[#This Row],[Nome]]),N(RIGHT([PAPEL],1)="3"),[Div Base])*[Unit ON]+SUMPRODUCT(N([Nome]=Tabela3[[#This Row],[Nome]]),N(RIGHT([PAPEL],1)="4"),[Div Base])*[Unit PN],[Div Base])</f>
        <v>0.34539112969280528</v>
      </c>
      <c r="AS58" s="15" t="str">
        <f>IF(AND([% A.A.]&gt;=6%,SUMPRODUCT(N([Nome]=Tabela3[[#This Row],[Nome]]),[PL])&gt;0,[Rentabilidade s/ PL]&gt;=[Rentabilidade s/ PL Média]),"Sim","Não")</f>
        <v>Não</v>
      </c>
      <c r="AT58" s="42">
        <f>IF([Cotação]&gt;0,Tabela3[[#This Row],[Lucro]]/Tabela3[[#This Row],[Cotação]],0)</f>
        <v>0</v>
      </c>
      <c r="AU58" s="19">
        <f>((1+Tabela3[[#This Row],[% Yield]])^(1/(3*Tabela3[[#This Row],[Ref]])))^(12)-1</f>
        <v>0</v>
      </c>
      <c r="AV58" s="14">
        <f>IF([Cotação]&gt;0,($BH$1/Tabela3[[#This Row],[Cotação]]-MOD($BH$1/Tabela3[[#This Row],[Cotação]],100)),)</f>
        <v>0</v>
      </c>
      <c r="AW58" s="17">
        <f>Tabela3[[#This Row],[Ativos]]*[Lucro]</f>
        <v>0</v>
      </c>
      <c r="AX58" s="5">
        <f>SUMPRODUCT(N(Tabela1[Código]=Tabela3[[#This Row],[PAPEL]]),Tabela1[Fechamento])</f>
        <v>0</v>
      </c>
      <c r="AY58" s="5">
        <f>SUMPRODUCT(N(Tabela17[Código]=Tabela3[[#This Row],[PAPEL]]),Tabela17[Fechamento])</f>
        <v>0</v>
      </c>
      <c r="AZ58" s="7">
        <f>SUMPRODUCT(N(Tabela176[Código]=Tabela3[[#This Row],[PAPEL]]),Tabela176[Fechamento])</f>
        <v>0</v>
      </c>
      <c r="BA58" s="7">
        <f>SUMPRODUCT(N(Tabela1768[Código]=Tabela3[[#This Row],[PAPEL]]),Tabela1768[Fechamento])</f>
        <v>0</v>
      </c>
      <c r="BB58" s="7">
        <f>SUMPRODUCT(N(Tabela17683[Código]=Tabela3[[#This Row],[PAPEL]]),Tabela17683[Fechamento])</f>
        <v>0</v>
      </c>
    </row>
    <row r="59" spans="1:54" hidden="1">
      <c r="A59" s="24" t="s">
        <v>12</v>
      </c>
      <c r="B59" s="57" t="s">
        <v>29</v>
      </c>
      <c r="C59" s="15" t="str">
        <f>LEFT([PAPEL],LEN([PAPEL])-(LEN([PAPEL])-4))</f>
        <v>GETI</v>
      </c>
      <c r="D59" s="16">
        <v>3</v>
      </c>
      <c r="E59" s="6">
        <v>207227038.81</v>
      </c>
      <c r="F59" s="56">
        <v>197461211</v>
      </c>
      <c r="G59" s="81">
        <v>0.25</v>
      </c>
      <c r="H59" s="16"/>
      <c r="J59" s="18"/>
      <c r="K59" s="87"/>
      <c r="L59" s="87"/>
      <c r="M59" s="54">
        <v>4055326000</v>
      </c>
      <c r="N59" s="54">
        <v>794855000</v>
      </c>
      <c r="O59" s="54">
        <v>839032000</v>
      </c>
      <c r="P59" s="90">
        <v>1813045000</v>
      </c>
      <c r="Q59" s="90">
        <v>650993000</v>
      </c>
      <c r="R59" s="90">
        <f>IF(Tabela3[[#This Row],[Ativo || Passivo]]&gt;0,Tabela3[[#This Row],[Ativo || Passivo]]-Tabela3[[#This Row],[Patrimônio Líquido]],0)</f>
        <v>2242281000</v>
      </c>
      <c r="S59" s="90">
        <f>Tabela3[[#This Row],[Cotação]]*Tabela3[[#This Row],[Total Ações]]</f>
        <v>5596801277.2399998</v>
      </c>
      <c r="T59" s="131">
        <f>IF(Tabela3[[#This Row],[Passivo Circulante]]&gt;0,Tabela3[[#This Row],[Ativo Circulante]]/Tabela3[[#This Row],[Passivo Circulante]],0)</f>
        <v>0.94734765777705732</v>
      </c>
      <c r="U59" s="131">
        <f>SUMPRODUCT(N([Liquidez Corrente]&gt;0),N(RIGHT([PAPEL],LEN([PAPEL])-(LEN([PAPEL])-1))="3"),[Liquidez Corrente])/SUMPRODUCT(N([Liquidez Corrente]&gt;0),N(RIGHT([PAPEL],LEN([PAPEL])-(LEN([PAPEL])-1))="3"))</f>
        <v>2.331224473064915</v>
      </c>
      <c r="V59" s="49">
        <f>IF(Tabela3[[#This Row],[Lucro Líquido]]&gt;0,Tabela3[[#This Row],[Lucro Líquido]]/Tabela3[[#This Row],[Patrimônio Líquido]],0)</f>
        <v>0.35906058592037154</v>
      </c>
      <c r="W59" s="49">
        <f>SUMPRODUCT(N([Rentabilidade s/ PL]&gt;0),N(RIGHT([PAPEL],LEN([PAPEL])-(LEN([PAPEL])-1))="3"),[Rentabilidade s/ PL])/SUMPRODUCT(N([Rentabilidade s/ PL]&gt;0),N(RIGHT([PAPEL],LEN([PAPEL])-(LEN([PAPEL])-1))="3"))</f>
        <v>0.1261051308670782</v>
      </c>
      <c r="X59" s="49">
        <f>IF(Tabela3[[#This Row],[Dívida]]&gt;0,Tabela3[[#This Row],[Dívida]]/Tabela3[[#This Row],[Patrimônio Líquido]],0)</f>
        <v>1.2367486741917604</v>
      </c>
      <c r="Y59" s="49">
        <f>SUMPRODUCT(N([Dívida / PL]&gt;0),N(RIGHT([PAPEL],LEN([PAPEL])-(LEN([PAPEL])-1))="3"),[Dívida / PL])/SUMPRODUCT(N([Dívida / PL]&gt;0),N(RIGHT([PAPEL],LEN([PAPEL])-(LEN([PAPEL])-1))="3"))</f>
        <v>2.1510410379481146</v>
      </c>
      <c r="Z59" s="28">
        <f>Tabela3[[#This Row],[Capital Social]]*20%</f>
        <v>41445407.762000002</v>
      </c>
      <c r="AA59" s="28">
        <f>IF(([Lucro Líquido]*5%)&gt;[Teto R. Legal],[Teto R. Legal],[Lucro Líquido]*5%)</f>
        <v>32549650</v>
      </c>
      <c r="AB59" s="90">
        <f>IF([Lucro Líquido]&lt;0,0,[Lucro Líquido]-[Reserva Legal])</f>
        <v>618443350</v>
      </c>
      <c r="AC59" s="90">
        <f>Tabela3[[#This Row],[Lucro Distribuir]]*[%Div]</f>
        <v>154610837.5</v>
      </c>
      <c r="AD59" s="56">
        <f>SUMPRODUCT(N([Nome]=Tabela3[[#This Row],[Nome]]),[Ações])</f>
        <v>381253493</v>
      </c>
      <c r="AE59" s="28">
        <f>[Capital Social]/[Total Ações]</f>
        <v>0.54354135139687754</v>
      </c>
      <c r="AF59" s="79">
        <f>Tabela3[[#This Row],[Lucro Líquido]]/Tabela3[[#This Row],[Total Ações]]</f>
        <v>1.7075069788278634</v>
      </c>
      <c r="AG59" s="79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0.39291523664074163</v>
      </c>
      <c r="AH59" s="79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59" s="79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59" s="79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0.39291523664074163</v>
      </c>
      <c r="AK59" s="28">
        <f>[Div Base]*[Ações]</f>
        <v>77585518.447432414</v>
      </c>
      <c r="AL59" s="28">
        <f>SUMPRODUCT(N([Nome]=Tabela3[[#This Row],[Nome]]),[Div Base]*[Ações])</f>
        <v>157021785.3285009</v>
      </c>
      <c r="AM59" s="28">
        <f>[Patrimônio Líquido]/[Total Ações]</f>
        <v>4.7554842992612265</v>
      </c>
      <c r="AN59" s="29">
        <f>MAX(Tabela3[[#This Row],[Cotação 1]:[Cotação 5]])</f>
        <v>14.68</v>
      </c>
      <c r="AO59" s="30">
        <f>[Cotação]/[VPA]</f>
        <v>3.0869621422744609</v>
      </c>
      <c r="AP59" s="35">
        <f>IF(Tabela3[[#This Row],[Lucro/Ação]]&gt;0,Tabela3[[#This Row],[Cotação]]/(Tabela3[[#This Row],[Lucro/Ação]]/[Ref]*4),0)</f>
        <v>6.4479970720576105</v>
      </c>
      <c r="AQ59" s="78">
        <f>[Lucro Distribuir]/[Total Ações]</f>
        <v>1.6221316298864703</v>
      </c>
      <c r="AR59" s="78">
        <f>IF([Unit ON]&gt;0,SUMPRODUCT(N([Nome]=Tabela3[[#This Row],[Nome]]),N(RIGHT([PAPEL],1)="3"),[Div Base])*[Unit ON]+SUMPRODUCT(N([Nome]=Tabela3[[#This Row],[Nome]]),N(RIGHT([PAPEL],1)="4"),[Div Base])*[Unit PN],[Div Base])</f>
        <v>0.39291523664074163</v>
      </c>
      <c r="AS59" s="25" t="str">
        <f>IF(AND([% A.A.]&gt;=6%,SUMPRODUCT(N([Nome]=Tabela3[[#This Row],[Nome]]),[PL])&gt;0,[Rentabilidade s/ PL]&gt;=[Rentabilidade s/ PL Média]),"Sim","Não")</f>
        <v>Não</v>
      </c>
      <c r="AT59" s="27">
        <f>IF([Cotação]&gt;0,Tabela3[[#This Row],[Lucro]]/Tabela3[[#This Row],[Cotação]],0)</f>
        <v>2.6765343095418368E-2</v>
      </c>
      <c r="AU59" s="49">
        <f>((1+Tabela3[[#This Row],[% Yield]])^(1/(3*Tabela3[[#This Row],[Ref]])))^(12)-1</f>
        <v>3.5845384015577686E-2</v>
      </c>
      <c r="AV59" s="10">
        <f>IF([Cotação]&gt;0,($BH$1/Tabela3[[#This Row],[Cotação]]-MOD($BH$1/Tabela3[[#This Row],[Cotação]],100)),)</f>
        <v>0</v>
      </c>
      <c r="AW59" s="7">
        <f>Tabela3[[#This Row],[Ativos]]*[Lucro]</f>
        <v>0</v>
      </c>
      <c r="AX59" s="5">
        <f>SUMPRODUCT(N(Tabela1[Código]=Tabela3[[#This Row],[PAPEL]]),Tabela1[Fechamento])</f>
        <v>14.68</v>
      </c>
      <c r="AY59" s="5">
        <f>SUMPRODUCT(N(Tabela17[Código]=Tabela3[[#This Row],[PAPEL]]),Tabela17[Fechamento])</f>
        <v>0</v>
      </c>
      <c r="AZ59" s="7">
        <f>SUMPRODUCT(N(Tabela176[Código]=Tabela3[[#This Row],[PAPEL]]),Tabela176[Fechamento])</f>
        <v>0</v>
      </c>
      <c r="BA59" s="7">
        <f>SUMPRODUCT(N(Tabela1768[Código]=Tabela3[[#This Row],[PAPEL]]),Tabela1768[Fechamento])</f>
        <v>0</v>
      </c>
      <c r="BB59" s="7">
        <f>SUMPRODUCT(N(Tabela17683[Código]=Tabela3[[#This Row],[PAPEL]]),Tabela17683[Fechamento])</f>
        <v>0</v>
      </c>
    </row>
    <row r="60" spans="1:54" hidden="1">
      <c r="A60" s="24" t="s">
        <v>12</v>
      </c>
      <c r="B60" s="57" t="s">
        <v>33</v>
      </c>
      <c r="C60" s="15" t="str">
        <f>LEFT([PAPEL],LEN([PAPEL])-(LEN([PAPEL])-4))</f>
        <v>GETI</v>
      </c>
      <c r="D60" s="15">
        <v>3</v>
      </c>
      <c r="E60" s="6">
        <v>207227038.81</v>
      </c>
      <c r="F60" s="8">
        <v>183792282</v>
      </c>
      <c r="G60" s="86">
        <v>0.25</v>
      </c>
      <c r="H60" s="15"/>
      <c r="I60" s="19"/>
      <c r="J60" s="19">
        <v>0.1</v>
      </c>
      <c r="K60" s="88"/>
      <c r="L60" s="88"/>
      <c r="M60" s="54">
        <v>4055326000</v>
      </c>
      <c r="N60" s="54">
        <v>794855000</v>
      </c>
      <c r="O60" s="54">
        <v>839032000</v>
      </c>
      <c r="P60" s="90">
        <v>1813045000</v>
      </c>
      <c r="Q60" s="90">
        <v>650993000</v>
      </c>
      <c r="R60" s="90">
        <f>IF(Tabela3[[#This Row],[Ativo || Passivo]]&gt;0,Tabela3[[#This Row],[Ativo || Passivo]]-Tabela3[[#This Row],[Patrimônio Líquido]],0)</f>
        <v>2242281000</v>
      </c>
      <c r="S60" s="90">
        <f>Tabela3[[#This Row],[Cotação]]*Tabela3[[#This Row],[Total Ações]]</f>
        <v>6507997125.5100002</v>
      </c>
      <c r="T60" s="131">
        <f>IF(Tabela3[[#This Row],[Passivo Circulante]]&gt;0,Tabela3[[#This Row],[Ativo Circulante]]/Tabela3[[#This Row],[Passivo Circulante]],0)</f>
        <v>0.94734765777705732</v>
      </c>
      <c r="U60" s="131">
        <f>SUMPRODUCT(N([Liquidez Corrente]&gt;0),N(RIGHT([PAPEL],LEN([PAPEL])-(LEN([PAPEL])-1))="3"),[Liquidez Corrente])/SUMPRODUCT(N([Liquidez Corrente]&gt;0),N(RIGHT([PAPEL],LEN([PAPEL])-(LEN([PAPEL])-1))="3"))</f>
        <v>2.331224473064915</v>
      </c>
      <c r="V60" s="49">
        <f>IF(Tabela3[[#This Row],[Lucro Líquido]]&gt;0,Tabela3[[#This Row],[Lucro Líquido]]/Tabela3[[#This Row],[Patrimônio Líquido]],0)</f>
        <v>0.35906058592037154</v>
      </c>
      <c r="W60" s="49">
        <f>SUMPRODUCT(N([Rentabilidade s/ PL]&gt;0),N(RIGHT([PAPEL],LEN([PAPEL])-(LEN([PAPEL])-1))="3"),[Rentabilidade s/ PL])/SUMPRODUCT(N([Rentabilidade s/ PL]&gt;0),N(RIGHT([PAPEL],LEN([PAPEL])-(LEN([PAPEL])-1))="3"))</f>
        <v>0.1261051308670782</v>
      </c>
      <c r="X60" s="49">
        <f>IF(Tabela3[[#This Row],[Dívida]]&gt;0,Tabela3[[#This Row],[Dívida]]/Tabela3[[#This Row],[Patrimônio Líquido]],0)</f>
        <v>1.2367486741917604</v>
      </c>
      <c r="Y60" s="49">
        <f>SUMPRODUCT(N([Dívida / PL]&gt;0),N(RIGHT([PAPEL],LEN([PAPEL])-(LEN([PAPEL])-1))="3"),[Dívida / PL])/SUMPRODUCT(N([Dívida / PL]&gt;0),N(RIGHT([PAPEL],LEN([PAPEL])-(LEN([PAPEL])-1))="3"))</f>
        <v>2.1510410379481146</v>
      </c>
      <c r="Z60" s="28">
        <f>Tabela3[[#This Row],[Capital Social]]*20%</f>
        <v>41445407.762000002</v>
      </c>
      <c r="AA60" s="28">
        <f>IF(([Lucro Líquido]*5%)&gt;[Teto R. Legal],[Teto R. Legal],[Lucro Líquido]*5%)</f>
        <v>32549650</v>
      </c>
      <c r="AB60" s="90">
        <f>IF([Lucro Líquido]&lt;0,0,[Lucro Líquido]-[Reserva Legal])</f>
        <v>618443350</v>
      </c>
      <c r="AC60" s="90">
        <f>Tabela3[[#This Row],[Lucro Distribuir]]*[%Div]</f>
        <v>154610837.5</v>
      </c>
      <c r="AD60" s="56">
        <f>SUMPRODUCT(N([Nome]=Tabela3[[#This Row],[Nome]]),[Ações])</f>
        <v>381253493</v>
      </c>
      <c r="AE60" s="28">
        <f>[Capital Social]/[Total Ações]</f>
        <v>0.54354135139687754</v>
      </c>
      <c r="AF60" s="79">
        <f>Tabela3[[#This Row],[Lucro Líquido]]/Tabela3[[#This Row],[Total Ações]]</f>
        <v>1.7075069788278634</v>
      </c>
      <c r="AG60" s="79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0.4322067608968938</v>
      </c>
      <c r="AH60" s="79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60" s="79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60" s="79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0.4322067608968938</v>
      </c>
      <c r="AK60" s="28">
        <f>[Div Base]*[Ações]</f>
        <v>79436266.881068483</v>
      </c>
      <c r="AL60" s="28">
        <f>SUMPRODUCT(N([Nome]=Tabela3[[#This Row],[Nome]]),[Div Base]*[Ações])</f>
        <v>157021785.3285009</v>
      </c>
      <c r="AM60" s="28">
        <f>[Patrimônio Líquido]/[Total Ações]</f>
        <v>4.7554842992612265</v>
      </c>
      <c r="AN60" s="29">
        <f>MAX(Tabela3[[#This Row],[Cotação 1]:[Cotação 5]])</f>
        <v>17.07</v>
      </c>
      <c r="AO60" s="30">
        <f>[Cotação]/[VPA]</f>
        <v>3.5895397662551125</v>
      </c>
      <c r="AP60" s="35">
        <f>IF(Tabela3[[#This Row],[Lucro/Ação]]&gt;0,Tabela3[[#This Row],[Cotação]]/(Tabela3[[#This Row],[Lucro/Ação]]/[Ref]*4),0)</f>
        <v>7.4977731621269355</v>
      </c>
      <c r="AQ60" s="78">
        <f>[Lucro Distribuir]/[Total Ações]</f>
        <v>1.6221316298864703</v>
      </c>
      <c r="AR60" s="78">
        <f>IF([Unit ON]&gt;0,SUMPRODUCT(N([Nome]=Tabela3[[#This Row],[Nome]]),N(RIGHT([PAPEL],1)="3"),[Div Base])*[Unit ON]+SUMPRODUCT(N([Nome]=Tabela3[[#This Row],[Nome]]),N(RIGHT([PAPEL],1)="4"),[Div Base])*[Unit PN],[Div Base])</f>
        <v>0.4322067608968938</v>
      </c>
      <c r="AS60" s="25" t="str">
        <f>IF(AND([% A.A.]&gt;=6%,SUMPRODUCT(N([Nome]=Tabela3[[#This Row],[Nome]]),[PL])&gt;0,[Rentabilidade s/ PL]&gt;=[Rentabilidade s/ PL Média]),"Sim","Não")</f>
        <v>Não</v>
      </c>
      <c r="AT60" s="27">
        <f>IF([Cotação]&gt;0,Tabela3[[#This Row],[Lucro]]/Tabela3[[#This Row],[Cotação]],0)</f>
        <v>2.5319669648324182E-2</v>
      </c>
      <c r="AU60" s="49">
        <f>((1+Tabela3[[#This Row],[% Yield]])^(1/(3*Tabela3[[#This Row],[Ref]])))^(12)-1</f>
        <v>3.3901229773640518E-2</v>
      </c>
      <c r="AV60" s="10">
        <f>IF([Cotação]&gt;0,($BH$1/Tabela3[[#This Row],[Cotação]]-MOD($BH$1/Tabela3[[#This Row],[Cotação]],100)),)</f>
        <v>0</v>
      </c>
      <c r="AW60" s="7">
        <f>Tabela3[[#This Row],[Ativos]]*[Lucro]</f>
        <v>0</v>
      </c>
      <c r="AX60" s="5">
        <f>SUMPRODUCT(N(Tabela1[Código]=Tabela3[[#This Row],[PAPEL]]),Tabela1[Fechamento])</f>
        <v>17.07</v>
      </c>
      <c r="AY60" s="5">
        <f>SUMPRODUCT(N(Tabela17[Código]=Tabela3[[#This Row],[PAPEL]]),Tabela17[Fechamento])</f>
        <v>0</v>
      </c>
      <c r="AZ60" s="7">
        <f>SUMPRODUCT(N(Tabela176[Código]=Tabela3[[#This Row],[PAPEL]]),Tabela176[Fechamento])</f>
        <v>0</v>
      </c>
      <c r="BA60" s="7">
        <f>SUMPRODUCT(N(Tabela1768[Código]=Tabela3[[#This Row],[PAPEL]]),Tabela1768[Fechamento])</f>
        <v>0</v>
      </c>
      <c r="BB60" s="7">
        <f>SUMPRODUCT(N(Tabela17683[Código]=Tabela3[[#This Row],[PAPEL]]),Tabela17683[Fechamento])</f>
        <v>0</v>
      </c>
    </row>
    <row r="61" spans="1:54" hidden="1">
      <c r="A61" s="24" t="s">
        <v>12</v>
      </c>
      <c r="B61" s="57" t="s">
        <v>32</v>
      </c>
      <c r="C61" s="15" t="str">
        <f>LEFT([PAPEL],LEN([PAPEL])-(LEN([PAPEL])-4))</f>
        <v>CPFE</v>
      </c>
      <c r="D61" s="16">
        <v>3</v>
      </c>
      <c r="E61" s="5">
        <v>4793424356.6199999</v>
      </c>
      <c r="F61" s="56">
        <v>962274260</v>
      </c>
      <c r="G61" s="81">
        <v>0.25</v>
      </c>
      <c r="H61" s="16"/>
      <c r="J61" s="18"/>
      <c r="K61" s="87"/>
      <c r="L61" s="87"/>
      <c r="M61" s="54"/>
      <c r="N61" s="54"/>
      <c r="O61" s="54"/>
      <c r="P61" s="90">
        <v>6763474000</v>
      </c>
      <c r="Q61" s="90">
        <v>636489000</v>
      </c>
      <c r="R61" s="90">
        <f>IF(Tabela3[[#This Row],[Ativo || Passivo]]&gt;0,Tabela3[[#This Row],[Ativo || Passivo]]-Tabela3[[#This Row],[Patrimônio Líquido]],0)</f>
        <v>0</v>
      </c>
      <c r="S61" s="90">
        <f>Tabela3[[#This Row],[Cotação]]*Tabela3[[#This Row],[Total Ações]]</f>
        <v>16233566766.200001</v>
      </c>
      <c r="T61" s="131">
        <f>IF(Tabela3[[#This Row],[Passivo Circulante]]&gt;0,Tabela3[[#This Row],[Ativo Circulante]]/Tabela3[[#This Row],[Passivo Circulante]],0)</f>
        <v>0</v>
      </c>
      <c r="U61" s="131">
        <f>SUMPRODUCT(N([Liquidez Corrente]&gt;0),N(RIGHT([PAPEL],LEN([PAPEL])-(LEN([PAPEL])-1))="3"),[Liquidez Corrente])/SUMPRODUCT(N([Liquidez Corrente]&gt;0),N(RIGHT([PAPEL],LEN([PAPEL])-(LEN([PAPEL])-1))="3"))</f>
        <v>2.331224473064915</v>
      </c>
      <c r="V61" s="49">
        <f>IF(Tabela3[[#This Row],[Lucro Líquido]]&gt;0,Tabela3[[#This Row],[Lucro Líquido]]/Tabela3[[#This Row],[Patrimônio Líquido]],0)</f>
        <v>9.4106815521136034E-2</v>
      </c>
      <c r="W61" s="49">
        <f>SUMPRODUCT(N([Rentabilidade s/ PL]&gt;0),N(RIGHT([PAPEL],LEN([PAPEL])-(LEN([PAPEL])-1))="3"),[Rentabilidade s/ PL])/SUMPRODUCT(N([Rentabilidade s/ PL]&gt;0),N(RIGHT([PAPEL],LEN([PAPEL])-(LEN([PAPEL])-1))="3"))</f>
        <v>0.1261051308670782</v>
      </c>
      <c r="X61" s="49">
        <f>IF(Tabela3[[#This Row],[Dívida]]&gt;0,Tabela3[[#This Row],[Dívida]]/Tabela3[[#This Row],[Patrimônio Líquido]],0)</f>
        <v>0</v>
      </c>
      <c r="Y61" s="49">
        <f>SUMPRODUCT(N([Dívida / PL]&gt;0),N(RIGHT([PAPEL],LEN([PAPEL])-(LEN([PAPEL])-1))="3"),[Dívida / PL])/SUMPRODUCT(N([Dívida / PL]&gt;0),N(RIGHT([PAPEL],LEN([PAPEL])-(LEN([PAPEL])-1))="3"))</f>
        <v>2.1510410379481146</v>
      </c>
      <c r="Z61" s="28">
        <f>Tabela3[[#This Row],[Capital Social]]*20%</f>
        <v>958684871.324</v>
      </c>
      <c r="AA61" s="28">
        <f>IF(([Lucro Líquido]*5%)&gt;[Teto R. Legal],[Teto R. Legal],[Lucro Líquido]*5%)</f>
        <v>31824450</v>
      </c>
      <c r="AB61" s="90">
        <f>IF([Lucro Líquido]&lt;0,0,[Lucro Líquido]-[Reserva Legal])</f>
        <v>604664550</v>
      </c>
      <c r="AC61" s="90">
        <f>Tabela3[[#This Row],[Lucro Distribuir]]*[%Div]</f>
        <v>151166137.5</v>
      </c>
      <c r="AD61" s="56">
        <f>SUMPRODUCT(N([Nome]=Tabela3[[#This Row],[Nome]]),[Ações])</f>
        <v>962274260</v>
      </c>
      <c r="AE61" s="28">
        <f>[Capital Social]/[Total Ações]</f>
        <v>4.9813494508519849</v>
      </c>
      <c r="AF61" s="79">
        <f>Tabela3[[#This Row],[Lucro Líquido]]/Tabela3[[#This Row],[Total Ações]]</f>
        <v>0.6614424041644843</v>
      </c>
      <c r="AG61" s="79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0.15709257098906501</v>
      </c>
      <c r="AH61" s="79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61" s="79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61" s="79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0.15709257098906501</v>
      </c>
      <c r="AK61" s="28">
        <f>[Div Base]*[Ações]</f>
        <v>151166137.5</v>
      </c>
      <c r="AL61" s="28">
        <f>SUMPRODUCT(N([Nome]=Tabela3[[#This Row],[Nome]]),[Div Base]*[Ações])</f>
        <v>151166137.5</v>
      </c>
      <c r="AM61" s="28">
        <f>[Patrimônio Líquido]/[Total Ações]</f>
        <v>7.0286344352596526</v>
      </c>
      <c r="AN61" s="29">
        <f>MAX(Tabela3[[#This Row],[Cotação 1]:[Cotação 5]])</f>
        <v>16.87</v>
      </c>
      <c r="AO61" s="30">
        <f>[Cotação]/[VPA]</f>
        <v>2.4001817359244675</v>
      </c>
      <c r="AP61" s="35">
        <f>IF(Tabela3[[#This Row],[Lucro/Ação]]&gt;0,Tabela3[[#This Row],[Cotação]]/(Tabela3[[#This Row],[Lucro/Ação]]/[Ref]*4),0)</f>
        <v>19.128649630472797</v>
      </c>
      <c r="AQ61" s="78">
        <f>[Lucro Distribuir]/[Total Ações]</f>
        <v>0.62837028395626005</v>
      </c>
      <c r="AR61" s="78">
        <f>IF([Unit ON]&gt;0,SUMPRODUCT(N([Nome]=Tabela3[[#This Row],[Nome]]),N(RIGHT([PAPEL],1)="3"),[Div Base])*[Unit ON]+SUMPRODUCT(N([Nome]=Tabela3[[#This Row],[Nome]]),N(RIGHT([PAPEL],1)="4"),[Div Base])*[Unit PN],[Div Base])</f>
        <v>0.15709257098906501</v>
      </c>
      <c r="AS61" s="25" t="str">
        <f>IF(AND([% A.A.]&gt;=6%,SUMPRODUCT(N([Nome]=Tabela3[[#This Row],[Nome]]),[PL])&gt;0,[Rentabilidade s/ PL]&gt;=[Rentabilidade s/ PL Média]),"Sim","Não")</f>
        <v>Não</v>
      </c>
      <c r="AT61" s="27">
        <f>IF([Cotação]&gt;0,Tabela3[[#This Row],[Lucro]]/Tabela3[[#This Row],[Cotação]],0)</f>
        <v>9.3119484877928274E-3</v>
      </c>
      <c r="AU61" s="49">
        <f>((1+Tabela3[[#This Row],[% Yield]])^(1/(3*Tabela3[[#This Row],[Ref]])))^(12)-1</f>
        <v>1.2435161015185603E-2</v>
      </c>
      <c r="AV61" s="10">
        <f>IF([Cotação]&gt;0,($BH$1/Tabela3[[#This Row],[Cotação]]-MOD($BH$1/Tabela3[[#This Row],[Cotação]],100)),)</f>
        <v>0</v>
      </c>
      <c r="AW61" s="7">
        <f>Tabela3[[#This Row],[Ativos]]*[Lucro]</f>
        <v>0</v>
      </c>
      <c r="AX61" s="5">
        <f>SUMPRODUCT(N(Tabela1[Código]=Tabela3[[#This Row],[PAPEL]]),Tabela1[Fechamento])</f>
        <v>16.87</v>
      </c>
      <c r="AY61" s="5">
        <f>SUMPRODUCT(N(Tabela17[Código]=Tabela3[[#This Row],[PAPEL]]),Tabela17[Fechamento])</f>
        <v>0</v>
      </c>
      <c r="AZ61" s="7">
        <f>SUMPRODUCT(N(Tabela176[Código]=Tabela3[[#This Row],[PAPEL]]),Tabela176[Fechamento])</f>
        <v>0</v>
      </c>
      <c r="BA61" s="7">
        <f>SUMPRODUCT(N(Tabela1768[Código]=Tabela3[[#This Row],[PAPEL]]),Tabela1768[Fechamento])</f>
        <v>0</v>
      </c>
      <c r="BB61" s="7">
        <f>SUMPRODUCT(N(Tabela17683[Código]=Tabela3[[#This Row],[PAPEL]]),Tabela17683[Fechamento])</f>
        <v>0</v>
      </c>
    </row>
    <row r="62" spans="1:54" hidden="1">
      <c r="A62" s="3" t="s">
        <v>1441</v>
      </c>
      <c r="B62" s="57" t="s">
        <v>1444</v>
      </c>
      <c r="C62" s="16" t="str">
        <f>LEFT([PAPEL],LEN([PAPEL])-(LEN([PAPEL])-4))</f>
        <v>WEGE</v>
      </c>
      <c r="D62" s="16">
        <v>3</v>
      </c>
      <c r="E62" s="5">
        <v>2718440437</v>
      </c>
      <c r="F62" s="56">
        <v>620905029</v>
      </c>
      <c r="G62" s="81">
        <v>0.25</v>
      </c>
      <c r="H62" s="87"/>
      <c r="J62" s="18"/>
      <c r="K62" s="16"/>
      <c r="L62" s="87"/>
      <c r="M62" s="54"/>
      <c r="N62" s="54"/>
      <c r="O62" s="54"/>
      <c r="P62" s="91">
        <v>4327712000</v>
      </c>
      <c r="Q62" s="73">
        <v>606028000</v>
      </c>
      <c r="R62" s="73">
        <f>IF(Tabela3[[#This Row],[Ativo || Passivo]]&gt;0,Tabela3[[#This Row],[Ativo || Passivo]]-Tabela3[[#This Row],[Patrimônio Líquido]],0)</f>
        <v>0</v>
      </c>
      <c r="S62" s="73">
        <f>Tabela3[[#This Row],[Cotação]]*Tabela3[[#This Row],[Total Ações]]</f>
        <v>18552642266.52</v>
      </c>
      <c r="T62" s="37">
        <f>IF(Tabela3[[#This Row],[Passivo Circulante]]&gt;0,Tabela3[[#This Row],[Ativo Circulante]]/Tabela3[[#This Row],[Passivo Circulante]],0)</f>
        <v>0</v>
      </c>
      <c r="U62" s="37">
        <f>SUMPRODUCT(N([Liquidez Corrente]&gt;0),N(RIGHT([PAPEL],LEN([PAPEL])-(LEN([PAPEL])-1))="3"),[Liquidez Corrente])/SUMPRODUCT(N([Liquidez Corrente]&gt;0),N(RIGHT([PAPEL],LEN([PAPEL])-(LEN([PAPEL])-1))="3"))</f>
        <v>2.331224473064915</v>
      </c>
      <c r="V62" s="18">
        <f>IF(Tabela3[[#This Row],[Lucro Líquido]]&gt;0,Tabela3[[#This Row],[Lucro Líquido]]/Tabela3[[#This Row],[Patrimônio Líquido]],0)</f>
        <v>0.14003427215119676</v>
      </c>
      <c r="W62" s="18">
        <f>SUMPRODUCT(N([Rentabilidade s/ PL]&gt;0),N(RIGHT([PAPEL],LEN([PAPEL])-(LEN([PAPEL])-1))="3"),[Rentabilidade s/ PL])/SUMPRODUCT(N([Rentabilidade s/ PL]&gt;0),N(RIGHT([PAPEL],LEN([PAPEL])-(LEN([PAPEL])-1))="3"))</f>
        <v>0.1261051308670782</v>
      </c>
      <c r="X62" s="18">
        <f>IF(Tabela3[[#This Row],[Dívida]]&gt;0,Tabela3[[#This Row],[Dívida]]/Tabela3[[#This Row],[Patrimônio Líquido]],0)</f>
        <v>0</v>
      </c>
      <c r="Y62" s="18">
        <f>SUMPRODUCT(N([Dívida / PL]&gt;0),N(RIGHT([PAPEL],LEN([PAPEL])-(LEN([PAPEL])-1))="3"),[Dívida / PL])/SUMPRODUCT(N([Dívida / PL]&gt;0),N(RIGHT([PAPEL],LEN([PAPEL])-(LEN([PAPEL])-1))="3"))</f>
        <v>2.1510410379481146</v>
      </c>
      <c r="Z62" s="7">
        <f>Tabela3[[#This Row],[Capital Social]]*20%</f>
        <v>543688087.39999998</v>
      </c>
      <c r="AA62" s="47">
        <f>IF(([Lucro Líquido]*5%)&gt;[Teto R. Legal],[Teto R. Legal],[Lucro Líquido]*5%)</f>
        <v>30301400</v>
      </c>
      <c r="AB62" s="47">
        <f>IF([Lucro Líquido]&lt;0,0,[Lucro Líquido]-[Reserva Legal])</f>
        <v>575726600</v>
      </c>
      <c r="AC62" s="47">
        <f>Tabela3[[#This Row],[Lucro Distribuir]]*[%Div]</f>
        <v>143931650</v>
      </c>
      <c r="AD62" s="56">
        <f>SUMPRODUCT(N([Nome]=Tabela3[[#This Row],[Nome]]),[Ações])</f>
        <v>620905029</v>
      </c>
      <c r="AE62" s="85">
        <f>[Capital Social]/[Total Ações]</f>
        <v>4.3781903995498155</v>
      </c>
      <c r="AF62" s="85">
        <f>Tabela3[[#This Row],[Lucro Líquido]]/Tabela3[[#This Row],[Total Ações]]</f>
        <v>0.97603976726688746</v>
      </c>
      <c r="AG62" s="85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0.23180944472588577</v>
      </c>
      <c r="AH62" s="85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62" s="77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62" s="85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0.23180944472588577</v>
      </c>
      <c r="AK62" s="7">
        <f>[Div Base]*[Ações]</f>
        <v>143931650</v>
      </c>
      <c r="AL62" s="120">
        <f>SUMPRODUCT(N([Nome]=Tabela3[[#This Row],[Nome]]),[Div Base]*[Ações])</f>
        <v>143931650</v>
      </c>
      <c r="AM62" s="5">
        <f>[Patrimônio Líquido]/[Total Ações]</f>
        <v>6.9700063582509655</v>
      </c>
      <c r="AN62" s="52">
        <f>MAX(Tabela3[[#This Row],[Cotação 1]:[Cotação 5]])</f>
        <v>29.88</v>
      </c>
      <c r="AO62" s="53">
        <f>[Cotação]/[VPA]</f>
        <v>4.2869401352308101</v>
      </c>
      <c r="AP62" s="37">
        <f>IF(Tabela3[[#This Row],[Lucro/Ação]]&gt;0,Tabela3[[#This Row],[Cotação]]/(Tabela3[[#This Row],[Lucro/Ação]]/[Ref]*4),0)</f>
        <v>22.960130059815718</v>
      </c>
      <c r="AQ62" s="85">
        <f>[Lucro Distribuir]/[Total Ações]</f>
        <v>0.92723777890354309</v>
      </c>
      <c r="AR62" s="85">
        <f>IF([Unit ON]&gt;0,SUMPRODUCT(N([Nome]=Tabela3[[#This Row],[Nome]]),N(RIGHT([PAPEL],1)="3"),[Div Base])*[Unit ON]+SUMPRODUCT(N([Nome]=Tabela3[[#This Row],[Nome]]),N(RIGHT([PAPEL],1)="4"),[Div Base])*[Unit PN],[Div Base])</f>
        <v>0.23180944472588577</v>
      </c>
      <c r="AS62" s="10" t="str">
        <f>IF(AND([% A.A.]&gt;=6%,SUMPRODUCT(N([Nome]=Tabela3[[#This Row],[Nome]]),[PL])&gt;0,[Rentabilidade s/ PL]&gt;=[Rentabilidade s/ PL Média]),"Sim","Não")</f>
        <v>Não</v>
      </c>
      <c r="AT62" s="22">
        <f>IF([Cotação]&gt;0,Tabela3[[#This Row],[Lucro]]/Tabela3[[#This Row],[Cotação]],0)</f>
        <v>7.7580135450430318E-3</v>
      </c>
      <c r="AU62" s="22">
        <f>((1+Tabela3[[#This Row],[% Yield]])^(1/(3*Tabela3[[#This Row],[Ref]])))^(12)-1</f>
        <v>1.0357369914728132E-2</v>
      </c>
      <c r="AV62" s="10">
        <f>IF([Cotação]&gt;0,($BH$1/Tabela3[[#This Row],[Cotação]]-MOD($BH$1/Tabela3[[#This Row],[Cotação]],100)),)</f>
        <v>0</v>
      </c>
      <c r="AW62" s="7">
        <f>Tabela3[[#This Row],[Ativos]]*[Lucro]</f>
        <v>0</v>
      </c>
      <c r="AX62" s="7">
        <f>SUMPRODUCT(N(Tabela1[Código]=Tabela3[[#This Row],[PAPEL]]),Tabela1[Fechamento])</f>
        <v>0</v>
      </c>
      <c r="AY62" s="7">
        <f>SUMPRODUCT(N(Tabela17[Código]=Tabela3[[#This Row],[PAPEL]]),Tabela17[Fechamento])</f>
        <v>0</v>
      </c>
      <c r="AZ62" s="7">
        <f>SUMPRODUCT(N(Tabela176[Código]=Tabela3[[#This Row],[PAPEL]]),Tabela176[Fechamento])</f>
        <v>0</v>
      </c>
      <c r="BA62" s="7">
        <f>SUMPRODUCT(N(Tabela1768[Código]=Tabela3[[#This Row],[PAPEL]]),Tabela1768[Fechamento])</f>
        <v>0</v>
      </c>
      <c r="BB62" s="7">
        <f>SUMPRODUCT(N(Tabela17683[Código]=Tabela3[[#This Row],[PAPEL]]),Tabela17683[Fechamento])</f>
        <v>29.88</v>
      </c>
    </row>
    <row r="63" spans="1:54" hidden="1">
      <c r="A63" s="3" t="s">
        <v>1196</v>
      </c>
      <c r="B63" s="57" t="s">
        <v>1206</v>
      </c>
      <c r="C63" s="16" t="str">
        <f>LEFT([PAPEL],LEN([PAPEL])-(LEN([PAPEL])-4))</f>
        <v>CYRE</v>
      </c>
      <c r="D63" s="16">
        <v>3</v>
      </c>
      <c r="E63" s="5">
        <v>2583576445.8200002</v>
      </c>
      <c r="F63" s="56">
        <v>416658829</v>
      </c>
      <c r="G63" s="81">
        <v>0.25</v>
      </c>
      <c r="H63" s="87"/>
      <c r="J63" s="18"/>
      <c r="K63" s="16"/>
      <c r="L63" s="87"/>
      <c r="M63" s="54"/>
      <c r="N63" s="54"/>
      <c r="O63" s="54"/>
      <c r="P63" s="91">
        <v>5554561000</v>
      </c>
      <c r="Q63" s="73">
        <v>536310000</v>
      </c>
      <c r="R63" s="73">
        <f>IF(Tabela3[[#This Row],[Ativo || Passivo]]&gt;0,Tabela3[[#This Row],[Ativo || Passivo]]-Tabela3[[#This Row],[Patrimônio Líquido]],0)</f>
        <v>0</v>
      </c>
      <c r="S63" s="73">
        <f>Tabela3[[#This Row],[Cotação]]*Tabela3[[#This Row],[Total Ações]]</f>
        <v>5720725722.1700001</v>
      </c>
      <c r="T63" s="37">
        <f>IF(Tabela3[[#This Row],[Passivo Circulante]]&gt;0,Tabela3[[#This Row],[Ativo Circulante]]/Tabela3[[#This Row],[Passivo Circulante]],0)</f>
        <v>0</v>
      </c>
      <c r="U63" s="37">
        <f>SUMPRODUCT(N([Liquidez Corrente]&gt;0),N(RIGHT([PAPEL],LEN([PAPEL])-(LEN([PAPEL])-1))="3"),[Liquidez Corrente])/SUMPRODUCT(N([Liquidez Corrente]&gt;0),N(RIGHT([PAPEL],LEN([PAPEL])-(LEN([PAPEL])-1))="3"))</f>
        <v>2.331224473064915</v>
      </c>
      <c r="V63" s="18">
        <f>IF(Tabela3[[#This Row],[Lucro Líquido]]&gt;0,Tabela3[[#This Row],[Lucro Líquido]]/Tabela3[[#This Row],[Patrimônio Líquido]],0)</f>
        <v>9.6553084933264754E-2</v>
      </c>
      <c r="W63" s="18">
        <f>SUMPRODUCT(N([Rentabilidade s/ PL]&gt;0),N(RIGHT([PAPEL],LEN([PAPEL])-(LEN([PAPEL])-1))="3"),[Rentabilidade s/ PL])/SUMPRODUCT(N([Rentabilidade s/ PL]&gt;0),N(RIGHT([PAPEL],LEN([PAPEL])-(LEN([PAPEL])-1))="3"))</f>
        <v>0.1261051308670782</v>
      </c>
      <c r="X63" s="18">
        <f>IF(Tabela3[[#This Row],[Dívida]]&gt;0,Tabela3[[#This Row],[Dívida]]/Tabela3[[#This Row],[Patrimônio Líquido]],0)</f>
        <v>0</v>
      </c>
      <c r="Y63" s="18">
        <f>SUMPRODUCT(N([Dívida / PL]&gt;0),N(RIGHT([PAPEL],LEN([PAPEL])-(LEN([PAPEL])-1))="3"),[Dívida / PL])/SUMPRODUCT(N([Dívida / PL]&gt;0),N(RIGHT([PAPEL],LEN([PAPEL])-(LEN([PAPEL])-1))="3"))</f>
        <v>2.1510410379481146</v>
      </c>
      <c r="Z63" s="7">
        <f>Tabela3[[#This Row],[Capital Social]]*20%</f>
        <v>516715289.16400003</v>
      </c>
      <c r="AA63" s="47">
        <f>IF(([Lucro Líquido]*5%)&gt;[Teto R. Legal],[Teto R. Legal],[Lucro Líquido]*5%)</f>
        <v>26815500</v>
      </c>
      <c r="AB63" s="47">
        <f>IF([Lucro Líquido]&lt;0,0,[Lucro Líquido]-[Reserva Legal])</f>
        <v>509494500</v>
      </c>
      <c r="AC63" s="47">
        <f>Tabela3[[#This Row],[Lucro Distribuir]]*[%Div]</f>
        <v>127373625</v>
      </c>
      <c r="AD63" s="56">
        <f>SUMPRODUCT(N([Nome]=Tabela3[[#This Row],[Nome]]),[Ações])</f>
        <v>416658829</v>
      </c>
      <c r="AE63" s="85">
        <f>[Capital Social]/[Total Ações]</f>
        <v>6.2007001076173047</v>
      </c>
      <c r="AF63" s="85">
        <f>Tabela3[[#This Row],[Lucro Líquido]]/Tabela3[[#This Row],[Total Ações]]</f>
        <v>1.2871682121489378</v>
      </c>
      <c r="AG63" s="85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0.30570245038537275</v>
      </c>
      <c r="AH63" s="85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63" s="77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63" s="85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0.30570245038537275</v>
      </c>
      <c r="AK63" s="7">
        <f>[Div Base]*[Ações]</f>
        <v>127373625.00000001</v>
      </c>
      <c r="AL63" s="120">
        <f>SUMPRODUCT(N([Nome]=Tabela3[[#This Row],[Nome]]),[Div Base]*[Ações])</f>
        <v>127373625.00000001</v>
      </c>
      <c r="AM63" s="5">
        <f>[Patrimônio Líquido]/[Total Ações]</f>
        <v>13.331197165151154</v>
      </c>
      <c r="AN63" s="52">
        <f>MAX(Tabela3[[#This Row],[Cotação 1]:[Cotação 5]])</f>
        <v>13.73</v>
      </c>
      <c r="AO63" s="53">
        <f>[Cotação]/[VPA]</f>
        <v>1.0299150053748622</v>
      </c>
      <c r="AP63" s="37">
        <f>IF(Tabela3[[#This Row],[Lucro/Ação]]&gt;0,Tabela3[[#This Row],[Cotação]]/(Tabela3[[#This Row],[Lucro/Ação]]/[Ref]*4),0)</f>
        <v>8.0001198777339599</v>
      </c>
      <c r="AQ63" s="85">
        <f>[Lucro Distribuir]/[Total Ações]</f>
        <v>1.222809801541491</v>
      </c>
      <c r="AR63" s="85">
        <f>IF([Unit ON]&gt;0,SUMPRODUCT(N([Nome]=Tabela3[[#This Row],[Nome]]),N(RIGHT([PAPEL],1)="3"),[Div Base])*[Unit ON]+SUMPRODUCT(N([Nome]=Tabela3[[#This Row],[Nome]]),N(RIGHT([PAPEL],1)="4"),[Div Base])*[Unit PN],[Div Base])</f>
        <v>0.30570245038537275</v>
      </c>
      <c r="AS63" s="10" t="str">
        <f>IF(AND([% A.A.]&gt;=6%,SUMPRODUCT(N([Nome]=Tabela3[[#This Row],[Nome]]),[PL])&gt;0,[Rentabilidade s/ PL]&gt;=[Rentabilidade s/ PL Média]),"Sim","Não")</f>
        <v>Não</v>
      </c>
      <c r="AT63" s="22">
        <f>IF([Cotação]&gt;0,Tabela3[[#This Row],[Lucro]]/Tabela3[[#This Row],[Cotação]],0)</f>
        <v>2.2265291360915714E-2</v>
      </c>
      <c r="AU63" s="22">
        <f>((1+Tabela3[[#This Row],[% Yield]])^(1/(3*Tabela3[[#This Row],[Ref]])))^(12)-1</f>
        <v>2.9796680221040095E-2</v>
      </c>
      <c r="AV63" s="10">
        <f>IF([Cotação]&gt;0,($BH$1/Tabela3[[#This Row],[Cotação]]-MOD($BH$1/Tabela3[[#This Row],[Cotação]],100)),)</f>
        <v>0</v>
      </c>
      <c r="AW63" s="7">
        <f>Tabela3[[#This Row],[Ativos]]*[Lucro]</f>
        <v>0</v>
      </c>
      <c r="AX63" s="7">
        <f>SUMPRODUCT(N(Tabela1[Código]=Tabela3[[#This Row],[PAPEL]]),Tabela1[Fechamento])</f>
        <v>0</v>
      </c>
      <c r="AY63" s="7">
        <f>SUMPRODUCT(N(Tabela17[Código]=Tabela3[[#This Row],[PAPEL]]),Tabela17[Fechamento])</f>
        <v>0</v>
      </c>
      <c r="AZ63" s="7">
        <f>SUMPRODUCT(N(Tabela176[Código]=Tabela3[[#This Row],[PAPEL]]),Tabela176[Fechamento])</f>
        <v>0</v>
      </c>
      <c r="BA63" s="7">
        <f>SUMPRODUCT(N(Tabela1768[Código]=Tabela3[[#This Row],[PAPEL]]),Tabela1768[Fechamento])</f>
        <v>13.73</v>
      </c>
      <c r="BB63" s="7">
        <f>SUMPRODUCT(N(Tabela17683[Código]=Tabela3[[#This Row],[PAPEL]]),Tabela17683[Fechamento])</f>
        <v>0</v>
      </c>
    </row>
    <row r="64" spans="1:54">
      <c r="A64" s="4" t="s">
        <v>318</v>
      </c>
      <c r="B64" s="57" t="s">
        <v>317</v>
      </c>
      <c r="C64" s="82" t="str">
        <f>LEFT([PAPEL],LEN([PAPEL])-(LEN([PAPEL])-4))</f>
        <v>DTEX</v>
      </c>
      <c r="D64" s="15">
        <v>4</v>
      </c>
      <c r="E64" s="6">
        <v>1705271709.4400001</v>
      </c>
      <c r="F64" s="38">
        <v>605059489</v>
      </c>
      <c r="G64" s="86">
        <v>0.3</v>
      </c>
      <c r="H64" s="15"/>
      <c r="I64" s="19"/>
      <c r="J64" s="19"/>
      <c r="K64" s="88"/>
      <c r="L64" s="88"/>
      <c r="M64" s="55"/>
      <c r="N64" s="55"/>
      <c r="O64" s="55"/>
      <c r="P64" s="6">
        <v>4365005000</v>
      </c>
      <c r="Q64" s="6">
        <v>519920000</v>
      </c>
      <c r="R64" s="6">
        <f>IF(Tabela3[[#This Row],[Ativo || Passivo]]&gt;0,Tabela3[[#This Row],[Ativo || Passivo]]-Tabela3[[#This Row],[Patrimônio Líquido]],0)</f>
        <v>0</v>
      </c>
      <c r="S64" s="6">
        <f>Tabela3[[#This Row],[Cotação]]*Tabela3[[#This Row],[Total Ações]]</f>
        <v>6940032338.8299999</v>
      </c>
      <c r="T64" s="132">
        <f>IF(Tabela3[[#This Row],[Passivo Circulante]]&gt;0,Tabela3[[#This Row],[Ativo Circulante]]/Tabela3[[#This Row],[Passivo Circulante]],0)</f>
        <v>0</v>
      </c>
      <c r="U64" s="132">
        <f>SUMPRODUCT(N([Liquidez Corrente]&gt;0),N(RIGHT([PAPEL],LEN([PAPEL])-(LEN([PAPEL])-1))="3"),[Liquidez Corrente])/SUMPRODUCT(N([Liquidez Corrente]&gt;0),N(RIGHT([PAPEL],LEN([PAPEL])-(LEN([PAPEL])-1))="3"))</f>
        <v>2.331224473064915</v>
      </c>
      <c r="V64" s="19">
        <f>IF(Tabela3[[#This Row],[Lucro Líquido]]&gt;0,Tabela3[[#This Row],[Lucro Líquido]]/Tabela3[[#This Row],[Patrimônio Líquido]],0)</f>
        <v>0.11911097467242306</v>
      </c>
      <c r="W64" s="19">
        <f>SUMPRODUCT(N([Rentabilidade s/ PL]&gt;0),N(RIGHT([PAPEL],LEN([PAPEL])-(LEN([PAPEL])-1))="3"),[Rentabilidade s/ PL])/SUMPRODUCT(N([Rentabilidade s/ PL]&gt;0),N(RIGHT([PAPEL],LEN([PAPEL])-(LEN([PAPEL])-1))="3"))</f>
        <v>0.1261051308670782</v>
      </c>
      <c r="X64" s="19">
        <f>IF(Tabela3[[#This Row],[Dívida]]&gt;0,Tabela3[[#This Row],[Dívida]]/Tabela3[[#This Row],[Patrimônio Líquido]],0)</f>
        <v>0</v>
      </c>
      <c r="Y64" s="19">
        <f>SUMPRODUCT(N([Dívida / PL]&gt;0),N(RIGHT([PAPEL],LEN([PAPEL])-(LEN([PAPEL])-1))="3"),[Dívida / PL])/SUMPRODUCT(N([Dívida / PL]&gt;0),N(RIGHT([PAPEL],LEN([PAPEL])-(LEN([PAPEL])-1))="3"))</f>
        <v>2.1510410379481146</v>
      </c>
      <c r="Z64" s="6">
        <f>Tabela3[[#This Row],[Capital Social]]*20%</f>
        <v>341054341.88800001</v>
      </c>
      <c r="AA64" s="6">
        <f>IF(([Lucro Líquido]*5%)&gt;[Teto R. Legal],[Teto R. Legal],[Lucro Líquido]*5%)</f>
        <v>25996000</v>
      </c>
      <c r="AB64" s="6">
        <f>IF([Lucro Líquido]&lt;0,0,[Lucro Líquido]-[Reserva Legal])</f>
        <v>493924000</v>
      </c>
      <c r="AC64" s="6">
        <f>Tabela3[[#This Row],[Lucro Distribuir]]*[%Div]</f>
        <v>148177200</v>
      </c>
      <c r="AD64" s="38">
        <f>SUMPRODUCT(N([Nome]=Tabela3[[#This Row],[Nome]]),[Ações])</f>
        <v>605059489</v>
      </c>
      <c r="AE64" s="6">
        <f>[Capital Social]/[Total Ações]</f>
        <v>2.8183537989931433</v>
      </c>
      <c r="AF64" s="78">
        <f>Tabela3[[#This Row],[Lucro Líquido]]/Tabela3[[#This Row],[Total Ações]]</f>
        <v>0.85928740801881709</v>
      </c>
      <c r="AG64" s="78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0.24489691128536289</v>
      </c>
      <c r="AH64" s="78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64" s="78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64" s="78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0.24489691128536289</v>
      </c>
      <c r="AK64" s="6">
        <f>[Div Base]*[Ações]</f>
        <v>148177200</v>
      </c>
      <c r="AL64" s="6">
        <f>SUMPRODUCT(N([Nome]=Tabela3[[#This Row],[Nome]]),[Div Base]*[Ações])</f>
        <v>148177200</v>
      </c>
      <c r="AM64" s="6">
        <f>[Patrimônio Líquido]/[Total Ações]</f>
        <v>7.2141749354500249</v>
      </c>
      <c r="AN64" s="48">
        <f>MAX(Tabela3[[#This Row],[Cotação 1]:[Cotação 5]])</f>
        <v>11.47</v>
      </c>
      <c r="AO64" s="44">
        <f>[Cotação]/[VPA]</f>
        <v>1.5899254041702129</v>
      </c>
      <c r="AP64" s="40">
        <f>IF(Tabela3[[#This Row],[Lucro/Ação]]&gt;0,Tabela3[[#This Row],[Cotação]]/(Tabela3[[#This Row],[Lucro/Ação]]/[Ref]*4),0)</f>
        <v>13.348269616152486</v>
      </c>
      <c r="AQ64" s="78">
        <f>[Lucro Distribuir]/[Total Ações]</f>
        <v>0.81632303761787628</v>
      </c>
      <c r="AR64" s="78">
        <f>IF([Unit ON]&gt;0,SUMPRODUCT(N([Nome]=Tabela3[[#This Row],[Nome]]),N(RIGHT([PAPEL],1)="3"),[Div Base])*[Unit ON]+SUMPRODUCT(N([Nome]=Tabela3[[#This Row],[Nome]]),N(RIGHT([PAPEL],1)="4"),[Div Base])*[Unit PN],[Div Base])</f>
        <v>0.24489691128536289</v>
      </c>
      <c r="AS64" s="15" t="str">
        <f>IF(AND([% A.A.]&gt;=6%,SUMPRODUCT(N([Nome]=Tabela3[[#This Row],[Nome]]),[PL])&gt;0,[Rentabilidade s/ PL]&gt;=[Rentabilidade s/ PL Média]),"Sim","Não")</f>
        <v>Não</v>
      </c>
      <c r="AT64" s="42">
        <f>IF([Cotação]&gt;0,Tabela3[[#This Row],[Lucro]]/Tabela3[[#This Row],[Cotação]],0)</f>
        <v>2.1351082064983685E-2</v>
      </c>
      <c r="AU64" s="19">
        <f>((1+Tabela3[[#This Row],[% Yield]])^(1/(3*Tabela3[[#This Row],[Ref]])))^(12)-1</f>
        <v>2.1351082064982929E-2</v>
      </c>
      <c r="AV64" s="14">
        <f>IF([Cotação]&gt;0,($BH$1/Tabela3[[#This Row],[Cotação]]-MOD($BH$1/Tabela3[[#This Row],[Cotação]],100)),)</f>
        <v>0</v>
      </c>
      <c r="AW64" s="17">
        <f>Tabela3[[#This Row],[Ativos]]*[Lucro]</f>
        <v>0</v>
      </c>
      <c r="AX64" s="13">
        <f>SUMPRODUCT(N(Tabela1[Código]=Tabela3[[#This Row],[PAPEL]]),Tabela1[Fechamento])</f>
        <v>0</v>
      </c>
      <c r="AY64" s="55">
        <f>SUMPRODUCT(N(Tabela17[Código]=Tabela3[[#This Row],[PAPEL]]),Tabela17[Fechamento])</f>
        <v>11.47</v>
      </c>
      <c r="AZ64" s="7">
        <f>SUMPRODUCT(N(Tabela176[Código]=Tabela3[[#This Row],[PAPEL]]),Tabela176[Fechamento])</f>
        <v>0</v>
      </c>
      <c r="BA64" s="7">
        <f>SUMPRODUCT(N(Tabela1768[Código]=Tabela3[[#This Row],[PAPEL]]),Tabela1768[Fechamento])</f>
        <v>0</v>
      </c>
      <c r="BB64" s="7">
        <f>SUMPRODUCT(N(Tabela17683[Código]=Tabela3[[#This Row],[PAPEL]]),Tabela17683[Fechamento])</f>
        <v>0</v>
      </c>
    </row>
    <row r="65" spans="1:54">
      <c r="A65" s="4" t="s">
        <v>12</v>
      </c>
      <c r="B65" s="57" t="s">
        <v>463</v>
      </c>
      <c r="C65" s="15" t="str">
        <f>LEFT([PAPEL],LEN([PAPEL])-(LEN([PAPEL])-4))</f>
        <v>CBEE</v>
      </c>
      <c r="D65" s="15">
        <v>4</v>
      </c>
      <c r="E65" s="6">
        <v>1298230386.6500001</v>
      </c>
      <c r="F65" s="8">
        <v>3922515918</v>
      </c>
      <c r="G65" s="81">
        <v>0.25</v>
      </c>
      <c r="H65" s="15"/>
      <c r="I65" s="19"/>
      <c r="J65" s="19"/>
      <c r="K65" s="88"/>
      <c r="L65" s="88"/>
      <c r="M65" s="55">
        <v>5712410000</v>
      </c>
      <c r="N65" s="55">
        <v>1191490000</v>
      </c>
      <c r="O65" s="55">
        <v>954637000</v>
      </c>
      <c r="P65" s="92">
        <v>2480825000</v>
      </c>
      <c r="Q65" s="93">
        <v>515059000</v>
      </c>
      <c r="R65" s="93">
        <f>IF(Tabela3[[#This Row],[Ativo || Passivo]]&gt;0,Tabela3[[#This Row],[Ativo || Passivo]]-Tabela3[[#This Row],[Patrimônio Líquido]],0)</f>
        <v>3231585000</v>
      </c>
      <c r="S65" s="93">
        <f>Tabela3[[#This Row],[Cotação]]*Tabela3[[#This Row],[Total Ações]]</f>
        <v>4510893305.6999998</v>
      </c>
      <c r="T65" s="40">
        <f>IF(Tabela3[[#This Row],[Passivo Circulante]]&gt;0,Tabela3[[#This Row],[Ativo Circulante]]/Tabela3[[#This Row],[Passivo Circulante]],0)</f>
        <v>1.2481079195547626</v>
      </c>
      <c r="U65" s="40">
        <f>SUMPRODUCT(N([Liquidez Corrente]&gt;0),N(RIGHT([PAPEL],LEN([PAPEL])-(LEN([PAPEL])-1))="3"),[Liquidez Corrente])/SUMPRODUCT(N([Liquidez Corrente]&gt;0),N(RIGHT([PAPEL],LEN([PAPEL])-(LEN([PAPEL])-1))="3"))</f>
        <v>2.331224473064915</v>
      </c>
      <c r="V65" s="19">
        <f>IF(Tabela3[[#This Row],[Lucro Líquido]]&gt;0,Tabela3[[#This Row],[Lucro Líquido]]/Tabela3[[#This Row],[Patrimônio Líquido]],0)</f>
        <v>0.20761601483377506</v>
      </c>
      <c r="W65" s="19">
        <f>SUMPRODUCT(N([Rentabilidade s/ PL]&gt;0),N(RIGHT([PAPEL],LEN([PAPEL])-(LEN([PAPEL])-1))="3"),[Rentabilidade s/ PL])/SUMPRODUCT(N([Rentabilidade s/ PL]&gt;0),N(RIGHT([PAPEL],LEN([PAPEL])-(LEN([PAPEL])-1))="3"))</f>
        <v>0.1261051308670782</v>
      </c>
      <c r="X65" s="19">
        <f>IF(Tabela3[[#This Row],[Dívida]]&gt;0,Tabela3[[#This Row],[Dívida]]/Tabela3[[#This Row],[Patrimônio Líquido]],0)</f>
        <v>1.3026251347837916</v>
      </c>
      <c r="Y65" s="19">
        <f>SUMPRODUCT(N([Dívida / PL]&gt;0),N(RIGHT([PAPEL],LEN([PAPEL])-(LEN([PAPEL])-1))="3"),[Dívida / PL])/SUMPRODUCT(N([Dívida / PL]&gt;0),N(RIGHT([PAPEL],LEN([PAPEL])-(LEN([PAPEL])-1))="3"))</f>
        <v>2.1510410379481146</v>
      </c>
      <c r="Z65" s="13">
        <f>Tabela3[[#This Row],[Capital Social]]*20%</f>
        <v>259646077.33000004</v>
      </c>
      <c r="AA65" s="13">
        <f>IF(([Lucro Líquido]*5%)&gt;[Teto R. Legal],[Teto R. Legal],[Lucro Líquido]*5%)</f>
        <v>25752950</v>
      </c>
      <c r="AB65" s="13">
        <f>IF([Lucro Líquido]&lt;0,0,[Lucro Líquido]-[Reserva Legal])</f>
        <v>489306050</v>
      </c>
      <c r="AC65" s="13">
        <f>Tabela3[[#This Row],[Lucro Distribuir]]*[%Div]</f>
        <v>122326512.5</v>
      </c>
      <c r="AD65" s="56">
        <f>SUMPRODUCT(N([Nome]=Tabela3[[#This Row],[Nome]]),[Ações])</f>
        <v>3922515918</v>
      </c>
      <c r="AE65" s="6">
        <f>[Capital Social]/[Total Ações]</f>
        <v>0.33096880007358587</v>
      </c>
      <c r="AF65" s="78">
        <f>Tabela3[[#This Row],[Lucro Líquido]]/Tabela3[[#This Row],[Total Ações]]</f>
        <v>0.13130832628019434</v>
      </c>
      <c r="AG65" s="78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3.1185727491546154E-2</v>
      </c>
      <c r="AH65" s="78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65" s="78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65" s="78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3.1185727491546154E-2</v>
      </c>
      <c r="AK65" s="13">
        <f>[Div Base]*[Ações]</f>
        <v>122326512.5</v>
      </c>
      <c r="AL65" s="13">
        <f>SUMPRODUCT(N([Nome]=Tabela3[[#This Row],[Nome]]),[Div Base]*[Ações])</f>
        <v>122326512.5</v>
      </c>
      <c r="AM65" s="6">
        <f>[Patrimônio Líquido]/[Total Ações]</f>
        <v>0.63245759911789345</v>
      </c>
      <c r="AN65" s="48">
        <f>MAX(Tabela3[[#This Row],[Cotação 1]:[Cotação 5]])</f>
        <v>1.1499999999999999</v>
      </c>
      <c r="AO65" s="44">
        <f>[Cotação]/[VPA]</f>
        <v>1.8183037117491156</v>
      </c>
      <c r="AP65" s="40">
        <f>IF(Tabela3[[#This Row],[Lucro/Ação]]&gt;0,Tabela3[[#This Row],[Cotação]]/(Tabela3[[#This Row],[Lucro/Ação]]/[Ref]*4),0)</f>
        <v>8.758012782419101</v>
      </c>
      <c r="AQ65" s="78">
        <f>[Lucro Distribuir]/[Total Ações]</f>
        <v>0.12474290996618462</v>
      </c>
      <c r="AR65" s="78">
        <f>IF([Unit ON]&gt;0,SUMPRODUCT(N([Nome]=Tabela3[[#This Row],[Nome]]),N(RIGHT([PAPEL],1)="3"),[Div Base])*[Unit ON]+SUMPRODUCT(N([Nome]=Tabela3[[#This Row],[Nome]]),N(RIGHT([PAPEL],1)="4"),[Div Base])*[Unit PN],[Div Base])</f>
        <v>3.1185727491546154E-2</v>
      </c>
      <c r="AS65" s="14" t="str">
        <f>IF(AND([% A.A.]&gt;=6%,SUMPRODUCT(N([Nome]=Tabela3[[#This Row],[Nome]]),[PL])&gt;0,[Rentabilidade s/ PL]&gt;=[Rentabilidade s/ PL Média]),"Sim","Não")</f>
        <v>Não</v>
      </c>
      <c r="AT65" s="42">
        <f>IF([Cotação]&gt;0,Tabela3[[#This Row],[Lucro]]/Tabela3[[#This Row],[Cotação]],0)</f>
        <v>2.7118023905692311E-2</v>
      </c>
      <c r="AU65" s="42">
        <f>((1+Tabela3[[#This Row],[% Yield]])^(1/(3*Tabela3[[#This Row],[Ref]])))^(12)-1</f>
        <v>2.7118023905692068E-2</v>
      </c>
      <c r="AV65" s="14">
        <f>IF([Cotação]&gt;0,($BH$1/Tabela3[[#This Row],[Cotação]]-MOD($BH$1/Tabela3[[#This Row],[Cotação]],100)),)</f>
        <v>400</v>
      </c>
      <c r="AW65" s="17">
        <f>Tabela3[[#This Row],[Ativos]]*[Lucro]</f>
        <v>12.474290996618462</v>
      </c>
      <c r="AX65" s="17">
        <f>SUMPRODUCT(N(Tabela1[Código]=Tabela3[[#This Row],[PAPEL]]),Tabela1[Fechamento])</f>
        <v>0</v>
      </c>
      <c r="AY65" s="17">
        <f>SUMPRODUCT(N(Tabela17[Código]=Tabela3[[#This Row],[PAPEL]]),Tabela17[Fechamento])</f>
        <v>1.1499999999999999</v>
      </c>
      <c r="AZ65" s="7">
        <f>SUMPRODUCT(N(Tabela176[Código]=Tabela3[[#This Row],[PAPEL]]),Tabela176[Fechamento])</f>
        <v>0</v>
      </c>
      <c r="BA65" s="7">
        <f>SUMPRODUCT(N(Tabela1768[Código]=Tabela3[[#This Row],[PAPEL]]),Tabela1768[Fechamento])</f>
        <v>0</v>
      </c>
      <c r="BB65" s="7">
        <f>SUMPRODUCT(N(Tabela17683[Código]=Tabela3[[#This Row],[PAPEL]]),Tabela17683[Fechamento])</f>
        <v>0</v>
      </c>
    </row>
    <row r="66" spans="1:54">
      <c r="A66" s="4" t="s">
        <v>40</v>
      </c>
      <c r="B66" s="57" t="s">
        <v>261</v>
      </c>
      <c r="C66" s="82" t="str">
        <f>LEFT([PAPEL],LEN([PAPEL])-(LEN([PAPEL])-4))</f>
        <v>BRKM</v>
      </c>
      <c r="D66" s="16">
        <v>4</v>
      </c>
      <c r="E66" s="5">
        <v>8043222080.5</v>
      </c>
      <c r="F66" s="56">
        <v>451668652</v>
      </c>
      <c r="G66" s="86">
        <v>0.25</v>
      </c>
      <c r="H66" s="16"/>
      <c r="J66" s="18"/>
      <c r="K66" s="87"/>
      <c r="L66" s="87"/>
      <c r="M66" s="54"/>
      <c r="N66" s="54"/>
      <c r="O66" s="54"/>
      <c r="P66" s="5">
        <v>7593110000</v>
      </c>
      <c r="Q66" s="6">
        <v>509697000</v>
      </c>
      <c r="R66" s="6">
        <f>IF(Tabela3[[#This Row],[Ativo || Passivo]]&gt;0,Tabela3[[#This Row],[Ativo || Passivo]]-Tabela3[[#This Row],[Patrimônio Líquido]],0)</f>
        <v>0</v>
      </c>
      <c r="S66" s="6">
        <f>Tabela3[[#This Row],[Cotação]]*Tabela3[[#This Row],[Total Ações]]</f>
        <v>11321167941.6</v>
      </c>
      <c r="T66" s="132">
        <f>IF(Tabela3[[#This Row],[Passivo Circulante]]&gt;0,Tabela3[[#This Row],[Ativo Circulante]]/Tabela3[[#This Row],[Passivo Circulante]],0)</f>
        <v>0</v>
      </c>
      <c r="U66" s="132">
        <f>SUMPRODUCT(N([Liquidez Corrente]&gt;0),N(RIGHT([PAPEL],LEN([PAPEL])-(LEN([PAPEL])-1))="3"),[Liquidez Corrente])/SUMPRODUCT(N([Liquidez Corrente]&gt;0),N(RIGHT([PAPEL],LEN([PAPEL])-(LEN([PAPEL])-1))="3"))</f>
        <v>2.331224473064915</v>
      </c>
      <c r="V66" s="19">
        <f>IF(Tabela3[[#This Row],[Lucro Líquido]]&gt;0,Tabela3[[#This Row],[Lucro Líquido]]/Tabela3[[#This Row],[Patrimônio Líquido]],0)</f>
        <v>6.7126249981891484E-2</v>
      </c>
      <c r="W66" s="19">
        <f>SUMPRODUCT(N([Rentabilidade s/ PL]&gt;0),N(RIGHT([PAPEL],LEN([PAPEL])-(LEN([PAPEL])-1))="3"),[Rentabilidade s/ PL])/SUMPRODUCT(N([Rentabilidade s/ PL]&gt;0),N(RIGHT([PAPEL],LEN([PAPEL])-(LEN([PAPEL])-1))="3"))</f>
        <v>0.1261051308670782</v>
      </c>
      <c r="X66" s="19">
        <f>IF(Tabela3[[#This Row],[Dívida]]&gt;0,Tabela3[[#This Row],[Dívida]]/Tabela3[[#This Row],[Patrimônio Líquido]],0)</f>
        <v>0</v>
      </c>
      <c r="Y66" s="19">
        <f>SUMPRODUCT(N([Dívida / PL]&gt;0),N(RIGHT([PAPEL],LEN([PAPEL])-(LEN([PAPEL])-1))="3"),[Dívida / PL])/SUMPRODUCT(N([Dívida / PL]&gt;0),N(RIGHT([PAPEL],LEN([PAPEL])-(LEN([PAPEL])-1))="3"))</f>
        <v>2.1510410379481146</v>
      </c>
      <c r="Z66" s="5">
        <f>Tabela3[[#This Row],[Capital Social]]*20%</f>
        <v>1608644416.1000001</v>
      </c>
      <c r="AA66" s="5">
        <f>IF(([Lucro Líquido]*5%)&gt;[Teto R. Legal],[Teto R. Legal],[Lucro Líquido]*5%)</f>
        <v>25484850</v>
      </c>
      <c r="AB66" s="5">
        <f>IF([Lucro Líquido]&lt;0,0,[Lucro Líquido]-[Reserva Legal])</f>
        <v>484212150</v>
      </c>
      <c r="AC66" s="5">
        <f>Tabela3[[#This Row],[Lucro Distribuir]]*[%Div]</f>
        <v>121053037.5</v>
      </c>
      <c r="AD66" s="21">
        <f>SUMPRODUCT(N([Nome]=Tabela3[[#This Row],[Nome]]),[Ações])</f>
        <v>797265348</v>
      </c>
      <c r="AE66" s="5">
        <f>[Capital Social]/[Total Ações]</f>
        <v>10.088513317024283</v>
      </c>
      <c r="AF66" s="77">
        <f>Tabela3[[#This Row],[Lucro Líquido]]/Tabela3[[#This Row],[Total Ações]]</f>
        <v>0.63930660134497652</v>
      </c>
      <c r="AG66" s="77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0.15183531781943194</v>
      </c>
      <c r="AH66" s="77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66" s="77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66" s="77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</v>
      </c>
      <c r="AK66" s="5">
        <f>[Div Base]*[Ações]</f>
        <v>0</v>
      </c>
      <c r="AL66" s="5">
        <f>SUMPRODUCT(N([Nome]=Tabela3[[#This Row],[Nome]]),[Div Base]*[Ações])</f>
        <v>209193412.19493559</v>
      </c>
      <c r="AM66" s="5">
        <f>[Patrimônio Líquido]/[Total Ações]</f>
        <v>9.5239433383727103</v>
      </c>
      <c r="AN66" s="52">
        <f>MAX(Tabela3[[#This Row],[Cotação 1]:[Cotação 5]])</f>
        <v>14.2</v>
      </c>
      <c r="AO66" s="53">
        <f>[Cotação]/[VPA]</f>
        <v>1.4909790509554055</v>
      </c>
      <c r="AP66" s="37">
        <f>IF(Tabela3[[#This Row],[Lucro/Ação]]&gt;0,Tabela3[[#This Row],[Cotação]]/(Tabela3[[#This Row],[Lucro/Ação]]/[Ref]*4),0)</f>
        <v>22.211564795555006</v>
      </c>
      <c r="AQ66" s="77">
        <f>[Lucro Distribuir]/[Total Ações]</f>
        <v>0.60734127127772775</v>
      </c>
      <c r="AR66" s="77">
        <f>IF([Unit ON]&gt;0,SUMPRODUCT(N([Nome]=Tabela3[[#This Row],[Nome]]),N(RIGHT([PAPEL],1)="3"),[Div Base])*[Unit ON]+SUMPRODUCT(N([Nome]=Tabela3[[#This Row],[Nome]]),N(RIGHT([PAPEL],1)="4"),[Div Base])*[Unit PN],[Div Base])</f>
        <v>0</v>
      </c>
      <c r="AS66" s="16" t="str">
        <f>IF(AND([% A.A.]&gt;=6%,SUMPRODUCT(N([Nome]=Tabela3[[#This Row],[Nome]]),[PL])&gt;0,[Rentabilidade s/ PL]&gt;=[Rentabilidade s/ PL Média]),"Sim","Não")</f>
        <v>Não</v>
      </c>
      <c r="AT66" s="22">
        <f>IF([Cotação]&gt;0,Tabela3[[#This Row],[Lucro]]/Tabela3[[#This Row],[Cotação]],0)</f>
        <v>0</v>
      </c>
      <c r="AU66" s="18">
        <f>((1+Tabela3[[#This Row],[% Yield]])^(1/(3*Tabela3[[#This Row],[Ref]])))^(12)-1</f>
        <v>0</v>
      </c>
      <c r="AV66" s="10">
        <f>IF([Cotação]&gt;0,($BH$1/Tabela3[[#This Row],[Cotação]]-MOD($BH$1/Tabela3[[#This Row],[Cotação]],100)),)</f>
        <v>0</v>
      </c>
      <c r="AW66" s="7">
        <f>Tabela3[[#This Row],[Ativos]]*[Lucro]</f>
        <v>0</v>
      </c>
      <c r="AX66" s="47">
        <f>SUMPRODUCT(N(Tabela1[Código]=Tabela3[[#This Row],[PAPEL]]),Tabela1[Fechamento])</f>
        <v>0</v>
      </c>
      <c r="AY66" s="47">
        <f>SUMPRODUCT(N(Tabela17[Código]=Tabela3[[#This Row],[PAPEL]]),Tabela17[Fechamento])</f>
        <v>14.2</v>
      </c>
      <c r="AZ66" s="7">
        <f>SUMPRODUCT(N(Tabela176[Código]=Tabela3[[#This Row],[PAPEL]]),Tabela176[Fechamento])</f>
        <v>0</v>
      </c>
      <c r="BA66" s="7">
        <f>SUMPRODUCT(N(Tabela1768[Código]=Tabela3[[#This Row],[PAPEL]]),Tabela1768[Fechamento])</f>
        <v>0</v>
      </c>
      <c r="BB66" s="7">
        <f>SUMPRODUCT(N(Tabela17683[Código]=Tabela3[[#This Row],[PAPEL]]),Tabela17683[Fechamento])</f>
        <v>0</v>
      </c>
    </row>
    <row r="67" spans="1:54">
      <c r="A67" s="4" t="s">
        <v>40</v>
      </c>
      <c r="B67" s="57" t="s">
        <v>262</v>
      </c>
      <c r="C67" s="14" t="str">
        <f>LEFT([PAPEL],LEN([PAPEL])-(LEN([PAPEL])-4))</f>
        <v>BRKM</v>
      </c>
      <c r="D67" s="16">
        <v>4</v>
      </c>
      <c r="E67" s="5">
        <v>8043222080.5</v>
      </c>
      <c r="F67" s="56">
        <v>345002878</v>
      </c>
      <c r="G67" s="81">
        <v>0.25</v>
      </c>
      <c r="H67" s="16"/>
      <c r="I67" s="18">
        <v>0.06</v>
      </c>
      <c r="J67" s="18"/>
      <c r="K67" s="87"/>
      <c r="L67" s="87"/>
      <c r="M67" s="54"/>
      <c r="N67" s="54"/>
      <c r="O67" s="54"/>
      <c r="P67" s="5">
        <v>7593110000</v>
      </c>
      <c r="Q67" s="6">
        <v>509697000</v>
      </c>
      <c r="R67" s="6">
        <f>IF(Tabela3[[#This Row],[Ativo || Passivo]]&gt;0,Tabela3[[#This Row],[Ativo || Passivo]]-Tabela3[[#This Row],[Patrimônio Líquido]],0)</f>
        <v>0</v>
      </c>
      <c r="S67" s="6">
        <f>Tabela3[[#This Row],[Cotação]]*Tabela3[[#This Row],[Total Ações]]</f>
        <v>14326858303.559999</v>
      </c>
      <c r="T67" s="132">
        <f>IF(Tabela3[[#This Row],[Passivo Circulante]]&gt;0,Tabela3[[#This Row],[Ativo Circulante]]/Tabela3[[#This Row],[Passivo Circulante]],0)</f>
        <v>0</v>
      </c>
      <c r="U67" s="132">
        <f>SUMPRODUCT(N([Liquidez Corrente]&gt;0),N(RIGHT([PAPEL],LEN([PAPEL])-(LEN([PAPEL])-1))="3"),[Liquidez Corrente])/SUMPRODUCT(N([Liquidez Corrente]&gt;0),N(RIGHT([PAPEL],LEN([PAPEL])-(LEN([PAPEL])-1))="3"))</f>
        <v>2.331224473064915</v>
      </c>
      <c r="V67" s="19">
        <f>IF(Tabela3[[#This Row],[Lucro Líquido]]&gt;0,Tabela3[[#This Row],[Lucro Líquido]]/Tabela3[[#This Row],[Patrimônio Líquido]],0)</f>
        <v>6.7126249981891484E-2</v>
      </c>
      <c r="W67" s="19">
        <f>SUMPRODUCT(N([Rentabilidade s/ PL]&gt;0),N(RIGHT([PAPEL],LEN([PAPEL])-(LEN([PAPEL])-1))="3"),[Rentabilidade s/ PL])/SUMPRODUCT(N([Rentabilidade s/ PL]&gt;0),N(RIGHT([PAPEL],LEN([PAPEL])-(LEN([PAPEL])-1))="3"))</f>
        <v>0.1261051308670782</v>
      </c>
      <c r="X67" s="19">
        <f>IF(Tabela3[[#This Row],[Dívida]]&gt;0,Tabela3[[#This Row],[Dívida]]/Tabela3[[#This Row],[Patrimônio Líquido]],0)</f>
        <v>0</v>
      </c>
      <c r="Y67" s="19">
        <f>SUMPRODUCT(N([Dívida / PL]&gt;0),N(RIGHT([PAPEL],LEN([PAPEL])-(LEN([PAPEL])-1))="3"),[Dívida / PL])/SUMPRODUCT(N([Dívida / PL]&gt;0),N(RIGHT([PAPEL],LEN([PAPEL])-(LEN([PAPEL])-1))="3"))</f>
        <v>2.1510410379481146</v>
      </c>
      <c r="Z67" s="5">
        <f>Tabela3[[#This Row],[Capital Social]]*20%</f>
        <v>1608644416.1000001</v>
      </c>
      <c r="AA67" s="5">
        <f>IF(([Lucro Líquido]*5%)&gt;[Teto R. Legal],[Teto R. Legal],[Lucro Líquido]*5%)</f>
        <v>25484850</v>
      </c>
      <c r="AB67" s="5">
        <f>IF([Lucro Líquido]&lt;0,0,[Lucro Líquido]-[Reserva Legal])</f>
        <v>484212150</v>
      </c>
      <c r="AC67" s="5">
        <f>Tabela3[[#This Row],[Lucro Distribuir]]*[%Div]</f>
        <v>121053037.5</v>
      </c>
      <c r="AD67" s="21">
        <f>SUMPRODUCT(N([Nome]=Tabela3[[#This Row],[Nome]]),[Ações])</f>
        <v>797265348</v>
      </c>
      <c r="AE67" s="5">
        <f>[Capital Social]/[Total Ações]</f>
        <v>10.088513317024283</v>
      </c>
      <c r="AF67" s="77">
        <f>Tabela3[[#This Row],[Lucro Líquido]]/Tabela3[[#This Row],[Total Ações]]</f>
        <v>0.63930660134497652</v>
      </c>
      <c r="AG67" s="77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0.15183531781943194</v>
      </c>
      <c r="AH67" s="77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67" s="77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0.60531079902145701</v>
      </c>
      <c r="AJ67" s="77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0.60531079902145701</v>
      </c>
      <c r="AK67" s="5">
        <f>[Div Base]*[Ações]</f>
        <v>208833967.74688226</v>
      </c>
      <c r="AL67" s="5">
        <f>SUMPRODUCT(N([Nome]=Tabela3[[#This Row],[Nome]]),[Div Base]*[Ações])</f>
        <v>209193412.19493559</v>
      </c>
      <c r="AM67" s="5">
        <f>[Patrimônio Líquido]/[Total Ações]</f>
        <v>9.5239433383727103</v>
      </c>
      <c r="AN67" s="52">
        <f>MAX(Tabela3[[#This Row],[Cotação 1]:[Cotação 5]])</f>
        <v>17.97</v>
      </c>
      <c r="AO67" s="53">
        <f>[Cotação]/[VPA]</f>
        <v>1.886823489131594</v>
      </c>
      <c r="AP67" s="37">
        <f>IF(Tabela3[[#This Row],[Lucro/Ação]]&gt;0,Tabela3[[#This Row],[Cotação]]/(Tabela3[[#This Row],[Lucro/Ação]]/[Ref]*4),0)</f>
        <v>28.10857882930447</v>
      </c>
      <c r="AQ67" s="77">
        <f>[Lucro Distribuir]/[Total Ações]</f>
        <v>0.60734127127772775</v>
      </c>
      <c r="AR67" s="77">
        <f>IF([Unit ON]&gt;0,SUMPRODUCT(N([Nome]=Tabela3[[#This Row],[Nome]]),N(RIGHT([PAPEL],1)="3"),[Div Base])*[Unit ON]+SUMPRODUCT(N([Nome]=Tabela3[[#This Row],[Nome]]),N(RIGHT([PAPEL],1)="4"),[Div Base])*[Unit PN],[Div Base])</f>
        <v>0.60531079902145701</v>
      </c>
      <c r="AS67" s="16" t="str">
        <f>IF(AND([% A.A.]&gt;=6%,SUMPRODUCT(N([Nome]=Tabela3[[#This Row],[Nome]]),[PL])&gt;0,[Rentabilidade s/ PL]&gt;=[Rentabilidade s/ PL Média]),"Sim","Não")</f>
        <v>Não</v>
      </c>
      <c r="AT67" s="22">
        <f>IF([Cotação]&gt;0,Tabela3[[#This Row],[Lucro]]/Tabela3[[#This Row],[Cotação]],0)</f>
        <v>3.3684518587727162E-2</v>
      </c>
      <c r="AU67" s="18">
        <f>((1+Tabela3[[#This Row],[% Yield]])^(1/(3*Tabela3[[#This Row],[Ref]])))^(12)-1</f>
        <v>3.3684518587726586E-2</v>
      </c>
      <c r="AV67" s="10">
        <f>IF([Cotação]&gt;0,($BH$1/Tabela3[[#This Row],[Cotação]]-MOD($BH$1/Tabela3[[#This Row],[Cotação]],100)),)</f>
        <v>0</v>
      </c>
      <c r="AW67" s="7">
        <f>Tabela3[[#This Row],[Ativos]]*[Lucro]</f>
        <v>0</v>
      </c>
      <c r="AX67" s="47">
        <f>SUMPRODUCT(N(Tabela1[Código]=Tabela3[[#This Row],[PAPEL]]),Tabela1[Fechamento])</f>
        <v>0</v>
      </c>
      <c r="AY67" s="47">
        <f>SUMPRODUCT(N(Tabela17[Código]=Tabela3[[#This Row],[PAPEL]]),Tabela17[Fechamento])</f>
        <v>17.97</v>
      </c>
      <c r="AZ67" s="7">
        <f>SUMPRODUCT(N(Tabela176[Código]=Tabela3[[#This Row],[PAPEL]]),Tabela176[Fechamento])</f>
        <v>0</v>
      </c>
      <c r="BA67" s="7">
        <f>SUMPRODUCT(N(Tabela1768[Código]=Tabela3[[#This Row],[PAPEL]]),Tabela1768[Fechamento])</f>
        <v>0</v>
      </c>
      <c r="BB67" s="7">
        <f>SUMPRODUCT(N(Tabela17683[Código]=Tabela3[[#This Row],[PAPEL]]),Tabela17683[Fechamento])</f>
        <v>0</v>
      </c>
    </row>
    <row r="68" spans="1:54">
      <c r="A68" s="4" t="s">
        <v>40</v>
      </c>
      <c r="B68" s="57" t="s">
        <v>263</v>
      </c>
      <c r="C68" s="15" t="str">
        <f>LEFT([PAPEL],LEN([PAPEL])-(LEN([PAPEL])-4))</f>
        <v>BRKM</v>
      </c>
      <c r="D68" s="15">
        <v>4</v>
      </c>
      <c r="E68" s="5">
        <v>8043222080.5</v>
      </c>
      <c r="F68" s="8">
        <v>593818</v>
      </c>
      <c r="G68" s="86">
        <v>0.25</v>
      </c>
      <c r="H68" s="15"/>
      <c r="I68" s="19">
        <v>0.06</v>
      </c>
      <c r="J68" s="19"/>
      <c r="K68" s="88"/>
      <c r="L68" s="88"/>
      <c r="M68" s="55"/>
      <c r="N68" s="55"/>
      <c r="O68" s="55"/>
      <c r="P68" s="5">
        <v>7593110000</v>
      </c>
      <c r="Q68" s="6">
        <v>509697000</v>
      </c>
      <c r="R68" s="6">
        <f>IF(Tabela3[[#This Row],[Ativo || Passivo]]&gt;0,Tabela3[[#This Row],[Ativo || Passivo]]-Tabela3[[#This Row],[Patrimônio Líquido]],0)</f>
        <v>0</v>
      </c>
      <c r="S68" s="6">
        <f>Tabela3[[#This Row],[Cotação]]*Tabela3[[#This Row],[Total Ações]]</f>
        <v>8092243282.1999998</v>
      </c>
      <c r="T68" s="132">
        <f>IF(Tabela3[[#This Row],[Passivo Circulante]]&gt;0,Tabela3[[#This Row],[Ativo Circulante]]/Tabela3[[#This Row],[Passivo Circulante]],0)</f>
        <v>0</v>
      </c>
      <c r="U68" s="132">
        <f>SUMPRODUCT(N([Liquidez Corrente]&gt;0),N(RIGHT([PAPEL],LEN([PAPEL])-(LEN([PAPEL])-1))="3"),[Liquidez Corrente])/SUMPRODUCT(N([Liquidez Corrente]&gt;0),N(RIGHT([PAPEL],LEN([PAPEL])-(LEN([PAPEL])-1))="3"))</f>
        <v>2.331224473064915</v>
      </c>
      <c r="V68" s="19">
        <f>IF(Tabela3[[#This Row],[Lucro Líquido]]&gt;0,Tabela3[[#This Row],[Lucro Líquido]]/Tabela3[[#This Row],[Patrimônio Líquido]],0)</f>
        <v>6.7126249981891484E-2</v>
      </c>
      <c r="W68" s="19">
        <f>SUMPRODUCT(N([Rentabilidade s/ PL]&gt;0),N(RIGHT([PAPEL],LEN([PAPEL])-(LEN([PAPEL])-1))="3"),[Rentabilidade s/ PL])/SUMPRODUCT(N([Rentabilidade s/ PL]&gt;0),N(RIGHT([PAPEL],LEN([PAPEL])-(LEN([PAPEL])-1))="3"))</f>
        <v>0.1261051308670782</v>
      </c>
      <c r="X68" s="19">
        <f>IF(Tabela3[[#This Row],[Dívida]]&gt;0,Tabela3[[#This Row],[Dívida]]/Tabela3[[#This Row],[Patrimônio Líquido]],0)</f>
        <v>0</v>
      </c>
      <c r="Y68" s="19">
        <f>SUMPRODUCT(N([Dívida / PL]&gt;0),N(RIGHT([PAPEL],LEN([PAPEL])-(LEN([PAPEL])-1))="3"),[Dívida / PL])/SUMPRODUCT(N([Dívida / PL]&gt;0),N(RIGHT([PAPEL],LEN([PAPEL])-(LEN([PAPEL])-1))="3"))</f>
        <v>2.1510410379481146</v>
      </c>
      <c r="Z68" s="5">
        <f>Tabela3[[#This Row],[Capital Social]]*20%</f>
        <v>1608644416.1000001</v>
      </c>
      <c r="AA68" s="5">
        <f>IF(([Lucro Líquido]*5%)&gt;[Teto R. Legal],[Teto R. Legal],[Lucro Líquido]*5%)</f>
        <v>25484850</v>
      </c>
      <c r="AB68" s="5">
        <f>IF([Lucro Líquido]&lt;0,0,[Lucro Líquido]-[Reserva Legal])</f>
        <v>484212150</v>
      </c>
      <c r="AC68" s="5">
        <f>Tabela3[[#This Row],[Lucro Distribuir]]*[%Div]</f>
        <v>121053037.5</v>
      </c>
      <c r="AD68" s="21">
        <f>SUMPRODUCT(N([Nome]=Tabela3[[#This Row],[Nome]]),[Ações])</f>
        <v>797265348</v>
      </c>
      <c r="AE68" s="5">
        <f>[Capital Social]/[Total Ações]</f>
        <v>10.088513317024283</v>
      </c>
      <c r="AF68" s="78">
        <f>Tabela3[[#This Row],[Lucro Líquido]]/Tabela3[[#This Row],[Total Ações]]</f>
        <v>0.63930660134497652</v>
      </c>
      <c r="AG68" s="78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0.15183531781943194</v>
      </c>
      <c r="AH68" s="77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68" s="77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0.60531079902145701</v>
      </c>
      <c r="AJ68" s="77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0.60531079902145701</v>
      </c>
      <c r="AK68" s="5">
        <f>[Div Base]*[Ações]</f>
        <v>359444.44805332355</v>
      </c>
      <c r="AL68" s="5">
        <f>SUMPRODUCT(N([Nome]=Tabela3[[#This Row],[Nome]]),[Div Base]*[Ações])</f>
        <v>209193412.19493559</v>
      </c>
      <c r="AM68" s="6">
        <f>[Patrimônio Líquido]/[Total Ações]</f>
        <v>9.5239433383727103</v>
      </c>
      <c r="AN68" s="48">
        <f>MAX(Tabela3[[#This Row],[Cotação 1]:[Cotação 5]])</f>
        <v>10.15</v>
      </c>
      <c r="AO68" s="44">
        <f>[Cotação]/[VPA]</f>
        <v>1.0657350258589695</v>
      </c>
      <c r="AP68" s="40">
        <f>IF(Tabela3[[#This Row],[Lucro/Ação]]&gt;0,Tabela3[[#This Row],[Cotação]]/(Tabela3[[#This Row],[Lucro/Ação]]/[Ref]*4),0)</f>
        <v>15.876576244710094</v>
      </c>
      <c r="AQ68" s="78">
        <f>[Lucro Distribuir]/[Total Ações]</f>
        <v>0.60734127127772775</v>
      </c>
      <c r="AR68" s="78">
        <f>IF([Unit ON]&gt;0,SUMPRODUCT(N([Nome]=Tabela3[[#This Row],[Nome]]),N(RIGHT([PAPEL],1)="3"),[Div Base])*[Unit ON]+SUMPRODUCT(N([Nome]=Tabela3[[#This Row],[Nome]]),N(RIGHT([PAPEL],1)="4"),[Div Base])*[Unit PN],[Div Base])</f>
        <v>0.60531079902145701</v>
      </c>
      <c r="AS68" s="15" t="str">
        <f>IF(AND([% A.A.]&gt;=6%,SUMPRODUCT(N([Nome]=Tabela3[[#This Row],[Nome]]),[PL])&gt;0,[Rentabilidade s/ PL]&gt;=[Rentabilidade s/ PL Média]),"Sim","Não")</f>
        <v>Não</v>
      </c>
      <c r="AT68" s="42">
        <f>IF([Cotação]&gt;0,Tabela3[[#This Row],[Lucro]]/Tabela3[[#This Row],[Cotação]],0)</f>
        <v>5.9636531923296258E-2</v>
      </c>
      <c r="AU68" s="19">
        <f>((1+Tabela3[[#This Row],[% Yield]])^(1/(3*Tabela3[[#This Row],[Ref]])))^(12)-1</f>
        <v>5.9636531923295433E-2</v>
      </c>
      <c r="AV68" s="14">
        <f>IF([Cotação]&gt;0,($BH$1/Tabela3[[#This Row],[Cotação]]-MOD($BH$1/Tabela3[[#This Row],[Cotação]],100)),)</f>
        <v>0</v>
      </c>
      <c r="AW68" s="17">
        <f>Tabela3[[#This Row],[Ativos]]*[Lucro]</f>
        <v>0</v>
      </c>
      <c r="AX68" s="13">
        <f>SUMPRODUCT(N(Tabela1[Código]=Tabela3[[#This Row],[PAPEL]]),Tabela1[Fechamento])</f>
        <v>0</v>
      </c>
      <c r="AY68" s="13">
        <f>SUMPRODUCT(N(Tabela17[Código]=Tabela3[[#This Row],[PAPEL]]),Tabela17[Fechamento])</f>
        <v>10.15</v>
      </c>
      <c r="AZ68" s="7">
        <f>SUMPRODUCT(N(Tabela176[Código]=Tabela3[[#This Row],[PAPEL]]),Tabela176[Fechamento])</f>
        <v>0</v>
      </c>
      <c r="BA68" s="7">
        <f>SUMPRODUCT(N(Tabela1768[Código]=Tabela3[[#This Row],[PAPEL]]),Tabela1768[Fechamento])</f>
        <v>0</v>
      </c>
      <c r="BB68" s="7">
        <f>SUMPRODUCT(N(Tabela17683[Código]=Tabela3[[#This Row],[PAPEL]]),Tabela17683[Fechamento])</f>
        <v>0</v>
      </c>
    </row>
    <row r="69" spans="1:54" hidden="1">
      <c r="A69" s="4" t="s">
        <v>26</v>
      </c>
      <c r="B69" s="57" t="s">
        <v>57</v>
      </c>
      <c r="C69" s="82" t="str">
        <f>LEFT([PAPEL],LEN([PAPEL])-(LEN([PAPEL])-4))</f>
        <v>SULA</v>
      </c>
      <c r="D69" s="16">
        <v>3</v>
      </c>
      <c r="E69" s="5"/>
      <c r="F69" s="56"/>
      <c r="G69" s="86"/>
      <c r="H69" s="16"/>
      <c r="J69" s="18"/>
      <c r="K69" s="87">
        <v>1</v>
      </c>
      <c r="L69" s="87">
        <v>2</v>
      </c>
      <c r="M69" s="54"/>
      <c r="N69" s="54"/>
      <c r="O69" s="54"/>
      <c r="P69" s="6">
        <v>5318159000</v>
      </c>
      <c r="Q69" s="6">
        <v>472452000</v>
      </c>
      <c r="R69" s="6">
        <f>IF(Tabela3[[#This Row],[Ativo || Passivo]]&gt;0,Tabela3[[#This Row],[Ativo || Passivo]]-Tabela3[[#This Row],[Patrimônio Líquido]],0)</f>
        <v>0</v>
      </c>
      <c r="S69" s="6">
        <f>Tabela3[[#This Row],[Cotação]]*Tabela3[[#This Row],[Total Ações]]</f>
        <v>14770869373.849998</v>
      </c>
      <c r="T69" s="132">
        <f>IF(Tabela3[[#This Row],[Passivo Circulante]]&gt;0,Tabela3[[#This Row],[Ativo Circulante]]/Tabela3[[#This Row],[Passivo Circulante]],0)</f>
        <v>0</v>
      </c>
      <c r="U69" s="132">
        <f>SUMPRODUCT(N([Liquidez Corrente]&gt;0),N(RIGHT([PAPEL],LEN([PAPEL])-(LEN([PAPEL])-1))="3"),[Liquidez Corrente])/SUMPRODUCT(N([Liquidez Corrente]&gt;0),N(RIGHT([PAPEL],LEN([PAPEL])-(LEN([PAPEL])-1))="3"))</f>
        <v>2.331224473064915</v>
      </c>
      <c r="V69" s="19">
        <f>IF(Tabela3[[#This Row],[Lucro Líquido]]&gt;0,Tabela3[[#This Row],[Lucro Líquido]]/Tabela3[[#This Row],[Patrimônio Líquido]],0)</f>
        <v>8.8837509371194057E-2</v>
      </c>
      <c r="W69" s="19">
        <f>SUMPRODUCT(N([Rentabilidade s/ PL]&gt;0),N(RIGHT([PAPEL],LEN([PAPEL])-(LEN([PAPEL])-1))="3"),[Rentabilidade s/ PL])/SUMPRODUCT(N([Rentabilidade s/ PL]&gt;0),N(RIGHT([PAPEL],LEN([PAPEL])-(LEN([PAPEL])-1))="3"))</f>
        <v>0.1261051308670782</v>
      </c>
      <c r="X69" s="19">
        <f>IF(Tabela3[[#This Row],[Dívida]]&gt;0,Tabela3[[#This Row],[Dívida]]/Tabela3[[#This Row],[Patrimônio Líquido]],0)</f>
        <v>0</v>
      </c>
      <c r="Y69" s="19">
        <f>SUMPRODUCT(N([Dívida / PL]&gt;0),N(RIGHT([PAPEL],LEN([PAPEL])-(LEN([PAPEL])-1))="3"),[Dívida / PL])/SUMPRODUCT(N([Dívida / PL]&gt;0),N(RIGHT([PAPEL],LEN([PAPEL])-(LEN([PAPEL])-1))="3"))</f>
        <v>2.1510410379481146</v>
      </c>
      <c r="Z69" s="5">
        <f>Tabela3[[#This Row],[Capital Social]]*20%</f>
        <v>0</v>
      </c>
      <c r="AA69" s="5">
        <f>IF(([Lucro Líquido]*5%)&gt;[Teto R. Legal],[Teto R. Legal],[Lucro Líquido]*5%)</f>
        <v>0</v>
      </c>
      <c r="AB69" s="5">
        <f>IF([Lucro Líquido]&lt;0,0,[Lucro Líquido]-[Reserva Legal])</f>
        <v>472452000</v>
      </c>
      <c r="AC69" s="5">
        <f>Tabela3[[#This Row],[Lucro Distribuir]]*[%Div]</f>
        <v>0</v>
      </c>
      <c r="AD69" s="56">
        <f>SUMPRODUCT(N([Nome]=Tabela3[[#This Row],[Nome]]),[Ações])</f>
        <v>1022205493</v>
      </c>
      <c r="AE69" s="5">
        <f>[Capital Social]/[Total Ações]</f>
        <v>0</v>
      </c>
      <c r="AF69" s="77">
        <f>Tabela3[[#This Row],[Lucro Líquido]]/Tabela3[[#This Row],[Total Ações]]</f>
        <v>0.46218886831984574</v>
      </c>
      <c r="AG69" s="77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</v>
      </c>
      <c r="AH69" s="77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69" s="77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69" s="77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</v>
      </c>
      <c r="AK69" s="5">
        <f>[Div Base]*[Ações]</f>
        <v>0</v>
      </c>
      <c r="AL69" s="5">
        <f>SUMPRODUCT(N([Nome]=Tabela3[[#This Row],[Nome]]),[Div Base]*[Ações])</f>
        <v>78897402.643435329</v>
      </c>
      <c r="AM69" s="5">
        <f>[Patrimônio Líquido]/[Total Ações]</f>
        <v>5.2026319917261485</v>
      </c>
      <c r="AN69" s="52">
        <f>MAX(Tabela3[[#This Row],[Cotação 1]:[Cotação 5]])</f>
        <v>14.45</v>
      </c>
      <c r="AO69" s="53">
        <f>[Cotação]/[VPA]</f>
        <v>2.7774403461517418</v>
      </c>
      <c r="AP69" s="37">
        <f>IF(Tabela3[[#This Row],[Lucro/Ação]]&gt;0,Tabela3[[#This Row],[Cotação]]/(Tabela3[[#This Row],[Lucro/Ação]]/[Ref]*4),0)</f>
        <v>23.44820644295611</v>
      </c>
      <c r="AQ69" s="77">
        <f>[Lucro Distribuir]/[Total Ações]</f>
        <v>0.46218886831984574</v>
      </c>
      <c r="AR69" s="77">
        <f>IF([Unit ON]&gt;0,SUMPRODUCT(N([Nome]=Tabela3[[#This Row],[Nome]]),N(RIGHT([PAPEL],1)="3"),[Div Base])*[Unit ON]+SUMPRODUCT(N([Nome]=Tabela3[[#This Row],[Nome]]),N(RIGHT([PAPEL],1)="4"),[Div Base])*[Unit PN],[Div Base])</f>
        <v>0.19864205523301759</v>
      </c>
      <c r="AS69" s="16" t="str">
        <f>IF(AND([% A.A.]&gt;=6%,SUMPRODUCT(N([Nome]=Tabela3[[#This Row],[Nome]]),[PL])&gt;0,[Rentabilidade s/ PL]&gt;=[Rentabilidade s/ PL Média]),"Sim","Não")</f>
        <v>Não</v>
      </c>
      <c r="AT69" s="22">
        <f>IF([Cotação]&gt;0,Tabela3[[#This Row],[Lucro]]/Tabela3[[#This Row],[Cotação]],0)</f>
        <v>1.3746855033426823E-2</v>
      </c>
      <c r="AU69" s="18">
        <f>((1+Tabela3[[#This Row],[% Yield]])^(1/(3*Tabela3[[#This Row],[Ref]])))^(12)-1</f>
        <v>1.8371007158183739E-2</v>
      </c>
      <c r="AV69" s="10">
        <f>IF([Cotação]&gt;0,($BH$1/Tabela3[[#This Row],[Cotação]]-MOD($BH$1/Tabela3[[#This Row],[Cotação]],100)),)</f>
        <v>0</v>
      </c>
      <c r="AW69" s="7">
        <f>Tabela3[[#This Row],[Ativos]]*[Lucro]</f>
        <v>0</v>
      </c>
      <c r="AX69" s="47">
        <f>SUMPRODUCT(N(Tabela1[Código]=Tabela3[[#This Row],[PAPEL]]),Tabela1[Fechamento])</f>
        <v>0</v>
      </c>
      <c r="AY69" s="54">
        <f>SUMPRODUCT(N(Tabela17[Código]=Tabela3[[#This Row],[PAPEL]]),Tabela17[Fechamento])</f>
        <v>14.45</v>
      </c>
      <c r="AZ69" s="7">
        <f>SUMPRODUCT(N(Tabela176[Código]=Tabela3[[#This Row],[PAPEL]]),Tabela176[Fechamento])</f>
        <v>0</v>
      </c>
      <c r="BA69" s="7">
        <f>SUMPRODUCT(N(Tabela1768[Código]=Tabela3[[#This Row],[PAPEL]]),Tabela1768[Fechamento])</f>
        <v>0</v>
      </c>
      <c r="BB69" s="7">
        <f>SUMPRODUCT(N(Tabela17683[Código]=Tabela3[[#This Row],[PAPEL]]),Tabela17683[Fechamento])</f>
        <v>0</v>
      </c>
    </row>
    <row r="70" spans="1:54" hidden="1">
      <c r="A70" s="4" t="s">
        <v>26</v>
      </c>
      <c r="B70" s="57" t="s">
        <v>710</v>
      </c>
      <c r="C70" s="82" t="str">
        <f>LEFT([PAPEL],LEN([PAPEL])-(LEN([PAPEL])-4))</f>
        <v>SULA</v>
      </c>
      <c r="D70" s="16">
        <v>3</v>
      </c>
      <c r="E70" s="5">
        <v>2319882346.8499999</v>
      </c>
      <c r="F70" s="56">
        <v>512362664</v>
      </c>
      <c r="G70" s="86">
        <v>0.25</v>
      </c>
      <c r="H70" s="16"/>
      <c r="J70" s="18"/>
      <c r="K70" s="87"/>
      <c r="L70" s="87"/>
      <c r="M70" s="54"/>
      <c r="N70" s="54"/>
      <c r="O70" s="54"/>
      <c r="P70" s="6">
        <v>5318159000</v>
      </c>
      <c r="Q70" s="6">
        <v>472452000</v>
      </c>
      <c r="R70" s="6">
        <f>IF(Tabela3[[#This Row],[Ativo || Passivo]]&gt;0,Tabela3[[#This Row],[Ativo || Passivo]]-Tabela3[[#This Row],[Patrimônio Líquido]],0)</f>
        <v>0</v>
      </c>
      <c r="S70" s="6">
        <f>Tabela3[[#This Row],[Cotação]]*Tabela3[[#This Row],[Total Ações]]</f>
        <v>0</v>
      </c>
      <c r="T70" s="132">
        <f>IF(Tabela3[[#This Row],[Passivo Circulante]]&gt;0,Tabela3[[#This Row],[Ativo Circulante]]/Tabela3[[#This Row],[Passivo Circulante]],0)</f>
        <v>0</v>
      </c>
      <c r="U70" s="132">
        <f>SUMPRODUCT(N([Liquidez Corrente]&gt;0),N(RIGHT([PAPEL],LEN([PAPEL])-(LEN([PAPEL])-1))="3"),[Liquidez Corrente])/SUMPRODUCT(N([Liquidez Corrente]&gt;0),N(RIGHT([PAPEL],LEN([PAPEL])-(LEN([PAPEL])-1))="3"))</f>
        <v>2.331224473064915</v>
      </c>
      <c r="V70" s="19">
        <f>IF(Tabela3[[#This Row],[Lucro Líquido]]&gt;0,Tabela3[[#This Row],[Lucro Líquido]]/Tabela3[[#This Row],[Patrimônio Líquido]],0)</f>
        <v>8.8837509371194057E-2</v>
      </c>
      <c r="W70" s="19">
        <f>SUMPRODUCT(N([Rentabilidade s/ PL]&gt;0),N(RIGHT([PAPEL],LEN([PAPEL])-(LEN([PAPEL])-1))="3"),[Rentabilidade s/ PL])/SUMPRODUCT(N([Rentabilidade s/ PL]&gt;0),N(RIGHT([PAPEL],LEN([PAPEL])-(LEN([PAPEL])-1))="3"))</f>
        <v>0.1261051308670782</v>
      </c>
      <c r="X70" s="19">
        <f>IF(Tabela3[[#This Row],[Dívida]]&gt;0,Tabela3[[#This Row],[Dívida]]/Tabela3[[#This Row],[Patrimônio Líquido]],0)</f>
        <v>0</v>
      </c>
      <c r="Y70" s="19">
        <f>SUMPRODUCT(N([Dívida / PL]&gt;0),N(RIGHT([PAPEL],LEN([PAPEL])-(LEN([PAPEL])-1))="3"),[Dívida / PL])/SUMPRODUCT(N([Dívida / PL]&gt;0),N(RIGHT([PAPEL],LEN([PAPEL])-(LEN([PAPEL])-1))="3"))</f>
        <v>2.1510410379481146</v>
      </c>
      <c r="Z70" s="5">
        <f>Tabela3[[#This Row],[Capital Social]]*20%</f>
        <v>463976469.37</v>
      </c>
      <c r="AA70" s="5">
        <f>IF(([Lucro Líquido]*5%)&gt;[Teto R. Legal],[Teto R. Legal],[Lucro Líquido]*5%)</f>
        <v>23622600</v>
      </c>
      <c r="AB70" s="5">
        <f>IF([Lucro Líquido]&lt;0,0,[Lucro Líquido]-[Reserva Legal])</f>
        <v>448829400</v>
      </c>
      <c r="AC70" s="5">
        <f>Tabela3[[#This Row],[Lucro Distribuir]]*[%Div]</f>
        <v>112207350</v>
      </c>
      <c r="AD70" s="56">
        <f>SUMPRODUCT(N([Nome]=Tabela3[[#This Row],[Nome]]),[Ações])</f>
        <v>1022205493</v>
      </c>
      <c r="AE70" s="5">
        <f>[Capital Social]/[Total Ações]</f>
        <v>2.2694872633109591</v>
      </c>
      <c r="AF70" s="77">
        <f>Tabela3[[#This Row],[Lucro Líquido]]/Tabela3[[#This Row],[Total Ações]]</f>
        <v>0.46218886831984574</v>
      </c>
      <c r="AG70" s="77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0.10976985622596336</v>
      </c>
      <c r="AH70" s="77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70" s="77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70" s="77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0.10976985622596336</v>
      </c>
      <c r="AK70" s="5">
        <f>[Div Base]*[Ações]</f>
        <v>56241975.962831572</v>
      </c>
      <c r="AL70" s="5">
        <f>SUMPRODUCT(N([Nome]=Tabela3[[#This Row],[Nome]]),[Div Base]*[Ações])</f>
        <v>78897402.643435329</v>
      </c>
      <c r="AM70" s="5">
        <f>[Patrimônio Líquido]/[Total Ações]</f>
        <v>5.2026319917261485</v>
      </c>
      <c r="AN70" s="52">
        <f>MAX(Tabela3[[#This Row],[Cotação 1]:[Cotação 5]])</f>
        <v>0</v>
      </c>
      <c r="AO70" s="53">
        <f>[Cotação]/[VPA]</f>
        <v>0</v>
      </c>
      <c r="AP70" s="37">
        <f>IF(Tabela3[[#This Row],[Lucro/Ação]]&gt;0,Tabela3[[#This Row],[Cotação]]/(Tabela3[[#This Row],[Lucro/Ação]]/[Ref]*4),0)</f>
        <v>0</v>
      </c>
      <c r="AQ70" s="77">
        <f>[Lucro Distribuir]/[Total Ações]</f>
        <v>0.43907942490385343</v>
      </c>
      <c r="AR70" s="77">
        <f>IF([Unit ON]&gt;0,SUMPRODUCT(N([Nome]=Tabela3[[#This Row],[Nome]]),N(RIGHT([PAPEL],1)="3"),[Div Base])*[Unit ON]+SUMPRODUCT(N([Nome]=Tabela3[[#This Row],[Nome]]),N(RIGHT([PAPEL],1)="4"),[Div Base])*[Unit PN],[Div Base])</f>
        <v>0.10976985622596336</v>
      </c>
      <c r="AS70" s="16" t="str">
        <f>IF(AND([% A.A.]&gt;=6%,SUMPRODUCT(N([Nome]=Tabela3[[#This Row],[Nome]]),[PL])&gt;0,[Rentabilidade s/ PL]&gt;=[Rentabilidade s/ PL Média]),"Sim","Não")</f>
        <v>Não</v>
      </c>
      <c r="AT70" s="22">
        <f>IF([Cotação]&gt;0,Tabela3[[#This Row],[Lucro]]/Tabela3[[#This Row],[Cotação]],0)</f>
        <v>0</v>
      </c>
      <c r="AU70" s="18">
        <f>((1+Tabela3[[#This Row],[% Yield]])^(1/(3*Tabela3[[#This Row],[Ref]])))^(12)-1</f>
        <v>0</v>
      </c>
      <c r="AV70" s="10">
        <f>IF([Cotação]&gt;0,($BH$1/Tabela3[[#This Row],[Cotação]]-MOD($BH$1/Tabela3[[#This Row],[Cotação]],100)),)</f>
        <v>0</v>
      </c>
      <c r="AW70" s="7">
        <f>Tabela3[[#This Row],[Ativos]]*[Lucro]</f>
        <v>0</v>
      </c>
      <c r="AX70" s="47">
        <f>SUMPRODUCT(N(Tabela1[Código]=Tabela3[[#This Row],[PAPEL]]),Tabela1[Fechamento])</f>
        <v>0</v>
      </c>
      <c r="AY70" s="54">
        <f>SUMPRODUCT(N(Tabela17[Código]=Tabela3[[#This Row],[PAPEL]]),Tabela17[Fechamento])</f>
        <v>0</v>
      </c>
      <c r="AZ70" s="7">
        <f>SUMPRODUCT(N(Tabela176[Código]=Tabela3[[#This Row],[PAPEL]]),Tabela176[Fechamento])</f>
        <v>0</v>
      </c>
      <c r="BA70" s="7">
        <f>SUMPRODUCT(N(Tabela1768[Código]=Tabela3[[#This Row],[PAPEL]]),Tabela1768[Fechamento])</f>
        <v>0</v>
      </c>
      <c r="BB70" s="7">
        <f>SUMPRODUCT(N(Tabela17683[Código]=Tabela3[[#This Row],[PAPEL]]),Tabela17683[Fechamento])</f>
        <v>0</v>
      </c>
    </row>
    <row r="71" spans="1:54" hidden="1">
      <c r="A71" s="4" t="s">
        <v>12</v>
      </c>
      <c r="B71" s="60" t="s">
        <v>55</v>
      </c>
      <c r="C71" s="43" t="str">
        <f>LEFT([PAPEL],LEN([PAPEL])-(LEN([PAPEL])-4))</f>
        <v>LIGT</v>
      </c>
      <c r="D71" s="16">
        <v>3</v>
      </c>
      <c r="E71" s="5">
        <v>2225822197.8899999</v>
      </c>
      <c r="F71" s="56">
        <v>203934060</v>
      </c>
      <c r="G71" s="81">
        <v>0.25</v>
      </c>
      <c r="H71" s="18"/>
      <c r="J71" s="18"/>
      <c r="K71" s="87"/>
      <c r="L71" s="87"/>
      <c r="M71" s="54">
        <v>3488751000</v>
      </c>
      <c r="N71" s="54">
        <v>17106000</v>
      </c>
      <c r="O71" s="54">
        <v>95470000</v>
      </c>
      <c r="P71" s="89">
        <v>3392238000</v>
      </c>
      <c r="Q71" s="89">
        <v>458325000</v>
      </c>
      <c r="R71" s="89">
        <f>IF(Tabela3[[#This Row],[Ativo || Passivo]]&gt;0,Tabela3[[#This Row],[Ativo || Passivo]]-Tabela3[[#This Row],[Patrimônio Líquido]],0)</f>
        <v>96513000</v>
      </c>
      <c r="S71" s="89">
        <f>Tabela3[[#This Row],[Cotação]]*Tabela3[[#This Row],[Total Ações]]</f>
        <v>3271102322.3999996</v>
      </c>
      <c r="T71" s="132">
        <f>IF(Tabela3[[#This Row],[Passivo Circulante]]&gt;0,Tabela3[[#This Row],[Ativo Circulante]]/Tabela3[[#This Row],[Passivo Circulante]],0)</f>
        <v>0.17917670472399708</v>
      </c>
      <c r="U71" s="132">
        <f>SUMPRODUCT(N([Liquidez Corrente]&gt;0),N(RIGHT([PAPEL],LEN([PAPEL])-(LEN([PAPEL])-1))="3"),[Liquidez Corrente])/SUMPRODUCT(N([Liquidez Corrente]&gt;0),N(RIGHT([PAPEL],LEN([PAPEL])-(LEN([PAPEL])-1))="3"))</f>
        <v>2.331224473064915</v>
      </c>
      <c r="V71" s="19">
        <f>IF(Tabela3[[#This Row],[Lucro Líquido]]&gt;0,Tabela3[[#This Row],[Lucro Líquido]]/Tabela3[[#This Row],[Patrimônio Líquido]],0)</f>
        <v>0.13510991858472193</v>
      </c>
      <c r="W71" s="19">
        <f>SUMPRODUCT(N([Rentabilidade s/ PL]&gt;0),N(RIGHT([PAPEL],LEN([PAPEL])-(LEN([PAPEL])-1))="3"),[Rentabilidade s/ PL])/SUMPRODUCT(N([Rentabilidade s/ PL]&gt;0),N(RIGHT([PAPEL],LEN([PAPEL])-(LEN([PAPEL])-1))="3"))</f>
        <v>0.1261051308670782</v>
      </c>
      <c r="X71" s="19">
        <f>IF(Tabela3[[#This Row],[Dívida]]&gt;0,Tabela3[[#This Row],[Dívida]]/Tabela3[[#This Row],[Patrimônio Líquido]],0)</f>
        <v>2.8451128723869019E-2</v>
      </c>
      <c r="Y71" s="19">
        <f>SUMPRODUCT(N([Dívida / PL]&gt;0),N(RIGHT([PAPEL],LEN([PAPEL])-(LEN([PAPEL])-1))="3"),[Dívida / PL])/SUMPRODUCT(N([Dívida / PL]&gt;0),N(RIGHT([PAPEL],LEN([PAPEL])-(LEN([PAPEL])-1))="3"))</f>
        <v>2.1510410379481146</v>
      </c>
      <c r="Z71" s="6">
        <f>Tabela3[[#This Row],[Capital Social]]*20%</f>
        <v>445164439.57800001</v>
      </c>
      <c r="AA71" s="6">
        <f>IF(([Lucro Líquido]*5%)&gt;[Teto R. Legal],[Teto R. Legal],[Lucro Líquido]*5%)</f>
        <v>22916250</v>
      </c>
      <c r="AB71" s="89">
        <f>IF([Lucro Líquido]&lt;0,0,[Lucro Líquido]-[Reserva Legal])</f>
        <v>435408750</v>
      </c>
      <c r="AC71" s="89">
        <f>Tabela3[[#This Row],[Lucro Distribuir]]*[%Div]</f>
        <v>108852187.5</v>
      </c>
      <c r="AD71" s="56">
        <f>SUMPRODUCT(N([Nome]=Tabela3[[#This Row],[Nome]]),[Ações])</f>
        <v>203934060</v>
      </c>
      <c r="AE71" s="6">
        <f>[Capital Social]/[Total Ações]</f>
        <v>10.914421053010958</v>
      </c>
      <c r="AF71" s="78">
        <f>Tabela3[[#This Row],[Lucro Líquido]]/Tabela3[[#This Row],[Total Ações]]</f>
        <v>2.2474176211663712</v>
      </c>
      <c r="AG71" s="78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0.53376168502701316</v>
      </c>
      <c r="AH71" s="78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71" s="78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71" s="78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0.53376168502701316</v>
      </c>
      <c r="AK71" s="6">
        <f>[Div Base]*[Ações]</f>
        <v>108852187.5</v>
      </c>
      <c r="AL71" s="6">
        <f>SUMPRODUCT(N([Nome]=Tabela3[[#This Row],[Nome]]),[Div Base]*[Ações])</f>
        <v>108852187.5</v>
      </c>
      <c r="AM71" s="6">
        <f>[Patrimônio Líquido]/[Total Ações]</f>
        <v>16.633994341112025</v>
      </c>
      <c r="AN71" s="39">
        <f>MAX(Tabela3[[#This Row],[Cotação 1]:[Cotação 5]])</f>
        <v>16.04</v>
      </c>
      <c r="AO71" s="44">
        <f>[Cotação]/[VPA]</f>
        <v>0.96429033646813689</v>
      </c>
      <c r="AP71" s="40">
        <f>IF(Tabela3[[#This Row],[Lucro/Ação]]&gt;0,Tabela3[[#This Row],[Cotação]]/(Tabela3[[#This Row],[Lucro/Ação]]/[Ref]*4),0)</f>
        <v>5.3528102150220906</v>
      </c>
      <c r="AQ71" s="78">
        <f>[Lucro Distribuir]/[Total Ações]</f>
        <v>2.1350467401080526</v>
      </c>
      <c r="AR71" s="78">
        <f>IF([Unit ON]&gt;0,SUMPRODUCT(N([Nome]=Tabela3[[#This Row],[Nome]]),N(RIGHT([PAPEL],1)="3"),[Div Base])*[Unit ON]+SUMPRODUCT(N([Nome]=Tabela3[[#This Row],[Nome]]),N(RIGHT([PAPEL],1)="4"),[Div Base])*[Unit PN],[Div Base])</f>
        <v>0.53376168502701316</v>
      </c>
      <c r="AS71" s="14" t="str">
        <f>IF(AND([% A.A.]&gt;=6%,SUMPRODUCT(N([Nome]=Tabela3[[#This Row],[Nome]]),[PL])&gt;0,[Rentabilidade s/ PL]&gt;=[Rentabilidade s/ PL Média]),"Sim","Não")</f>
        <v>Não</v>
      </c>
      <c r="AT71" s="41">
        <f>IF([Cotação]&gt;0,Tabela3[[#This Row],[Lucro]]/Tabela3[[#This Row],[Cotação]],0)</f>
        <v>3.3276913031609304E-2</v>
      </c>
      <c r="AU71" s="19">
        <f>((1+Tabela3[[#This Row],[% Yield]])^(1/(3*Tabela3[[#This Row],[Ref]])))^(12)-1</f>
        <v>4.4613500881086843E-2</v>
      </c>
      <c r="AV71" s="14">
        <f>IF([Cotação]&gt;0,($BH$1/Tabela3[[#This Row],[Cotação]]-MOD($BH$1/Tabela3[[#This Row],[Cotação]],100)),)</f>
        <v>0</v>
      </c>
      <c r="AW71" s="17">
        <f>Tabela3[[#This Row],[Ativos]]*[Lucro]</f>
        <v>0</v>
      </c>
      <c r="AX71" s="5">
        <f>SUMPRODUCT(N(Tabela1[Código]=Tabela3[[#This Row],[PAPEL]]),Tabela1[Fechamento])</f>
        <v>16.04</v>
      </c>
      <c r="AY71" s="5">
        <f>SUMPRODUCT(N(Tabela17[Código]=Tabela3[[#This Row],[PAPEL]]),Tabela17[Fechamento])</f>
        <v>0</v>
      </c>
      <c r="AZ71" s="7">
        <f>SUMPRODUCT(N(Tabela176[Código]=Tabela3[[#This Row],[PAPEL]]),Tabela176[Fechamento])</f>
        <v>0</v>
      </c>
      <c r="BA71" s="7">
        <f>SUMPRODUCT(N(Tabela1768[Código]=Tabela3[[#This Row],[PAPEL]]),Tabela1768[Fechamento])</f>
        <v>0</v>
      </c>
      <c r="BB71" s="7">
        <f>SUMPRODUCT(N(Tabela17683[Código]=Tabela3[[#This Row],[PAPEL]]),Tabela17683[Fechamento])</f>
        <v>0</v>
      </c>
    </row>
    <row r="72" spans="1:54" hidden="1">
      <c r="A72" s="4" t="s">
        <v>12</v>
      </c>
      <c r="B72" s="57" t="s">
        <v>28</v>
      </c>
      <c r="C72" s="14" t="str">
        <f>LEFT([PAPEL],LEN([PAPEL])-(LEN([PAPEL])-4))</f>
        <v>ENBR</v>
      </c>
      <c r="D72" s="15">
        <v>3</v>
      </c>
      <c r="E72" s="6">
        <v>3182715945.1199999</v>
      </c>
      <c r="F72" s="8">
        <v>476415612</v>
      </c>
      <c r="G72" s="81">
        <v>0.25</v>
      </c>
      <c r="H72" s="19"/>
      <c r="I72" s="19"/>
      <c r="J72" s="19"/>
      <c r="K72" s="88"/>
      <c r="L72" s="88"/>
      <c r="M72" s="55"/>
      <c r="N72" s="55"/>
      <c r="O72" s="55"/>
      <c r="P72" s="89">
        <v>6277330000</v>
      </c>
      <c r="Q72" s="89">
        <v>451384000</v>
      </c>
      <c r="R72" s="89">
        <f>IF(Tabela3[[#This Row],[Ativo || Passivo]]&gt;0,Tabela3[[#This Row],[Ativo || Passivo]]-Tabela3[[#This Row],[Patrimônio Líquido]],0)</f>
        <v>0</v>
      </c>
      <c r="S72" s="89">
        <f>Tabela3[[#This Row],[Cotação]]*Tabela3[[#This Row],[Total Ações]]</f>
        <v>4321089600.8400002</v>
      </c>
      <c r="T72" s="132">
        <f>IF(Tabela3[[#This Row],[Passivo Circulante]]&gt;0,Tabela3[[#This Row],[Ativo Circulante]]/Tabela3[[#This Row],[Passivo Circulante]],0)</f>
        <v>0</v>
      </c>
      <c r="U72" s="132">
        <f>SUMPRODUCT(N([Liquidez Corrente]&gt;0),N(RIGHT([PAPEL],LEN([PAPEL])-(LEN([PAPEL])-1))="3"),[Liquidez Corrente])/SUMPRODUCT(N([Liquidez Corrente]&gt;0),N(RIGHT([PAPEL],LEN([PAPEL])-(LEN([PAPEL])-1))="3"))</f>
        <v>2.331224473064915</v>
      </c>
      <c r="V72" s="19">
        <f>IF(Tabela3[[#This Row],[Lucro Líquido]]&gt;0,Tabela3[[#This Row],[Lucro Líquido]]/Tabela3[[#This Row],[Patrimônio Líquido]],0)</f>
        <v>7.1907005048324688E-2</v>
      </c>
      <c r="W72" s="19">
        <f>SUMPRODUCT(N([Rentabilidade s/ PL]&gt;0),N(RIGHT([PAPEL],LEN([PAPEL])-(LEN([PAPEL])-1))="3"),[Rentabilidade s/ PL])/SUMPRODUCT(N([Rentabilidade s/ PL]&gt;0),N(RIGHT([PAPEL],LEN([PAPEL])-(LEN([PAPEL])-1))="3"))</f>
        <v>0.1261051308670782</v>
      </c>
      <c r="X72" s="19">
        <f>IF(Tabela3[[#This Row],[Dívida]]&gt;0,Tabela3[[#This Row],[Dívida]]/Tabela3[[#This Row],[Patrimônio Líquido]],0)</f>
        <v>0</v>
      </c>
      <c r="Y72" s="19">
        <f>SUMPRODUCT(N([Dívida / PL]&gt;0),N(RIGHT([PAPEL],LEN([PAPEL])-(LEN([PAPEL])-1))="3"),[Dívida / PL])/SUMPRODUCT(N([Dívida / PL]&gt;0),N(RIGHT([PAPEL],LEN([PAPEL])-(LEN([PAPEL])-1))="3"))</f>
        <v>2.1510410379481146</v>
      </c>
      <c r="Z72" s="6">
        <f>Tabela3[[#This Row],[Capital Social]]*20%</f>
        <v>636543189.02400005</v>
      </c>
      <c r="AA72" s="6">
        <f>IF(([Lucro Líquido]*5%)&gt;[Teto R. Legal],[Teto R. Legal],[Lucro Líquido]*5%)</f>
        <v>22569200</v>
      </c>
      <c r="AB72" s="89">
        <f>IF([Lucro Líquido]&lt;0,0,[Lucro Líquido]-[Reserva Legal])</f>
        <v>428814800</v>
      </c>
      <c r="AC72" s="89">
        <f>Tabela3[[#This Row],[Lucro Distribuir]]*[%Div]</f>
        <v>107203700</v>
      </c>
      <c r="AD72" s="56">
        <f>SUMPRODUCT(N([Nome]=Tabela3[[#This Row],[Nome]]),[Ações])</f>
        <v>476415612</v>
      </c>
      <c r="AE72" s="6">
        <f>[Capital Social]/[Total Ações]</f>
        <v>6.6805450219376938</v>
      </c>
      <c r="AF72" s="78">
        <f>Tabela3[[#This Row],[Lucro Líquido]]/Tabela3[[#This Row],[Total Ações]]</f>
        <v>0.94745845566454689</v>
      </c>
      <c r="AG72" s="78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0.22502138322032991</v>
      </c>
      <c r="AH72" s="78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72" s="78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72" s="78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0.22502138322032991</v>
      </c>
      <c r="AK72" s="6">
        <f>[Div Base]*[Ações]</f>
        <v>107203700</v>
      </c>
      <c r="AL72" s="6">
        <f>SUMPRODUCT(N([Nome]=Tabela3[[#This Row],[Nome]]),[Div Base]*[Ações])</f>
        <v>107203700</v>
      </c>
      <c r="AM72" s="6">
        <f>[Patrimônio Líquido]/[Total Ações]</f>
        <v>13.176163504902101</v>
      </c>
      <c r="AN72" s="48">
        <f>MAX(Tabela3[[#This Row],[Cotação 1]:[Cotação 5]])</f>
        <v>9.07</v>
      </c>
      <c r="AO72" s="44">
        <f>[Cotação]/[VPA]</f>
        <v>0.68836425691177627</v>
      </c>
      <c r="AP72" s="40">
        <f>IF(Tabela3[[#This Row],[Lucro/Ação]]&gt;0,Tabela3[[#This Row],[Cotação]]/(Tabela3[[#This Row],[Lucro/Ação]]/[Ref]*4),0)</f>
        <v>7.1797343295952007</v>
      </c>
      <c r="AQ72" s="78">
        <f>[Lucro Distribuir]/[Total Ações]</f>
        <v>0.90008553288131965</v>
      </c>
      <c r="AR72" s="78">
        <f>IF([Unit ON]&gt;0,SUMPRODUCT(N([Nome]=Tabela3[[#This Row],[Nome]]),N(RIGHT([PAPEL],1)="3"),[Div Base])*[Unit ON]+SUMPRODUCT(N([Nome]=Tabela3[[#This Row],[Nome]]),N(RIGHT([PAPEL],1)="4"),[Div Base])*[Unit PN],[Div Base])</f>
        <v>0.22502138322032991</v>
      </c>
      <c r="AS72" s="15" t="str">
        <f>IF(AND([% A.A.]&gt;=6%,SUMPRODUCT(N([Nome]=Tabela3[[#This Row],[Nome]]),[PL])&gt;0,[Rentabilidade s/ PL]&gt;=[Rentabilidade s/ PL Média]),"Sim","Não")</f>
        <v>Não</v>
      </c>
      <c r="AT72" s="42">
        <f>IF([Cotação]&gt;0,Tabela3[[#This Row],[Lucro]]/Tabela3[[#This Row],[Cotação]],0)</f>
        <v>2.4809413805990065E-2</v>
      </c>
      <c r="AU72" s="19">
        <f>((1+Tabela3[[#This Row],[% Yield]])^(1/(3*Tabela3[[#This Row],[Ref]])))^(12)-1</f>
        <v>3.3215251345677599E-2</v>
      </c>
      <c r="AV72" s="14">
        <f>IF([Cotação]&gt;0,($BH$1/Tabela3[[#This Row],[Cotação]]-MOD($BH$1/Tabela3[[#This Row],[Cotação]],100)),)</f>
        <v>0</v>
      </c>
      <c r="AW72" s="17">
        <f>Tabela3[[#This Row],[Ativos]]*[Lucro]</f>
        <v>0</v>
      </c>
      <c r="AX72" s="5">
        <f>SUMPRODUCT(N(Tabela1[Código]=Tabela3[[#This Row],[PAPEL]]),Tabela1[Fechamento])</f>
        <v>9.07</v>
      </c>
      <c r="AY72" s="5">
        <f>SUMPRODUCT(N(Tabela17[Código]=Tabela3[[#This Row],[PAPEL]]),Tabela17[Fechamento])</f>
        <v>0</v>
      </c>
      <c r="AZ72" s="7">
        <f>SUMPRODUCT(N(Tabela176[Código]=Tabela3[[#This Row],[PAPEL]]),Tabela176[Fechamento])</f>
        <v>0</v>
      </c>
      <c r="BA72" s="7">
        <f>SUMPRODUCT(N(Tabela1768[Código]=Tabela3[[#This Row],[PAPEL]]),Tabela1768[Fechamento])</f>
        <v>0</v>
      </c>
      <c r="BB72" s="7">
        <f>SUMPRODUCT(N(Tabela17683[Código]=Tabela3[[#This Row],[PAPEL]]),Tabela17683[Fechamento])</f>
        <v>0</v>
      </c>
    </row>
    <row r="73" spans="1:54" hidden="1">
      <c r="A73" s="4" t="s">
        <v>524</v>
      </c>
      <c r="B73" s="57" t="s">
        <v>525</v>
      </c>
      <c r="C73" s="15" t="str">
        <f>LEFT([PAPEL],LEN([PAPEL])-(LEN([PAPEL])-4))</f>
        <v>CGAS</v>
      </c>
      <c r="D73" s="15">
        <v>3</v>
      </c>
      <c r="E73" s="6">
        <v>764155232.40999997</v>
      </c>
      <c r="F73" s="8">
        <v>93910898</v>
      </c>
      <c r="G73" s="81">
        <v>0.25</v>
      </c>
      <c r="H73" s="15"/>
      <c r="I73" s="19"/>
      <c r="J73" s="19"/>
      <c r="K73" s="88"/>
      <c r="L73" s="88"/>
      <c r="M73" s="55">
        <v>6697844000</v>
      </c>
      <c r="N73" s="55">
        <v>1389544000</v>
      </c>
      <c r="O73" s="55">
        <v>1747246000</v>
      </c>
      <c r="P73" s="92">
        <v>2618526000</v>
      </c>
      <c r="Q73" s="92">
        <v>445319000</v>
      </c>
      <c r="R73" s="92">
        <f>IF(Tabela3[[#This Row],[Ativo || Passivo]]&gt;0,Tabela3[[#This Row],[Ativo || Passivo]]-Tabela3[[#This Row],[Patrimônio Líquido]],0)</f>
        <v>4079318000</v>
      </c>
      <c r="S73" s="92">
        <f>Tabela3[[#This Row],[Cotação]]*Tabela3[[#This Row],[Total Ações]]</f>
        <v>5931228451.5</v>
      </c>
      <c r="T73" s="36">
        <f>IF(Tabela3[[#This Row],[Passivo Circulante]]&gt;0,Tabela3[[#This Row],[Ativo Circulante]]/Tabela3[[#This Row],[Passivo Circulante]],0)</f>
        <v>0.79527668113133465</v>
      </c>
      <c r="U73" s="36">
        <f>SUMPRODUCT(N([Liquidez Corrente]&gt;0),N(RIGHT([PAPEL],LEN([PAPEL])-(LEN([PAPEL])-1))="3"),[Liquidez Corrente])/SUMPRODUCT(N([Liquidez Corrente]&gt;0),N(RIGHT([PAPEL],LEN([PAPEL])-(LEN([PAPEL])-1))="3"))</f>
        <v>2.331224473064915</v>
      </c>
      <c r="V73" s="19">
        <f>IF(Tabela3[[#This Row],[Lucro Líquido]]&gt;0,Tabela3[[#This Row],[Lucro Líquido]]/Tabela3[[#This Row],[Patrimônio Líquido]],0)</f>
        <v>0.17006476162543355</v>
      </c>
      <c r="W73" s="19">
        <f>SUMPRODUCT(N([Rentabilidade s/ PL]&gt;0),N(RIGHT([PAPEL],LEN([PAPEL])-(LEN([PAPEL])-1))="3"),[Rentabilidade s/ PL])/SUMPRODUCT(N([Rentabilidade s/ PL]&gt;0),N(RIGHT([PAPEL],LEN([PAPEL])-(LEN([PAPEL])-1))="3"))</f>
        <v>0.1261051308670782</v>
      </c>
      <c r="X73" s="19">
        <f>IF(Tabela3[[#This Row],[Dívida]]&gt;0,Tabela3[[#This Row],[Dívida]]/Tabela3[[#This Row],[Patrimônio Líquido]],0)</f>
        <v>1.5578680524844895</v>
      </c>
      <c r="Y73" s="19">
        <f>SUMPRODUCT(N([Dívida / PL]&gt;0),N(RIGHT([PAPEL],LEN([PAPEL])-(LEN([PAPEL])-1))="3"),[Dívida / PL])/SUMPRODUCT(N([Dívida / PL]&gt;0),N(RIGHT([PAPEL],LEN([PAPEL])-(LEN([PAPEL])-1))="3"))</f>
        <v>2.1510410379481146</v>
      </c>
      <c r="Z73" s="13">
        <f>Tabela3[[#This Row],[Capital Social]]*20%</f>
        <v>152831046.48199999</v>
      </c>
      <c r="AA73" s="13">
        <f>IF(([Lucro Líquido]*5%)&gt;[Teto R. Legal],[Teto R. Legal],[Lucro Líquido]*5%)</f>
        <v>22265950</v>
      </c>
      <c r="AB73" s="13">
        <f>IF([Lucro Líquido]&lt;0,0,[Lucro Líquido]-[Reserva Legal])</f>
        <v>423053050</v>
      </c>
      <c r="AC73" s="13">
        <f>Tabela3[[#This Row],[Lucro Distribuir]]*[%Div]</f>
        <v>105763262.5</v>
      </c>
      <c r="AD73" s="56">
        <f>SUMPRODUCT(N([Nome]=Tabela3[[#This Row],[Nome]]),[Ações])</f>
        <v>119822797</v>
      </c>
      <c r="AE73" s="6">
        <f>[Capital Social]/[Total Ações]</f>
        <v>6.3773776905741899</v>
      </c>
      <c r="AF73" s="78">
        <f>Tabela3[[#This Row],[Lucro Líquido]]/Tabela3[[#This Row],[Total Ações]]</f>
        <v>3.7164797613596017</v>
      </c>
      <c r="AG73" s="78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0.88266394332290543</v>
      </c>
      <c r="AH73" s="78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73" s="78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0.95024398382069386</v>
      </c>
      <c r="AJ73" s="78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0.88266394332290543</v>
      </c>
      <c r="AK73" s="13">
        <f>[Div Base]*[Ações]</f>
        <v>82891763.549675152</v>
      </c>
      <c r="AL73" s="13">
        <f>SUMPRODUCT(N([Nome]=Tabela3[[#This Row],[Nome]]),[Div Base]*[Ações])</f>
        <v>105763262.5</v>
      </c>
      <c r="AM73" s="6">
        <f>[Patrimônio Líquido]/[Total Ações]</f>
        <v>21.853320616443298</v>
      </c>
      <c r="AN73" s="48">
        <f>MAX(Tabela3[[#This Row],[Cotação 1]:[Cotação 5]])</f>
        <v>49.5</v>
      </c>
      <c r="AO73" s="44">
        <f>[Cotação]/[VPA]</f>
        <v>2.265101989248913</v>
      </c>
      <c r="AP73" s="40">
        <f>IF(Tabela3[[#This Row],[Lucro/Ação]]&gt;0,Tabela3[[#This Row],[Cotação]]/(Tabela3[[#This Row],[Lucro/Ação]]/[Ref]*4),0)</f>
        <v>9.9892915833930296</v>
      </c>
      <c r="AQ73" s="78">
        <f>[Lucro Distribuir]/[Total Ações]</f>
        <v>3.5306557732916217</v>
      </c>
      <c r="AR73" s="78">
        <f>IF([Unit ON]&gt;0,SUMPRODUCT(N([Nome]=Tabela3[[#This Row],[Nome]]),N(RIGHT([PAPEL],1)="3"),[Div Base])*[Unit ON]+SUMPRODUCT(N([Nome]=Tabela3[[#This Row],[Nome]]),N(RIGHT([PAPEL],1)="4"),[Div Base])*[Unit PN],[Div Base])</f>
        <v>0.88266394332290543</v>
      </c>
      <c r="AS73" s="14" t="str">
        <f>IF(AND([% A.A.]&gt;=6%,SUMPRODUCT(N([Nome]=Tabela3[[#This Row],[Nome]]),[PL])&gt;0,[Rentabilidade s/ PL]&gt;=[Rentabilidade s/ PL Média]),"Sim","Não")</f>
        <v>Não</v>
      </c>
      <c r="AT73" s="42">
        <f>IF([Cotação]&gt;0,Tabela3[[#This Row],[Lucro]]/Tabela3[[#This Row],[Cotação]],0)</f>
        <v>1.7831594814604151E-2</v>
      </c>
      <c r="AU73" s="42">
        <f>((1+Tabela3[[#This Row],[% Yield]])^(1/(3*Tabela3[[#This Row],[Ref]])))^(12)-1</f>
        <v>2.3845840882392277E-2</v>
      </c>
      <c r="AV73" s="14">
        <f>IF([Cotação]&gt;0,($BH$1/Tabela3[[#This Row],[Cotação]]-MOD($BH$1/Tabela3[[#This Row],[Cotação]],100)),)</f>
        <v>0</v>
      </c>
      <c r="AW73" s="17">
        <f>Tabela3[[#This Row],[Ativos]]*[Lucro]</f>
        <v>0</v>
      </c>
      <c r="AX73" s="17">
        <f>SUMPRODUCT(N(Tabela1[Código]=Tabela3[[#This Row],[PAPEL]]),Tabela1[Fechamento])</f>
        <v>0</v>
      </c>
      <c r="AY73" s="17">
        <f>SUMPRODUCT(N(Tabela17[Código]=Tabela3[[#This Row],[PAPEL]]),Tabela17[Fechamento])</f>
        <v>49.5</v>
      </c>
      <c r="AZ73" s="7">
        <f>SUMPRODUCT(N(Tabela176[Código]=Tabela3[[#This Row],[PAPEL]]),Tabela176[Fechamento])</f>
        <v>0</v>
      </c>
      <c r="BA73" s="7">
        <f>SUMPRODUCT(N(Tabela1768[Código]=Tabela3[[#This Row],[PAPEL]]),Tabela1768[Fechamento])</f>
        <v>0</v>
      </c>
      <c r="BB73" s="7">
        <f>SUMPRODUCT(N(Tabela17683[Código]=Tabela3[[#This Row],[PAPEL]]),Tabela17683[Fechamento])</f>
        <v>0</v>
      </c>
    </row>
    <row r="74" spans="1:54" hidden="1">
      <c r="A74" s="4" t="s">
        <v>524</v>
      </c>
      <c r="B74" s="57" t="s">
        <v>526</v>
      </c>
      <c r="C74" s="15" t="str">
        <f>LEFT([PAPEL],LEN([PAPEL])-(LEN([PAPEL])-4))</f>
        <v>CGAS</v>
      </c>
      <c r="D74" s="15">
        <v>3</v>
      </c>
      <c r="E74" s="6">
        <v>764155232.40999997</v>
      </c>
      <c r="F74" s="8">
        <v>25911899</v>
      </c>
      <c r="G74" s="81">
        <v>0.25</v>
      </c>
      <c r="H74" s="15"/>
      <c r="I74" s="19">
        <v>0.1</v>
      </c>
      <c r="J74" s="19"/>
      <c r="K74" s="88"/>
      <c r="L74" s="88"/>
      <c r="M74" s="55">
        <v>6697844000</v>
      </c>
      <c r="N74" s="55">
        <v>1389544000</v>
      </c>
      <c r="O74" s="55">
        <v>1747246000</v>
      </c>
      <c r="P74" s="92">
        <v>2618526000</v>
      </c>
      <c r="Q74" s="92">
        <v>445319000</v>
      </c>
      <c r="R74" s="92">
        <f>IF(Tabela3[[#This Row],[Ativo || Passivo]]&gt;0,Tabela3[[#This Row],[Ativo || Passivo]]-Tabela3[[#This Row],[Patrimônio Líquido]],0)</f>
        <v>4079318000</v>
      </c>
      <c r="S74" s="92">
        <f>Tabela3[[#This Row],[Cotação]]*Tabela3[[#This Row],[Total Ações]]</f>
        <v>6037870740.8299999</v>
      </c>
      <c r="T74" s="36">
        <f>IF(Tabela3[[#This Row],[Passivo Circulante]]&gt;0,Tabela3[[#This Row],[Ativo Circulante]]/Tabela3[[#This Row],[Passivo Circulante]],0)</f>
        <v>0.79527668113133465</v>
      </c>
      <c r="U74" s="36">
        <f>SUMPRODUCT(N([Liquidez Corrente]&gt;0),N(RIGHT([PAPEL],LEN([PAPEL])-(LEN([PAPEL])-1))="3"),[Liquidez Corrente])/SUMPRODUCT(N([Liquidez Corrente]&gt;0),N(RIGHT([PAPEL],LEN([PAPEL])-(LEN([PAPEL])-1))="3"))</f>
        <v>2.331224473064915</v>
      </c>
      <c r="V74" s="19">
        <f>IF(Tabela3[[#This Row],[Lucro Líquido]]&gt;0,Tabela3[[#This Row],[Lucro Líquido]]/Tabela3[[#This Row],[Patrimônio Líquido]],0)</f>
        <v>0.17006476162543355</v>
      </c>
      <c r="W74" s="19">
        <f>SUMPRODUCT(N([Rentabilidade s/ PL]&gt;0),N(RIGHT([PAPEL],LEN([PAPEL])-(LEN([PAPEL])-1))="3"),[Rentabilidade s/ PL])/SUMPRODUCT(N([Rentabilidade s/ PL]&gt;0),N(RIGHT([PAPEL],LEN([PAPEL])-(LEN([PAPEL])-1))="3"))</f>
        <v>0.1261051308670782</v>
      </c>
      <c r="X74" s="19">
        <f>IF(Tabela3[[#This Row],[Dívida]]&gt;0,Tabela3[[#This Row],[Dívida]]/Tabela3[[#This Row],[Patrimônio Líquido]],0)</f>
        <v>1.5578680524844895</v>
      </c>
      <c r="Y74" s="19">
        <f>SUMPRODUCT(N([Dívida / PL]&gt;0),N(RIGHT([PAPEL],LEN([PAPEL])-(LEN([PAPEL])-1))="3"),[Dívida / PL])/SUMPRODUCT(N([Dívida / PL]&gt;0),N(RIGHT([PAPEL],LEN([PAPEL])-(LEN([PAPEL])-1))="3"))</f>
        <v>2.1510410379481146</v>
      </c>
      <c r="Z74" s="13">
        <f>Tabela3[[#This Row],[Capital Social]]*20%</f>
        <v>152831046.48199999</v>
      </c>
      <c r="AA74" s="13">
        <f>IF(([Lucro Líquido]*5%)&gt;[Teto R. Legal],[Teto R. Legal],[Lucro Líquido]*5%)</f>
        <v>22265950</v>
      </c>
      <c r="AB74" s="13">
        <f>IF([Lucro Líquido]&lt;0,0,[Lucro Líquido]-[Reserva Legal])</f>
        <v>423053050</v>
      </c>
      <c r="AC74" s="13">
        <f>Tabela3[[#This Row],[Lucro Distribuir]]*[%Div]</f>
        <v>105763262.5</v>
      </c>
      <c r="AD74" s="56">
        <f>SUMPRODUCT(N([Nome]=Tabela3[[#This Row],[Nome]]),[Ações])</f>
        <v>119822797</v>
      </c>
      <c r="AE74" s="6">
        <f>[Capital Social]/[Total Ações]</f>
        <v>6.3773776905741899</v>
      </c>
      <c r="AF74" s="78">
        <f>Tabela3[[#This Row],[Lucro Líquido]]/Tabela3[[#This Row],[Total Ações]]</f>
        <v>3.7164797613596017</v>
      </c>
      <c r="AG74" s="78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0.88266394332290543</v>
      </c>
      <c r="AH74" s="78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74" s="78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0.63773776905741897</v>
      </c>
      <c r="AJ74" s="78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0.88266394332290543</v>
      </c>
      <c r="AK74" s="13">
        <f>[Div Base]*[Ações]</f>
        <v>22871498.950324848</v>
      </c>
      <c r="AL74" s="13">
        <f>SUMPRODUCT(N([Nome]=Tabela3[[#This Row],[Nome]]),[Div Base]*[Ações])</f>
        <v>105763262.5</v>
      </c>
      <c r="AM74" s="6">
        <f>[Patrimônio Líquido]/[Total Ações]</f>
        <v>21.853320616443298</v>
      </c>
      <c r="AN74" s="48">
        <f>MAX(Tabela3[[#This Row],[Cotação 1]:[Cotação 5]])</f>
        <v>50.39</v>
      </c>
      <c r="AO74" s="44">
        <f>[Cotação]/[VPA]</f>
        <v>2.3058280654192473</v>
      </c>
      <c r="AP74" s="40">
        <f>IF(Tabela3[[#This Row],[Lucro/Ação]]&gt;0,Tabela3[[#This Row],[Cotação]]/(Tabela3[[#This Row],[Lucro/Ação]]/[Ref]*4),0)</f>
        <v>10.168897028023732</v>
      </c>
      <c r="AQ74" s="78">
        <f>[Lucro Distribuir]/[Total Ações]</f>
        <v>3.5306557732916217</v>
      </c>
      <c r="AR74" s="78">
        <f>IF([Unit ON]&gt;0,SUMPRODUCT(N([Nome]=Tabela3[[#This Row],[Nome]]),N(RIGHT([PAPEL],1)="3"),[Div Base])*[Unit ON]+SUMPRODUCT(N([Nome]=Tabela3[[#This Row],[Nome]]),N(RIGHT([PAPEL],1)="4"),[Div Base])*[Unit PN],[Div Base])</f>
        <v>0.88266394332290543</v>
      </c>
      <c r="AS74" s="14" t="str">
        <f>IF(AND([% A.A.]&gt;=6%,SUMPRODUCT(N([Nome]=Tabela3[[#This Row],[Nome]]),[PL])&gt;0,[Rentabilidade s/ PL]&gt;=[Rentabilidade s/ PL Média]),"Sim","Não")</f>
        <v>Não</v>
      </c>
      <c r="AT74" s="42">
        <f>IF([Cotação]&gt;0,Tabela3[[#This Row],[Lucro]]/Tabela3[[#This Row],[Cotação]],0)</f>
        <v>1.7516649004225154E-2</v>
      </c>
      <c r="AU74" s="42">
        <f>((1+Tabela3[[#This Row],[% Yield]])^(1/(3*Tabela3[[#This Row],[Ref]])))^(12)-1</f>
        <v>2.3423453617722911E-2</v>
      </c>
      <c r="AV74" s="14">
        <f>IF([Cotação]&gt;0,($BH$1/Tabela3[[#This Row],[Cotação]]-MOD($BH$1/Tabela3[[#This Row],[Cotação]],100)),)</f>
        <v>0</v>
      </c>
      <c r="AW74" s="17">
        <f>Tabela3[[#This Row],[Ativos]]*[Lucro]</f>
        <v>0</v>
      </c>
      <c r="AX74" s="17">
        <f>SUMPRODUCT(N(Tabela1[Código]=Tabela3[[#This Row],[PAPEL]]),Tabela1[Fechamento])</f>
        <v>0</v>
      </c>
      <c r="AY74" s="17">
        <f>SUMPRODUCT(N(Tabela17[Código]=Tabela3[[#This Row],[PAPEL]]),Tabela17[Fechamento])</f>
        <v>50.39</v>
      </c>
      <c r="AZ74" s="7">
        <f>SUMPRODUCT(N(Tabela176[Código]=Tabela3[[#This Row],[PAPEL]]),Tabela176[Fechamento])</f>
        <v>0</v>
      </c>
      <c r="BA74" s="7">
        <f>SUMPRODUCT(N(Tabela1768[Código]=Tabela3[[#This Row],[PAPEL]]),Tabela1768[Fechamento])</f>
        <v>0</v>
      </c>
      <c r="BB74" s="7">
        <f>SUMPRODUCT(N(Tabela17683[Código]=Tabela3[[#This Row],[PAPEL]]),Tabela17683[Fechamento])</f>
        <v>0</v>
      </c>
    </row>
    <row r="75" spans="1:54" hidden="1">
      <c r="A75" s="4" t="s">
        <v>12</v>
      </c>
      <c r="B75" s="57" t="s">
        <v>88</v>
      </c>
      <c r="C75" s="14" t="str">
        <f>LEFT([PAPEL],LEN([PAPEL])-(LEN([PAPEL])-4))</f>
        <v>CEEB</v>
      </c>
      <c r="D75" s="15">
        <v>3</v>
      </c>
      <c r="E75" s="6">
        <v>542163250.52999997</v>
      </c>
      <c r="F75" s="8">
        <v>109304516</v>
      </c>
      <c r="G75" s="86">
        <v>0.25</v>
      </c>
      <c r="H75" s="15"/>
      <c r="I75" s="19"/>
      <c r="J75" s="19"/>
      <c r="K75" s="88"/>
      <c r="L75" s="88"/>
      <c r="M75" s="55">
        <v>6973082000</v>
      </c>
      <c r="N75" s="55">
        <v>1241973000</v>
      </c>
      <c r="O75" s="55">
        <v>1518506000</v>
      </c>
      <c r="P75" s="89">
        <v>2778501000</v>
      </c>
      <c r="Q75" s="89">
        <v>434008000</v>
      </c>
      <c r="R75" s="89">
        <f>IF(Tabela3[[#This Row],[Ativo || Passivo]]&gt;0,Tabela3[[#This Row],[Ativo || Passivo]]-Tabela3[[#This Row],[Patrimônio Líquido]],0)</f>
        <v>4194581000</v>
      </c>
      <c r="S75" s="89">
        <f>Tabela3[[#This Row],[Cotação]]*Tabela3[[#This Row],[Total Ações]]</f>
        <v>5457142802</v>
      </c>
      <c r="T75" s="132">
        <f>IF(Tabela3[[#This Row],[Passivo Circulante]]&gt;0,Tabela3[[#This Row],[Ativo Circulante]]/Tabela3[[#This Row],[Passivo Circulante]],0)</f>
        <v>0.81789140115350223</v>
      </c>
      <c r="U75" s="132">
        <f>SUMPRODUCT(N([Liquidez Corrente]&gt;0),N(RIGHT([PAPEL],LEN([PAPEL])-(LEN([PAPEL])-1))="3"),[Liquidez Corrente])/SUMPRODUCT(N([Liquidez Corrente]&gt;0),N(RIGHT([PAPEL],LEN([PAPEL])-(LEN([PAPEL])-1))="3"))</f>
        <v>2.331224473064915</v>
      </c>
      <c r="V75" s="19">
        <f>IF(Tabela3[[#This Row],[Lucro Líquido]]&gt;0,Tabela3[[#This Row],[Lucro Líquido]]/Tabela3[[#This Row],[Patrimônio Líquido]],0)</f>
        <v>0.15620221119229397</v>
      </c>
      <c r="W75" s="19">
        <f>SUMPRODUCT(N([Rentabilidade s/ PL]&gt;0),N(RIGHT([PAPEL],LEN([PAPEL])-(LEN([PAPEL])-1))="3"),[Rentabilidade s/ PL])/SUMPRODUCT(N([Rentabilidade s/ PL]&gt;0),N(RIGHT([PAPEL],LEN([PAPEL])-(LEN([PAPEL])-1))="3"))</f>
        <v>0.1261051308670782</v>
      </c>
      <c r="X75" s="19">
        <f>IF(Tabela3[[#This Row],[Dívida]]&gt;0,Tabela3[[#This Row],[Dívida]]/Tabela3[[#This Row],[Patrimônio Líquido]],0)</f>
        <v>1.5096561059362585</v>
      </c>
      <c r="Y75" s="19">
        <f>SUMPRODUCT(N([Dívida / PL]&gt;0),N(RIGHT([PAPEL],LEN([PAPEL])-(LEN([PAPEL])-1))="3"),[Dívida / PL])/SUMPRODUCT(N([Dívida / PL]&gt;0),N(RIGHT([PAPEL],LEN([PAPEL])-(LEN([PAPEL])-1))="3"))</f>
        <v>2.1510410379481146</v>
      </c>
      <c r="Z75" s="6">
        <f>Tabela3[[#This Row],[Capital Social]]*20%</f>
        <v>108432650.10600001</v>
      </c>
      <c r="AA75" s="6">
        <f>IF(([Lucro Líquido]*5%)&gt;[Teto R. Legal],[Teto R. Legal],[Lucro Líquido]*5%)</f>
        <v>21700400</v>
      </c>
      <c r="AB75" s="89">
        <f>IF([Lucro Líquido]&lt;0,0,[Lucro Líquido]-[Reserva Legal])</f>
        <v>412307600</v>
      </c>
      <c r="AC75" s="89">
        <f>Tabela3[[#This Row],[Lucro Distribuir]]*[%Div]</f>
        <v>103076900</v>
      </c>
      <c r="AD75" s="56">
        <f>SUMPRODUCT(N([Nome]=Tabela3[[#This Row],[Nome]]),[Ações])</f>
        <v>188177338</v>
      </c>
      <c r="AE75" s="6">
        <f>[Capital Social]/[Total Ações]</f>
        <v>2.8811293447566997</v>
      </c>
      <c r="AF75" s="78">
        <f>Tabela3[[#This Row],[Lucro Líquido]]/Tabela3[[#This Row],[Total Ações]]</f>
        <v>2.3063776149283184</v>
      </c>
      <c r="AG75" s="78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0.53072164131039024</v>
      </c>
      <c r="AH75" s="78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75" s="78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0.5778806851361471</v>
      </c>
      <c r="AJ75" s="78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0.53072164131039024</v>
      </c>
      <c r="AK75" s="6">
        <f>[Div Base]*[Ações]</f>
        <v>58010272.134157814</v>
      </c>
      <c r="AL75" s="6">
        <f>SUMPRODUCT(N([Nome]=Tabela3[[#This Row],[Nome]]),[Div Base]*[Ações])</f>
        <v>103017775.26084489</v>
      </c>
      <c r="AM75" s="6">
        <f>[Patrimônio Líquido]/[Total Ações]</f>
        <v>14.765332688466451</v>
      </c>
      <c r="AN75" s="48">
        <f>MAX(Tabela3[[#This Row],[Cotação 1]:[Cotação 5]])</f>
        <v>29</v>
      </c>
      <c r="AO75" s="44">
        <f>[Cotação]/[VPA]</f>
        <v>1.9640600460464113</v>
      </c>
      <c r="AP75" s="40">
        <f>IF(Tabela3[[#This Row],[Lucro/Ação]]&gt;0,Tabela3[[#This Row],[Cotação]]/(Tabela3[[#This Row],[Lucro/Ação]]/[Ref]*4),0)</f>
        <v>9.4303724850693982</v>
      </c>
      <c r="AQ75" s="78">
        <f>[Lucro Distribuir]/[Total Ações]</f>
        <v>2.1910587341819023</v>
      </c>
      <c r="AR75" s="78">
        <f>IF([Unit ON]&gt;0,SUMPRODUCT(N([Nome]=Tabela3[[#This Row],[Nome]]),N(RIGHT([PAPEL],1)="3"),[Div Base])*[Unit ON]+SUMPRODUCT(N([Nome]=Tabela3[[#This Row],[Nome]]),N(RIGHT([PAPEL],1)="4"),[Div Base])*[Unit PN],[Div Base])</f>
        <v>0.53072164131039024</v>
      </c>
      <c r="AS75" s="15" t="str">
        <f>IF(AND([% A.A.]&gt;=6%,SUMPRODUCT(N([Nome]=Tabela3[[#This Row],[Nome]]),[PL])&gt;0,[Rentabilidade s/ PL]&gt;=[Rentabilidade s/ PL Média]),"Sim","Não")</f>
        <v>Não</v>
      </c>
      <c r="AT75" s="42">
        <f>IF([Cotação]&gt;0,Tabela3[[#This Row],[Lucro]]/Tabela3[[#This Row],[Cotação]],0)</f>
        <v>1.8300746252082421E-2</v>
      </c>
      <c r="AU75" s="19">
        <f>((1+Tabela3[[#This Row],[% Yield]])^(1/(3*Tabela3[[#This Row],[Ref]])))^(12)-1</f>
        <v>2.4475120679795959E-2</v>
      </c>
      <c r="AV75" s="14">
        <f>IF([Cotação]&gt;0,($BH$1/Tabela3[[#This Row],[Cotação]]-MOD($BH$1/Tabela3[[#This Row],[Cotação]],100)),)</f>
        <v>0</v>
      </c>
      <c r="AW75" s="17">
        <f>Tabela3[[#This Row],[Ativos]]*[Lucro]</f>
        <v>0</v>
      </c>
      <c r="AX75" s="5">
        <f>SUMPRODUCT(N(Tabela1[Código]=Tabela3[[#This Row],[PAPEL]]),Tabela1[Fechamento])</f>
        <v>29</v>
      </c>
      <c r="AY75" s="5">
        <f>SUMPRODUCT(N(Tabela17[Código]=Tabela3[[#This Row],[PAPEL]]),Tabela17[Fechamento])</f>
        <v>0</v>
      </c>
      <c r="AZ75" s="7">
        <f>SUMPRODUCT(N(Tabela176[Código]=Tabela3[[#This Row],[PAPEL]]),Tabela176[Fechamento])</f>
        <v>0</v>
      </c>
      <c r="BA75" s="7">
        <f>SUMPRODUCT(N(Tabela1768[Código]=Tabela3[[#This Row],[PAPEL]]),Tabela1768[Fechamento])</f>
        <v>0</v>
      </c>
      <c r="BB75" s="7">
        <f>SUMPRODUCT(N(Tabela17683[Código]=Tabela3[[#This Row],[PAPEL]]),Tabela17683[Fechamento])</f>
        <v>0</v>
      </c>
    </row>
    <row r="76" spans="1:54" hidden="1">
      <c r="A76" s="4" t="s">
        <v>12</v>
      </c>
      <c r="B76" s="57" t="s">
        <v>89</v>
      </c>
      <c r="C76" s="14" t="str">
        <f>LEFT([PAPEL],LEN([PAPEL])-(LEN([PAPEL])-4))</f>
        <v>CEEB</v>
      </c>
      <c r="D76" s="15">
        <v>3</v>
      </c>
      <c r="E76" s="6">
        <v>542163250.52999997</v>
      </c>
      <c r="F76" s="8">
        <v>19557556</v>
      </c>
      <c r="G76" s="81">
        <v>0.25</v>
      </c>
      <c r="H76" s="15"/>
      <c r="I76" s="19">
        <v>0.1</v>
      </c>
      <c r="J76" s="19"/>
      <c r="K76" s="88"/>
      <c r="L76" s="88"/>
      <c r="M76" s="55">
        <v>6973082000</v>
      </c>
      <c r="N76" s="55">
        <v>1241973000</v>
      </c>
      <c r="O76" s="55">
        <v>1518506000</v>
      </c>
      <c r="P76" s="89">
        <v>2778501000</v>
      </c>
      <c r="Q76" s="89">
        <v>434008000</v>
      </c>
      <c r="R76" s="89">
        <f>IF(Tabela3[[#This Row],[Ativo || Passivo]]&gt;0,Tabela3[[#This Row],[Ativo || Passivo]]-Tabela3[[#This Row],[Patrimônio Líquido]],0)</f>
        <v>4194581000</v>
      </c>
      <c r="S76" s="89">
        <f>Tabela3[[#This Row],[Cotação]]*Tabela3[[#This Row],[Total Ações]]</f>
        <v>6023556589.3799992</v>
      </c>
      <c r="T76" s="132">
        <f>IF(Tabela3[[#This Row],[Passivo Circulante]]&gt;0,Tabela3[[#This Row],[Ativo Circulante]]/Tabela3[[#This Row],[Passivo Circulante]],0)</f>
        <v>0.81789140115350223</v>
      </c>
      <c r="U76" s="132">
        <f>SUMPRODUCT(N([Liquidez Corrente]&gt;0),N(RIGHT([PAPEL],LEN([PAPEL])-(LEN([PAPEL])-1))="3"),[Liquidez Corrente])/SUMPRODUCT(N([Liquidez Corrente]&gt;0),N(RIGHT([PAPEL],LEN([PAPEL])-(LEN([PAPEL])-1))="3"))</f>
        <v>2.331224473064915</v>
      </c>
      <c r="V76" s="19">
        <f>IF(Tabela3[[#This Row],[Lucro Líquido]]&gt;0,Tabela3[[#This Row],[Lucro Líquido]]/Tabela3[[#This Row],[Patrimônio Líquido]],0)</f>
        <v>0.15620221119229397</v>
      </c>
      <c r="W76" s="19">
        <f>SUMPRODUCT(N([Rentabilidade s/ PL]&gt;0),N(RIGHT([PAPEL],LEN([PAPEL])-(LEN([PAPEL])-1))="3"),[Rentabilidade s/ PL])/SUMPRODUCT(N([Rentabilidade s/ PL]&gt;0),N(RIGHT([PAPEL],LEN([PAPEL])-(LEN([PAPEL])-1))="3"))</f>
        <v>0.1261051308670782</v>
      </c>
      <c r="X76" s="19">
        <f>IF(Tabela3[[#This Row],[Dívida]]&gt;0,Tabela3[[#This Row],[Dívida]]/Tabela3[[#This Row],[Patrimônio Líquido]],0)</f>
        <v>1.5096561059362585</v>
      </c>
      <c r="Y76" s="19">
        <f>SUMPRODUCT(N([Dívida / PL]&gt;0),N(RIGHT([PAPEL],LEN([PAPEL])-(LEN([PAPEL])-1))="3"),[Dívida / PL])/SUMPRODUCT(N([Dívida / PL]&gt;0),N(RIGHT([PAPEL],LEN([PAPEL])-(LEN([PAPEL])-1))="3"))</f>
        <v>2.1510410379481146</v>
      </c>
      <c r="Z76" s="6">
        <f>Tabela3[[#This Row],[Capital Social]]*20%</f>
        <v>108432650.10600001</v>
      </c>
      <c r="AA76" s="6">
        <f>IF(([Lucro Líquido]*5%)&gt;[Teto R. Legal],[Teto R. Legal],[Lucro Líquido]*5%)</f>
        <v>21700400</v>
      </c>
      <c r="AB76" s="89">
        <f>IF([Lucro Líquido]&lt;0,0,[Lucro Líquido]-[Reserva Legal])</f>
        <v>412307600</v>
      </c>
      <c r="AC76" s="89">
        <f>Tabela3[[#This Row],[Lucro Distribuir]]*[%Div]</f>
        <v>103076900</v>
      </c>
      <c r="AD76" s="56">
        <f>SUMPRODUCT(N([Nome]=Tabela3[[#This Row],[Nome]]),[Ações])</f>
        <v>188177338</v>
      </c>
      <c r="AE76" s="6">
        <f>[Capital Social]/[Total Ações]</f>
        <v>2.8811293447566997</v>
      </c>
      <c r="AF76" s="78">
        <f>Tabela3[[#This Row],[Lucro Líquido]]/Tabela3[[#This Row],[Total Ações]]</f>
        <v>2.3063776149283184</v>
      </c>
      <c r="AG76" s="78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0.53072164131039024</v>
      </c>
      <c r="AH76" s="78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76" s="78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0.28811293447566999</v>
      </c>
      <c r="AJ76" s="78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0.53072164131039024</v>
      </c>
      <c r="AK76" s="6">
        <f>[Div Base]*[Ações]</f>
        <v>10379618.22033987</v>
      </c>
      <c r="AL76" s="6">
        <f>SUMPRODUCT(N([Nome]=Tabela3[[#This Row],[Nome]]),[Div Base]*[Ações])</f>
        <v>103017775.26084489</v>
      </c>
      <c r="AM76" s="6">
        <f>[Patrimônio Líquido]/[Total Ações]</f>
        <v>14.765332688466451</v>
      </c>
      <c r="AN76" s="48">
        <f>MAX(Tabela3[[#This Row],[Cotação 1]:[Cotação 5]])</f>
        <v>32.01</v>
      </c>
      <c r="AO76" s="44">
        <f>[Cotação]/[VPA]</f>
        <v>2.1679159335843319</v>
      </c>
      <c r="AP76" s="40">
        <f>IF(Tabela3[[#This Row],[Lucro/Ação]]&gt;0,Tabela3[[#This Row],[Cotação]]/(Tabela3[[#This Row],[Lucro/Ação]]/[Ref]*4),0)</f>
        <v>10.409180111967981</v>
      </c>
      <c r="AQ76" s="78">
        <f>[Lucro Distribuir]/[Total Ações]</f>
        <v>2.1910587341819023</v>
      </c>
      <c r="AR76" s="78">
        <f>IF([Unit ON]&gt;0,SUMPRODUCT(N([Nome]=Tabela3[[#This Row],[Nome]]),N(RIGHT([PAPEL],1)="3"),[Div Base])*[Unit ON]+SUMPRODUCT(N([Nome]=Tabela3[[#This Row],[Nome]]),N(RIGHT([PAPEL],1)="4"),[Div Base])*[Unit PN],[Div Base])</f>
        <v>0.53072164131039024</v>
      </c>
      <c r="AS76" s="15" t="str">
        <f>IF(AND([% A.A.]&gt;=6%,SUMPRODUCT(N([Nome]=Tabela3[[#This Row],[Nome]]),[PL])&gt;0,[Rentabilidade s/ PL]&gt;=[Rentabilidade s/ PL Média]),"Sim","Não")</f>
        <v>Não</v>
      </c>
      <c r="AT76" s="42">
        <f>IF([Cotação]&gt;0,Tabela3[[#This Row],[Lucro]]/Tabela3[[#This Row],[Cotação]],0)</f>
        <v>1.6579870081549212E-2</v>
      </c>
      <c r="AU76" s="19">
        <f>((1+Tabela3[[#This Row],[% Yield]])^(1/(3*Tabela3[[#This Row],[Ref]])))^(12)-1</f>
        <v>2.2167357044462044E-2</v>
      </c>
      <c r="AV76" s="14">
        <f>IF([Cotação]&gt;0,($BH$1/Tabela3[[#This Row],[Cotação]]-MOD($BH$1/Tabela3[[#This Row],[Cotação]],100)),)</f>
        <v>0</v>
      </c>
      <c r="AW76" s="17">
        <f>Tabela3[[#This Row],[Ativos]]*[Lucro]</f>
        <v>0</v>
      </c>
      <c r="AX76" s="5">
        <f>SUMPRODUCT(N(Tabela1[Código]=Tabela3[[#This Row],[PAPEL]]),Tabela1[Fechamento])</f>
        <v>32.01</v>
      </c>
      <c r="AY76" s="5">
        <f>SUMPRODUCT(N(Tabela17[Código]=Tabela3[[#This Row],[PAPEL]]),Tabela17[Fechamento])</f>
        <v>0</v>
      </c>
      <c r="AZ76" s="7">
        <f>SUMPRODUCT(N(Tabela176[Código]=Tabela3[[#This Row],[PAPEL]]),Tabela176[Fechamento])</f>
        <v>0</v>
      </c>
      <c r="BA76" s="7">
        <f>SUMPRODUCT(N(Tabela1768[Código]=Tabela3[[#This Row],[PAPEL]]),Tabela1768[Fechamento])</f>
        <v>0</v>
      </c>
      <c r="BB76" s="7">
        <f>SUMPRODUCT(N(Tabela17683[Código]=Tabela3[[#This Row],[PAPEL]]),Tabela17683[Fechamento])</f>
        <v>0</v>
      </c>
    </row>
    <row r="77" spans="1:54" hidden="1">
      <c r="A77" s="4" t="s">
        <v>12</v>
      </c>
      <c r="B77" s="57" t="s">
        <v>484</v>
      </c>
      <c r="C77" s="14" t="str">
        <f>LEFT([PAPEL],LEN([PAPEL])-(LEN([PAPEL])-4))</f>
        <v>CEEB</v>
      </c>
      <c r="D77" s="15">
        <v>3</v>
      </c>
      <c r="E77" s="6">
        <v>542163250.52999997</v>
      </c>
      <c r="F77" s="8">
        <v>59315266</v>
      </c>
      <c r="G77" s="81">
        <v>0.25</v>
      </c>
      <c r="H77" s="15"/>
      <c r="I77" s="19"/>
      <c r="J77" s="19">
        <v>0.1</v>
      </c>
      <c r="K77" s="88"/>
      <c r="L77" s="88"/>
      <c r="M77" s="55">
        <v>6973082000</v>
      </c>
      <c r="N77" s="55">
        <v>1241973000</v>
      </c>
      <c r="O77" s="55">
        <v>1518506000</v>
      </c>
      <c r="P77" s="89">
        <v>2778501000</v>
      </c>
      <c r="Q77" s="89">
        <v>434008000</v>
      </c>
      <c r="R77" s="89">
        <f>IF(Tabela3[[#This Row],[Ativo || Passivo]]&gt;0,Tabela3[[#This Row],[Ativo || Passivo]]-Tabela3[[#This Row],[Patrimônio Líquido]],0)</f>
        <v>4194581000</v>
      </c>
      <c r="S77" s="89">
        <f>Tabela3[[#This Row],[Cotação]]*Tabela3[[#This Row],[Total Ações]]</f>
        <v>0</v>
      </c>
      <c r="T77" s="132">
        <f>IF(Tabela3[[#This Row],[Passivo Circulante]]&gt;0,Tabela3[[#This Row],[Ativo Circulante]]/Tabela3[[#This Row],[Passivo Circulante]],0)</f>
        <v>0.81789140115350223</v>
      </c>
      <c r="U77" s="132">
        <f>SUMPRODUCT(N([Liquidez Corrente]&gt;0),N(RIGHT([PAPEL],LEN([PAPEL])-(LEN([PAPEL])-1))="3"),[Liquidez Corrente])/SUMPRODUCT(N([Liquidez Corrente]&gt;0),N(RIGHT([PAPEL],LEN([PAPEL])-(LEN([PAPEL])-1))="3"))</f>
        <v>2.331224473064915</v>
      </c>
      <c r="V77" s="19">
        <f>IF(Tabela3[[#This Row],[Lucro Líquido]]&gt;0,Tabela3[[#This Row],[Lucro Líquido]]/Tabela3[[#This Row],[Patrimônio Líquido]],0)</f>
        <v>0.15620221119229397</v>
      </c>
      <c r="W77" s="19">
        <f>SUMPRODUCT(N([Rentabilidade s/ PL]&gt;0),N(RIGHT([PAPEL],LEN([PAPEL])-(LEN([PAPEL])-1))="3"),[Rentabilidade s/ PL])/SUMPRODUCT(N([Rentabilidade s/ PL]&gt;0),N(RIGHT([PAPEL],LEN([PAPEL])-(LEN([PAPEL])-1))="3"))</f>
        <v>0.1261051308670782</v>
      </c>
      <c r="X77" s="19">
        <f>IF(Tabela3[[#This Row],[Dívida]]&gt;0,Tabela3[[#This Row],[Dívida]]/Tabela3[[#This Row],[Patrimônio Líquido]],0)</f>
        <v>1.5096561059362585</v>
      </c>
      <c r="Y77" s="19">
        <f>SUMPRODUCT(N([Dívida / PL]&gt;0),N(RIGHT([PAPEL],LEN([PAPEL])-(LEN([PAPEL])-1))="3"),[Dívida / PL])/SUMPRODUCT(N([Dívida / PL]&gt;0),N(RIGHT([PAPEL],LEN([PAPEL])-(LEN([PAPEL])-1))="3"))</f>
        <v>2.1510410379481146</v>
      </c>
      <c r="Z77" s="6">
        <f>Tabela3[[#This Row],[Capital Social]]*20%</f>
        <v>108432650.10600001</v>
      </c>
      <c r="AA77" s="6">
        <f>IF(([Lucro Líquido]*5%)&gt;[Teto R. Legal],[Teto R. Legal],[Lucro Líquido]*5%)</f>
        <v>21700400</v>
      </c>
      <c r="AB77" s="89">
        <f>IF([Lucro Líquido]&lt;0,0,[Lucro Líquido]-[Reserva Legal])</f>
        <v>412307600</v>
      </c>
      <c r="AC77" s="89">
        <f>Tabela3[[#This Row],[Lucro Distribuir]]*[%Div]</f>
        <v>103076900</v>
      </c>
      <c r="AD77" s="56">
        <f>SUMPRODUCT(N([Nome]=Tabela3[[#This Row],[Nome]]),[Ações])</f>
        <v>188177338</v>
      </c>
      <c r="AE77" s="6">
        <f>[Capital Social]/[Total Ações]</f>
        <v>2.8811293447566997</v>
      </c>
      <c r="AF77" s="78">
        <f>Tabela3[[#This Row],[Lucro Líquido]]/Tabela3[[#This Row],[Total Ações]]</f>
        <v>2.3063776149283184</v>
      </c>
      <c r="AG77" s="78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0.58379380624116561</v>
      </c>
      <c r="AH77" s="78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77" s="78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0.5778806851361471</v>
      </c>
      <c r="AJ77" s="78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0.58379380624116561</v>
      </c>
      <c r="AK77" s="6">
        <f>[Div Base]*[Ações]</f>
        <v>34627884.9063472</v>
      </c>
      <c r="AL77" s="6">
        <f>SUMPRODUCT(N([Nome]=Tabela3[[#This Row],[Nome]]),[Div Base]*[Ações])</f>
        <v>103017775.26084489</v>
      </c>
      <c r="AM77" s="6">
        <f>[Patrimônio Líquido]/[Total Ações]</f>
        <v>14.765332688466451</v>
      </c>
      <c r="AN77" s="48">
        <f>MAX(Tabela3[[#This Row],[Cotação 1]:[Cotação 5]])</f>
        <v>0</v>
      </c>
      <c r="AO77" s="44">
        <f>[Cotação]/[VPA]</f>
        <v>0</v>
      </c>
      <c r="AP77" s="40">
        <f>IF(Tabela3[[#This Row],[Lucro/Ação]]&gt;0,Tabela3[[#This Row],[Cotação]]/(Tabela3[[#This Row],[Lucro/Ação]]/[Ref]*4),0)</f>
        <v>0</v>
      </c>
      <c r="AQ77" s="78">
        <f>[Lucro Distribuir]/[Total Ações]</f>
        <v>2.1910587341819023</v>
      </c>
      <c r="AR77" s="78">
        <f>IF([Unit ON]&gt;0,SUMPRODUCT(N([Nome]=Tabela3[[#This Row],[Nome]]),N(RIGHT([PAPEL],1)="3"),[Div Base])*[Unit ON]+SUMPRODUCT(N([Nome]=Tabela3[[#This Row],[Nome]]),N(RIGHT([PAPEL],1)="4"),[Div Base])*[Unit PN],[Div Base])</f>
        <v>0.58379380624116561</v>
      </c>
      <c r="AS77" s="15" t="str">
        <f>IF(AND([% A.A.]&gt;=6%,SUMPRODUCT(N([Nome]=Tabela3[[#This Row],[Nome]]),[PL])&gt;0,[Rentabilidade s/ PL]&gt;=[Rentabilidade s/ PL Média]),"Sim","Não")</f>
        <v>Não</v>
      </c>
      <c r="AT77" s="42">
        <f>IF([Cotação]&gt;0,Tabela3[[#This Row],[Lucro]]/Tabela3[[#This Row],[Cotação]],0)</f>
        <v>0</v>
      </c>
      <c r="AU77" s="19">
        <f>((1+Tabela3[[#This Row],[% Yield]])^(1/(3*Tabela3[[#This Row],[Ref]])))^(12)-1</f>
        <v>0</v>
      </c>
      <c r="AV77" s="14">
        <f>IF([Cotação]&gt;0,($BH$1/Tabela3[[#This Row],[Cotação]]-MOD($BH$1/Tabela3[[#This Row],[Cotação]],100)),)</f>
        <v>0</v>
      </c>
      <c r="AW77" s="17">
        <f>Tabela3[[#This Row],[Ativos]]*[Lucro]</f>
        <v>0</v>
      </c>
      <c r="AX77" s="5">
        <f>SUMPRODUCT(N(Tabela1[Código]=Tabela3[[#This Row],[PAPEL]]),Tabela1[Fechamento])</f>
        <v>0</v>
      </c>
      <c r="AY77" s="5">
        <f>SUMPRODUCT(N(Tabela17[Código]=Tabela3[[#This Row],[PAPEL]]),Tabela17[Fechamento])</f>
        <v>0</v>
      </c>
      <c r="AZ77" s="7">
        <f>SUMPRODUCT(N(Tabela176[Código]=Tabela3[[#This Row],[PAPEL]]),Tabela176[Fechamento])</f>
        <v>0</v>
      </c>
      <c r="BA77" s="7">
        <f>SUMPRODUCT(N(Tabela1768[Código]=Tabela3[[#This Row],[PAPEL]]),Tabela1768[Fechamento])</f>
        <v>0</v>
      </c>
      <c r="BB77" s="7">
        <f>SUMPRODUCT(N(Tabela17683[Código]=Tabela3[[#This Row],[PAPEL]]),Tabela17683[Fechamento])</f>
        <v>0</v>
      </c>
    </row>
    <row r="78" spans="1:54">
      <c r="A78" s="3" t="s">
        <v>1083</v>
      </c>
      <c r="B78" s="58" t="s">
        <v>1088</v>
      </c>
      <c r="C78" s="16" t="str">
        <f>LEFT([PAPEL],LEN([PAPEL])-(LEN([PAPEL])-4))</f>
        <v>GRND</v>
      </c>
      <c r="D78" s="16">
        <v>4</v>
      </c>
      <c r="E78" s="5">
        <v>1231301604.46</v>
      </c>
      <c r="F78" s="56">
        <v>300720000</v>
      </c>
      <c r="G78" s="81">
        <v>0.25</v>
      </c>
      <c r="H78" s="87"/>
      <c r="J78" s="18"/>
      <c r="K78" s="16"/>
      <c r="L78" s="87"/>
      <c r="M78" s="54">
        <v>2285211000</v>
      </c>
      <c r="N78" s="54">
        <v>1572896000</v>
      </c>
      <c r="O78" s="54">
        <v>208161000</v>
      </c>
      <c r="P78" s="5">
        <v>2060734000</v>
      </c>
      <c r="Q78" s="73">
        <v>433540000</v>
      </c>
      <c r="R78" s="73">
        <f>IF(Tabela3[[#This Row],[Ativo || Passivo]]&gt;0,Tabela3[[#This Row],[Ativo || Passivo]]-Tabela3[[#This Row],[Patrimônio Líquido]],0)</f>
        <v>224477000</v>
      </c>
      <c r="S78" s="73">
        <f>Tabela3[[#This Row],[Cotação]]*Tabela3[[#This Row],[Total Ações]]</f>
        <v>0</v>
      </c>
      <c r="T78" s="37">
        <f>IF(Tabela3[[#This Row],[Passivo Circulante]]&gt;0,Tabela3[[#This Row],[Ativo Circulante]]/Tabela3[[#This Row],[Passivo Circulante]],0)</f>
        <v>7.5561512483126041</v>
      </c>
      <c r="U78" s="37">
        <f>SUMPRODUCT(N([Liquidez Corrente]&gt;0),N(RIGHT([PAPEL],LEN([PAPEL])-(LEN([PAPEL])-1))="3"),[Liquidez Corrente])/SUMPRODUCT(N([Liquidez Corrente]&gt;0),N(RIGHT([PAPEL],LEN([PAPEL])-(LEN([PAPEL])-1))="3"))</f>
        <v>2.331224473064915</v>
      </c>
      <c r="V78" s="18">
        <f>IF(Tabela3[[#This Row],[Lucro Líquido]]&gt;0,Tabela3[[#This Row],[Lucro Líquido]]/Tabela3[[#This Row],[Patrimônio Líquido]],0)</f>
        <v>0.21038134955797302</v>
      </c>
      <c r="W78" s="18">
        <f>SUMPRODUCT(N([Rentabilidade s/ PL]&gt;0),N(RIGHT([PAPEL],LEN([PAPEL])-(LEN([PAPEL])-1))="3"),[Rentabilidade s/ PL])/SUMPRODUCT(N([Rentabilidade s/ PL]&gt;0),N(RIGHT([PAPEL],LEN([PAPEL])-(LEN([PAPEL])-1))="3"))</f>
        <v>0.1261051308670782</v>
      </c>
      <c r="X78" s="18">
        <f>IF(Tabela3[[#This Row],[Dívida]]&gt;0,Tabela3[[#This Row],[Dívida]]/Tabela3[[#This Row],[Patrimônio Líquido]],0)</f>
        <v>0.10893060433806595</v>
      </c>
      <c r="Y78" s="18">
        <f>SUMPRODUCT(N([Dívida / PL]&gt;0),N(RIGHT([PAPEL],LEN([PAPEL])-(LEN([PAPEL])-1))="3"),[Dívida / PL])/SUMPRODUCT(N([Dívida / PL]&gt;0),N(RIGHT([PAPEL],LEN([PAPEL])-(LEN([PAPEL])-1))="3"))</f>
        <v>2.1510410379481146</v>
      </c>
      <c r="Z78" s="7">
        <f>Tabela3[[#This Row],[Capital Social]]*20%</f>
        <v>246260320.89200002</v>
      </c>
      <c r="AA78" s="47">
        <f>IF(([Lucro Líquido]*5%)&gt;[Teto R. Legal],[Teto R. Legal],[Lucro Líquido]*5%)</f>
        <v>21677000</v>
      </c>
      <c r="AB78" s="47">
        <f>IF([Lucro Líquido]&lt;0,0,[Lucro Líquido]-[Reserva Legal])</f>
        <v>411863000</v>
      </c>
      <c r="AC78" s="47">
        <f>Tabela3[[#This Row],[Lucro Distribuir]]*[%Div]</f>
        <v>102965750</v>
      </c>
      <c r="AD78" s="56">
        <f>SUMPRODUCT(N([Nome]=Tabela3[[#This Row],[Nome]]),[Ações])</f>
        <v>300720000</v>
      </c>
      <c r="AE78" s="85">
        <f>[Capital Social]/[Total Ações]</f>
        <v>4.094511853085927</v>
      </c>
      <c r="AF78" s="85">
        <f>Tabela3[[#This Row],[Lucro Líquido]]/Tabela3[[#This Row],[Total Ações]]</f>
        <v>1.4416733173716414</v>
      </c>
      <c r="AG78" s="85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0.34239741287576481</v>
      </c>
      <c r="AH78" s="85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78" s="77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78" s="85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0.34239741287576481</v>
      </c>
      <c r="AK78" s="7">
        <f>[Div Base]*[Ações]</f>
        <v>102965749.99999999</v>
      </c>
      <c r="AL78" s="7">
        <f>SUMPRODUCT(N([Nome]=Tabela3[[#This Row],[Nome]]),[Div Base]*[Ações])</f>
        <v>102965749.99999999</v>
      </c>
      <c r="AM78" s="5">
        <f>[Patrimônio Líquido]/[Total Ações]</f>
        <v>6.8526669326948655</v>
      </c>
      <c r="AN78" s="52">
        <f>MAX(Tabela3[[#This Row],[Cotação 1]:[Cotação 5]])</f>
        <v>0</v>
      </c>
      <c r="AO78" s="53">
        <f>[Cotação]/[VPA]</f>
        <v>0</v>
      </c>
      <c r="AP78" s="37">
        <f>IF(Tabela3[[#This Row],[Lucro/Ação]]&gt;0,Tabela3[[#This Row],[Cotação]]/(Tabela3[[#This Row],[Lucro/Ação]]/[Ref]*4),0)</f>
        <v>0</v>
      </c>
      <c r="AQ78" s="85">
        <f>[Lucro Distribuir]/[Total Ações]</f>
        <v>1.3695896515030592</v>
      </c>
      <c r="AR78" s="85">
        <f>IF([Unit ON]&gt;0,SUMPRODUCT(N([Nome]=Tabela3[[#This Row],[Nome]]),N(RIGHT([PAPEL],1)="3"),[Div Base])*[Unit ON]+SUMPRODUCT(N([Nome]=Tabela3[[#This Row],[Nome]]),N(RIGHT([PAPEL],1)="4"),[Div Base])*[Unit PN],[Div Base])</f>
        <v>0.34239741287576481</v>
      </c>
      <c r="AS78" s="10" t="str">
        <f>IF(AND([% A.A.]&gt;=6%,SUMPRODUCT(N([Nome]=Tabela3[[#This Row],[Nome]]),[PL])&gt;0,[Rentabilidade s/ PL]&gt;=[Rentabilidade s/ PL Média]),"Sim","Não")</f>
        <v>Não</v>
      </c>
      <c r="AT78" s="22">
        <f>IF([Cotação]&gt;0,Tabela3[[#This Row],[Lucro]]/Tabela3[[#This Row],[Cotação]],0)</f>
        <v>0</v>
      </c>
      <c r="AU78" s="22">
        <f>((1+Tabela3[[#This Row],[% Yield]])^(1/(3*Tabela3[[#This Row],[Ref]])))^(12)-1</f>
        <v>0</v>
      </c>
      <c r="AV78" s="10">
        <f>IF([Cotação]&gt;0,($BH$1/Tabela3[[#This Row],[Cotação]]-MOD($BH$1/Tabela3[[#This Row],[Cotação]],100)),)</f>
        <v>0</v>
      </c>
      <c r="AW78" s="7">
        <f>Tabela3[[#This Row],[Ativos]]*[Lucro]</f>
        <v>0</v>
      </c>
      <c r="AX78" s="7">
        <f>SUMPRODUCT(N(Tabela1[Código]=Tabela3[[#This Row],[PAPEL]]),Tabela1[Fechamento])</f>
        <v>0</v>
      </c>
      <c r="AY78" s="7">
        <f>SUMPRODUCT(N(Tabela17[Código]=Tabela3[[#This Row],[PAPEL]]),Tabela17[Fechamento])</f>
        <v>0</v>
      </c>
      <c r="AZ78" s="7">
        <f>SUMPRODUCT(N(Tabela176[Código]=Tabela3[[#This Row],[PAPEL]]),Tabela176[Fechamento])</f>
        <v>0</v>
      </c>
      <c r="BA78" s="7">
        <f>SUMPRODUCT(N(Tabela1768[Código]=Tabela3[[#This Row],[PAPEL]]),Tabela1768[Fechamento])</f>
        <v>0</v>
      </c>
      <c r="BB78" s="7">
        <f>SUMPRODUCT(N(Tabela17683[Código]=Tabela3[[#This Row],[PAPEL]]),Tabela17683[Fechamento])</f>
        <v>0</v>
      </c>
    </row>
    <row r="79" spans="1:54" hidden="1">
      <c r="A79" s="3" t="s">
        <v>1196</v>
      </c>
      <c r="B79" s="58" t="s">
        <v>1209</v>
      </c>
      <c r="C79" s="16" t="str">
        <f>LEFT([PAPEL],LEN([PAPEL])-(LEN([PAPEL])-4))</f>
        <v>EZTC</v>
      </c>
      <c r="D79" s="16">
        <v>3</v>
      </c>
      <c r="E79" s="5">
        <v>1050000000</v>
      </c>
      <c r="F79" s="56">
        <v>146724120</v>
      </c>
      <c r="G79" s="81">
        <v>0.25</v>
      </c>
      <c r="H79" s="87"/>
      <c r="J79" s="18"/>
      <c r="K79" s="16"/>
      <c r="L79" s="87"/>
      <c r="M79" s="54"/>
      <c r="N79" s="54"/>
      <c r="O79" s="54"/>
      <c r="P79" s="91">
        <v>2081158000</v>
      </c>
      <c r="Q79" s="73">
        <v>426497000</v>
      </c>
      <c r="R79" s="73">
        <f>IF(Tabela3[[#This Row],[Ativo || Passivo]]&gt;0,Tabela3[[#This Row],[Ativo || Passivo]]-Tabela3[[#This Row],[Patrimônio Líquido]],0)</f>
        <v>0</v>
      </c>
      <c r="S79" s="73">
        <f>Tabela3[[#This Row],[Cotação]]*Tabela3[[#This Row],[Total Ações]]</f>
        <v>3719456442</v>
      </c>
      <c r="T79" s="37">
        <f>IF(Tabela3[[#This Row],[Passivo Circulante]]&gt;0,Tabela3[[#This Row],[Ativo Circulante]]/Tabela3[[#This Row],[Passivo Circulante]],0)</f>
        <v>0</v>
      </c>
      <c r="U79" s="37">
        <f>SUMPRODUCT(N([Liquidez Corrente]&gt;0),N(RIGHT([PAPEL],LEN([PAPEL])-(LEN([PAPEL])-1))="3"),[Liquidez Corrente])/SUMPRODUCT(N([Liquidez Corrente]&gt;0),N(RIGHT([PAPEL],LEN([PAPEL])-(LEN([PAPEL])-1))="3"))</f>
        <v>2.331224473064915</v>
      </c>
      <c r="V79" s="18">
        <f>IF(Tabela3[[#This Row],[Lucro Líquido]]&gt;0,Tabela3[[#This Row],[Lucro Líquido]]/Tabela3[[#This Row],[Patrimônio Líquido]],0)</f>
        <v>0.20493254236343419</v>
      </c>
      <c r="W79" s="18">
        <f>SUMPRODUCT(N([Rentabilidade s/ PL]&gt;0),N(RIGHT([PAPEL],LEN([PAPEL])-(LEN([PAPEL])-1))="3"),[Rentabilidade s/ PL])/SUMPRODUCT(N([Rentabilidade s/ PL]&gt;0),N(RIGHT([PAPEL],LEN([PAPEL])-(LEN([PAPEL])-1))="3"))</f>
        <v>0.1261051308670782</v>
      </c>
      <c r="X79" s="18">
        <f>IF(Tabela3[[#This Row],[Dívida]]&gt;0,Tabela3[[#This Row],[Dívida]]/Tabela3[[#This Row],[Patrimônio Líquido]],0)</f>
        <v>0</v>
      </c>
      <c r="Y79" s="18">
        <f>SUMPRODUCT(N([Dívida / PL]&gt;0),N(RIGHT([PAPEL],LEN([PAPEL])-(LEN([PAPEL])-1))="3"),[Dívida / PL])/SUMPRODUCT(N([Dívida / PL]&gt;0),N(RIGHT([PAPEL],LEN([PAPEL])-(LEN([PAPEL])-1))="3"))</f>
        <v>2.1510410379481146</v>
      </c>
      <c r="Z79" s="7">
        <f>Tabela3[[#This Row],[Capital Social]]*20%</f>
        <v>210000000</v>
      </c>
      <c r="AA79" s="47">
        <f>IF(([Lucro Líquido]*5%)&gt;[Teto R. Legal],[Teto R. Legal],[Lucro Líquido]*5%)</f>
        <v>21324850</v>
      </c>
      <c r="AB79" s="47">
        <f>IF([Lucro Líquido]&lt;0,0,[Lucro Líquido]-[Reserva Legal])</f>
        <v>405172150</v>
      </c>
      <c r="AC79" s="47">
        <f>Tabela3[[#This Row],[Lucro Distribuir]]*[%Div]</f>
        <v>101293037.5</v>
      </c>
      <c r="AD79" s="56">
        <f>SUMPRODUCT(N([Nome]=Tabela3[[#This Row],[Nome]]),[Ações])</f>
        <v>146724120</v>
      </c>
      <c r="AE79" s="85">
        <f>[Capital Social]/[Total Ações]</f>
        <v>7.156287596068049</v>
      </c>
      <c r="AF79" s="85">
        <f>Tabela3[[#This Row],[Lucro Líquido]]/Tabela3[[#This Row],[Total Ações]]</f>
        <v>2.9067954198668904</v>
      </c>
      <c r="AG79" s="85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0.69036391221838644</v>
      </c>
      <c r="AH79" s="85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79" s="77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79" s="85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0.69036391221838644</v>
      </c>
      <c r="AK79" s="7">
        <f>[Div Base]*[Ações]</f>
        <v>101293037.5</v>
      </c>
      <c r="AL79" s="120">
        <f>SUMPRODUCT(N([Nome]=Tabela3[[#This Row],[Nome]]),[Div Base]*[Ações])</f>
        <v>101293037.5</v>
      </c>
      <c r="AM79" s="5">
        <f>[Patrimônio Líquido]/[Total Ações]</f>
        <v>14.184157315102656</v>
      </c>
      <c r="AN79" s="52">
        <f>MAX(Tabela3[[#This Row],[Cotação 1]:[Cotação 5]])</f>
        <v>25.35</v>
      </c>
      <c r="AO79" s="53">
        <f>[Cotação]/[VPA]</f>
        <v>1.7872052203628943</v>
      </c>
      <c r="AP79" s="37">
        <f>IF(Tabela3[[#This Row],[Lucro/Ação]]&gt;0,Tabela3[[#This Row],[Cotação]]/(Tabela3[[#This Row],[Lucro/Ação]]/[Ref]*4),0)</f>
        <v>6.5407079803609403</v>
      </c>
      <c r="AQ79" s="85">
        <f>[Lucro Distribuir]/[Total Ações]</f>
        <v>2.7614556488735458</v>
      </c>
      <c r="AR79" s="85">
        <f>IF([Unit ON]&gt;0,SUMPRODUCT(N([Nome]=Tabela3[[#This Row],[Nome]]),N(RIGHT([PAPEL],1)="3"),[Div Base])*[Unit ON]+SUMPRODUCT(N([Nome]=Tabela3[[#This Row],[Nome]]),N(RIGHT([PAPEL],1)="4"),[Div Base])*[Unit PN],[Div Base])</f>
        <v>0.69036391221838644</v>
      </c>
      <c r="AS79" s="10" t="str">
        <f>IF(AND([% A.A.]&gt;=6%,SUMPRODUCT(N([Nome]=Tabela3[[#This Row],[Nome]]),[PL])&gt;0,[Rentabilidade s/ PL]&gt;=[Rentabilidade s/ PL Média]),"Sim","Não")</f>
        <v>Não</v>
      </c>
      <c r="AT79" s="22">
        <f>IF([Cotação]&gt;0,Tabela3[[#This Row],[Lucro]]/Tabela3[[#This Row],[Cotação]],0)</f>
        <v>2.7233290422816032E-2</v>
      </c>
      <c r="AU79" s="22">
        <f>((1+Tabela3[[#This Row],[% Yield]])^(1/(3*Tabela3[[#This Row],[Ref]])))^(12)-1</f>
        <v>3.6474879218945988E-2</v>
      </c>
      <c r="AV79" s="10">
        <f>IF([Cotação]&gt;0,($BH$1/Tabela3[[#This Row],[Cotação]]-MOD($BH$1/Tabela3[[#This Row],[Cotação]],100)),)</f>
        <v>0</v>
      </c>
      <c r="AW79" s="7">
        <f>Tabela3[[#This Row],[Ativos]]*[Lucro]</f>
        <v>0</v>
      </c>
      <c r="AX79" s="7">
        <f>SUMPRODUCT(N(Tabela1[Código]=Tabela3[[#This Row],[PAPEL]]),Tabela1[Fechamento])</f>
        <v>0</v>
      </c>
      <c r="AY79" s="7">
        <f>SUMPRODUCT(N(Tabela17[Código]=Tabela3[[#This Row],[PAPEL]]),Tabela17[Fechamento])</f>
        <v>0</v>
      </c>
      <c r="AZ79" s="7">
        <f>SUMPRODUCT(N(Tabela176[Código]=Tabela3[[#This Row],[PAPEL]]),Tabela176[Fechamento])</f>
        <v>0</v>
      </c>
      <c r="BA79" s="7">
        <f>SUMPRODUCT(N(Tabela1768[Código]=Tabela3[[#This Row],[PAPEL]]),Tabela1768[Fechamento])</f>
        <v>25.35</v>
      </c>
      <c r="BB79" s="7">
        <f>SUMPRODUCT(N(Tabela17683[Código]=Tabela3[[#This Row],[PAPEL]]),Tabela17683[Fechamento])</f>
        <v>0</v>
      </c>
    </row>
    <row r="80" spans="1:54">
      <c r="A80" s="3" t="s">
        <v>1168</v>
      </c>
      <c r="B80" s="58" t="s">
        <v>1175</v>
      </c>
      <c r="C80" s="16" t="str">
        <f>LEFT([PAPEL],LEN([PAPEL])-(LEN([PAPEL])-4))</f>
        <v>GUAR</v>
      </c>
      <c r="D80" s="16">
        <v>4</v>
      </c>
      <c r="E80" s="5">
        <v>2300000000</v>
      </c>
      <c r="F80" s="56">
        <v>31200000</v>
      </c>
      <c r="G80" s="81">
        <v>0.25</v>
      </c>
      <c r="H80" s="87"/>
      <c r="J80" s="18"/>
      <c r="K80" s="16"/>
      <c r="L80" s="87"/>
      <c r="M80" s="54"/>
      <c r="N80" s="54"/>
      <c r="O80" s="54"/>
      <c r="P80" s="91">
        <v>2829123000</v>
      </c>
      <c r="Q80" s="91">
        <v>420584000</v>
      </c>
      <c r="R80" s="91">
        <f>IF(Tabela3[[#This Row],[Ativo || Passivo]]&gt;0,Tabela3[[#This Row],[Ativo || Passivo]]-Tabela3[[#This Row],[Patrimônio Líquido]],0)</f>
        <v>0</v>
      </c>
      <c r="S80" s="91">
        <f>Tabela3[[#This Row],[Cotação]]*Tabela3[[#This Row],[Total Ações]]</f>
        <v>5628480000</v>
      </c>
      <c r="T80" s="34">
        <f>IF(Tabela3[[#This Row],[Passivo Circulante]]&gt;0,Tabela3[[#This Row],[Ativo Circulante]]/Tabela3[[#This Row],[Passivo Circulante]],0)</f>
        <v>0</v>
      </c>
      <c r="U80" s="34">
        <f>SUMPRODUCT(N([Liquidez Corrente]&gt;0),N(RIGHT([PAPEL],LEN([PAPEL])-(LEN([PAPEL])-1))="3"),[Liquidez Corrente])/SUMPRODUCT(N([Liquidez Corrente]&gt;0),N(RIGHT([PAPEL],LEN([PAPEL])-(LEN([PAPEL])-1))="3"))</f>
        <v>2.331224473064915</v>
      </c>
      <c r="V80" s="18">
        <f>IF(Tabela3[[#This Row],[Lucro Líquido]]&gt;0,Tabela3[[#This Row],[Lucro Líquido]]/Tabela3[[#This Row],[Patrimônio Líquido]],0)</f>
        <v>0.14866232397813739</v>
      </c>
      <c r="W80" s="18">
        <f>SUMPRODUCT(N([Rentabilidade s/ PL]&gt;0),N(RIGHT([PAPEL],LEN([PAPEL])-(LEN([PAPEL])-1))="3"),[Rentabilidade s/ PL])/SUMPRODUCT(N([Rentabilidade s/ PL]&gt;0),N(RIGHT([PAPEL],LEN([PAPEL])-(LEN([PAPEL])-1))="3"))</f>
        <v>0.1261051308670782</v>
      </c>
      <c r="X80" s="18">
        <f>IF(Tabela3[[#This Row],[Dívida]]&gt;0,Tabela3[[#This Row],[Dívida]]/Tabela3[[#This Row],[Patrimônio Líquido]],0)</f>
        <v>0</v>
      </c>
      <c r="Y80" s="18">
        <f>SUMPRODUCT(N([Dívida / PL]&gt;0),N(RIGHT([PAPEL],LEN([PAPEL])-(LEN([PAPEL])-1))="3"),[Dívida / PL])/SUMPRODUCT(N([Dívida / PL]&gt;0),N(RIGHT([PAPEL],LEN([PAPEL])-(LEN([PAPEL])-1))="3"))</f>
        <v>2.1510410379481146</v>
      </c>
      <c r="Z80" s="7">
        <f>Tabela3[[#This Row],[Capital Social]]*20%</f>
        <v>460000000</v>
      </c>
      <c r="AA80" s="47">
        <f>IF(([Lucro Líquido]*5%)&gt;[Teto R. Legal],[Teto R. Legal],[Lucro Líquido]*5%)</f>
        <v>21029200</v>
      </c>
      <c r="AB80" s="47">
        <f>IF([Lucro Líquido]&lt;0,0,[Lucro Líquido]-[Reserva Legal])</f>
        <v>399554800</v>
      </c>
      <c r="AC80" s="47">
        <f>Tabela3[[#This Row],[Lucro Distribuir]]*[%Div]</f>
        <v>99888700</v>
      </c>
      <c r="AD80" s="56">
        <f>SUMPRODUCT(N([Nome]=Tabela3[[#This Row],[Nome]]),[Ações])</f>
        <v>62400000</v>
      </c>
      <c r="AE80" s="85">
        <f>[Capital Social]/[Total Ações]</f>
        <v>36.858974358974358</v>
      </c>
      <c r="AF80" s="85">
        <f>Tabela3[[#This Row],[Lucro Líquido]]/Tabela3[[#This Row],[Total Ações]]</f>
        <v>6.7401282051282054</v>
      </c>
      <c r="AG80" s="85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1.550974081830599</v>
      </c>
      <c r="AH80" s="85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80" s="77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80" s="85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1.550974081830599</v>
      </c>
      <c r="AK80" s="7">
        <f>[Div Base]*[Ações]</f>
        <v>48390391.353114687</v>
      </c>
      <c r="AL80" s="120">
        <f>SUMPRODUCT(N([Nome]=Tabela3[[#This Row],[Nome]]),[Div Base]*[Ações])</f>
        <v>101619821.91445959</v>
      </c>
      <c r="AM80" s="5">
        <f>[Patrimônio Líquido]/[Total Ações]</f>
        <v>45.338509615384616</v>
      </c>
      <c r="AN80" s="52">
        <f>MAX(Tabela3[[#This Row],[Cotação 1]:[Cotação 5]])</f>
        <v>90.2</v>
      </c>
      <c r="AO80" s="53">
        <f>[Cotação]/[VPA]</f>
        <v>1.989478718316595</v>
      </c>
      <c r="AP80" s="37">
        <f>IF(Tabela3[[#This Row],[Lucro/Ação]]&gt;0,Tabela3[[#This Row],[Cotação]]/(Tabela3[[#This Row],[Lucro/Ação]]/[Ref]*4),0)</f>
        <v>13.382534761189204</v>
      </c>
      <c r="AQ80" s="85">
        <f>[Lucro Distribuir]/[Total Ações]</f>
        <v>6.4031217948717947</v>
      </c>
      <c r="AR80" s="85">
        <f>IF([Unit ON]&gt;0,SUMPRODUCT(N([Nome]=Tabela3[[#This Row],[Nome]]),N(RIGHT([PAPEL],1)="3"),[Div Base])*[Unit ON]+SUMPRODUCT(N([Nome]=Tabela3[[#This Row],[Nome]]),N(RIGHT([PAPEL],1)="4"),[Div Base])*[Unit PN],[Div Base])</f>
        <v>1.550974081830599</v>
      </c>
      <c r="AS80" s="10" t="str">
        <f>IF(AND([% A.A.]&gt;=6%,SUMPRODUCT(N([Nome]=Tabela3[[#This Row],[Nome]]),[PL])&gt;0,[Rentabilidade s/ PL]&gt;=[Rentabilidade s/ PL Média]),"Sim","Não")</f>
        <v>Não</v>
      </c>
      <c r="AT80" s="22">
        <f>IF([Cotação]&gt;0,Tabela3[[#This Row],[Lucro]]/Tabela3[[#This Row],[Cotação]],0)</f>
        <v>1.7194834610095331E-2</v>
      </c>
      <c r="AU80" s="22">
        <f>((1+Tabela3[[#This Row],[% Yield]])^(1/(3*Tabela3[[#This Row],[Ref]])))^(12)-1</f>
        <v>1.7194834610093412E-2</v>
      </c>
      <c r="AV80" s="10">
        <f>IF([Cotação]&gt;0,($BH$1/Tabela3[[#This Row],[Cotação]]-MOD($BH$1/Tabela3[[#This Row],[Cotação]],100)),)</f>
        <v>0</v>
      </c>
      <c r="AW80" s="7">
        <f>Tabela3[[#This Row],[Ativos]]*[Lucro]</f>
        <v>0</v>
      </c>
      <c r="AX80" s="7">
        <f>SUMPRODUCT(N(Tabela1[Código]=Tabela3[[#This Row],[PAPEL]]),Tabela1[Fechamento])</f>
        <v>0</v>
      </c>
      <c r="AY80" s="7">
        <f>SUMPRODUCT(N(Tabela17[Código]=Tabela3[[#This Row],[PAPEL]]),Tabela17[Fechamento])</f>
        <v>0</v>
      </c>
      <c r="AZ80" s="7">
        <f>SUMPRODUCT(N(Tabela176[Código]=Tabela3[[#This Row],[PAPEL]]),Tabela176[Fechamento])</f>
        <v>0</v>
      </c>
      <c r="BA80" s="7">
        <f>SUMPRODUCT(N(Tabela1768[Código]=Tabela3[[#This Row],[PAPEL]]),Tabela1768[Fechamento])</f>
        <v>90.2</v>
      </c>
      <c r="BB80" s="7">
        <f>SUMPRODUCT(N(Tabela17683[Código]=Tabela3[[#This Row],[PAPEL]]),Tabela17683[Fechamento])</f>
        <v>0</v>
      </c>
    </row>
    <row r="81" spans="1:54">
      <c r="A81" s="3" t="s">
        <v>1168</v>
      </c>
      <c r="B81" s="58" t="s">
        <v>1176</v>
      </c>
      <c r="C81" s="16" t="str">
        <f>LEFT([PAPEL],LEN([PAPEL])-(LEN([PAPEL])-4))</f>
        <v>GUAR</v>
      </c>
      <c r="D81" s="16">
        <v>4</v>
      </c>
      <c r="E81" s="5">
        <v>2300000000</v>
      </c>
      <c r="F81" s="56">
        <v>31200000</v>
      </c>
      <c r="G81" s="81">
        <v>0.25</v>
      </c>
      <c r="H81" s="87"/>
      <c r="J81" s="18">
        <v>0.1</v>
      </c>
      <c r="K81" s="16"/>
      <c r="L81" s="87"/>
      <c r="M81" s="54"/>
      <c r="N81" s="54"/>
      <c r="O81" s="54"/>
      <c r="P81" s="91">
        <v>2829123000</v>
      </c>
      <c r="Q81" s="91">
        <v>420584000</v>
      </c>
      <c r="R81" s="91">
        <f>IF(Tabela3[[#This Row],[Ativo || Passivo]]&gt;0,Tabela3[[#This Row],[Ativo || Passivo]]-Tabela3[[#This Row],[Patrimônio Líquido]],0)</f>
        <v>0</v>
      </c>
      <c r="S81" s="91">
        <f>Tabela3[[#This Row],[Cotação]]*Tabela3[[#This Row],[Total Ações]]</f>
        <v>5138640000</v>
      </c>
      <c r="T81" s="34">
        <f>IF(Tabela3[[#This Row],[Passivo Circulante]]&gt;0,Tabela3[[#This Row],[Ativo Circulante]]/Tabela3[[#This Row],[Passivo Circulante]],0)</f>
        <v>0</v>
      </c>
      <c r="U81" s="34">
        <f>SUMPRODUCT(N([Liquidez Corrente]&gt;0),N(RIGHT([PAPEL],LEN([PAPEL])-(LEN([PAPEL])-1))="3"),[Liquidez Corrente])/SUMPRODUCT(N([Liquidez Corrente]&gt;0),N(RIGHT([PAPEL],LEN([PAPEL])-(LEN([PAPEL])-1))="3"))</f>
        <v>2.331224473064915</v>
      </c>
      <c r="V81" s="18">
        <f>IF(Tabela3[[#This Row],[Lucro Líquido]]&gt;0,Tabela3[[#This Row],[Lucro Líquido]]/Tabela3[[#This Row],[Patrimônio Líquido]],0)</f>
        <v>0.14866232397813739</v>
      </c>
      <c r="W81" s="18">
        <f>SUMPRODUCT(N([Rentabilidade s/ PL]&gt;0),N(RIGHT([PAPEL],LEN([PAPEL])-(LEN([PAPEL])-1))="3"),[Rentabilidade s/ PL])/SUMPRODUCT(N([Rentabilidade s/ PL]&gt;0),N(RIGHT([PAPEL],LEN([PAPEL])-(LEN([PAPEL])-1))="3"))</f>
        <v>0.1261051308670782</v>
      </c>
      <c r="X81" s="18">
        <f>IF(Tabela3[[#This Row],[Dívida]]&gt;0,Tabela3[[#This Row],[Dívida]]/Tabela3[[#This Row],[Patrimônio Líquido]],0)</f>
        <v>0</v>
      </c>
      <c r="Y81" s="18">
        <f>SUMPRODUCT(N([Dívida / PL]&gt;0),N(RIGHT([PAPEL],LEN([PAPEL])-(LEN([PAPEL])-1))="3"),[Dívida / PL])/SUMPRODUCT(N([Dívida / PL]&gt;0),N(RIGHT([PAPEL],LEN([PAPEL])-(LEN([PAPEL])-1))="3"))</f>
        <v>2.1510410379481146</v>
      </c>
      <c r="Z81" s="7">
        <f>Tabela3[[#This Row],[Capital Social]]*20%</f>
        <v>460000000</v>
      </c>
      <c r="AA81" s="47">
        <f>IF(([Lucro Líquido]*5%)&gt;[Teto R. Legal],[Teto R. Legal],[Lucro Líquido]*5%)</f>
        <v>21029200</v>
      </c>
      <c r="AB81" s="47">
        <f>IF([Lucro Líquido]&lt;0,0,[Lucro Líquido]-[Reserva Legal])</f>
        <v>399554800</v>
      </c>
      <c r="AC81" s="47">
        <f>Tabela3[[#This Row],[Lucro Distribuir]]*[%Div]</f>
        <v>99888700</v>
      </c>
      <c r="AD81" s="56">
        <f>SUMPRODUCT(N([Nome]=Tabela3[[#This Row],[Nome]]),[Ações])</f>
        <v>62400000</v>
      </c>
      <c r="AE81" s="85">
        <f>[Capital Social]/[Total Ações]</f>
        <v>36.858974358974358</v>
      </c>
      <c r="AF81" s="85">
        <f>Tabela3[[#This Row],[Lucro Líquido]]/Tabela3[[#This Row],[Total Ações]]</f>
        <v>6.7401282051282054</v>
      </c>
      <c r="AG81" s="85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1.7060714923507982</v>
      </c>
      <c r="AH81" s="85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81" s="77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81" s="85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1.7060714923507982</v>
      </c>
      <c r="AK81" s="7">
        <f>[Div Base]*[Ações]</f>
        <v>53229430.561344907</v>
      </c>
      <c r="AL81" s="120">
        <f>SUMPRODUCT(N([Nome]=Tabela3[[#This Row],[Nome]]),[Div Base]*[Ações])</f>
        <v>101619821.91445959</v>
      </c>
      <c r="AM81" s="5">
        <f>[Patrimônio Líquido]/[Total Ações]</f>
        <v>45.338509615384616</v>
      </c>
      <c r="AN81" s="52">
        <f>MAX(Tabela3[[#This Row],[Cotação 1]:[Cotação 5]])</f>
        <v>82.35</v>
      </c>
      <c r="AO81" s="53">
        <f>[Cotação]/[VPA]</f>
        <v>1.8163367234298402</v>
      </c>
      <c r="AP81" s="37">
        <f>IF(Tabela3[[#This Row],[Lucro/Ação]]&gt;0,Tabela3[[#This Row],[Cotação]]/(Tabela3[[#This Row],[Lucro/Ação]]/[Ref]*4),0)</f>
        <v>12.217868487626728</v>
      </c>
      <c r="AQ81" s="85">
        <f>[Lucro Distribuir]/[Total Ações]</f>
        <v>6.4031217948717947</v>
      </c>
      <c r="AR81" s="85">
        <f>IF([Unit ON]&gt;0,SUMPRODUCT(N([Nome]=Tabela3[[#This Row],[Nome]]),N(RIGHT([PAPEL],1)="3"),[Div Base])*[Unit ON]+SUMPRODUCT(N([Nome]=Tabela3[[#This Row],[Nome]]),N(RIGHT([PAPEL],1)="4"),[Div Base])*[Unit PN],[Div Base])</f>
        <v>1.7060714923507982</v>
      </c>
      <c r="AS81" s="10" t="str">
        <f>IF(AND([% A.A.]&gt;=6%,SUMPRODUCT(N([Nome]=Tabela3[[#This Row],[Nome]]),[PL])&gt;0,[Rentabilidade s/ PL]&gt;=[Rentabilidade s/ PL Média]),"Sim","Não")</f>
        <v>Não</v>
      </c>
      <c r="AT81" s="22">
        <f>IF([Cotação]&gt;0,Tabela3[[#This Row],[Lucro]]/Tabela3[[#This Row],[Cotação]],0)</f>
        <v>2.0717322311485105E-2</v>
      </c>
      <c r="AU81" s="22">
        <f>((1+Tabela3[[#This Row],[% Yield]])^(1/(3*Tabela3[[#This Row],[Ref]])))^(12)-1</f>
        <v>2.0717322311484487E-2</v>
      </c>
      <c r="AV81" s="10">
        <f>IF([Cotação]&gt;0,($BH$1/Tabela3[[#This Row],[Cotação]]-MOD($BH$1/Tabela3[[#This Row],[Cotação]],100)),)</f>
        <v>0</v>
      </c>
      <c r="AW81" s="7">
        <f>Tabela3[[#This Row],[Ativos]]*[Lucro]</f>
        <v>0</v>
      </c>
      <c r="AX81" s="7">
        <f>SUMPRODUCT(N(Tabela1[Código]=Tabela3[[#This Row],[PAPEL]]),Tabela1[Fechamento])</f>
        <v>0</v>
      </c>
      <c r="AY81" s="7">
        <f>SUMPRODUCT(N(Tabela17[Código]=Tabela3[[#This Row],[PAPEL]]),Tabela17[Fechamento])</f>
        <v>0</v>
      </c>
      <c r="AZ81" s="7">
        <f>SUMPRODUCT(N(Tabela176[Código]=Tabela3[[#This Row],[PAPEL]]),Tabela176[Fechamento])</f>
        <v>0</v>
      </c>
      <c r="BA81" s="7">
        <f>SUMPRODUCT(N(Tabela1768[Código]=Tabela3[[#This Row],[PAPEL]]),Tabela1768[Fechamento])</f>
        <v>82.35</v>
      </c>
      <c r="BB81" s="7">
        <f>SUMPRODUCT(N(Tabela17683[Código]=Tabela3[[#This Row],[PAPEL]]),Tabela17683[Fechamento])</f>
        <v>0</v>
      </c>
    </row>
    <row r="82" spans="1:54">
      <c r="A82" s="4" t="s">
        <v>37</v>
      </c>
      <c r="B82" s="57" t="s">
        <v>180</v>
      </c>
      <c r="C82" s="14" t="str">
        <f>LEFT([PAPEL],LEN([PAPEL])-(LEN([PAPEL])-4))</f>
        <v>CSMG</v>
      </c>
      <c r="D82" s="15">
        <v>4</v>
      </c>
      <c r="E82" s="6">
        <v>2773985614.6599998</v>
      </c>
      <c r="F82" s="8">
        <v>119684430</v>
      </c>
      <c r="G82" s="86">
        <v>0.25</v>
      </c>
      <c r="H82" s="15"/>
      <c r="I82" s="19"/>
      <c r="J82" s="19"/>
      <c r="K82" s="88"/>
      <c r="L82" s="88"/>
      <c r="M82" s="55"/>
      <c r="N82" s="55"/>
      <c r="O82" s="55"/>
      <c r="P82" s="6">
        <v>5337359000</v>
      </c>
      <c r="Q82" s="6">
        <v>419795000</v>
      </c>
      <c r="R82" s="6">
        <f>IF(Tabela3[[#This Row],[Ativo || Passivo]]&gt;0,Tabela3[[#This Row],[Ativo || Passivo]]-Tabela3[[#This Row],[Patrimônio Líquido]],0)</f>
        <v>0</v>
      </c>
      <c r="S82" s="6">
        <f>Tabela3[[#This Row],[Cotação]]*Tabela3[[#This Row],[Total Ações]]</f>
        <v>3748516347.5999999</v>
      </c>
      <c r="T82" s="132">
        <f>IF(Tabela3[[#This Row],[Passivo Circulante]]&gt;0,Tabela3[[#This Row],[Ativo Circulante]]/Tabela3[[#This Row],[Passivo Circulante]],0)</f>
        <v>0</v>
      </c>
      <c r="U82" s="132">
        <f>SUMPRODUCT(N([Liquidez Corrente]&gt;0),N(RIGHT([PAPEL],LEN([PAPEL])-(LEN([PAPEL])-1))="3"),[Liquidez Corrente])/SUMPRODUCT(N([Liquidez Corrente]&gt;0),N(RIGHT([PAPEL],LEN([PAPEL])-(LEN([PAPEL])-1))="3"))</f>
        <v>2.331224473064915</v>
      </c>
      <c r="V82" s="19">
        <f>IF(Tabela3[[#This Row],[Lucro Líquido]]&gt;0,Tabela3[[#This Row],[Lucro Líquido]]/Tabela3[[#This Row],[Patrimônio Líquido]],0)</f>
        <v>7.8652194840182196E-2</v>
      </c>
      <c r="W82" s="19">
        <f>SUMPRODUCT(N([Rentabilidade s/ PL]&gt;0),N(RIGHT([PAPEL],LEN([PAPEL])-(LEN([PAPEL])-1))="3"),[Rentabilidade s/ PL])/SUMPRODUCT(N([Rentabilidade s/ PL]&gt;0),N(RIGHT([PAPEL],LEN([PAPEL])-(LEN([PAPEL])-1))="3"))</f>
        <v>0.1261051308670782</v>
      </c>
      <c r="X82" s="19">
        <f>IF(Tabela3[[#This Row],[Dívida]]&gt;0,Tabela3[[#This Row],[Dívida]]/Tabela3[[#This Row],[Patrimônio Líquido]],0)</f>
        <v>0</v>
      </c>
      <c r="Y82" s="19">
        <f>SUMPRODUCT(N([Dívida / PL]&gt;0),N(RIGHT([PAPEL],LEN([PAPEL])-(LEN([PAPEL])-1))="3"),[Dívida / PL])/SUMPRODUCT(N([Dívida / PL]&gt;0),N(RIGHT([PAPEL],LEN([PAPEL])-(LEN([PAPEL])-1))="3"))</f>
        <v>2.1510410379481146</v>
      </c>
      <c r="Z82" s="6">
        <f>Tabela3[[#This Row],[Capital Social]]*20%</f>
        <v>554797122.93200004</v>
      </c>
      <c r="AA82" s="6">
        <f>IF(([Lucro Líquido]*5%)&gt;[Teto R. Legal],[Teto R. Legal],[Lucro Líquido]*5%)</f>
        <v>20989750</v>
      </c>
      <c r="AB82" s="6">
        <f>IF([Lucro Líquido]&lt;0,0,[Lucro Líquido]-[Reserva Legal])</f>
        <v>398805250</v>
      </c>
      <c r="AC82" s="6">
        <f>Tabela3[[#This Row],[Lucro Distribuir]]*[%Div]</f>
        <v>99701312.5</v>
      </c>
      <c r="AD82" s="21">
        <f>SUMPRODUCT(N([Nome]=Tabela3[[#This Row],[Nome]]),[Ações])</f>
        <v>119684430</v>
      </c>
      <c r="AE82" s="6">
        <f>[Capital Social]/[Total Ações]</f>
        <v>23.177497813708932</v>
      </c>
      <c r="AF82" s="78">
        <f>Tabela3[[#This Row],[Lucro Líquido]]/Tabela3[[#This Row],[Total Ações]]</f>
        <v>3.5075155556992668</v>
      </c>
      <c r="AG82" s="78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0.83303494447857585</v>
      </c>
      <c r="AH82" s="78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82" s="78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82" s="78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0.83303494447857585</v>
      </c>
      <c r="AK82" s="6">
        <f>[Div Base]*[Ações]</f>
        <v>99701312.5</v>
      </c>
      <c r="AL82" s="6">
        <f>SUMPRODUCT(N([Nome]=Tabela3[[#This Row],[Nome]]),[Div Base]*[Ações])</f>
        <v>99701312.5</v>
      </c>
      <c r="AM82" s="6">
        <f>[Patrimônio Líquido]/[Total Ações]</f>
        <v>44.595266067607959</v>
      </c>
      <c r="AN82" s="48">
        <f>MAX(Tabela3[[#This Row],[Cotação 1]:[Cotação 5]])</f>
        <v>31.32</v>
      </c>
      <c r="AO82" s="44">
        <f>[Cotação]/[VPA]</f>
        <v>0.70231669775257766</v>
      </c>
      <c r="AP82" s="40">
        <f>IF(Tabela3[[#This Row],[Lucro/Ação]]&gt;0,Tabela3[[#This Row],[Cotação]]/(Tabela3[[#This Row],[Lucro/Ação]]/[Ref]*4),0)</f>
        <v>8.9293973191676894</v>
      </c>
      <c r="AQ82" s="78">
        <f>[Lucro Distribuir]/[Total Ações]</f>
        <v>3.3321397779143034</v>
      </c>
      <c r="AR82" s="78">
        <f>IF([Unit ON]&gt;0,SUMPRODUCT(N([Nome]=Tabela3[[#This Row],[Nome]]),N(RIGHT([PAPEL],1)="3"),[Div Base])*[Unit ON]+SUMPRODUCT(N([Nome]=Tabela3[[#This Row],[Nome]]),N(RIGHT([PAPEL],1)="4"),[Div Base])*[Unit PN],[Div Base])</f>
        <v>0.83303494447857585</v>
      </c>
      <c r="AS82" s="15" t="str">
        <f>IF(AND([% A.A.]&gt;=6%,SUMPRODUCT(N([Nome]=Tabela3[[#This Row],[Nome]]),[PL])&gt;0,[Rentabilidade s/ PL]&gt;=[Rentabilidade s/ PL Média]),"Sim","Não")</f>
        <v>Não</v>
      </c>
      <c r="AT82" s="42">
        <f>IF([Cotação]&gt;0,Tabela3[[#This Row],[Lucro]]/Tabela3[[#This Row],[Cotação]],0)</f>
        <v>2.6597539734309575E-2</v>
      </c>
      <c r="AU82" s="19">
        <f>((1+Tabela3[[#This Row],[% Yield]])^(1/(3*Tabela3[[#This Row],[Ref]])))^(12)-1</f>
        <v>2.6597539734310782E-2</v>
      </c>
      <c r="AV82" s="14">
        <f>IF([Cotação]&gt;0,($BH$1/Tabela3[[#This Row],[Cotação]]-MOD($BH$1/Tabela3[[#This Row],[Cotação]],100)),)</f>
        <v>0</v>
      </c>
      <c r="AW82" s="17">
        <f>Tabela3[[#This Row],[Ativos]]*[Lucro]</f>
        <v>0</v>
      </c>
      <c r="AX82" s="5">
        <f>SUMPRODUCT(N(Tabela1[Código]=Tabela3[[#This Row],[PAPEL]]),Tabela1[Fechamento])</f>
        <v>31.32</v>
      </c>
      <c r="AY82" s="5">
        <f>SUMPRODUCT(N(Tabela17[Código]=Tabela3[[#This Row],[PAPEL]]),Tabela17[Fechamento])</f>
        <v>0</v>
      </c>
      <c r="AZ82" s="7">
        <f>SUMPRODUCT(N(Tabela176[Código]=Tabela3[[#This Row],[PAPEL]]),Tabela176[Fechamento])</f>
        <v>0</v>
      </c>
      <c r="BA82" s="7">
        <f>SUMPRODUCT(N(Tabela1768[Código]=Tabela3[[#This Row],[PAPEL]]),Tabela1768[Fechamento])</f>
        <v>0</v>
      </c>
      <c r="BB82" s="7">
        <f>SUMPRODUCT(N(Tabela17683[Código]=Tabela3[[#This Row],[PAPEL]]),Tabela17683[Fechamento])</f>
        <v>0</v>
      </c>
    </row>
    <row r="83" spans="1:54" hidden="1">
      <c r="A83" s="4" t="s">
        <v>291</v>
      </c>
      <c r="B83" s="57" t="s">
        <v>534</v>
      </c>
      <c r="C83" s="82" t="str">
        <f>LEFT([PAPEL],LEN([PAPEL])-(LEN([PAPEL])-4))</f>
        <v>EBTP</v>
      </c>
      <c r="D83" s="15">
        <v>3</v>
      </c>
      <c r="E83" s="6">
        <v>7373355808.1999998</v>
      </c>
      <c r="F83" s="8">
        <v>638224661</v>
      </c>
      <c r="G83" s="86">
        <v>0.25</v>
      </c>
      <c r="H83" s="19"/>
      <c r="I83" s="19"/>
      <c r="J83" s="19"/>
      <c r="K83" s="88"/>
      <c r="L83" s="88"/>
      <c r="M83" s="55">
        <v>11675353000</v>
      </c>
      <c r="N83" s="55">
        <v>7657000</v>
      </c>
      <c r="O83" s="55">
        <v>13788000</v>
      </c>
      <c r="P83" s="6">
        <v>11657711000</v>
      </c>
      <c r="Q83" s="6">
        <v>411188000</v>
      </c>
      <c r="R83" s="6">
        <f>IF(Tabela3[[#This Row],[Ativo || Passivo]]&gt;0,Tabela3[[#This Row],[Ativo || Passivo]]-Tabela3[[#This Row],[Patrimônio Líquido]],0)</f>
        <v>17642000</v>
      </c>
      <c r="S83" s="6">
        <f>Tabela3[[#This Row],[Cotação]]*Tabela3[[#This Row],[Total Ações]]</f>
        <v>9235234762.5</v>
      </c>
      <c r="T83" s="132">
        <f>IF(Tabela3[[#This Row],[Passivo Circulante]]&gt;0,Tabela3[[#This Row],[Ativo Circulante]]/Tabela3[[#This Row],[Passivo Circulante]],0)</f>
        <v>0.55533797505076876</v>
      </c>
      <c r="U83" s="132">
        <f>SUMPRODUCT(N([Liquidez Corrente]&gt;0),N(RIGHT([PAPEL],LEN([PAPEL])-(LEN([PAPEL])-1))="3"),[Liquidez Corrente])/SUMPRODUCT(N([Liquidez Corrente]&gt;0),N(RIGHT([PAPEL],LEN([PAPEL])-(LEN([PAPEL])-1))="3"))</f>
        <v>2.331224473064915</v>
      </c>
      <c r="V83" s="19">
        <f>IF(Tabela3[[#This Row],[Lucro Líquido]]&gt;0,Tabela3[[#This Row],[Lucro Líquido]]/Tabela3[[#This Row],[Patrimônio Líquido]],0)</f>
        <v>3.5271761326044197E-2</v>
      </c>
      <c r="W83" s="19">
        <f>SUMPRODUCT(N([Rentabilidade s/ PL]&gt;0),N(RIGHT([PAPEL],LEN([PAPEL])-(LEN([PAPEL])-1))="3"),[Rentabilidade s/ PL])/SUMPRODUCT(N([Rentabilidade s/ PL]&gt;0),N(RIGHT([PAPEL],LEN([PAPEL])-(LEN([PAPEL])-1))="3"))</f>
        <v>0.1261051308670782</v>
      </c>
      <c r="X83" s="19">
        <f>IF(Tabela3[[#This Row],[Dívida]]&gt;0,Tabela3[[#This Row],[Dívida]]/Tabela3[[#This Row],[Patrimônio Líquido]],0)</f>
        <v>1.5133331063019147E-3</v>
      </c>
      <c r="Y83" s="19">
        <f>SUMPRODUCT(N([Dívida / PL]&gt;0),N(RIGHT([PAPEL],LEN([PAPEL])-(LEN([PAPEL])-1))="3"),[Dívida / PL])/SUMPRODUCT(N([Dívida / PL]&gt;0),N(RIGHT([PAPEL],LEN([PAPEL])-(LEN([PAPEL])-1))="3"))</f>
        <v>2.1510410379481146</v>
      </c>
      <c r="Z83" s="6">
        <f>Tabela3[[#This Row],[Capital Social]]*20%</f>
        <v>1474671161.6400001</v>
      </c>
      <c r="AA83" s="6">
        <f>IF(([Lucro Líquido]*5%)&gt;[Teto R. Legal],[Teto R. Legal],[Lucro Líquido]*5%)</f>
        <v>20559400</v>
      </c>
      <c r="AB83" s="6">
        <f>IF([Lucro Líquido]&lt;0,0,[Lucro Líquido]-[Reserva Legal])</f>
        <v>390628600</v>
      </c>
      <c r="AC83" s="6">
        <f>Tabela3[[#This Row],[Lucro Distribuir]]*[%Div]</f>
        <v>97657150</v>
      </c>
      <c r="AD83" s="56">
        <f>SUMPRODUCT(N([Nome]=Tabela3[[#This Row],[Nome]]),[Ações])</f>
        <v>1231364635</v>
      </c>
      <c r="AE83" s="6">
        <f>[Capital Social]/[Total Ações]</f>
        <v>5.9879548255825945</v>
      </c>
      <c r="AF83" s="78">
        <f>Tabela3[[#This Row],[Lucro Líquido]]/Tabela3[[#This Row],[Total Ações]]</f>
        <v>0.33392870666616148</v>
      </c>
      <c r="AG83" s="78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7.6840492266063348E-2</v>
      </c>
      <c r="AH83" s="78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83" s="78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83" s="78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</v>
      </c>
      <c r="AK83" s="6">
        <f>[Div Base]*[Ações]</f>
        <v>0</v>
      </c>
      <c r="AL83" s="6">
        <f>SUMPRODUCT(N([Nome]=Tabela3[[#This Row],[Nome]]),[Div Base]*[Ações])</f>
        <v>213101722.17355406</v>
      </c>
      <c r="AM83" s="6">
        <f>[Patrimônio Líquido]/[Total Ações]</f>
        <v>9.4673102252932573</v>
      </c>
      <c r="AN83" s="48">
        <f>MAX(Tabela3[[#This Row],[Cotação 1]:[Cotação 5]])</f>
        <v>7.5</v>
      </c>
      <c r="AO83" s="44">
        <f>[Cotação]/[VPA]</f>
        <v>0.79219966616945647</v>
      </c>
      <c r="AP83" s="40">
        <f>IF(Tabela3[[#This Row],[Lucro/Ação]]&gt;0,Tabela3[[#This Row],[Cotação]]/(Tabela3[[#This Row],[Lucro/Ação]]/[Ref]*4),0)</f>
        <v>16.844912964082123</v>
      </c>
      <c r="AQ83" s="78">
        <f>[Lucro Distribuir]/[Total Ações]</f>
        <v>0.31723227133285342</v>
      </c>
      <c r="AR83" s="78">
        <f>IF([Unit ON]&gt;0,SUMPRODUCT(N([Nome]=Tabela3[[#This Row],[Nome]]),N(RIGHT([PAPEL],1)="3"),[Div Base])*[Unit ON]+SUMPRODUCT(N([Nome]=Tabela3[[#This Row],[Nome]]),N(RIGHT([PAPEL],1)="4"),[Div Base])*[Unit PN],[Div Base])</f>
        <v>0</v>
      </c>
      <c r="AS83" s="15" t="str">
        <f>IF(AND([% A.A.]&gt;=6%,SUMPRODUCT(N([Nome]=Tabela3[[#This Row],[Nome]]),[PL])&gt;0,[Rentabilidade s/ PL]&gt;=[Rentabilidade s/ PL Média]),"Sim","Não")</f>
        <v>Não</v>
      </c>
      <c r="AT83" s="42">
        <f>IF([Cotação]&gt;0,Tabela3[[#This Row],[Lucro]]/Tabela3[[#This Row],[Cotação]],0)</f>
        <v>0</v>
      </c>
      <c r="AU83" s="19">
        <f>((1+Tabela3[[#This Row],[% Yield]])^(1/(3*Tabela3[[#This Row],[Ref]])))^(12)-1</f>
        <v>0</v>
      </c>
      <c r="AV83" s="14">
        <f>IF([Cotação]&gt;0,($BH$1/Tabela3[[#This Row],[Cotação]]-MOD($BH$1/Tabela3[[#This Row],[Cotação]],100)),)</f>
        <v>0</v>
      </c>
      <c r="AW83" s="17">
        <f>Tabela3[[#This Row],[Ativos]]*[Lucro]</f>
        <v>0</v>
      </c>
      <c r="AX83" s="13">
        <f>SUMPRODUCT(N(Tabela1[Código]=Tabela3[[#This Row],[PAPEL]]),Tabela1[Fechamento])</f>
        <v>0</v>
      </c>
      <c r="AY83" s="55">
        <f>SUMPRODUCT(N(Tabela17[Código]=Tabela3[[#This Row],[PAPEL]]),Tabela17[Fechamento])</f>
        <v>7.5</v>
      </c>
      <c r="AZ83" s="55">
        <f>SUMPRODUCT(N(Tabela176[Código]=Tabela3[[#This Row],[PAPEL]]),Tabela176[Fechamento])</f>
        <v>0</v>
      </c>
      <c r="BA83" s="55">
        <f>SUMPRODUCT(N(Tabela1768[Código]=Tabela3[[#This Row],[PAPEL]]),Tabela1768[Fechamento])</f>
        <v>0</v>
      </c>
      <c r="BB83" s="7">
        <f>SUMPRODUCT(N(Tabela17683[Código]=Tabela3[[#This Row],[PAPEL]]),Tabela17683[Fechamento])</f>
        <v>0</v>
      </c>
    </row>
    <row r="84" spans="1:54" hidden="1">
      <c r="A84" s="4" t="s">
        <v>291</v>
      </c>
      <c r="B84" s="57" t="s">
        <v>383</v>
      </c>
      <c r="C84" s="82" t="str">
        <f>LEFT([PAPEL],LEN([PAPEL])-(LEN([PAPEL])-4))</f>
        <v>EBTP</v>
      </c>
      <c r="D84" s="15">
        <v>3</v>
      </c>
      <c r="E84" s="6">
        <v>7373355808.1999998</v>
      </c>
      <c r="F84" s="8">
        <v>593139974</v>
      </c>
      <c r="G84" s="81">
        <v>0.25</v>
      </c>
      <c r="H84" s="19"/>
      <c r="I84" s="19">
        <v>0.06</v>
      </c>
      <c r="J84" s="19">
        <v>0.1</v>
      </c>
      <c r="K84" s="88"/>
      <c r="L84" s="88"/>
      <c r="M84" s="55">
        <v>11675353000</v>
      </c>
      <c r="N84" s="55">
        <v>7657000</v>
      </c>
      <c r="O84" s="55">
        <v>13788000</v>
      </c>
      <c r="P84" s="6">
        <v>11657711000</v>
      </c>
      <c r="Q84" s="6">
        <v>411188000</v>
      </c>
      <c r="R84" s="6">
        <f>IF(Tabela3[[#This Row],[Ativo || Passivo]]&gt;0,Tabela3[[#This Row],[Ativo || Passivo]]-Tabela3[[#This Row],[Patrimônio Líquido]],0)</f>
        <v>17642000</v>
      </c>
      <c r="S84" s="6">
        <f>Tabela3[[#This Row],[Cotação]]*Tabela3[[#This Row],[Total Ações]]</f>
        <v>9777035201.8999996</v>
      </c>
      <c r="T84" s="132">
        <f>IF(Tabela3[[#This Row],[Passivo Circulante]]&gt;0,Tabela3[[#This Row],[Ativo Circulante]]/Tabela3[[#This Row],[Passivo Circulante]],0)</f>
        <v>0.55533797505076876</v>
      </c>
      <c r="U84" s="132">
        <f>SUMPRODUCT(N([Liquidez Corrente]&gt;0),N(RIGHT([PAPEL],LEN([PAPEL])-(LEN([PAPEL])-1))="3"),[Liquidez Corrente])/SUMPRODUCT(N([Liquidez Corrente]&gt;0),N(RIGHT([PAPEL],LEN([PAPEL])-(LEN([PAPEL])-1))="3"))</f>
        <v>2.331224473064915</v>
      </c>
      <c r="V84" s="19">
        <f>IF(Tabela3[[#This Row],[Lucro Líquido]]&gt;0,Tabela3[[#This Row],[Lucro Líquido]]/Tabela3[[#This Row],[Patrimônio Líquido]],0)</f>
        <v>3.5271761326044197E-2</v>
      </c>
      <c r="W84" s="19">
        <f>SUMPRODUCT(N([Rentabilidade s/ PL]&gt;0),N(RIGHT([PAPEL],LEN([PAPEL])-(LEN([PAPEL])-1))="3"),[Rentabilidade s/ PL])/SUMPRODUCT(N([Rentabilidade s/ PL]&gt;0),N(RIGHT([PAPEL],LEN([PAPEL])-(LEN([PAPEL])-1))="3"))</f>
        <v>0.1261051308670782</v>
      </c>
      <c r="X84" s="19">
        <f>IF(Tabela3[[#This Row],[Dívida]]&gt;0,Tabela3[[#This Row],[Dívida]]/Tabela3[[#This Row],[Patrimônio Líquido]],0)</f>
        <v>1.5133331063019147E-3</v>
      </c>
      <c r="Y84" s="19">
        <f>SUMPRODUCT(N([Dívida / PL]&gt;0),N(RIGHT([PAPEL],LEN([PAPEL])-(LEN([PAPEL])-1))="3"),[Dívida / PL])/SUMPRODUCT(N([Dívida / PL]&gt;0),N(RIGHT([PAPEL],LEN([PAPEL])-(LEN([PAPEL])-1))="3"))</f>
        <v>2.1510410379481146</v>
      </c>
      <c r="Z84" s="6">
        <f>Tabela3[[#This Row],[Capital Social]]*20%</f>
        <v>1474671161.6400001</v>
      </c>
      <c r="AA84" s="6">
        <f>IF(([Lucro Líquido]*5%)&gt;[Teto R. Legal],[Teto R. Legal],[Lucro Líquido]*5%)</f>
        <v>20559400</v>
      </c>
      <c r="AB84" s="6">
        <f>IF([Lucro Líquido]&lt;0,0,[Lucro Líquido]-[Reserva Legal])</f>
        <v>390628600</v>
      </c>
      <c r="AC84" s="6">
        <f>Tabela3[[#This Row],[Lucro Distribuir]]*[%Div]</f>
        <v>97657150</v>
      </c>
      <c r="AD84" s="56">
        <f>SUMPRODUCT(N([Nome]=Tabela3[[#This Row],[Nome]]),[Ações])</f>
        <v>1231364635</v>
      </c>
      <c r="AE84" s="6">
        <f>[Capital Social]/[Total Ações]</f>
        <v>5.9879548255825945</v>
      </c>
      <c r="AF84" s="78">
        <f>Tabela3[[#This Row],[Lucro Líquido]]/Tabela3[[#This Row],[Total Ações]]</f>
        <v>0.33392870666616148</v>
      </c>
      <c r="AG84" s="78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8.4524541608459458E-2</v>
      </c>
      <c r="AH84" s="78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84" s="78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0.35927728953495564</v>
      </c>
      <c r="AJ84" s="78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0.35927728953495564</v>
      </c>
      <c r="AK84" s="6">
        <f>[Div Base]*[Ações]</f>
        <v>213101722.17355406</v>
      </c>
      <c r="AL84" s="6">
        <f>SUMPRODUCT(N([Nome]=Tabela3[[#This Row],[Nome]]),[Div Base]*[Ações])</f>
        <v>213101722.17355406</v>
      </c>
      <c r="AM84" s="6">
        <f>[Patrimônio Líquido]/[Total Ações]</f>
        <v>9.4673102252932573</v>
      </c>
      <c r="AN84" s="48">
        <f>MAX(Tabela3[[#This Row],[Cotação 1]:[Cotação 5]])</f>
        <v>7.94</v>
      </c>
      <c r="AO84" s="44">
        <f>[Cotação]/[VPA]</f>
        <v>0.83867537991806462</v>
      </c>
      <c r="AP84" s="40">
        <f>IF(Tabela3[[#This Row],[Lucro/Ação]]&gt;0,Tabela3[[#This Row],[Cotação]]/(Tabela3[[#This Row],[Lucro/Ação]]/[Ref]*4),0)</f>
        <v>17.833147857974943</v>
      </c>
      <c r="AQ84" s="78">
        <f>[Lucro Distribuir]/[Total Ações]</f>
        <v>0.31723227133285342</v>
      </c>
      <c r="AR84" s="78">
        <f>IF([Unit ON]&gt;0,SUMPRODUCT(N([Nome]=Tabela3[[#This Row],[Nome]]),N(RIGHT([PAPEL],1)="3"),[Div Base])*[Unit ON]+SUMPRODUCT(N([Nome]=Tabela3[[#This Row],[Nome]]),N(RIGHT([PAPEL],1)="4"),[Div Base])*[Unit PN],[Div Base])</f>
        <v>0.35927728953495564</v>
      </c>
      <c r="AS84" s="15" t="str">
        <f>IF(AND([% A.A.]&gt;=6%,SUMPRODUCT(N([Nome]=Tabela3[[#This Row],[Nome]]),[PL])&gt;0,[Rentabilidade s/ PL]&gt;=[Rentabilidade s/ PL Média]),"Sim","Não")</f>
        <v>Não</v>
      </c>
      <c r="AT84" s="42">
        <f>IF([Cotação]&gt;0,Tabela3[[#This Row],[Lucro]]/Tabela3[[#This Row],[Cotação]],0)</f>
        <v>4.524902890868459E-2</v>
      </c>
      <c r="AU84" s="19">
        <f>((1+Tabela3[[#This Row],[% Yield]])^(1/(3*Tabela3[[#This Row],[Ref]])))^(12)-1</f>
        <v>6.0782542013917862E-2</v>
      </c>
      <c r="AV84" s="14">
        <f>IF([Cotação]&gt;0,($BH$1/Tabela3[[#This Row],[Cotação]]-MOD($BH$1/Tabela3[[#This Row],[Cotação]],100)),)</f>
        <v>0</v>
      </c>
      <c r="AW84" s="13">
        <f>Tabela3[[#This Row],[Ativos]]*[Lucro]</f>
        <v>0</v>
      </c>
      <c r="AX84" s="55">
        <f>SUMPRODUCT(N(Tabela1[Código]=Tabela3[[#This Row],[PAPEL]]),Tabela1[Fechamento])</f>
        <v>0</v>
      </c>
      <c r="AY84" s="17">
        <f>SUMPRODUCT(N(Tabela17[Código]=Tabela3[[#This Row],[PAPEL]]),Tabela17[Fechamento])</f>
        <v>7.94</v>
      </c>
      <c r="AZ84" s="7">
        <f>SUMPRODUCT(N(Tabela176[Código]=Tabela3[[#This Row],[PAPEL]]),Tabela176[Fechamento])</f>
        <v>0</v>
      </c>
      <c r="BA84" s="7">
        <f>SUMPRODUCT(N(Tabela1768[Código]=Tabela3[[#This Row],[PAPEL]]),Tabela1768[Fechamento])</f>
        <v>0</v>
      </c>
      <c r="BB84" s="7">
        <f>SUMPRODUCT(N(Tabela17683[Código]=Tabela3[[#This Row],[PAPEL]]),Tabela17683[Fechamento])</f>
        <v>0</v>
      </c>
    </row>
    <row r="85" spans="1:54">
      <c r="A85" s="3" t="s">
        <v>1168</v>
      </c>
      <c r="B85" s="58" t="s">
        <v>1184</v>
      </c>
      <c r="C85" s="16" t="str">
        <f>LEFT([PAPEL],LEN([PAPEL])-(LEN([PAPEL])-4))</f>
        <v>LREN</v>
      </c>
      <c r="D85" s="16">
        <v>4</v>
      </c>
      <c r="E85" s="5">
        <v>421683182.5</v>
      </c>
      <c r="F85" s="56">
        <v>125894865</v>
      </c>
      <c r="G85" s="81">
        <v>0.25</v>
      </c>
      <c r="H85" s="87"/>
      <c r="J85" s="18"/>
      <c r="K85" s="16"/>
      <c r="L85" s="87"/>
      <c r="M85" s="54">
        <v>4200490000</v>
      </c>
      <c r="N85" s="54">
        <v>2618324000</v>
      </c>
      <c r="O85" s="54">
        <v>1620667000</v>
      </c>
      <c r="P85" s="91">
        <v>1493253000</v>
      </c>
      <c r="Q85" s="73">
        <v>407404000</v>
      </c>
      <c r="R85" s="73">
        <f>IF(Tabela3[[#This Row],[Ativo || Passivo]]&gt;0,Tabela3[[#This Row],[Ativo || Passivo]]-Tabela3[[#This Row],[Patrimônio Líquido]],0)</f>
        <v>2707237000</v>
      </c>
      <c r="S85" s="73">
        <f>Tabela3[[#This Row],[Cotação]]*Tabela3[[#This Row],[Total Ações]]</f>
        <v>7131944102.25</v>
      </c>
      <c r="T85" s="37">
        <f>IF(Tabela3[[#This Row],[Passivo Circulante]]&gt;0,Tabela3[[#This Row],[Ativo Circulante]]/Tabela3[[#This Row],[Passivo Circulante]],0)</f>
        <v>1.6155842008259562</v>
      </c>
      <c r="U85" s="37">
        <f>SUMPRODUCT(N([Liquidez Corrente]&gt;0),N(RIGHT([PAPEL],LEN([PAPEL])-(LEN([PAPEL])-1))="3"),[Liquidez Corrente])/SUMPRODUCT(N([Liquidez Corrente]&gt;0),N(RIGHT([PAPEL],LEN([PAPEL])-(LEN([PAPEL])-1))="3"))</f>
        <v>2.331224473064915</v>
      </c>
      <c r="V85" s="18">
        <f>IF(Tabela3[[#This Row],[Lucro Líquido]]&gt;0,Tabela3[[#This Row],[Lucro Líquido]]/Tabela3[[#This Row],[Patrimônio Líquido]],0)</f>
        <v>0.27282985535605819</v>
      </c>
      <c r="W85" s="18">
        <f>SUMPRODUCT(N([Rentabilidade s/ PL]&gt;0),N(RIGHT([PAPEL],LEN([PAPEL])-(LEN([PAPEL])-1))="3"),[Rentabilidade s/ PL])/SUMPRODUCT(N([Rentabilidade s/ PL]&gt;0),N(RIGHT([PAPEL],LEN([PAPEL])-(LEN([PAPEL])-1))="3"))</f>
        <v>0.1261051308670782</v>
      </c>
      <c r="X85" s="18">
        <f>IF(Tabela3[[#This Row],[Dívida]]&gt;0,Tabela3[[#This Row],[Dívida]]/Tabela3[[#This Row],[Patrimônio Líquido]],0)</f>
        <v>1.8129794482247816</v>
      </c>
      <c r="Y85" s="18">
        <f>SUMPRODUCT(N([Dívida / PL]&gt;0),N(RIGHT([PAPEL],LEN([PAPEL])-(LEN([PAPEL])-1))="3"),[Dívida / PL])/SUMPRODUCT(N([Dívida / PL]&gt;0),N(RIGHT([PAPEL],LEN([PAPEL])-(LEN([PAPEL])-1))="3"))</f>
        <v>2.1510410379481146</v>
      </c>
      <c r="Z85" s="7">
        <f>Tabela3[[#This Row],[Capital Social]]*20%</f>
        <v>84336636.5</v>
      </c>
      <c r="AA85" s="47">
        <f>IF(([Lucro Líquido]*5%)&gt;[Teto R. Legal],[Teto R. Legal],[Lucro Líquido]*5%)</f>
        <v>20370200</v>
      </c>
      <c r="AB85" s="47">
        <f>IF([Lucro Líquido]&lt;0,0,[Lucro Líquido]-[Reserva Legal])</f>
        <v>387033800</v>
      </c>
      <c r="AC85" s="47">
        <f>Tabela3[[#This Row],[Lucro Distribuir]]*[%Div]</f>
        <v>96758450</v>
      </c>
      <c r="AD85" s="56">
        <f>SUMPRODUCT(N([Nome]=Tabela3[[#This Row],[Nome]]),[Ações])</f>
        <v>125894865</v>
      </c>
      <c r="AE85" s="85">
        <f>[Capital Social]/[Total Ações]</f>
        <v>3.3494867522992302</v>
      </c>
      <c r="AF85" s="85">
        <f>Tabela3[[#This Row],[Lucro Líquido]]/Tabela3[[#This Row],[Total Ações]]</f>
        <v>3.2360652676342281</v>
      </c>
      <c r="AG85" s="85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0.76856550106312915</v>
      </c>
      <c r="AH85" s="85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85" s="77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85" s="85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0.76856550106312915</v>
      </c>
      <c r="AK85" s="7">
        <f>[Div Base]*[Ações]</f>
        <v>96758450</v>
      </c>
      <c r="AL85" s="120">
        <f>SUMPRODUCT(N([Nome]=Tabela3[[#This Row],[Nome]]),[Div Base]*[Ações])</f>
        <v>96758450</v>
      </c>
      <c r="AM85" s="5">
        <f>[Patrimônio Líquido]/[Total Ações]</f>
        <v>11.861111253425626</v>
      </c>
      <c r="AN85" s="52">
        <f>MAX(Tabela3[[#This Row],[Cotação 1]:[Cotação 5]])</f>
        <v>56.65</v>
      </c>
      <c r="AO85" s="53">
        <f>[Cotação]/[VPA]</f>
        <v>4.7761123548722146</v>
      </c>
      <c r="AP85" s="37">
        <f>IF(Tabela3[[#This Row],[Lucro/Ação]]&gt;0,Tabela3[[#This Row],[Cotação]]/(Tabela3[[#This Row],[Lucro/Ação]]/[Ref]*4),0)</f>
        <v>17.505827390624539</v>
      </c>
      <c r="AQ85" s="85">
        <f>[Lucro Distribuir]/[Total Ações]</f>
        <v>3.0742620042525166</v>
      </c>
      <c r="AR85" s="85">
        <f>IF([Unit ON]&gt;0,SUMPRODUCT(N([Nome]=Tabela3[[#This Row],[Nome]]),N(RIGHT([PAPEL],1)="3"),[Div Base])*[Unit ON]+SUMPRODUCT(N([Nome]=Tabela3[[#This Row],[Nome]]),N(RIGHT([PAPEL],1)="4"),[Div Base])*[Unit PN],[Div Base])</f>
        <v>0.76856550106312915</v>
      </c>
      <c r="AS85" s="10" t="str">
        <f>IF(AND([% A.A.]&gt;=6%,SUMPRODUCT(N([Nome]=Tabela3[[#This Row],[Nome]]),[PL])&gt;0,[Rentabilidade s/ PL]&gt;=[Rentabilidade s/ PL Média]),"Sim","Não")</f>
        <v>Não</v>
      </c>
      <c r="AT85" s="22">
        <f>IF([Cotação]&gt;0,Tabela3[[#This Row],[Lucro]]/Tabela3[[#This Row],[Cotação]],0)</f>
        <v>1.356691087490078E-2</v>
      </c>
      <c r="AU85" s="22">
        <f>((1+Tabela3[[#This Row],[% Yield]])^(1/(3*Tabela3[[#This Row],[Ref]])))^(12)-1</f>
        <v>1.3566910874901028E-2</v>
      </c>
      <c r="AV85" s="10">
        <f>IF([Cotação]&gt;0,($BH$1/Tabela3[[#This Row],[Cotação]]-MOD($BH$1/Tabela3[[#This Row],[Cotação]],100)),)</f>
        <v>0</v>
      </c>
      <c r="AW85" s="7">
        <f>Tabela3[[#This Row],[Ativos]]*[Lucro]</f>
        <v>0</v>
      </c>
      <c r="AX85" s="7">
        <f>SUMPRODUCT(N(Tabela1[Código]=Tabela3[[#This Row],[PAPEL]]),Tabela1[Fechamento])</f>
        <v>0</v>
      </c>
      <c r="AY85" s="7">
        <f>SUMPRODUCT(N(Tabela17[Código]=Tabela3[[#This Row],[PAPEL]]),Tabela17[Fechamento])</f>
        <v>0</v>
      </c>
      <c r="AZ85" s="7">
        <f>SUMPRODUCT(N(Tabela176[Código]=Tabela3[[#This Row],[PAPEL]]),Tabela176[Fechamento])</f>
        <v>0</v>
      </c>
      <c r="BA85" s="7">
        <f>SUMPRODUCT(N(Tabela1768[Código]=Tabela3[[#This Row],[PAPEL]]),Tabela1768[Fechamento])</f>
        <v>56.65</v>
      </c>
      <c r="BB85" s="7">
        <f>SUMPRODUCT(N(Tabela17683[Código]=Tabela3[[#This Row],[PAPEL]]),Tabela17683[Fechamento])</f>
        <v>0</v>
      </c>
    </row>
    <row r="86" spans="1:54" hidden="1">
      <c r="A86" s="4" t="s">
        <v>257</v>
      </c>
      <c r="B86" s="58" t="s">
        <v>877</v>
      </c>
      <c r="C86" s="16" t="str">
        <f>LEFT([PAPEL],LEN([PAPEL])-(LEN([PAPEL])-4))</f>
        <v>MDIA</v>
      </c>
      <c r="D86" s="16">
        <v>3</v>
      </c>
      <c r="E86" s="5">
        <v>725607830.69000006</v>
      </c>
      <c r="F86" s="56">
        <v>113450000</v>
      </c>
      <c r="G86" s="81">
        <v>0.25</v>
      </c>
      <c r="H86" s="87"/>
      <c r="J86" s="18"/>
      <c r="K86" s="16"/>
      <c r="L86" s="87"/>
      <c r="M86" s="54"/>
      <c r="N86" s="54"/>
      <c r="O86" s="54"/>
      <c r="P86" s="91">
        <v>2754410000</v>
      </c>
      <c r="Q86" s="73">
        <v>392611000</v>
      </c>
      <c r="R86" s="73">
        <f>IF(Tabela3[[#This Row],[Ativo || Passivo]]&gt;0,Tabela3[[#This Row],[Ativo || Passivo]]-Tabela3[[#This Row],[Patrimônio Líquido]],0)</f>
        <v>0</v>
      </c>
      <c r="S86" s="73">
        <f>Tabela3[[#This Row],[Cotação]]*Tabela3[[#This Row],[Total Ações]]</f>
        <v>0</v>
      </c>
      <c r="T86" s="37">
        <f>IF(Tabela3[[#This Row],[Passivo Circulante]]&gt;0,Tabela3[[#This Row],[Ativo Circulante]]/Tabela3[[#This Row],[Passivo Circulante]],0)</f>
        <v>0</v>
      </c>
      <c r="U86" s="37">
        <f>SUMPRODUCT(N([Liquidez Corrente]&gt;0),N(RIGHT([PAPEL],LEN([PAPEL])-(LEN([PAPEL])-1))="3"),[Liquidez Corrente])/SUMPRODUCT(N([Liquidez Corrente]&gt;0),N(RIGHT([PAPEL],LEN([PAPEL])-(LEN([PAPEL])-1))="3"))</f>
        <v>2.331224473064915</v>
      </c>
      <c r="V86" s="18">
        <f>IF(Tabela3[[#This Row],[Lucro Líquido]]&gt;0,Tabela3[[#This Row],[Lucro Líquido]]/Tabela3[[#This Row],[Patrimônio Líquido]],0)</f>
        <v>0.14253905555091653</v>
      </c>
      <c r="W86" s="18">
        <f>SUMPRODUCT(N([Rentabilidade s/ PL]&gt;0),N(RIGHT([PAPEL],LEN([PAPEL])-(LEN([PAPEL])-1))="3"),[Rentabilidade s/ PL])/SUMPRODUCT(N([Rentabilidade s/ PL]&gt;0),N(RIGHT([PAPEL],LEN([PAPEL])-(LEN([PAPEL])-1))="3"))</f>
        <v>0.1261051308670782</v>
      </c>
      <c r="X86" s="18">
        <f>IF(Tabela3[[#This Row],[Dívida]]&gt;0,Tabela3[[#This Row],[Dívida]]/Tabela3[[#This Row],[Patrimônio Líquido]],0)</f>
        <v>0</v>
      </c>
      <c r="Y86" s="18">
        <f>SUMPRODUCT(N([Dívida / PL]&gt;0),N(RIGHT([PAPEL],LEN([PAPEL])-(LEN([PAPEL])-1))="3"),[Dívida / PL])/SUMPRODUCT(N([Dívida / PL]&gt;0),N(RIGHT([PAPEL],LEN([PAPEL])-(LEN([PAPEL])-1))="3"))</f>
        <v>2.1510410379481146</v>
      </c>
      <c r="Z86" s="7">
        <f>Tabela3[[#This Row],[Capital Social]]*20%</f>
        <v>145121566.13800001</v>
      </c>
      <c r="AA86" s="47">
        <f>IF(([Lucro Líquido]*5%)&gt;[Teto R. Legal],[Teto R. Legal],[Lucro Líquido]*5%)</f>
        <v>19630550</v>
      </c>
      <c r="AB86" s="47">
        <f>IF([Lucro Líquido]&lt;0,0,[Lucro Líquido]-[Reserva Legal])</f>
        <v>372980450</v>
      </c>
      <c r="AC86" s="47">
        <f>Tabela3[[#This Row],[Lucro Distribuir]]*[%Div]</f>
        <v>93245112.5</v>
      </c>
      <c r="AD86" s="56">
        <f>SUMPRODUCT(N([Nome]=Tabela3[[#This Row],[Nome]]),[Ações])</f>
        <v>113450000</v>
      </c>
      <c r="AE86" s="85">
        <f>[Capital Social]/[Total Ações]</f>
        <v>6.3958380845306309</v>
      </c>
      <c r="AF86" s="85">
        <f>Tabela3[[#This Row],[Lucro Líquido]]/Tabela3[[#This Row],[Total Ações]]</f>
        <v>3.4606522697223445</v>
      </c>
      <c r="AG86" s="85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0.82190491405905686</v>
      </c>
      <c r="AH86" s="85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86" s="77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86" s="85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0.82190491405905686</v>
      </c>
      <c r="AK86" s="7">
        <f>[Div Base]*[Ações]</f>
        <v>93245112.5</v>
      </c>
      <c r="AL86" s="7">
        <f>SUMPRODUCT(N([Nome]=Tabela3[[#This Row],[Nome]]),[Div Base]*[Ações])</f>
        <v>93245112.5</v>
      </c>
      <c r="AM86" s="5">
        <f>[Patrimônio Líquido]/[Total Ações]</f>
        <v>24.278624944909652</v>
      </c>
      <c r="AN86" s="52">
        <f>MAX(Tabela3[[#This Row],[Cotação 1]:[Cotação 5]])</f>
        <v>0</v>
      </c>
      <c r="AO86" s="53">
        <f>[Cotação]/[VPA]</f>
        <v>0</v>
      </c>
      <c r="AP86" s="37">
        <f>IF(Tabela3[[#This Row],[Lucro/Ação]]&gt;0,Tabela3[[#This Row],[Cotação]]/(Tabela3[[#This Row],[Lucro/Ação]]/[Ref]*4),0)</f>
        <v>0</v>
      </c>
      <c r="AQ86" s="85">
        <f>[Lucro Distribuir]/[Total Ações]</f>
        <v>3.2876196562362274</v>
      </c>
      <c r="AR86" s="85">
        <f>IF([Unit ON]&gt;0,SUMPRODUCT(N([Nome]=Tabela3[[#This Row],[Nome]]),N(RIGHT([PAPEL],1)="3"),[Div Base])*[Unit ON]+SUMPRODUCT(N([Nome]=Tabela3[[#This Row],[Nome]]),N(RIGHT([PAPEL],1)="4"),[Div Base])*[Unit PN],[Div Base])</f>
        <v>0.82190491405905686</v>
      </c>
      <c r="AS86" s="10" t="str">
        <f>IF(AND([% A.A.]&gt;=6%,SUMPRODUCT(N([Nome]=Tabela3[[#This Row],[Nome]]),[PL])&gt;0,[Rentabilidade s/ PL]&gt;=[Rentabilidade s/ PL Média]),"Sim","Não")</f>
        <v>Não</v>
      </c>
      <c r="AT86" s="22">
        <f>IF([Cotação]&gt;0,Tabela3[[#This Row],[Lucro]]/Tabela3[[#This Row],[Cotação]],0)</f>
        <v>0</v>
      </c>
      <c r="AU86" s="22">
        <f>((1+Tabela3[[#This Row],[% Yield]])^(1/(3*Tabela3[[#This Row],[Ref]])))^(12)-1</f>
        <v>0</v>
      </c>
      <c r="AV86" s="10">
        <f>IF([Cotação]&gt;0,($BH$1/Tabela3[[#This Row],[Cotação]]-MOD($BH$1/Tabela3[[#This Row],[Cotação]],100)),)</f>
        <v>0</v>
      </c>
      <c r="AW86" s="7">
        <f>Tabela3[[#This Row],[Ativos]]*[Lucro]</f>
        <v>0</v>
      </c>
      <c r="AX86" s="7">
        <f>SUMPRODUCT(N(Tabela1[Código]=Tabela3[[#This Row],[PAPEL]]),Tabela1[Fechamento])</f>
        <v>0</v>
      </c>
      <c r="AY86" s="7">
        <f>SUMPRODUCT(N(Tabela17[Código]=Tabela3[[#This Row],[PAPEL]]),Tabela17[Fechamento])</f>
        <v>0</v>
      </c>
      <c r="AZ86" s="7">
        <f>SUMPRODUCT(N(Tabela176[Código]=Tabela3[[#This Row],[PAPEL]]),Tabela176[Fechamento])</f>
        <v>0</v>
      </c>
      <c r="BA86" s="7">
        <f>SUMPRODUCT(N(Tabela1768[Código]=Tabela3[[#This Row],[PAPEL]]),Tabela1768[Fechamento])</f>
        <v>0</v>
      </c>
      <c r="BB86" s="7">
        <f>SUMPRODUCT(N(Tabela17683[Código]=Tabela3[[#This Row],[PAPEL]]),Tabela17683[Fechamento])</f>
        <v>0</v>
      </c>
    </row>
    <row r="87" spans="1:54" hidden="1">
      <c r="A87" s="4" t="s">
        <v>238</v>
      </c>
      <c r="B87" s="57" t="s">
        <v>617</v>
      </c>
      <c r="C87" s="15" t="str">
        <f>LEFT([PAPEL],LEN([PAPEL])-(LEN([PAPEL])-4))</f>
        <v>GOAU</v>
      </c>
      <c r="D87" s="15">
        <v>3</v>
      </c>
      <c r="E87" s="6">
        <v>6900000000</v>
      </c>
      <c r="F87" s="8">
        <v>137618994</v>
      </c>
      <c r="G87" s="86">
        <v>0</v>
      </c>
      <c r="H87" s="15"/>
      <c r="I87" s="19"/>
      <c r="J87" s="19"/>
      <c r="K87" s="88"/>
      <c r="L87" s="88"/>
      <c r="M87" s="55"/>
      <c r="N87" s="55"/>
      <c r="O87" s="55"/>
      <c r="P87" s="92">
        <v>10689802000</v>
      </c>
      <c r="Q87" s="93">
        <v>374359000</v>
      </c>
      <c r="R87" s="93">
        <f>IF(Tabela3[[#This Row],[Ativo || Passivo]]&gt;0,Tabela3[[#This Row],[Ativo || Passivo]]-Tabela3[[#This Row],[Patrimônio Líquido]],0)</f>
        <v>0</v>
      </c>
      <c r="S87" s="93">
        <f>Tabela3[[#This Row],[Cotação]]*Tabela3[[#This Row],[Total Ações]]</f>
        <v>6293393454.5</v>
      </c>
      <c r="T87" s="40">
        <f>IF(Tabela3[[#This Row],[Passivo Circulante]]&gt;0,Tabela3[[#This Row],[Ativo Circulante]]/Tabela3[[#This Row],[Passivo Circulante]],0)</f>
        <v>0</v>
      </c>
      <c r="U87" s="40">
        <f>SUMPRODUCT(N([Liquidez Corrente]&gt;0),N(RIGHT([PAPEL],LEN([PAPEL])-(LEN([PAPEL])-1))="3"),[Liquidez Corrente])/SUMPRODUCT(N([Liquidez Corrente]&gt;0),N(RIGHT([PAPEL],LEN([PAPEL])-(LEN([PAPEL])-1))="3"))</f>
        <v>2.331224473064915</v>
      </c>
      <c r="V87" s="19">
        <f>IF(Tabela3[[#This Row],[Lucro Líquido]]&gt;0,Tabela3[[#This Row],[Lucro Líquido]]/Tabela3[[#This Row],[Patrimônio Líquido]],0)</f>
        <v>3.502019962577417E-2</v>
      </c>
      <c r="W87" s="19">
        <f>SUMPRODUCT(N([Rentabilidade s/ PL]&gt;0),N(RIGHT([PAPEL],LEN([PAPEL])-(LEN([PAPEL])-1))="3"),[Rentabilidade s/ PL])/SUMPRODUCT(N([Rentabilidade s/ PL]&gt;0),N(RIGHT([PAPEL],LEN([PAPEL])-(LEN([PAPEL])-1))="3"))</f>
        <v>0.1261051308670782</v>
      </c>
      <c r="X87" s="19">
        <f>IF(Tabela3[[#This Row],[Dívida]]&gt;0,Tabela3[[#This Row],[Dívida]]/Tabela3[[#This Row],[Patrimônio Líquido]],0)</f>
        <v>0</v>
      </c>
      <c r="Y87" s="19">
        <f>SUMPRODUCT(N([Dívida / PL]&gt;0),N(RIGHT([PAPEL],LEN([PAPEL])-(LEN([PAPEL])-1))="3"),[Dívida / PL])/SUMPRODUCT(N([Dívida / PL]&gt;0),N(RIGHT([PAPEL],LEN([PAPEL])-(LEN([PAPEL])-1))="3"))</f>
        <v>2.1510410379481146</v>
      </c>
      <c r="Z87" s="13">
        <f>Tabela3[[#This Row],[Capital Social]]*20%</f>
        <v>1380000000</v>
      </c>
      <c r="AA87" s="13">
        <f>IF(([Lucro Líquido]*5%)&gt;[Teto R. Legal],[Teto R. Legal],[Lucro Líquido]*5%)</f>
        <v>18717950</v>
      </c>
      <c r="AB87" s="13">
        <f>IF([Lucro Líquido]&lt;0,0,[Lucro Líquido]-[Reserva Legal])</f>
        <v>355641050</v>
      </c>
      <c r="AC87" s="13">
        <f>Tabela3[[#This Row],[Lucro Distribuir]]*[%Div]</f>
        <v>0</v>
      </c>
      <c r="AD87" s="56">
        <f>SUMPRODUCT(N([Nome]=Tabela3[[#This Row],[Nome]]),[Ações])</f>
        <v>412681538</v>
      </c>
      <c r="AE87" s="6">
        <f>[Capital Social]/[Total Ações]</f>
        <v>16.719914424667092</v>
      </c>
      <c r="AF87" s="78">
        <f>Tabela3[[#This Row],[Lucro Líquido]]/Tabela3[[#This Row],[Total Ações]]</f>
        <v>0.90713774552231119</v>
      </c>
      <c r="AG87" s="78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</v>
      </c>
      <c r="AH87" s="78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87" s="78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87" s="78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</v>
      </c>
      <c r="AK87" s="13">
        <f>[Div Base]*[Ações]</f>
        <v>0</v>
      </c>
      <c r="AL87" s="13">
        <f>SUMPRODUCT(N([Nome]=Tabela3[[#This Row],[Nome]]),[Div Base]*[Ações])</f>
        <v>106692315</v>
      </c>
      <c r="AM87" s="6">
        <f>[Patrimônio Líquido]/[Total Ações]</f>
        <v>25.903271689367408</v>
      </c>
      <c r="AN87" s="48">
        <f>MAX(Tabela3[[#This Row],[Cotação 1]:[Cotação 5]])</f>
        <v>15.25</v>
      </c>
      <c r="AO87" s="44">
        <f>[Cotação]/[VPA]</f>
        <v>0.58872872056002534</v>
      </c>
      <c r="AP87" s="40">
        <f>IF(Tabela3[[#This Row],[Lucro/Ação]]&gt;0,Tabela3[[#This Row],[Cotação]]/(Tabela3[[#This Row],[Lucro/Ação]]/[Ref]*4),0)</f>
        <v>12.608338762725085</v>
      </c>
      <c r="AQ87" s="78">
        <f>[Lucro Distribuir]/[Total Ações]</f>
        <v>0.86178085824619566</v>
      </c>
      <c r="AR87" s="78">
        <f>IF([Unit ON]&gt;0,SUMPRODUCT(N([Nome]=Tabela3[[#This Row],[Nome]]),N(RIGHT([PAPEL],1)="3"),[Div Base])*[Unit ON]+SUMPRODUCT(N([Nome]=Tabela3[[#This Row],[Nome]]),N(RIGHT([PAPEL],1)="4"),[Div Base])*[Unit PN],[Div Base])</f>
        <v>0</v>
      </c>
      <c r="AS87" s="14" t="str">
        <f>IF(AND([% A.A.]&gt;=6%,SUMPRODUCT(N([Nome]=Tabela3[[#This Row],[Nome]]),[PL])&gt;0,[Rentabilidade s/ PL]&gt;=[Rentabilidade s/ PL Média]),"Sim","Não")</f>
        <v>Não</v>
      </c>
      <c r="AT87" s="42">
        <f>IF([Cotação]&gt;0,Tabela3[[#This Row],[Lucro]]/Tabela3[[#This Row],[Cotação]],0)</f>
        <v>0</v>
      </c>
      <c r="AU87" s="42">
        <f>((1+Tabela3[[#This Row],[% Yield]])^(1/(3*Tabela3[[#This Row],[Ref]])))^(12)-1</f>
        <v>0</v>
      </c>
      <c r="AV87" s="14">
        <f>IF([Cotação]&gt;0,($BH$1/Tabela3[[#This Row],[Cotação]]-MOD($BH$1/Tabela3[[#This Row],[Cotação]],100)),)</f>
        <v>0</v>
      </c>
      <c r="AW87" s="17">
        <f>Tabela3[[#This Row],[Ativos]]*[Lucro]</f>
        <v>0</v>
      </c>
      <c r="AX87" s="17">
        <f>SUMPRODUCT(N(Tabela1[Código]=Tabela3[[#This Row],[PAPEL]]),Tabela1[Fechamento])</f>
        <v>0</v>
      </c>
      <c r="AY87" s="17">
        <f>SUMPRODUCT(N(Tabela17[Código]=Tabela3[[#This Row],[PAPEL]]),Tabela17[Fechamento])</f>
        <v>0</v>
      </c>
      <c r="AZ87" s="17">
        <f>SUMPRODUCT(N(Tabela176[Código]=Tabela3[[#This Row],[PAPEL]]),Tabela176[Fechamento])</f>
        <v>15.25</v>
      </c>
      <c r="BA87" s="17">
        <f>SUMPRODUCT(N(Tabela1768[Código]=Tabela3[[#This Row],[PAPEL]]),Tabela1768[Fechamento])</f>
        <v>0</v>
      </c>
      <c r="BB87" s="7">
        <f>SUMPRODUCT(N(Tabela17683[Código]=Tabela3[[#This Row],[PAPEL]]),Tabela17683[Fechamento])</f>
        <v>0</v>
      </c>
    </row>
    <row r="88" spans="1:54" hidden="1">
      <c r="A88" s="4" t="s">
        <v>238</v>
      </c>
      <c r="B88" s="57" t="s">
        <v>618</v>
      </c>
      <c r="C88" s="15" t="str">
        <f>LEFT([PAPEL],LEN([PAPEL])-(LEN([PAPEL])-4))</f>
        <v>GOAU</v>
      </c>
      <c r="D88" s="15">
        <v>3</v>
      </c>
      <c r="E88" s="6">
        <v>6900000000</v>
      </c>
      <c r="F88" s="8">
        <v>275062544</v>
      </c>
      <c r="G88" s="86">
        <v>0.3</v>
      </c>
      <c r="H88" s="15"/>
      <c r="I88" s="19"/>
      <c r="J88" s="19"/>
      <c r="K88" s="88"/>
      <c r="L88" s="88"/>
      <c r="M88" s="55"/>
      <c r="N88" s="55"/>
      <c r="O88" s="55"/>
      <c r="P88" s="92">
        <v>10689802000</v>
      </c>
      <c r="Q88" s="93">
        <v>374359000</v>
      </c>
      <c r="R88" s="93">
        <f>IF(Tabela3[[#This Row],[Ativo || Passivo]]&gt;0,Tabela3[[#This Row],[Ativo || Passivo]]-Tabela3[[#This Row],[Patrimônio Líquido]],0)</f>
        <v>0</v>
      </c>
      <c r="S88" s="93">
        <f>Tabela3[[#This Row],[Cotação]]*Tabela3[[#This Row],[Total Ações]]</f>
        <v>7704764314.460001</v>
      </c>
      <c r="T88" s="40">
        <f>IF(Tabela3[[#This Row],[Passivo Circulante]]&gt;0,Tabela3[[#This Row],[Ativo Circulante]]/Tabela3[[#This Row],[Passivo Circulante]],0)</f>
        <v>0</v>
      </c>
      <c r="U88" s="40">
        <f>SUMPRODUCT(N([Liquidez Corrente]&gt;0),N(RIGHT([PAPEL],LEN([PAPEL])-(LEN([PAPEL])-1))="3"),[Liquidez Corrente])/SUMPRODUCT(N([Liquidez Corrente]&gt;0),N(RIGHT([PAPEL],LEN([PAPEL])-(LEN([PAPEL])-1))="3"))</f>
        <v>2.331224473064915</v>
      </c>
      <c r="V88" s="19">
        <f>IF(Tabela3[[#This Row],[Lucro Líquido]]&gt;0,Tabela3[[#This Row],[Lucro Líquido]]/Tabela3[[#This Row],[Patrimônio Líquido]],0)</f>
        <v>3.502019962577417E-2</v>
      </c>
      <c r="W88" s="19">
        <f>SUMPRODUCT(N([Rentabilidade s/ PL]&gt;0),N(RIGHT([PAPEL],LEN([PAPEL])-(LEN([PAPEL])-1))="3"),[Rentabilidade s/ PL])/SUMPRODUCT(N([Rentabilidade s/ PL]&gt;0),N(RIGHT([PAPEL],LEN([PAPEL])-(LEN([PAPEL])-1))="3"))</f>
        <v>0.1261051308670782</v>
      </c>
      <c r="X88" s="19">
        <f>IF(Tabela3[[#This Row],[Dívida]]&gt;0,Tabela3[[#This Row],[Dívida]]/Tabela3[[#This Row],[Patrimônio Líquido]],0)</f>
        <v>0</v>
      </c>
      <c r="Y88" s="19">
        <f>SUMPRODUCT(N([Dívida / PL]&gt;0),N(RIGHT([PAPEL],LEN([PAPEL])-(LEN([PAPEL])-1))="3"),[Dívida / PL])/SUMPRODUCT(N([Dívida / PL]&gt;0),N(RIGHT([PAPEL],LEN([PAPEL])-(LEN([PAPEL])-1))="3"))</f>
        <v>2.1510410379481146</v>
      </c>
      <c r="Z88" s="13">
        <f>Tabela3[[#This Row],[Capital Social]]*20%</f>
        <v>1380000000</v>
      </c>
      <c r="AA88" s="13">
        <f>IF(([Lucro Líquido]*5%)&gt;[Teto R. Legal],[Teto R. Legal],[Lucro Líquido]*5%)</f>
        <v>18717950</v>
      </c>
      <c r="AB88" s="13">
        <f>IF([Lucro Líquido]&lt;0,0,[Lucro Líquido]-[Reserva Legal])</f>
        <v>355641050</v>
      </c>
      <c r="AC88" s="13">
        <f>Tabela3[[#This Row],[Lucro Distribuir]]*[%Div]</f>
        <v>106692315</v>
      </c>
      <c r="AD88" s="56">
        <f>SUMPRODUCT(N([Nome]=Tabela3[[#This Row],[Nome]]),[Ações])</f>
        <v>412681538</v>
      </c>
      <c r="AE88" s="6">
        <f>[Capital Social]/[Total Ações]</f>
        <v>16.719914424667092</v>
      </c>
      <c r="AF88" s="78">
        <f>Tabela3[[#This Row],[Lucro Líquido]]/Tabela3[[#This Row],[Total Ações]]</f>
        <v>0.90713774552231119</v>
      </c>
      <c r="AG88" s="78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0.38788383706652552</v>
      </c>
      <c r="AH88" s="78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88" s="78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88" s="78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0.38788383706652552</v>
      </c>
      <c r="AK88" s="13">
        <f>[Div Base]*[Ações]</f>
        <v>106692315</v>
      </c>
      <c r="AL88" s="13">
        <f>SUMPRODUCT(N([Nome]=Tabela3[[#This Row],[Nome]]),[Div Base]*[Ações])</f>
        <v>106692315</v>
      </c>
      <c r="AM88" s="6">
        <f>[Patrimônio Líquido]/[Total Ações]</f>
        <v>25.903271689367408</v>
      </c>
      <c r="AN88" s="48">
        <f>MAX(Tabela3[[#This Row],[Cotação 1]:[Cotação 5]])</f>
        <v>18.670000000000002</v>
      </c>
      <c r="AO88" s="44">
        <f>[Cotação]/[VPA]</f>
        <v>0.7207583746134868</v>
      </c>
      <c r="AP88" s="40">
        <f>IF(Tabela3[[#This Row],[Lucro/Ação]]&gt;0,Tabela3[[#This Row],[Cotação]]/(Tabela3[[#This Row],[Lucro/Ação]]/[Ref]*4),0)</f>
        <v>15.435913750824744</v>
      </c>
      <c r="AQ88" s="78">
        <f>[Lucro Distribuir]/[Total Ações]</f>
        <v>0.86178085824619566</v>
      </c>
      <c r="AR88" s="78">
        <f>IF([Unit ON]&gt;0,SUMPRODUCT(N([Nome]=Tabela3[[#This Row],[Nome]]),N(RIGHT([PAPEL],1)="3"),[Div Base])*[Unit ON]+SUMPRODUCT(N([Nome]=Tabela3[[#This Row],[Nome]]),N(RIGHT([PAPEL],1)="4"),[Div Base])*[Unit PN],[Div Base])</f>
        <v>0.38788383706652552</v>
      </c>
      <c r="AS88" s="14" t="str">
        <f>IF(AND([% A.A.]&gt;=6%,SUMPRODUCT(N([Nome]=Tabela3[[#This Row],[Nome]]),[PL])&gt;0,[Rentabilidade s/ PL]&gt;=[Rentabilidade s/ PL Média]),"Sim","Não")</f>
        <v>Não</v>
      </c>
      <c r="AT88" s="42">
        <f>IF([Cotação]&gt;0,Tabela3[[#This Row],[Lucro]]/Tabela3[[#This Row],[Cotação]],0)</f>
        <v>2.077578131047271E-2</v>
      </c>
      <c r="AU88" s="42">
        <f>((1+Tabela3[[#This Row],[% Yield]])^(1/(3*Tabela3[[#This Row],[Ref]])))^(12)-1</f>
        <v>2.779652116283815E-2</v>
      </c>
      <c r="AV88" s="14">
        <f>IF([Cotação]&gt;0,($BH$1/Tabela3[[#This Row],[Cotação]]-MOD($BH$1/Tabela3[[#This Row],[Cotação]],100)),)</f>
        <v>0</v>
      </c>
      <c r="AW88" s="17">
        <f>Tabela3[[#This Row],[Ativos]]*[Lucro]</f>
        <v>0</v>
      </c>
      <c r="AX88" s="17">
        <f>SUMPRODUCT(N(Tabela1[Código]=Tabela3[[#This Row],[PAPEL]]),Tabela1[Fechamento])</f>
        <v>0</v>
      </c>
      <c r="AY88" s="17">
        <f>SUMPRODUCT(N(Tabela17[Código]=Tabela3[[#This Row],[PAPEL]]),Tabela17[Fechamento])</f>
        <v>0</v>
      </c>
      <c r="AZ88" s="17">
        <f>SUMPRODUCT(N(Tabela176[Código]=Tabela3[[#This Row],[PAPEL]]),Tabela176[Fechamento])</f>
        <v>18.670000000000002</v>
      </c>
      <c r="BA88" s="17">
        <f>SUMPRODUCT(N(Tabela1768[Código]=Tabela3[[#This Row],[PAPEL]]),Tabela1768[Fechamento])</f>
        <v>0</v>
      </c>
      <c r="BB88" s="7">
        <f>SUMPRODUCT(N(Tabela17683[Código]=Tabela3[[#This Row],[PAPEL]]),Tabela17683[Fechamento])</f>
        <v>0</v>
      </c>
    </row>
    <row r="89" spans="1:54">
      <c r="A89" s="3" t="s">
        <v>907</v>
      </c>
      <c r="B89" s="58" t="s">
        <v>912</v>
      </c>
      <c r="C89" s="16" t="str">
        <f>LEFT([PAPEL],LEN([PAPEL])-(LEN([PAPEL])-4))</f>
        <v>BMTO</v>
      </c>
      <c r="D89" s="16">
        <v>4</v>
      </c>
      <c r="E89" s="5">
        <v>577400000</v>
      </c>
      <c r="F89" s="56">
        <v>986060042</v>
      </c>
      <c r="G89" s="81">
        <v>0.25</v>
      </c>
      <c r="H89" s="87"/>
      <c r="J89" s="18"/>
      <c r="K89" s="16"/>
      <c r="L89" s="87"/>
      <c r="M89" s="54">
        <v>1067544000</v>
      </c>
      <c r="N89" s="54">
        <v>944000</v>
      </c>
      <c r="O89" s="54">
        <v>1139000</v>
      </c>
      <c r="P89" s="91">
        <v>1061800000</v>
      </c>
      <c r="Q89" s="73">
        <v>361449000</v>
      </c>
      <c r="R89" s="73">
        <f>IF(Tabela3[[#This Row],[Ativo || Passivo]]&gt;0,Tabela3[[#This Row],[Ativo || Passivo]]-Tabela3[[#This Row],[Patrimônio Líquido]],0)</f>
        <v>5744000</v>
      </c>
      <c r="S89" s="73">
        <f>Tabela3[[#This Row],[Cotação]]*Tabela3[[#This Row],[Total Ações]]</f>
        <v>2148333082.5</v>
      </c>
      <c r="T89" s="37">
        <f>IF(Tabela3[[#This Row],[Passivo Circulante]]&gt;0,Tabela3[[#This Row],[Ativo Circulante]]/Tabela3[[#This Row],[Passivo Circulante]],0)</f>
        <v>0.82879719051799827</v>
      </c>
      <c r="U89" s="37">
        <f>SUMPRODUCT(N([Liquidez Corrente]&gt;0),N(RIGHT([PAPEL],LEN([PAPEL])-(LEN([PAPEL])-1))="3"),[Liquidez Corrente])/SUMPRODUCT(N([Liquidez Corrente]&gt;0),N(RIGHT([PAPEL],LEN([PAPEL])-(LEN([PAPEL])-1))="3"))</f>
        <v>2.331224473064915</v>
      </c>
      <c r="V89" s="18">
        <f>IF(Tabela3[[#This Row],[Lucro Líquido]]&gt;0,Tabela3[[#This Row],[Lucro Líquido]]/Tabela3[[#This Row],[Patrimônio Líquido]],0)</f>
        <v>0.34041156526652855</v>
      </c>
      <c r="W89" s="18">
        <f>SUMPRODUCT(N([Rentabilidade s/ PL]&gt;0),N(RIGHT([PAPEL],LEN([PAPEL])-(LEN([PAPEL])-1))="3"),[Rentabilidade s/ PL])/SUMPRODUCT(N([Rentabilidade s/ PL]&gt;0),N(RIGHT([PAPEL],LEN([PAPEL])-(LEN([PAPEL])-1))="3"))</f>
        <v>0.1261051308670782</v>
      </c>
      <c r="X89" s="18">
        <f>IF(Tabela3[[#This Row],[Dívida]]&gt;0,Tabela3[[#This Row],[Dívida]]/Tabela3[[#This Row],[Patrimônio Líquido]],0)</f>
        <v>5.4096816726313807E-3</v>
      </c>
      <c r="Y89" s="18">
        <f>SUMPRODUCT(N([Dívida / PL]&gt;0),N(RIGHT([PAPEL],LEN([PAPEL])-(LEN([PAPEL])-1))="3"),[Dívida / PL])/SUMPRODUCT(N([Dívida / PL]&gt;0),N(RIGHT([PAPEL],LEN([PAPEL])-(LEN([PAPEL])-1))="3"))</f>
        <v>2.1510410379481146</v>
      </c>
      <c r="Z89" s="7">
        <f>Tabela3[[#This Row],[Capital Social]]*20%</f>
        <v>115480000</v>
      </c>
      <c r="AA89" s="47">
        <f>IF(([Lucro Líquido]*5%)&gt;[Teto R. Legal],[Teto R. Legal],[Lucro Líquido]*5%)</f>
        <v>18072450</v>
      </c>
      <c r="AB89" s="47">
        <f>IF([Lucro Líquido]&lt;0,0,[Lucro Líquido]-[Reserva Legal])</f>
        <v>343376550</v>
      </c>
      <c r="AC89" s="47">
        <f>Tabela3[[#This Row],[Lucro Distribuir]]*[%Div]</f>
        <v>85844137.5</v>
      </c>
      <c r="AD89" s="56">
        <f>SUMPRODUCT(N([Nome]=Tabela3[[#This Row],[Nome]]),[Ações])</f>
        <v>2864444110</v>
      </c>
      <c r="AE89" s="85">
        <f>[Capital Social]/[Total Ações]</f>
        <v>0.2015748877711564</v>
      </c>
      <c r="AF89" s="85">
        <f>Tabela3[[#This Row],[Lucro Líquido]]/Tabela3[[#This Row],[Total Ações]]</f>
        <v>0.12618469277796451</v>
      </c>
      <c r="AG89" s="85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2.9036419199485707E-2</v>
      </c>
      <c r="AH89" s="85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89" s="77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89" s="85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2.9036419199485707E-2</v>
      </c>
      <c r="AK89" s="7">
        <f>[Div Base]*[Ações]</f>
        <v>28631652.73537448</v>
      </c>
      <c r="AL89" s="7">
        <f>SUMPRODUCT(N([Nome]=Tabela3[[#This Row],[Nome]]),[Div Base]*[Ações])</f>
        <v>71613725.012087822</v>
      </c>
      <c r="AM89" s="5">
        <f>[Patrimônio Líquido]/[Total Ações]</f>
        <v>0.37068274304713178</v>
      </c>
      <c r="AN89" s="52">
        <f>MAX(Tabela3[[#This Row],[Cotação 1]:[Cotação 5]])</f>
        <v>0.75</v>
      </c>
      <c r="AO89" s="53">
        <f>[Cotação]/[VPA]</f>
        <v>2.0232935416274249</v>
      </c>
      <c r="AP89" s="37">
        <f>IF(Tabela3[[#This Row],[Lucro/Ação]]&gt;0,Tabela3[[#This Row],[Cotação]]/(Tabela3[[#This Row],[Lucro/Ação]]/[Ref]*4),0)</f>
        <v>5.9436686295991965</v>
      </c>
      <c r="AQ89" s="85">
        <f>[Lucro Distribuir]/[Total Ações]</f>
        <v>0.11987545813906629</v>
      </c>
      <c r="AR89" s="85">
        <f>IF([Unit ON]&gt;0,SUMPRODUCT(N([Nome]=Tabela3[[#This Row],[Nome]]),N(RIGHT([PAPEL],1)="3"),[Div Base])*[Unit ON]+SUMPRODUCT(N([Nome]=Tabela3[[#This Row],[Nome]]),N(RIGHT([PAPEL],1)="4"),[Div Base])*[Unit PN],[Div Base])</f>
        <v>2.9036419199485707E-2</v>
      </c>
      <c r="AS89" s="10" t="str">
        <f>IF(AND([% A.A.]&gt;=6%,SUMPRODUCT(N([Nome]=Tabela3[[#This Row],[Nome]]),[PL])&gt;0,[Rentabilidade s/ PL]&gt;=[Rentabilidade s/ PL Média]),"Sim","Não")</f>
        <v>Não</v>
      </c>
      <c r="AT89" s="22">
        <f>IF([Cotação]&gt;0,Tabela3[[#This Row],[Lucro]]/Tabela3[[#This Row],[Cotação]],0)</f>
        <v>3.8715225599314278E-2</v>
      </c>
      <c r="AU89" s="22">
        <f>((1+Tabela3[[#This Row],[% Yield]])^(1/(3*Tabela3[[#This Row],[Ref]])))^(12)-1</f>
        <v>3.871522559931484E-2</v>
      </c>
      <c r="AV89" s="10">
        <f>IF([Cotação]&gt;0,($BH$1/Tabela3[[#This Row],[Cotação]]-MOD($BH$1/Tabela3[[#This Row],[Cotação]],100)),)</f>
        <v>600</v>
      </c>
      <c r="AW89" s="7">
        <f>Tabela3[[#This Row],[Ativos]]*[Lucro]</f>
        <v>17.421851519691423</v>
      </c>
      <c r="AX89" s="7">
        <f>SUMPRODUCT(N(Tabela1[Código]=Tabela3[[#This Row],[PAPEL]]),Tabela1[Fechamento])</f>
        <v>0</v>
      </c>
      <c r="AY89" s="7">
        <f>SUMPRODUCT(N(Tabela17[Código]=Tabela3[[#This Row],[PAPEL]]),Tabela17[Fechamento])</f>
        <v>0</v>
      </c>
      <c r="AZ89" s="7">
        <f>SUMPRODUCT(N(Tabela176[Código]=Tabela3[[#This Row],[PAPEL]]),Tabela176[Fechamento])</f>
        <v>0</v>
      </c>
      <c r="BA89" s="7">
        <f>SUMPRODUCT(N(Tabela1768[Código]=Tabela3[[#This Row],[PAPEL]]),Tabela1768[Fechamento])</f>
        <v>0.75</v>
      </c>
      <c r="BB89" s="7">
        <f>SUMPRODUCT(N(Tabela17683[Código]=Tabela3[[#This Row],[PAPEL]]),Tabela17683[Fechamento])</f>
        <v>0</v>
      </c>
    </row>
    <row r="90" spans="1:54" hidden="1">
      <c r="A90" s="3" t="s">
        <v>1196</v>
      </c>
      <c r="B90" s="57" t="s">
        <v>1224</v>
      </c>
      <c r="C90" s="16" t="str">
        <f>LEFT([PAPEL],LEN([PAPEL])-(LEN([PAPEL])-4))</f>
        <v>MRVE</v>
      </c>
      <c r="D90" s="16">
        <v>3</v>
      </c>
      <c r="E90" s="5">
        <v>3197736059.7600002</v>
      </c>
      <c r="F90" s="56">
        <v>477221343</v>
      </c>
      <c r="G90" s="81">
        <v>0.25</v>
      </c>
      <c r="H90" s="87"/>
      <c r="J90" s="18"/>
      <c r="K90" s="16"/>
      <c r="L90" s="87"/>
      <c r="M90" s="54"/>
      <c r="N90" s="54"/>
      <c r="O90" s="54"/>
      <c r="P90" s="91">
        <v>4129362000</v>
      </c>
      <c r="Q90" s="73">
        <v>350720000</v>
      </c>
      <c r="R90" s="73">
        <f>IF(Tabela3[[#This Row],[Ativo || Passivo]]&gt;0,Tabela3[[#This Row],[Ativo || Passivo]]-Tabela3[[#This Row],[Patrimônio Líquido]],0)</f>
        <v>0</v>
      </c>
      <c r="S90" s="73">
        <f>Tabela3[[#This Row],[Cotação]]*Tabela3[[#This Row],[Total Ações]]</f>
        <v>3980026000.6199999</v>
      </c>
      <c r="T90" s="37">
        <f>IF(Tabela3[[#This Row],[Passivo Circulante]]&gt;0,Tabela3[[#This Row],[Ativo Circulante]]/Tabela3[[#This Row],[Passivo Circulante]],0)</f>
        <v>0</v>
      </c>
      <c r="U90" s="37">
        <f>SUMPRODUCT(N([Liquidez Corrente]&gt;0),N(RIGHT([PAPEL],LEN([PAPEL])-(LEN([PAPEL])-1))="3"),[Liquidez Corrente])/SUMPRODUCT(N([Liquidez Corrente]&gt;0),N(RIGHT([PAPEL],LEN([PAPEL])-(LEN([PAPEL])-1))="3"))</f>
        <v>2.331224473064915</v>
      </c>
      <c r="V90" s="18">
        <f>IF(Tabela3[[#This Row],[Lucro Líquido]]&gt;0,Tabela3[[#This Row],[Lucro Líquido]]/Tabela3[[#This Row],[Patrimônio Líquido]],0)</f>
        <v>8.4933217286350768E-2</v>
      </c>
      <c r="W90" s="18">
        <f>SUMPRODUCT(N([Rentabilidade s/ PL]&gt;0),N(RIGHT([PAPEL],LEN([PAPEL])-(LEN([PAPEL])-1))="3"),[Rentabilidade s/ PL])/SUMPRODUCT(N([Rentabilidade s/ PL]&gt;0),N(RIGHT([PAPEL],LEN([PAPEL])-(LEN([PAPEL])-1))="3"))</f>
        <v>0.1261051308670782</v>
      </c>
      <c r="X90" s="18">
        <f>IF(Tabela3[[#This Row],[Dívida]]&gt;0,Tabela3[[#This Row],[Dívida]]/Tabela3[[#This Row],[Patrimônio Líquido]],0)</f>
        <v>0</v>
      </c>
      <c r="Y90" s="18">
        <f>SUMPRODUCT(N([Dívida / PL]&gt;0),N(RIGHT([PAPEL],LEN([PAPEL])-(LEN([PAPEL])-1))="3"),[Dívida / PL])/SUMPRODUCT(N([Dívida / PL]&gt;0),N(RIGHT([PAPEL],LEN([PAPEL])-(LEN([PAPEL])-1))="3"))</f>
        <v>2.1510410379481146</v>
      </c>
      <c r="Z90" s="7">
        <f>Tabela3[[#This Row],[Capital Social]]*20%</f>
        <v>639547211.95200002</v>
      </c>
      <c r="AA90" s="47">
        <f>IF(([Lucro Líquido]*5%)&gt;[Teto R. Legal],[Teto R. Legal],[Lucro Líquido]*5%)</f>
        <v>17536000</v>
      </c>
      <c r="AB90" s="47">
        <f>IF([Lucro Líquido]&lt;0,0,[Lucro Líquido]-[Reserva Legal])</f>
        <v>333184000</v>
      </c>
      <c r="AC90" s="47">
        <f>Tabela3[[#This Row],[Lucro Distribuir]]*[%Div]</f>
        <v>83296000</v>
      </c>
      <c r="AD90" s="56">
        <f>SUMPRODUCT(N([Nome]=Tabela3[[#This Row],[Nome]]),[Ações])</f>
        <v>477221343</v>
      </c>
      <c r="AE90" s="85">
        <f>[Capital Social]/[Total Ações]</f>
        <v>6.700739827891562</v>
      </c>
      <c r="AF90" s="85">
        <f>Tabela3[[#This Row],[Lucro Líquido]]/Tabela3[[#This Row],[Total Ações]]</f>
        <v>0.73492102803960302</v>
      </c>
      <c r="AG90" s="85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0.17454374415940571</v>
      </c>
      <c r="AH90" s="85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90" s="77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90" s="85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0.17454374415940571</v>
      </c>
      <c r="AK90" s="7">
        <f>[Div Base]*[Ações]</f>
        <v>83296000</v>
      </c>
      <c r="AL90" s="120">
        <f>SUMPRODUCT(N([Nome]=Tabela3[[#This Row],[Nome]]),[Div Base]*[Ações])</f>
        <v>83296000</v>
      </c>
      <c r="AM90" s="5">
        <f>[Patrimônio Líquido]/[Total Ações]</f>
        <v>8.6529281654529857</v>
      </c>
      <c r="AN90" s="52">
        <f>MAX(Tabela3[[#This Row],[Cotação 1]:[Cotação 5]])</f>
        <v>8.34</v>
      </c>
      <c r="AO90" s="53">
        <f>[Cotação]/[VPA]</f>
        <v>0.96383557571847656</v>
      </c>
      <c r="AP90" s="37">
        <f>IF(Tabela3[[#This Row],[Lucro/Ação]]&gt;0,Tabela3[[#This Row],[Cotação]]/(Tabela3[[#This Row],[Lucro/Ação]]/[Ref]*4),0)</f>
        <v>8.5111185574389818</v>
      </c>
      <c r="AQ90" s="85">
        <f>[Lucro Distribuir]/[Total Ações]</f>
        <v>0.69817497663762285</v>
      </c>
      <c r="AR90" s="85">
        <f>IF([Unit ON]&gt;0,SUMPRODUCT(N([Nome]=Tabela3[[#This Row],[Nome]]),N(RIGHT([PAPEL],1)="3"),[Div Base])*[Unit ON]+SUMPRODUCT(N([Nome]=Tabela3[[#This Row],[Nome]]),N(RIGHT([PAPEL],1)="4"),[Div Base])*[Unit PN],[Div Base])</f>
        <v>0.17454374415940571</v>
      </c>
      <c r="AS90" s="10" t="str">
        <f>IF(AND([% A.A.]&gt;=6%,SUMPRODUCT(N([Nome]=Tabela3[[#This Row],[Nome]]),[PL])&gt;0,[Rentabilidade s/ PL]&gt;=[Rentabilidade s/ PL Média]),"Sim","Não")</f>
        <v>Não</v>
      </c>
      <c r="AT90" s="22">
        <f>IF([Cotação]&gt;0,Tabela3[[#This Row],[Lucro]]/Tabela3[[#This Row],[Cotação]],0)</f>
        <v>2.0928506493933539E-2</v>
      </c>
      <c r="AU90" s="22">
        <f>((1+Tabela3[[#This Row],[% Yield]])^(1/(3*Tabela3[[#This Row],[Ref]])))^(12)-1</f>
        <v>2.8001560414006477E-2</v>
      </c>
      <c r="AV90" s="10">
        <f>IF([Cotação]&gt;0,($BH$1/Tabela3[[#This Row],[Cotação]]-MOD($BH$1/Tabela3[[#This Row],[Cotação]],100)),)</f>
        <v>0</v>
      </c>
      <c r="AW90" s="7">
        <f>Tabela3[[#This Row],[Ativos]]*[Lucro]</f>
        <v>0</v>
      </c>
      <c r="AX90" s="7">
        <f>SUMPRODUCT(N(Tabela1[Código]=Tabela3[[#This Row],[PAPEL]]),Tabela1[Fechamento])</f>
        <v>0</v>
      </c>
      <c r="AY90" s="7">
        <f>SUMPRODUCT(N(Tabela17[Código]=Tabela3[[#This Row],[PAPEL]]),Tabela17[Fechamento])</f>
        <v>0</v>
      </c>
      <c r="AZ90" s="7">
        <f>SUMPRODUCT(N(Tabela176[Código]=Tabela3[[#This Row],[PAPEL]]),Tabela176[Fechamento])</f>
        <v>0</v>
      </c>
      <c r="BA90" s="7">
        <f>SUMPRODUCT(N(Tabela1768[Código]=Tabela3[[#This Row],[PAPEL]]),Tabela1768[Fechamento])</f>
        <v>8.34</v>
      </c>
      <c r="BB90" s="7">
        <f>SUMPRODUCT(N(Tabela17683[Código]=Tabela3[[#This Row],[PAPEL]]),Tabela17683[Fechamento])</f>
        <v>0</v>
      </c>
    </row>
    <row r="91" spans="1:54" hidden="1">
      <c r="A91" s="24" t="s">
        <v>40</v>
      </c>
      <c r="B91" s="57" t="s">
        <v>428</v>
      </c>
      <c r="C91" s="84" t="str">
        <f>LEFT([PAPEL],LEN([PAPEL])-(LEN([PAPEL])-4))</f>
        <v>UNIP</v>
      </c>
      <c r="D91" s="15">
        <v>3</v>
      </c>
      <c r="E91" s="6">
        <v>384330953.12</v>
      </c>
      <c r="F91" s="8">
        <v>278500690</v>
      </c>
      <c r="G91" s="86">
        <v>0.25</v>
      </c>
      <c r="H91" s="15"/>
      <c r="I91" s="19"/>
      <c r="J91" s="19"/>
      <c r="K91" s="88"/>
      <c r="L91" s="88"/>
      <c r="M91" s="13">
        <v>1728469000</v>
      </c>
      <c r="N91" s="13">
        <v>380787000</v>
      </c>
      <c r="O91" s="13">
        <v>247703000</v>
      </c>
      <c r="P91" s="28">
        <v>740932000</v>
      </c>
      <c r="Q91" s="28">
        <v>342727000</v>
      </c>
      <c r="R91" s="28">
        <f>IF(Tabela3[[#This Row],[Ativo || Passivo]]&gt;0,Tabela3[[#This Row],[Ativo || Passivo]]-Tabela3[[#This Row],[Patrimônio Líquido]],0)</f>
        <v>987537000</v>
      </c>
      <c r="S91" s="128">
        <f>Tabela3[[#This Row],[Cotação]]*Tabela3[[#This Row],[Total Ações]]</f>
        <v>492946222.47999996</v>
      </c>
      <c r="T91" s="131">
        <f>IF(Tabela3[[#This Row],[Passivo Circulante]]&gt;0,Tabela3[[#This Row],[Ativo Circulante]]/Tabela3[[#This Row],[Passivo Circulante]],0)</f>
        <v>1.5372724593565681</v>
      </c>
      <c r="U91" s="131">
        <f>SUMPRODUCT(N([Liquidez Corrente]&gt;0),N(RIGHT([PAPEL],LEN([PAPEL])-(LEN([PAPEL])-1))="3"),[Liquidez Corrente])/SUMPRODUCT(N([Liquidez Corrente]&gt;0),N(RIGHT([PAPEL],LEN([PAPEL])-(LEN([PAPEL])-1))="3"))</f>
        <v>2.331224473064915</v>
      </c>
      <c r="V91" s="49">
        <f>IF(Tabela3[[#This Row],[Lucro Líquido]]&gt;0,Tabela3[[#This Row],[Lucro Líquido]]/Tabela3[[#This Row],[Patrimônio Líquido]],0)</f>
        <v>0.46256201648734296</v>
      </c>
      <c r="W91" s="49">
        <f>SUMPRODUCT(N([Rentabilidade s/ PL]&gt;0),N(RIGHT([PAPEL],LEN([PAPEL])-(LEN([PAPEL])-1))="3"),[Rentabilidade s/ PL])/SUMPRODUCT(N([Rentabilidade s/ PL]&gt;0),N(RIGHT([PAPEL],LEN([PAPEL])-(LEN([PAPEL])-1))="3"))</f>
        <v>0.1261051308670782</v>
      </c>
      <c r="X91" s="49">
        <f>IF(Tabela3[[#This Row],[Dívida]]&gt;0,Tabela3[[#This Row],[Dívida]]/Tabela3[[#This Row],[Patrimônio Líquido]],0)</f>
        <v>1.3328308130840616</v>
      </c>
      <c r="Y91" s="49">
        <f>SUMPRODUCT(N([Dívida / PL]&gt;0),N(RIGHT([PAPEL],LEN([PAPEL])-(LEN([PAPEL])-1))="3"),[Dívida / PL])/SUMPRODUCT(N([Dívida / PL]&gt;0),N(RIGHT([PAPEL],LEN([PAPEL])-(LEN([PAPEL])-1))="3"))</f>
        <v>2.1510410379481146</v>
      </c>
      <c r="Z91" s="13">
        <f>Tabela3[[#This Row],[Capital Social]]*20%</f>
        <v>76866190.623999998</v>
      </c>
      <c r="AA91" s="13">
        <f>IF(([Lucro Líquido]*5%)&gt;[Teto R. Legal],[Teto R. Legal],[Lucro Líquido]*5%)</f>
        <v>17136350</v>
      </c>
      <c r="AB91" s="13">
        <f>IF([Lucro Líquido]&lt;0,0,[Lucro Líquido]-[Reserva Legal])</f>
        <v>325590650</v>
      </c>
      <c r="AC91" s="13">
        <f>Tabela3[[#This Row],[Lucro Distribuir]]*[%Div]</f>
        <v>81397662.5</v>
      </c>
      <c r="AD91" s="21">
        <f>SUMPRODUCT(N([Nome]=Tabela3[[#This Row],[Nome]]),[Ações])</f>
        <v>835502072</v>
      </c>
      <c r="AE91" s="5">
        <f>[Capital Social]/[Total Ações]</f>
        <v>0.46</v>
      </c>
      <c r="AF91" s="78">
        <f>Tabela3[[#This Row],[Lucro Líquido]]/Tabela3[[#This Row],[Total Ações]]</f>
        <v>0.4102048474632628</v>
      </c>
      <c r="AG91" s="78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9.7423651272524905E-2</v>
      </c>
      <c r="AH91" s="78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91" s="78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0.20027095418686397</v>
      </c>
      <c r="AJ91" s="78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9.7423651272524905E-2</v>
      </c>
      <c r="AK91" s="13">
        <f>[Div Base]*[Ações]</f>
        <v>27132554.101717565</v>
      </c>
      <c r="AL91" s="13">
        <f>SUMPRODUCT(N([Nome]=Tabela3[[#This Row],[Nome]]),[Div Base]*[Ações])</f>
        <v>81397662.5</v>
      </c>
      <c r="AM91" s="6">
        <f>[Patrimônio Líquido]/[Total Ações]</f>
        <v>0.88681048776621108</v>
      </c>
      <c r="AN91" s="48">
        <f>MAX(Tabela3[[#This Row],[Cotação 1]:[Cotação 5]])</f>
        <v>0.59</v>
      </c>
      <c r="AO91" s="44">
        <f>[Cotação]/[VPA]</f>
        <v>0.66530561843731939</v>
      </c>
      <c r="AP91" s="40">
        <f>IF(Tabela3[[#This Row],[Lucro/Ação]]&gt;0,Tabela3[[#This Row],[Cotação]]/(Tabela3[[#This Row],[Lucro/Ação]]/[Ref]*4),0)</f>
        <v>1.0787293293495988</v>
      </c>
      <c r="AQ91" s="78">
        <f>[Lucro Distribuir]/[Total Ações]</f>
        <v>0.38969460509009962</v>
      </c>
      <c r="AR91" s="78">
        <f>IF([Unit ON]&gt;0,SUMPRODUCT(N([Nome]=Tabela3[[#This Row],[Nome]]),N(RIGHT([PAPEL],1)="3"),[Div Base])*[Unit ON]+SUMPRODUCT(N([Nome]=Tabela3[[#This Row],[Nome]]),N(RIGHT([PAPEL],1)="4"),[Div Base])*[Unit PN],[Div Base])</f>
        <v>9.7423651272524905E-2</v>
      </c>
      <c r="AS91" s="15" t="str">
        <f>IF(AND([% A.A.]&gt;=6%,SUMPRODUCT(N([Nome]=Tabela3[[#This Row],[Nome]]),[PL])&gt;0,[Rentabilidade s/ PL]&gt;=[Rentabilidade s/ PL Média]),"Sim","Não")</f>
        <v>Sim</v>
      </c>
      <c r="AT91" s="42">
        <f>IF([Cotação]&gt;0,Tabela3[[#This Row],[Lucro]]/Tabela3[[#This Row],[Cotação]],0)</f>
        <v>0.16512483266529646</v>
      </c>
      <c r="AU91" s="19">
        <f>((1+Tabela3[[#This Row],[% Yield]])^(1/(3*Tabela3[[#This Row],[Ref]])))^(12)-1</f>
        <v>0.22601733681551472</v>
      </c>
      <c r="AV91" s="14">
        <f>IF([Cotação]&gt;0,($BH$1/Tabela3[[#This Row],[Cotação]]-MOD($BH$1/Tabela3[[#This Row],[Cotação]],100)),)</f>
        <v>800</v>
      </c>
      <c r="AW91" s="17">
        <f>Tabela3[[#This Row],[Ativos]]*[Lucro]</f>
        <v>77.938921018019926</v>
      </c>
      <c r="AX91" s="13">
        <f>SUMPRODUCT(N(Tabela1[Código]=Tabela3[[#This Row],[PAPEL]]),Tabela1[Fechamento])</f>
        <v>0</v>
      </c>
      <c r="AY91" s="55">
        <f>SUMPRODUCT(N(Tabela17[Código]=Tabela3[[#This Row],[PAPEL]]),Tabela17[Fechamento])</f>
        <v>0.59</v>
      </c>
      <c r="AZ91" s="7">
        <f>SUMPRODUCT(N(Tabela176[Código]=Tabela3[[#This Row],[PAPEL]]),Tabela176[Fechamento])</f>
        <v>0</v>
      </c>
      <c r="BA91" s="7">
        <f>SUMPRODUCT(N(Tabela1768[Código]=Tabela3[[#This Row],[PAPEL]]),Tabela1768[Fechamento])</f>
        <v>0</v>
      </c>
      <c r="BB91" s="7">
        <f>SUMPRODUCT(N(Tabela17683[Código]=Tabela3[[#This Row],[PAPEL]]),Tabela17683[Fechamento])</f>
        <v>0</v>
      </c>
    </row>
    <row r="92" spans="1:54" hidden="1">
      <c r="A92" s="24" t="s">
        <v>40</v>
      </c>
      <c r="B92" s="57" t="s">
        <v>73</v>
      </c>
      <c r="C92" s="84" t="str">
        <f>LEFT([PAPEL],LEN([PAPEL])-(LEN([PAPEL])-4))</f>
        <v>UNIP</v>
      </c>
      <c r="D92" s="15">
        <v>3</v>
      </c>
      <c r="E92" s="6">
        <v>384330953.12</v>
      </c>
      <c r="F92" s="8">
        <v>25907109</v>
      </c>
      <c r="G92" s="81">
        <v>0.25</v>
      </c>
      <c r="H92" s="15"/>
      <c r="I92" s="19">
        <v>0.1</v>
      </c>
      <c r="J92" s="19"/>
      <c r="K92" s="88"/>
      <c r="L92" s="88"/>
      <c r="M92" s="13">
        <v>1728469000</v>
      </c>
      <c r="N92" s="13">
        <v>380787000</v>
      </c>
      <c r="O92" s="13">
        <v>247703000</v>
      </c>
      <c r="P92" s="28">
        <v>740932000</v>
      </c>
      <c r="Q92" s="138">
        <v>342727000</v>
      </c>
      <c r="R92" s="28">
        <f>IF(Tabela3[[#This Row],[Ativo || Passivo]]&gt;0,Tabela3[[#This Row],[Ativo || Passivo]]-Tabela3[[#This Row],[Patrimônio Líquido]],0)</f>
        <v>987537000</v>
      </c>
      <c r="S92" s="128">
        <f>Tabela3[[#This Row],[Cotação]]*Tabela3[[#This Row],[Total Ações]]</f>
        <v>509656263.92000002</v>
      </c>
      <c r="T92" s="131">
        <f>IF(Tabela3[[#This Row],[Passivo Circulante]]&gt;0,Tabela3[[#This Row],[Ativo Circulante]]/Tabela3[[#This Row],[Passivo Circulante]],0)</f>
        <v>1.5372724593565681</v>
      </c>
      <c r="U92" s="131">
        <f>SUMPRODUCT(N([Liquidez Corrente]&gt;0),N(RIGHT([PAPEL],LEN([PAPEL])-(LEN([PAPEL])-1))="3"),[Liquidez Corrente])/SUMPRODUCT(N([Liquidez Corrente]&gt;0),N(RIGHT([PAPEL],LEN([PAPEL])-(LEN([PAPEL])-1))="3"))</f>
        <v>2.331224473064915</v>
      </c>
      <c r="V92" s="49">
        <f>IF(Tabela3[[#This Row],[Lucro Líquido]]&gt;0,Tabela3[[#This Row],[Lucro Líquido]]/Tabela3[[#This Row],[Patrimônio Líquido]],0)</f>
        <v>0.46256201648734296</v>
      </c>
      <c r="W92" s="49">
        <f>SUMPRODUCT(N([Rentabilidade s/ PL]&gt;0),N(RIGHT([PAPEL],LEN([PAPEL])-(LEN([PAPEL])-1))="3"),[Rentabilidade s/ PL])/SUMPRODUCT(N([Rentabilidade s/ PL]&gt;0),N(RIGHT([PAPEL],LEN([PAPEL])-(LEN([PAPEL])-1))="3"))</f>
        <v>0.1261051308670782</v>
      </c>
      <c r="X92" s="49">
        <f>IF(Tabela3[[#This Row],[Dívida]]&gt;0,Tabela3[[#This Row],[Dívida]]/Tabela3[[#This Row],[Patrimônio Líquido]],0)</f>
        <v>1.3328308130840616</v>
      </c>
      <c r="Y92" s="49">
        <f>SUMPRODUCT(N([Dívida / PL]&gt;0),N(RIGHT([PAPEL],LEN([PAPEL])-(LEN([PAPEL])-1))="3"),[Dívida / PL])/SUMPRODUCT(N([Dívida / PL]&gt;0),N(RIGHT([PAPEL],LEN([PAPEL])-(LEN([PAPEL])-1))="3"))</f>
        <v>2.1510410379481146</v>
      </c>
      <c r="Z92" s="13">
        <f>Tabela3[[#This Row],[Capital Social]]*20%</f>
        <v>76866190.623999998</v>
      </c>
      <c r="AA92" s="13">
        <f>IF(([Lucro Líquido]*5%)&gt;[Teto R. Legal],[Teto R. Legal],[Lucro Líquido]*5%)</f>
        <v>17136350</v>
      </c>
      <c r="AB92" s="13">
        <f>IF([Lucro Líquido]&lt;0,0,[Lucro Líquido]-[Reserva Legal])</f>
        <v>325590650</v>
      </c>
      <c r="AC92" s="13">
        <f>Tabela3[[#This Row],[Lucro Distribuir]]*[%Div]</f>
        <v>81397662.5</v>
      </c>
      <c r="AD92" s="21">
        <f>SUMPRODUCT(N([Nome]=Tabela3[[#This Row],[Nome]]),[Ações])</f>
        <v>835502072</v>
      </c>
      <c r="AE92" s="5">
        <f>[Capital Social]/[Total Ações]</f>
        <v>0.46</v>
      </c>
      <c r="AF92" s="78">
        <f>Tabela3[[#This Row],[Lucro Líquido]]/Tabela3[[#This Row],[Total Ações]]</f>
        <v>0.4102048474632628</v>
      </c>
      <c r="AG92" s="78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9.7423651272524905E-2</v>
      </c>
      <c r="AH92" s="78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92" s="78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4.5999999999999999E-2</v>
      </c>
      <c r="AJ92" s="78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9.7423651272524905E-2</v>
      </c>
      <c r="AK92" s="13">
        <f>[Div Base]*[Ações]</f>
        <v>2523965.1526952912</v>
      </c>
      <c r="AL92" s="13">
        <f>SUMPRODUCT(N([Nome]=Tabela3[[#This Row],[Nome]]),[Div Base]*[Ações])</f>
        <v>81397662.5</v>
      </c>
      <c r="AM92" s="6">
        <f>[Patrimônio Líquido]/[Total Ações]</f>
        <v>0.88681048776621108</v>
      </c>
      <c r="AN92" s="48">
        <f>MAX(Tabela3[[#This Row],[Cotação 1]:[Cotação 5]])</f>
        <v>0.61</v>
      </c>
      <c r="AO92" s="44">
        <f>[Cotação]/[VPA]</f>
        <v>0.68785835126570316</v>
      </c>
      <c r="AP92" s="40">
        <f>IF(Tabela3[[#This Row],[Lucro/Ação]]&gt;0,Tabela3[[#This Row],[Cotação]]/(Tabela3[[#This Row],[Lucro/Ação]]/[Ref]*4),0)</f>
        <v>1.1152964252597548</v>
      </c>
      <c r="AQ92" s="78">
        <f>[Lucro Distribuir]/[Total Ações]</f>
        <v>0.38969460509009962</v>
      </c>
      <c r="AR92" s="78">
        <f>IF([Unit ON]&gt;0,SUMPRODUCT(N([Nome]=Tabela3[[#This Row],[Nome]]),N(RIGHT([PAPEL],1)="3"),[Div Base])*[Unit ON]+SUMPRODUCT(N([Nome]=Tabela3[[#This Row],[Nome]]),N(RIGHT([PAPEL],1)="4"),[Div Base])*[Unit PN],[Div Base])</f>
        <v>9.7423651272524905E-2</v>
      </c>
      <c r="AS92" s="15" t="str">
        <f>IF(AND([% A.A.]&gt;=6%,SUMPRODUCT(N([Nome]=Tabela3[[#This Row],[Nome]]),[PL])&gt;0,[Rentabilidade s/ PL]&gt;=[Rentabilidade s/ PL Média]),"Sim","Não")</f>
        <v>Sim</v>
      </c>
      <c r="AT92" s="42">
        <f>IF([Cotação]&gt;0,Tabela3[[#This Row],[Lucro]]/Tabela3[[#This Row],[Cotação]],0)</f>
        <v>0.15971090372545066</v>
      </c>
      <c r="AU92" s="19">
        <f>((1+Tabela3[[#This Row],[% Yield]])^(1/(3*Tabela3[[#This Row],[Ref]])))^(12)-1</f>
        <v>0.21842739186031612</v>
      </c>
      <c r="AV92" s="14">
        <f>IF([Cotação]&gt;0,($BH$1/Tabela3[[#This Row],[Cotação]]-MOD($BH$1/Tabela3[[#This Row],[Cotação]],100)),)</f>
        <v>800</v>
      </c>
      <c r="AW92" s="17">
        <f>Tabela3[[#This Row],[Ativos]]*[Lucro]</f>
        <v>77.938921018019926</v>
      </c>
      <c r="AX92" s="13">
        <f>SUMPRODUCT(N(Tabela1[Código]=Tabela3[[#This Row],[PAPEL]]),Tabela1[Fechamento])</f>
        <v>0.61</v>
      </c>
      <c r="AY92" s="55">
        <f>SUMPRODUCT(N(Tabela17[Código]=Tabela3[[#This Row],[PAPEL]]),Tabela17[Fechamento])</f>
        <v>0</v>
      </c>
      <c r="AZ92" s="7">
        <f>SUMPRODUCT(N(Tabela176[Código]=Tabela3[[#This Row],[PAPEL]]),Tabela176[Fechamento])</f>
        <v>0</v>
      </c>
      <c r="BA92" s="7">
        <f>SUMPRODUCT(N(Tabela1768[Código]=Tabela3[[#This Row],[PAPEL]]),Tabela1768[Fechamento])</f>
        <v>0</v>
      </c>
      <c r="BB92" s="7">
        <f>SUMPRODUCT(N(Tabela17683[Código]=Tabela3[[#This Row],[PAPEL]]),Tabela17683[Fechamento])</f>
        <v>0</v>
      </c>
    </row>
    <row r="93" spans="1:54" hidden="1">
      <c r="A93" s="24" t="s">
        <v>40</v>
      </c>
      <c r="B93" s="57" t="s">
        <v>39</v>
      </c>
      <c r="C93" s="82" t="str">
        <f>LEFT([PAPEL],LEN([PAPEL])-(LEN([PAPEL])-4))</f>
        <v>UNIP</v>
      </c>
      <c r="D93" s="15">
        <v>3</v>
      </c>
      <c r="E93" s="6">
        <v>384330953.12</v>
      </c>
      <c r="F93" s="8">
        <v>531094273</v>
      </c>
      <c r="G93" s="86">
        <v>0.25</v>
      </c>
      <c r="H93" s="19"/>
      <c r="I93" s="19">
        <v>0.1</v>
      </c>
      <c r="J93" s="19"/>
      <c r="K93" s="88"/>
      <c r="L93" s="88"/>
      <c r="M93" s="13">
        <v>1728469000</v>
      </c>
      <c r="N93" s="13">
        <v>380787000</v>
      </c>
      <c r="O93" s="13">
        <v>247703000</v>
      </c>
      <c r="P93" s="28">
        <v>740932000</v>
      </c>
      <c r="Q93" s="138">
        <v>342727000</v>
      </c>
      <c r="R93" s="28">
        <f>IF(Tabela3[[#This Row],[Ativo || Passivo]]&gt;0,Tabela3[[#This Row],[Ativo || Passivo]]-Tabela3[[#This Row],[Patrimônio Líquido]],0)</f>
        <v>987537000</v>
      </c>
      <c r="S93" s="128">
        <f>Tabela3[[#This Row],[Cotação]]*Tabela3[[#This Row],[Total Ações]]</f>
        <v>375975932.40000004</v>
      </c>
      <c r="T93" s="131">
        <f>IF(Tabela3[[#This Row],[Passivo Circulante]]&gt;0,Tabela3[[#This Row],[Ativo Circulante]]/Tabela3[[#This Row],[Passivo Circulante]],0)</f>
        <v>1.5372724593565681</v>
      </c>
      <c r="U93" s="131">
        <f>SUMPRODUCT(N([Liquidez Corrente]&gt;0),N(RIGHT([PAPEL],LEN([PAPEL])-(LEN([PAPEL])-1))="3"),[Liquidez Corrente])/SUMPRODUCT(N([Liquidez Corrente]&gt;0),N(RIGHT([PAPEL],LEN([PAPEL])-(LEN([PAPEL])-1))="3"))</f>
        <v>2.331224473064915</v>
      </c>
      <c r="V93" s="49">
        <f>IF(Tabela3[[#This Row],[Lucro Líquido]]&gt;0,Tabela3[[#This Row],[Lucro Líquido]]/Tabela3[[#This Row],[Patrimônio Líquido]],0)</f>
        <v>0.46256201648734296</v>
      </c>
      <c r="W93" s="49">
        <f>SUMPRODUCT(N([Rentabilidade s/ PL]&gt;0),N(RIGHT([PAPEL],LEN([PAPEL])-(LEN([PAPEL])-1))="3"),[Rentabilidade s/ PL])/SUMPRODUCT(N([Rentabilidade s/ PL]&gt;0),N(RIGHT([PAPEL],LEN([PAPEL])-(LEN([PAPEL])-1))="3"))</f>
        <v>0.1261051308670782</v>
      </c>
      <c r="X93" s="49">
        <f>IF(Tabela3[[#This Row],[Dívida]]&gt;0,Tabela3[[#This Row],[Dívida]]/Tabela3[[#This Row],[Patrimônio Líquido]],0)</f>
        <v>1.3328308130840616</v>
      </c>
      <c r="Y93" s="49">
        <f>SUMPRODUCT(N([Dívida / PL]&gt;0),N(RIGHT([PAPEL],LEN([PAPEL])-(LEN([PAPEL])-1))="3"),[Dívida / PL])/SUMPRODUCT(N([Dívida / PL]&gt;0),N(RIGHT([PAPEL],LEN([PAPEL])-(LEN([PAPEL])-1))="3"))</f>
        <v>2.1510410379481146</v>
      </c>
      <c r="Z93" s="28">
        <f>Tabela3[[#This Row],[Capital Social]]*20%</f>
        <v>76866190.623999998</v>
      </c>
      <c r="AA93" s="28">
        <f>IF(([Lucro Líquido]*5%)&gt;[Teto R. Legal],[Teto R. Legal],[Lucro Líquido]*5%)</f>
        <v>17136350</v>
      </c>
      <c r="AB93" s="28">
        <f>IF([Lucro Líquido]&lt;0,0,[Lucro Líquido]-[Reserva Legal])</f>
        <v>325590650</v>
      </c>
      <c r="AC93" s="28">
        <f>Tabela3[[#This Row],[Lucro Distribuir]]*[%Div]</f>
        <v>81397662.5</v>
      </c>
      <c r="AD93" s="21">
        <f>SUMPRODUCT(N([Nome]=Tabela3[[#This Row],[Nome]]),[Ações])</f>
        <v>835502072</v>
      </c>
      <c r="AE93" s="5">
        <f>[Capital Social]/[Total Ações]</f>
        <v>0.46</v>
      </c>
      <c r="AF93" s="78">
        <f>Tabela3[[#This Row],[Lucro Líquido]]/Tabela3[[#This Row],[Total Ações]]</f>
        <v>0.4102048474632628</v>
      </c>
      <c r="AG93" s="78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9.7423651272524905E-2</v>
      </c>
      <c r="AH93" s="79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93" s="79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4.5999999999999999E-2</v>
      </c>
      <c r="AJ93" s="79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9.7423651272524905E-2</v>
      </c>
      <c r="AK93" s="28">
        <f>[Div Base]*[Ações]</f>
        <v>51741143.24558714</v>
      </c>
      <c r="AL93" s="28">
        <f>SUMPRODUCT(N([Nome]=Tabela3[[#This Row],[Nome]]),[Div Base]*[Ações])</f>
        <v>81397662.5</v>
      </c>
      <c r="AM93" s="6">
        <f>[Patrimônio Líquido]/[Total Ações]</f>
        <v>0.88681048776621108</v>
      </c>
      <c r="AN93" s="48">
        <f>MAX(Tabela3[[#This Row],[Cotação 1]:[Cotação 5]])</f>
        <v>0.45</v>
      </c>
      <c r="AO93" s="44">
        <f>[Cotação]/[VPA]</f>
        <v>0.50743648863863355</v>
      </c>
      <c r="AP93" s="40">
        <f>IF(Tabela3[[#This Row],[Lucro/Ação]]&gt;0,Tabela3[[#This Row],[Cotação]]/(Tabela3[[#This Row],[Lucro/Ação]]/[Ref]*4),0)</f>
        <v>0.82275965797850759</v>
      </c>
      <c r="AQ93" s="78">
        <f>[Lucro Distribuir]/[Total Ações]</f>
        <v>0.38969460509009962</v>
      </c>
      <c r="AR93" s="78">
        <f>IF([Unit ON]&gt;0,SUMPRODUCT(N([Nome]=Tabela3[[#This Row],[Nome]]),N(RIGHT([PAPEL],1)="3"),[Div Base])*[Unit ON]+SUMPRODUCT(N([Nome]=Tabela3[[#This Row],[Nome]]),N(RIGHT([PAPEL],1)="4"),[Div Base])*[Unit PN],[Div Base])</f>
        <v>9.7423651272524905E-2</v>
      </c>
      <c r="AS93" s="14" t="str">
        <f>IF(AND([% A.A.]&gt;=6%,SUMPRODUCT(N([Nome]=Tabela3[[#This Row],[Nome]]),[PL])&gt;0,[Rentabilidade s/ PL]&gt;=[Rentabilidade s/ PL Média]),"Sim","Não")</f>
        <v>Sim</v>
      </c>
      <c r="AT93" s="42">
        <f>IF([Cotação]&gt;0,Tabela3[[#This Row],[Lucro]]/Tabela3[[#This Row],[Cotação]],0)</f>
        <v>0.21649700282783313</v>
      </c>
      <c r="AU93" s="19">
        <f>((1+Tabela3[[#This Row],[% Yield]])^(1/(3*Tabela3[[#This Row],[Ref]])))^(12)-1</f>
        <v>0.29861791847053376</v>
      </c>
      <c r="AV93" s="14">
        <f>IF([Cotação]&gt;0,($BH$1/Tabela3[[#This Row],[Cotação]]-MOD($BH$1/Tabela3[[#This Row],[Cotação]],100)),)</f>
        <v>1100</v>
      </c>
      <c r="AW93" s="17">
        <f>Tabela3[[#This Row],[Ativos]]*[Lucro]</f>
        <v>107.16601639977739</v>
      </c>
      <c r="AX93" s="17">
        <f>SUMPRODUCT(N(Tabela1[Código]=Tabela3[[#This Row],[PAPEL]]),Tabela1[Fechamento])</f>
        <v>0.45</v>
      </c>
      <c r="AY93" s="17">
        <f>SUMPRODUCT(N(Tabela17[Código]=Tabela3[[#This Row],[PAPEL]]),Tabela17[Fechamento])</f>
        <v>0</v>
      </c>
      <c r="AZ93" s="7">
        <f>SUMPRODUCT(N(Tabela176[Código]=Tabela3[[#This Row],[PAPEL]]),Tabela176[Fechamento])</f>
        <v>0</v>
      </c>
      <c r="BA93" s="7">
        <f>SUMPRODUCT(N(Tabela1768[Código]=Tabela3[[#This Row],[PAPEL]]),Tabela1768[Fechamento])</f>
        <v>0</v>
      </c>
      <c r="BB93" s="7">
        <f>SUMPRODUCT(N(Tabela17683[Código]=Tabela3[[#This Row],[PAPEL]]),Tabela17683[Fechamento])</f>
        <v>0</v>
      </c>
    </row>
    <row r="94" spans="1:54" hidden="1">
      <c r="A94" s="3" t="s">
        <v>343</v>
      </c>
      <c r="B94" s="58" t="s">
        <v>346</v>
      </c>
      <c r="C94" s="83" t="str">
        <f>LEFT([PAPEL],LEN([PAPEL])-(LEN([PAPEL])-4))</f>
        <v>BRML</v>
      </c>
      <c r="D94" s="16">
        <v>3</v>
      </c>
      <c r="E94" s="5">
        <v>4311136813.4700003</v>
      </c>
      <c r="F94" s="56">
        <v>458882265</v>
      </c>
      <c r="G94" s="81">
        <v>0.25</v>
      </c>
      <c r="H94" s="16"/>
      <c r="J94" s="18"/>
      <c r="K94" s="87"/>
      <c r="L94" s="87"/>
      <c r="M94" s="54"/>
      <c r="N94" s="54"/>
      <c r="O94" s="54"/>
      <c r="P94" s="5">
        <v>8579316000</v>
      </c>
      <c r="Q94" s="5">
        <v>334866000</v>
      </c>
      <c r="R94" s="5">
        <f>IF(Tabela3[[#This Row],[Ativo || Passivo]]&gt;0,Tabela3[[#This Row],[Ativo || Passivo]]-Tabela3[[#This Row],[Patrimônio Líquido]],0)</f>
        <v>0</v>
      </c>
      <c r="S94" s="5">
        <f>Tabela3[[#This Row],[Cotação]]*Tabela3[[#This Row],[Total Ações]]</f>
        <v>8021261992.1999998</v>
      </c>
      <c r="T94" s="130">
        <f>IF(Tabela3[[#This Row],[Passivo Circulante]]&gt;0,Tabela3[[#This Row],[Ativo Circulante]]/Tabela3[[#This Row],[Passivo Circulante]],0)</f>
        <v>0</v>
      </c>
      <c r="U94" s="130">
        <f>SUMPRODUCT(N([Liquidez Corrente]&gt;0),N(RIGHT([PAPEL],LEN([PAPEL])-(LEN([PAPEL])-1))="3"),[Liquidez Corrente])/SUMPRODUCT(N([Liquidez Corrente]&gt;0),N(RIGHT([PAPEL],LEN([PAPEL])-(LEN([PAPEL])-1))="3"))</f>
        <v>2.331224473064915</v>
      </c>
      <c r="V94" s="18">
        <f>IF(Tabela3[[#This Row],[Lucro Líquido]]&gt;0,Tabela3[[#This Row],[Lucro Líquido]]/Tabela3[[#This Row],[Patrimônio Líquido]],0)</f>
        <v>3.9031782953326349E-2</v>
      </c>
      <c r="W94" s="18">
        <f>SUMPRODUCT(N([Rentabilidade s/ PL]&gt;0),N(RIGHT([PAPEL],LEN([PAPEL])-(LEN([PAPEL])-1))="3"),[Rentabilidade s/ PL])/SUMPRODUCT(N([Rentabilidade s/ PL]&gt;0),N(RIGHT([PAPEL],LEN([PAPEL])-(LEN([PAPEL])-1))="3"))</f>
        <v>0.1261051308670782</v>
      </c>
      <c r="X94" s="18">
        <f>IF(Tabela3[[#This Row],[Dívida]]&gt;0,Tabela3[[#This Row],[Dívida]]/Tabela3[[#This Row],[Patrimônio Líquido]],0)</f>
        <v>0</v>
      </c>
      <c r="Y94" s="18">
        <f>SUMPRODUCT(N([Dívida / PL]&gt;0),N(RIGHT([PAPEL],LEN([PAPEL])-(LEN([PAPEL])-1))="3"),[Dívida / PL])/SUMPRODUCT(N([Dívida / PL]&gt;0),N(RIGHT([PAPEL],LEN([PAPEL])-(LEN([PAPEL])-1))="3"))</f>
        <v>2.1510410379481146</v>
      </c>
      <c r="Z94" s="5">
        <f>Tabela3[[#This Row],[Capital Social]]*20%</f>
        <v>862227362.69400012</v>
      </c>
      <c r="AA94" s="5">
        <f>IF(([Lucro Líquido]*5%)&gt;[Teto R. Legal],[Teto R. Legal],[Lucro Líquido]*5%)</f>
        <v>16743300</v>
      </c>
      <c r="AB94" s="5">
        <f>IF([Lucro Líquido]&lt;0,0,[Lucro Líquido]-[Reserva Legal])</f>
        <v>318122700</v>
      </c>
      <c r="AC94" s="5">
        <f>Tabela3[[#This Row],[Lucro Distribuir]]*[%Div]</f>
        <v>79530675</v>
      </c>
      <c r="AD94" s="21">
        <f>SUMPRODUCT(N([Nome]=Tabela3[[#This Row],[Nome]]),[Ações])</f>
        <v>458882265</v>
      </c>
      <c r="AE94" s="5">
        <f>[Capital Social]/[Total Ações]</f>
        <v>9.3948647448164078</v>
      </c>
      <c r="AF94" s="77">
        <f>Tabela3[[#This Row],[Lucro Líquido]]/Tabela3[[#This Row],[Total Ações]]</f>
        <v>0.72974273695236402</v>
      </c>
      <c r="AG94" s="77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0.17331390002618646</v>
      </c>
      <c r="AH94" s="77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94" s="77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94" s="77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0.17331390002618646</v>
      </c>
      <c r="AK94" s="5">
        <f>[Div Base]*[Ações]</f>
        <v>79530675</v>
      </c>
      <c r="AL94" s="5">
        <f>SUMPRODUCT(N([Nome]=Tabela3[[#This Row],[Nome]]),[Div Base]*[Ações])</f>
        <v>79530675</v>
      </c>
      <c r="AM94" s="5">
        <f>[Patrimônio Líquido]/[Total Ações]</f>
        <v>18.696115876258588</v>
      </c>
      <c r="AN94" s="52">
        <f>MAX(Tabela3[[#This Row],[Cotação 1]:[Cotação 5]])</f>
        <v>17.48</v>
      </c>
      <c r="AO94" s="53">
        <f>[Cotação]/[VPA]</f>
        <v>0.93495355482884646</v>
      </c>
      <c r="AP94" s="37">
        <f>IF(Tabela3[[#This Row],[Lucro/Ação]]&gt;0,Tabela3[[#This Row],[Cotação]]/(Tabela3[[#This Row],[Lucro/Ação]]/[Ref]*4),0)</f>
        <v>17.965235330400819</v>
      </c>
      <c r="AQ94" s="77">
        <f>[Lucro Distribuir]/[Total Ações]</f>
        <v>0.69325560010474585</v>
      </c>
      <c r="AR94" s="77">
        <f>IF([Unit ON]&gt;0,SUMPRODUCT(N([Nome]=Tabela3[[#This Row],[Nome]]),N(RIGHT([PAPEL],1)="3"),[Div Base])*[Unit ON]+SUMPRODUCT(N([Nome]=Tabela3[[#This Row],[Nome]]),N(RIGHT([PAPEL],1)="4"),[Div Base])*[Unit PN],[Div Base])</f>
        <v>0.17331390002618646</v>
      </c>
      <c r="AS94" s="16" t="str">
        <f>IF(AND([% A.A.]&gt;=6%,SUMPRODUCT(N([Nome]=Tabela3[[#This Row],[Nome]]),[PL])&gt;0,[Rentabilidade s/ PL]&gt;=[Rentabilidade s/ PL Média]),"Sim","Não")</f>
        <v>Não</v>
      </c>
      <c r="AT94" s="22">
        <f>IF([Cotação]&gt;0,Tabela3[[#This Row],[Lucro]]/Tabela3[[#This Row],[Cotação]],0)</f>
        <v>9.9149828390266859E-3</v>
      </c>
      <c r="AU94" s="18">
        <f>((1+Tabela3[[#This Row],[% Yield]])^(1/(3*Tabela3[[#This Row],[Ref]])))^(12)-1</f>
        <v>1.3241775157006863E-2</v>
      </c>
      <c r="AV94" s="10">
        <f>IF([Cotação]&gt;0,($BH$1/Tabela3[[#This Row],[Cotação]]-MOD($BH$1/Tabela3[[#This Row],[Cotação]],100)),)</f>
        <v>0</v>
      </c>
      <c r="AW94" s="7">
        <f>Tabela3[[#This Row],[Ativos]]*[Lucro]</f>
        <v>0</v>
      </c>
      <c r="AX94" s="47">
        <f>SUMPRODUCT(N(Tabela1[Código]=Tabela3[[#This Row],[PAPEL]]),Tabela1[Fechamento])</f>
        <v>0</v>
      </c>
      <c r="AY94" s="54">
        <f>SUMPRODUCT(N(Tabela17[Código]=Tabela3[[#This Row],[PAPEL]]),Tabela17[Fechamento])</f>
        <v>17.48</v>
      </c>
      <c r="AZ94" s="7">
        <f>SUMPRODUCT(N(Tabela176[Código]=Tabela3[[#This Row],[PAPEL]]),Tabela176[Fechamento])</f>
        <v>0</v>
      </c>
      <c r="BA94" s="7">
        <f>SUMPRODUCT(N(Tabela1768[Código]=Tabela3[[#This Row],[PAPEL]]),Tabela1768[Fechamento])</f>
        <v>0</v>
      </c>
      <c r="BB94" s="7">
        <f>SUMPRODUCT(N(Tabela17683[Código]=Tabela3[[#This Row],[PAPEL]]),Tabela17683[Fechamento])</f>
        <v>0</v>
      </c>
    </row>
    <row r="95" spans="1:54" hidden="1">
      <c r="A95" s="3" t="s">
        <v>1329</v>
      </c>
      <c r="B95" s="57" t="s">
        <v>1321</v>
      </c>
      <c r="C95" s="16" t="str">
        <f>LEFT([PAPEL],LEN([PAPEL])-(LEN([PAPEL])-4))</f>
        <v>ARTR</v>
      </c>
      <c r="D95" s="16">
        <v>3</v>
      </c>
      <c r="E95" s="5">
        <v>772416395.83000004</v>
      </c>
      <c r="F95" s="56">
        <v>344444440</v>
      </c>
      <c r="G95" s="81">
        <v>0.25</v>
      </c>
      <c r="H95" s="87"/>
      <c r="J95" s="18"/>
      <c r="K95" s="16"/>
      <c r="L95" s="87"/>
      <c r="M95" s="54"/>
      <c r="N95" s="54"/>
      <c r="O95" s="54"/>
      <c r="P95" s="91">
        <v>1843360000</v>
      </c>
      <c r="Q95" s="73">
        <v>328722000</v>
      </c>
      <c r="R95" s="73">
        <f>IF(Tabela3[[#This Row],[Ativo || Passivo]]&gt;0,Tabela3[[#This Row],[Ativo || Passivo]]-Tabela3[[#This Row],[Patrimônio Líquido]],0)</f>
        <v>0</v>
      </c>
      <c r="S95" s="73">
        <f>Tabela3[[#This Row],[Cotação]]*Tabela3[[#This Row],[Total Ações]]</f>
        <v>5655777704.8000002</v>
      </c>
      <c r="T95" s="37">
        <f>IF(Tabela3[[#This Row],[Passivo Circulante]]&gt;0,Tabela3[[#This Row],[Ativo Circulante]]/Tabela3[[#This Row],[Passivo Circulante]],0)</f>
        <v>0</v>
      </c>
      <c r="U95" s="37">
        <f>SUMPRODUCT(N([Liquidez Corrente]&gt;0),N(RIGHT([PAPEL],LEN([PAPEL])-(LEN([PAPEL])-1))="3"),[Liquidez Corrente])/SUMPRODUCT(N([Liquidez Corrente]&gt;0),N(RIGHT([PAPEL],LEN([PAPEL])-(LEN([PAPEL])-1))="3"))</f>
        <v>2.331224473064915</v>
      </c>
      <c r="V95" s="18">
        <f>IF(Tabela3[[#This Row],[Lucro Líquido]]&gt;0,Tabela3[[#This Row],[Lucro Líquido]]/Tabela3[[#This Row],[Patrimônio Líquido]],0)</f>
        <v>0.17832761913028383</v>
      </c>
      <c r="W95" s="18">
        <f>SUMPRODUCT(N([Rentabilidade s/ PL]&gt;0),N(RIGHT([PAPEL],LEN([PAPEL])-(LEN([PAPEL])-1))="3"),[Rentabilidade s/ PL])/SUMPRODUCT(N([Rentabilidade s/ PL]&gt;0),N(RIGHT([PAPEL],LEN([PAPEL])-(LEN([PAPEL])-1))="3"))</f>
        <v>0.1261051308670782</v>
      </c>
      <c r="X95" s="18">
        <f>IF(Tabela3[[#This Row],[Dívida]]&gt;0,Tabela3[[#This Row],[Dívida]]/Tabela3[[#This Row],[Patrimônio Líquido]],0)</f>
        <v>0</v>
      </c>
      <c r="Y95" s="18">
        <f>SUMPRODUCT(N([Dívida / PL]&gt;0),N(RIGHT([PAPEL],LEN([PAPEL])-(LEN([PAPEL])-1))="3"),[Dívida / PL])/SUMPRODUCT(N([Dívida / PL]&gt;0),N(RIGHT([PAPEL],LEN([PAPEL])-(LEN([PAPEL])-1))="3"))</f>
        <v>2.1510410379481146</v>
      </c>
      <c r="Z95" s="7">
        <f>Tabela3[[#This Row],[Capital Social]]*20%</f>
        <v>154483279.16600001</v>
      </c>
      <c r="AA95" s="47">
        <f>IF(([Lucro Líquido]*5%)&gt;[Teto R. Legal],[Teto R. Legal],[Lucro Líquido]*5%)</f>
        <v>16436100</v>
      </c>
      <c r="AB95" s="47">
        <f>IF([Lucro Líquido]&lt;0,0,[Lucro Líquido]-[Reserva Legal])</f>
        <v>312285900</v>
      </c>
      <c r="AC95" s="47">
        <f>Tabela3[[#This Row],[Lucro Distribuir]]*[%Div]</f>
        <v>78071475</v>
      </c>
      <c r="AD95" s="56">
        <f>SUMPRODUCT(N([Nome]=Tabela3[[#This Row],[Nome]]),[Ações])</f>
        <v>344444440</v>
      </c>
      <c r="AE95" s="85">
        <f>[Capital Social]/[Total Ações]</f>
        <v>2.2424992426354744</v>
      </c>
      <c r="AF95" s="85">
        <f>Tabela3[[#This Row],[Lucro Líquido]]/Tabela3[[#This Row],[Total Ações]]</f>
        <v>0.95435420586263486</v>
      </c>
      <c r="AG95" s="85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0.2266591238923758</v>
      </c>
      <c r="AH95" s="85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95" s="77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95" s="85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0.2266591238923758</v>
      </c>
      <c r="AK95" s="7">
        <f>[Div Base]*[Ações]</f>
        <v>78071475</v>
      </c>
      <c r="AL95" s="120">
        <f>SUMPRODUCT(N([Nome]=Tabela3[[#This Row],[Nome]]),[Div Base]*[Ações])</f>
        <v>78071475</v>
      </c>
      <c r="AM95" s="5">
        <f>[Patrimônio Líquido]/[Total Ações]</f>
        <v>5.3516903916347145</v>
      </c>
      <c r="AN95" s="52">
        <f>MAX(Tabela3[[#This Row],[Cotação 1]:[Cotação 5]])</f>
        <v>16.420000000000002</v>
      </c>
      <c r="AO95" s="53">
        <f>[Cotação]/[VPA]</f>
        <v>3.0681894501345375</v>
      </c>
      <c r="AP95" s="37">
        <f>IF(Tabela3[[#This Row],[Lucro/Ação]]&gt;0,Tabela3[[#This Row],[Cotação]]/(Tabela3[[#This Row],[Lucro/Ação]]/[Ref]*4),0)</f>
        <v>12.904013964991698</v>
      </c>
      <c r="AQ95" s="85">
        <f>[Lucro Distribuir]/[Total Ações]</f>
        <v>0.90663649556950321</v>
      </c>
      <c r="AR95" s="85">
        <f>IF([Unit ON]&gt;0,SUMPRODUCT(N([Nome]=Tabela3[[#This Row],[Nome]]),N(RIGHT([PAPEL],1)="3"),[Div Base])*[Unit ON]+SUMPRODUCT(N([Nome]=Tabela3[[#This Row],[Nome]]),N(RIGHT([PAPEL],1)="4"),[Div Base])*[Unit PN],[Div Base])</f>
        <v>0.2266591238923758</v>
      </c>
      <c r="AS95" s="10" t="str">
        <f>IF(AND([% A.A.]&gt;=6%,SUMPRODUCT(N([Nome]=Tabela3[[#This Row],[Nome]]),[PL])&gt;0,[Rentabilidade s/ PL]&gt;=[Rentabilidade s/ PL Média]),"Sim","Não")</f>
        <v>Não</v>
      </c>
      <c r="AT95" s="22">
        <f>IF([Cotação]&gt;0,Tabela3[[#This Row],[Lucro]]/Tabela3[[#This Row],[Cotação]],0)</f>
        <v>1.3803844329620937E-2</v>
      </c>
      <c r="AU95" s="22">
        <f>((1+Tabela3[[#This Row],[% Yield]])^(1/(3*Tabela3[[#This Row],[Ref]])))^(12)-1</f>
        <v>1.8447340206462437E-2</v>
      </c>
      <c r="AV95" s="10">
        <f>IF([Cotação]&gt;0,($BH$1/Tabela3[[#This Row],[Cotação]]-MOD($BH$1/Tabela3[[#This Row],[Cotação]],100)),)</f>
        <v>0</v>
      </c>
      <c r="AW95" s="7">
        <f>Tabela3[[#This Row],[Ativos]]*[Lucro]</f>
        <v>0</v>
      </c>
      <c r="AX95" s="7">
        <f>SUMPRODUCT(N(Tabela1[Código]=Tabela3[[#This Row],[PAPEL]]),Tabela1[Fechamento])</f>
        <v>0</v>
      </c>
      <c r="AY95" s="7">
        <f>SUMPRODUCT(N(Tabela17[Código]=Tabela3[[#This Row],[PAPEL]]),Tabela17[Fechamento])</f>
        <v>0</v>
      </c>
      <c r="AZ95" s="7">
        <f>SUMPRODUCT(N(Tabela176[Código]=Tabela3[[#This Row],[PAPEL]]),Tabela176[Fechamento])</f>
        <v>0</v>
      </c>
      <c r="BA95" s="7">
        <f>SUMPRODUCT(N(Tabela1768[Código]=Tabela3[[#This Row],[PAPEL]]),Tabela1768[Fechamento])</f>
        <v>0</v>
      </c>
      <c r="BB95" s="7">
        <f>SUMPRODUCT(N(Tabela17683[Código]=Tabela3[[#This Row],[PAPEL]]),Tabela17683[Fechamento])</f>
        <v>16.420000000000002</v>
      </c>
    </row>
    <row r="96" spans="1:54">
      <c r="A96" s="4" t="s">
        <v>12</v>
      </c>
      <c r="B96" s="57" t="s">
        <v>500</v>
      </c>
      <c r="C96" s="15" t="str">
        <f>LEFT([PAPEL],LEN([PAPEL])-(LEN([PAPEL])-4))</f>
        <v>EKTR</v>
      </c>
      <c r="D96" s="15">
        <v>4</v>
      </c>
      <c r="E96" s="6">
        <v>952491950.13999999</v>
      </c>
      <c r="F96" s="8">
        <v>91880972</v>
      </c>
      <c r="G96" s="81">
        <v>0.25</v>
      </c>
      <c r="H96" s="15"/>
      <c r="I96" s="19"/>
      <c r="J96" s="19"/>
      <c r="K96" s="88"/>
      <c r="L96" s="88"/>
      <c r="M96" s="55">
        <v>4601380000</v>
      </c>
      <c r="N96" s="55">
        <v>1223769000</v>
      </c>
      <c r="O96" s="55">
        <v>808162000</v>
      </c>
      <c r="P96" s="92">
        <v>2052755000</v>
      </c>
      <c r="Q96" s="92">
        <v>323694000</v>
      </c>
      <c r="R96" s="92">
        <f>IF(Tabela3[[#This Row],[Ativo || Passivo]]&gt;0,Tabela3[[#This Row],[Ativo || Passivo]]-Tabela3[[#This Row],[Patrimônio Líquido]],0)</f>
        <v>2548625000</v>
      </c>
      <c r="S96" s="92">
        <f>Tabela3[[#This Row],[Cotação]]*Tabela3[[#This Row],[Total Ações]]</f>
        <v>4068944565</v>
      </c>
      <c r="T96" s="36">
        <f>IF(Tabela3[[#This Row],[Passivo Circulante]]&gt;0,Tabela3[[#This Row],[Ativo Circulante]]/Tabela3[[#This Row],[Passivo Circulante]],0)</f>
        <v>1.5142619920263511</v>
      </c>
      <c r="U96" s="36">
        <f>SUMPRODUCT(N([Liquidez Corrente]&gt;0),N(RIGHT([PAPEL],LEN([PAPEL])-(LEN([PAPEL])-1))="3"),[Liquidez Corrente])/SUMPRODUCT(N([Liquidez Corrente]&gt;0),N(RIGHT([PAPEL],LEN([PAPEL])-(LEN([PAPEL])-1))="3"))</f>
        <v>2.331224473064915</v>
      </c>
      <c r="V96" s="19">
        <f>IF(Tabela3[[#This Row],[Lucro Líquido]]&gt;0,Tabela3[[#This Row],[Lucro Líquido]]/Tabela3[[#This Row],[Patrimônio Líquido]],0)</f>
        <v>0.15768759545099148</v>
      </c>
      <c r="W96" s="19">
        <f>SUMPRODUCT(N([Rentabilidade s/ PL]&gt;0),N(RIGHT([PAPEL],LEN([PAPEL])-(LEN([PAPEL])-1))="3"),[Rentabilidade s/ PL])/SUMPRODUCT(N([Rentabilidade s/ PL]&gt;0),N(RIGHT([PAPEL],LEN([PAPEL])-(LEN([PAPEL])-1))="3"))</f>
        <v>0.1261051308670782</v>
      </c>
      <c r="X96" s="19">
        <f>IF(Tabela3[[#This Row],[Dívida]]&gt;0,Tabela3[[#This Row],[Dívida]]/Tabela3[[#This Row],[Patrimônio Líquido]],0)</f>
        <v>1.2415631675480026</v>
      </c>
      <c r="Y96" s="19">
        <f>SUMPRODUCT(N([Dívida / PL]&gt;0),N(RIGHT([PAPEL],LEN([PAPEL])-(LEN([PAPEL])-1))="3"),[Dívida / PL])/SUMPRODUCT(N([Dívida / PL]&gt;0),N(RIGHT([PAPEL],LEN([PAPEL])-(LEN([PAPEL])-1))="3"))</f>
        <v>2.1510410379481146</v>
      </c>
      <c r="Z96" s="13">
        <f>Tabela3[[#This Row],[Capital Social]]*20%</f>
        <v>190498390.028</v>
      </c>
      <c r="AA96" s="13">
        <f>IF(([Lucro Líquido]*5%)&gt;[Teto R. Legal],[Teto R. Legal],[Lucro Líquido]*5%)</f>
        <v>16184700</v>
      </c>
      <c r="AB96" s="13">
        <f>IF([Lucro Líquido]&lt;0,0,[Lucro Líquido]-[Reserva Legal])</f>
        <v>307509300</v>
      </c>
      <c r="AC96" s="13">
        <f>Tabela3[[#This Row],[Lucro Distribuir]]*[%Div]</f>
        <v>76877325</v>
      </c>
      <c r="AD96" s="56">
        <f>SUMPRODUCT(N([Nome]=Tabela3[[#This Row],[Nome]]),[Ações])</f>
        <v>193759265</v>
      </c>
      <c r="AE96" s="6">
        <f>[Capital Social]/[Total Ações]</f>
        <v>4.9158524117027387</v>
      </c>
      <c r="AF96" s="78">
        <f>Tabela3[[#This Row],[Lucro Líquido]]/Tabela3[[#This Row],[Total Ações]]</f>
        <v>1.6705988227195225</v>
      </c>
      <c r="AG96" s="78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0.38442228342233836</v>
      </c>
      <c r="AH96" s="78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96" s="78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96" s="78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0.38442228342233836</v>
      </c>
      <c r="AK96" s="13">
        <f>[Div Base]*[Ações]</f>
        <v>35321093.059303932</v>
      </c>
      <c r="AL96" s="13">
        <f>SUMPRODUCT(N([Nome]=Tabela3[[#This Row],[Nome]]),[Div Base]*[Ações])</f>
        <v>78401807.747173041</v>
      </c>
      <c r="AM96" s="6">
        <f>[Patrimônio Líquido]/[Total Ações]</f>
        <v>10.594357900769287</v>
      </c>
      <c r="AN96" s="48">
        <f>MAX(Tabela3[[#This Row],[Cotação 1]:[Cotação 5]])</f>
        <v>21</v>
      </c>
      <c r="AO96" s="44">
        <f>[Cotação]/[VPA]</f>
        <v>1.982187141183434</v>
      </c>
      <c r="AP96" s="40">
        <f>IF(Tabela3[[#This Row],[Lucro/Ação]]&gt;0,Tabela3[[#This Row],[Cotação]]/(Tabela3[[#This Row],[Lucro/Ação]]/[Ref]*4),0)</f>
        <v>12.570342870118075</v>
      </c>
      <c r="AQ96" s="78">
        <f>[Lucro Distribuir]/[Total Ações]</f>
        <v>1.5870688815835465</v>
      </c>
      <c r="AR96" s="78">
        <f>IF([Unit ON]&gt;0,SUMPRODUCT(N([Nome]=Tabela3[[#This Row],[Nome]]),N(RIGHT([PAPEL],1)="3"),[Div Base])*[Unit ON]+SUMPRODUCT(N([Nome]=Tabela3[[#This Row],[Nome]]),N(RIGHT([PAPEL],1)="4"),[Div Base])*[Unit PN],[Div Base])</f>
        <v>0.38442228342233836</v>
      </c>
      <c r="AS96" s="14" t="str">
        <f>IF(AND([% A.A.]&gt;=6%,SUMPRODUCT(N([Nome]=Tabela3[[#This Row],[Nome]]),[PL])&gt;0,[Rentabilidade s/ PL]&gt;=[Rentabilidade s/ PL Média]),"Sim","Não")</f>
        <v>Não</v>
      </c>
      <c r="AT96" s="42">
        <f>IF([Cotação]&gt;0,Tabela3[[#This Row],[Lucro]]/Tabela3[[#This Row],[Cotação]],0)</f>
        <v>1.8305823020111349E-2</v>
      </c>
      <c r="AU96" s="42">
        <f>((1+Tabela3[[#This Row],[% Yield]])^(1/(3*Tabela3[[#This Row],[Ref]])))^(12)-1</f>
        <v>1.8305823020112744E-2</v>
      </c>
      <c r="AV96" s="14">
        <f>IF([Cotação]&gt;0,($BH$1/Tabela3[[#This Row],[Cotação]]-MOD($BH$1/Tabela3[[#This Row],[Cotação]],100)),)</f>
        <v>0</v>
      </c>
      <c r="AW96" s="17">
        <f>Tabela3[[#This Row],[Ativos]]*[Lucro]</f>
        <v>0</v>
      </c>
      <c r="AX96" s="17">
        <f>SUMPRODUCT(N(Tabela1[Código]=Tabela3[[#This Row],[PAPEL]]),Tabela1[Fechamento])</f>
        <v>0</v>
      </c>
      <c r="AY96" s="17">
        <f>SUMPRODUCT(N(Tabela17[Código]=Tabela3[[#This Row],[PAPEL]]),Tabela17[Fechamento])</f>
        <v>21</v>
      </c>
      <c r="AZ96" s="7">
        <f>SUMPRODUCT(N(Tabela176[Código]=Tabela3[[#This Row],[PAPEL]]),Tabela176[Fechamento])</f>
        <v>0</v>
      </c>
      <c r="BA96" s="7">
        <f>SUMPRODUCT(N(Tabela1768[Código]=Tabela3[[#This Row],[PAPEL]]),Tabela1768[Fechamento])</f>
        <v>0</v>
      </c>
      <c r="BB96" s="7">
        <f>SUMPRODUCT(N(Tabela17683[Código]=Tabela3[[#This Row],[PAPEL]]),Tabela17683[Fechamento])</f>
        <v>0</v>
      </c>
    </row>
    <row r="97" spans="1:54">
      <c r="A97" s="4" t="s">
        <v>12</v>
      </c>
      <c r="B97" s="57" t="s">
        <v>501</v>
      </c>
      <c r="C97" s="15" t="str">
        <f>LEFT([PAPEL],LEN([PAPEL])-(LEN([PAPEL])-4))</f>
        <v>EKTR</v>
      </c>
      <c r="D97" s="15">
        <v>4</v>
      </c>
      <c r="E97" s="6">
        <v>952491950.13999999</v>
      </c>
      <c r="F97" s="8">
        <v>101878293</v>
      </c>
      <c r="G97" s="81">
        <v>0.25</v>
      </c>
      <c r="H97" s="15"/>
      <c r="I97" s="19"/>
      <c r="J97" s="19">
        <v>0.1</v>
      </c>
      <c r="K97" s="88"/>
      <c r="L97" s="88"/>
      <c r="M97" s="55">
        <v>4601380000</v>
      </c>
      <c r="N97" s="55">
        <v>1223769000</v>
      </c>
      <c r="O97" s="55">
        <v>808162000</v>
      </c>
      <c r="P97" s="92">
        <v>2052755000</v>
      </c>
      <c r="Q97" s="92">
        <v>323694000</v>
      </c>
      <c r="R97" s="92">
        <f>IF(Tabela3[[#This Row],[Ativo || Passivo]]&gt;0,Tabela3[[#This Row],[Ativo || Passivo]]-Tabela3[[#This Row],[Patrimônio Líquido]],0)</f>
        <v>2548625000</v>
      </c>
      <c r="S97" s="92">
        <f>Tabela3[[#This Row],[Cotação]]*Tabela3[[#This Row],[Total Ações]]</f>
        <v>3293907505</v>
      </c>
      <c r="T97" s="36">
        <f>IF(Tabela3[[#This Row],[Passivo Circulante]]&gt;0,Tabela3[[#This Row],[Ativo Circulante]]/Tabela3[[#This Row],[Passivo Circulante]],0)</f>
        <v>1.5142619920263511</v>
      </c>
      <c r="U97" s="36">
        <f>SUMPRODUCT(N([Liquidez Corrente]&gt;0),N(RIGHT([PAPEL],LEN([PAPEL])-(LEN([PAPEL])-1))="3"),[Liquidez Corrente])/SUMPRODUCT(N([Liquidez Corrente]&gt;0),N(RIGHT([PAPEL],LEN([PAPEL])-(LEN([PAPEL])-1))="3"))</f>
        <v>2.331224473064915</v>
      </c>
      <c r="V97" s="19">
        <f>IF(Tabela3[[#This Row],[Lucro Líquido]]&gt;0,Tabela3[[#This Row],[Lucro Líquido]]/Tabela3[[#This Row],[Patrimônio Líquido]],0)</f>
        <v>0.15768759545099148</v>
      </c>
      <c r="W97" s="19">
        <f>SUMPRODUCT(N([Rentabilidade s/ PL]&gt;0),N(RIGHT([PAPEL],LEN([PAPEL])-(LEN([PAPEL])-1))="3"),[Rentabilidade s/ PL])/SUMPRODUCT(N([Rentabilidade s/ PL]&gt;0),N(RIGHT([PAPEL],LEN([PAPEL])-(LEN([PAPEL])-1))="3"))</f>
        <v>0.1261051308670782</v>
      </c>
      <c r="X97" s="19">
        <f>IF(Tabela3[[#This Row],[Dívida]]&gt;0,Tabela3[[#This Row],[Dívida]]/Tabela3[[#This Row],[Patrimônio Líquido]],0)</f>
        <v>1.2415631675480026</v>
      </c>
      <c r="Y97" s="19">
        <f>SUMPRODUCT(N([Dívida / PL]&gt;0),N(RIGHT([PAPEL],LEN([PAPEL])-(LEN([PAPEL])-1))="3"),[Dívida / PL])/SUMPRODUCT(N([Dívida / PL]&gt;0),N(RIGHT([PAPEL],LEN([PAPEL])-(LEN([PAPEL])-1))="3"))</f>
        <v>2.1510410379481146</v>
      </c>
      <c r="Z97" s="13">
        <f>Tabela3[[#This Row],[Capital Social]]*20%</f>
        <v>190498390.028</v>
      </c>
      <c r="AA97" s="13">
        <f>IF(([Lucro Líquido]*5%)&gt;[Teto R. Legal],[Teto R. Legal],[Lucro Líquido]*5%)</f>
        <v>16184700</v>
      </c>
      <c r="AB97" s="13">
        <f>IF([Lucro Líquido]&lt;0,0,[Lucro Líquido]-[Reserva Legal])</f>
        <v>307509300</v>
      </c>
      <c r="AC97" s="13">
        <f>Tabela3[[#This Row],[Lucro Distribuir]]*[%Div]</f>
        <v>76877325</v>
      </c>
      <c r="AD97" s="56">
        <f>SUMPRODUCT(N([Nome]=Tabela3[[#This Row],[Nome]]),[Ações])</f>
        <v>193759265</v>
      </c>
      <c r="AE97" s="6">
        <f>[Capital Social]/[Total Ações]</f>
        <v>4.9158524117027387</v>
      </c>
      <c r="AF97" s="78">
        <f>Tabela3[[#This Row],[Lucro Líquido]]/Tabela3[[#This Row],[Total Ações]]</f>
        <v>1.6705988227195225</v>
      </c>
      <c r="AG97" s="78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0.42286451234385231</v>
      </c>
      <c r="AH97" s="78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97" s="78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97" s="78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0.42286451234385231</v>
      </c>
      <c r="AK97" s="13">
        <f>[Div Base]*[Ações]</f>
        <v>43080714.687869102</v>
      </c>
      <c r="AL97" s="13">
        <f>SUMPRODUCT(N([Nome]=Tabela3[[#This Row],[Nome]]),[Div Base]*[Ações])</f>
        <v>78401807.747173041</v>
      </c>
      <c r="AM97" s="6">
        <f>[Patrimônio Líquido]/[Total Ações]</f>
        <v>10.594357900769287</v>
      </c>
      <c r="AN97" s="48">
        <f>MAX(Tabela3[[#This Row],[Cotação 1]:[Cotação 5]])</f>
        <v>17</v>
      </c>
      <c r="AO97" s="44">
        <f>[Cotação]/[VPA]</f>
        <v>1.6046276857199226</v>
      </c>
      <c r="AP97" s="40">
        <f>IF(Tabela3[[#This Row],[Lucro/Ação]]&gt;0,Tabela3[[#This Row],[Cotação]]/(Tabela3[[#This Row],[Lucro/Ação]]/[Ref]*4),0)</f>
        <v>10.175991847238441</v>
      </c>
      <c r="AQ97" s="78">
        <f>[Lucro Distribuir]/[Total Ações]</f>
        <v>1.5870688815835465</v>
      </c>
      <c r="AR97" s="78">
        <f>IF([Unit ON]&gt;0,SUMPRODUCT(N([Nome]=Tabela3[[#This Row],[Nome]]),N(RIGHT([PAPEL],1)="3"),[Div Base])*[Unit ON]+SUMPRODUCT(N([Nome]=Tabela3[[#This Row],[Nome]]),N(RIGHT([PAPEL],1)="4"),[Div Base])*[Unit PN],[Div Base])</f>
        <v>0.42286451234385231</v>
      </c>
      <c r="AS97" s="14" t="str">
        <f>IF(AND([% A.A.]&gt;=6%,SUMPRODUCT(N([Nome]=Tabela3[[#This Row],[Nome]]),[PL])&gt;0,[Rentabilidade s/ PL]&gt;=[Rentabilidade s/ PL Média]),"Sim","Não")</f>
        <v>Não</v>
      </c>
      <c r="AT97" s="42">
        <f>IF([Cotação]&gt;0,Tabela3[[#This Row],[Lucro]]/Tabela3[[#This Row],[Cotação]],0)</f>
        <v>2.4874383079050134E-2</v>
      </c>
      <c r="AU97" s="42">
        <f>((1+Tabela3[[#This Row],[% Yield]])^(1/(3*Tabela3[[#This Row],[Ref]])))^(12)-1</f>
        <v>2.4874383079052098E-2</v>
      </c>
      <c r="AV97" s="14">
        <f>IF([Cotação]&gt;0,($BH$1/Tabela3[[#This Row],[Cotação]]-MOD($BH$1/Tabela3[[#This Row],[Cotação]],100)),)</f>
        <v>0</v>
      </c>
      <c r="AW97" s="17">
        <f>Tabela3[[#This Row],[Ativos]]*[Lucro]</f>
        <v>0</v>
      </c>
      <c r="AX97" s="17">
        <f>SUMPRODUCT(N(Tabela1[Código]=Tabela3[[#This Row],[PAPEL]]),Tabela1[Fechamento])</f>
        <v>0</v>
      </c>
      <c r="AY97" s="17">
        <f>SUMPRODUCT(N(Tabela17[Código]=Tabela3[[#This Row],[PAPEL]]),Tabela17[Fechamento])</f>
        <v>17</v>
      </c>
      <c r="AZ97" s="7">
        <f>SUMPRODUCT(N(Tabela176[Código]=Tabela3[[#This Row],[PAPEL]]),Tabela176[Fechamento])</f>
        <v>0</v>
      </c>
      <c r="BA97" s="7">
        <f>SUMPRODUCT(N(Tabela1768[Código]=Tabela3[[#This Row],[PAPEL]]),Tabela1768[Fechamento])</f>
        <v>0</v>
      </c>
      <c r="BB97" s="7">
        <f>SUMPRODUCT(N(Tabela17683[Código]=Tabela3[[#This Row],[PAPEL]]),Tabela17683[Fechamento])</f>
        <v>0</v>
      </c>
    </row>
    <row r="98" spans="1:54">
      <c r="A98" s="3" t="s">
        <v>1033</v>
      </c>
      <c r="B98" s="58" t="s">
        <v>927</v>
      </c>
      <c r="C98" s="16" t="str">
        <f>LEFT([PAPEL],LEN([PAPEL])-(LEN([PAPEL])-4))</f>
        <v>HGTX</v>
      </c>
      <c r="D98" s="16">
        <v>4</v>
      </c>
      <c r="E98" s="5">
        <v>239435255.55000001</v>
      </c>
      <c r="F98" s="56">
        <v>164611187</v>
      </c>
      <c r="G98" s="81">
        <v>0.25</v>
      </c>
      <c r="H98" s="87"/>
      <c r="J98" s="18"/>
      <c r="K98" s="16"/>
      <c r="L98" s="87"/>
      <c r="M98" s="54">
        <v>1301038000</v>
      </c>
      <c r="N98" s="54">
        <v>929174000</v>
      </c>
      <c r="O98" s="54">
        <v>314773000</v>
      </c>
      <c r="P98" s="91">
        <v>907258000</v>
      </c>
      <c r="Q98" s="73">
        <v>318172000</v>
      </c>
      <c r="R98" s="73">
        <f>IF(Tabela3[[#This Row],[Ativo || Passivo]]&gt;0,Tabela3[[#This Row],[Ativo || Passivo]]-Tabela3[[#This Row],[Patrimônio Líquido]],0)</f>
        <v>393780000</v>
      </c>
      <c r="S98" s="73">
        <f>Tabela3[[#This Row],[Cotação]]*Tabela3[[#This Row],[Total Ações]]</f>
        <v>4013220739.0599999</v>
      </c>
      <c r="T98" s="37">
        <f>IF(Tabela3[[#This Row],[Passivo Circulante]]&gt;0,Tabela3[[#This Row],[Ativo Circulante]]/Tabela3[[#This Row],[Passivo Circulante]],0)</f>
        <v>2.9518859622648703</v>
      </c>
      <c r="U98" s="37">
        <f>SUMPRODUCT(N([Liquidez Corrente]&gt;0),N(RIGHT([PAPEL],LEN([PAPEL])-(LEN([PAPEL])-1))="3"),[Liquidez Corrente])/SUMPRODUCT(N([Liquidez Corrente]&gt;0),N(RIGHT([PAPEL],LEN([PAPEL])-(LEN([PAPEL])-1))="3"))</f>
        <v>2.331224473064915</v>
      </c>
      <c r="V98" s="18">
        <f>IF(Tabela3[[#This Row],[Lucro Líquido]]&gt;0,Tabela3[[#This Row],[Lucro Líquido]]/Tabela3[[#This Row],[Patrimônio Líquido]],0)</f>
        <v>0.35069627382729057</v>
      </c>
      <c r="W98" s="18">
        <f>SUMPRODUCT(N([Rentabilidade s/ PL]&gt;0),N(RIGHT([PAPEL],LEN([PAPEL])-(LEN([PAPEL])-1))="3"),[Rentabilidade s/ PL])/SUMPRODUCT(N([Rentabilidade s/ PL]&gt;0),N(RIGHT([PAPEL],LEN([PAPEL])-(LEN([PAPEL])-1))="3"))</f>
        <v>0.1261051308670782</v>
      </c>
      <c r="X98" s="18">
        <f>IF(Tabela3[[#This Row],[Dívida]]&gt;0,Tabela3[[#This Row],[Dívida]]/Tabela3[[#This Row],[Patrimônio Líquido]],0)</f>
        <v>0.43403309753124247</v>
      </c>
      <c r="Y98" s="18">
        <f>SUMPRODUCT(N([Dívida / PL]&gt;0),N(RIGHT([PAPEL],LEN([PAPEL])-(LEN([PAPEL])-1))="3"),[Dívida / PL])/SUMPRODUCT(N([Dívida / PL]&gt;0),N(RIGHT([PAPEL],LEN([PAPEL])-(LEN([PAPEL])-1))="3"))</f>
        <v>2.1510410379481146</v>
      </c>
      <c r="Z98" s="7">
        <f>Tabela3[[#This Row],[Capital Social]]*20%</f>
        <v>47887051.110000007</v>
      </c>
      <c r="AA98" s="47">
        <f>IF(([Lucro Líquido]*5%)&gt;[Teto R. Legal],[Teto R. Legal],[Lucro Líquido]*5%)</f>
        <v>15908600</v>
      </c>
      <c r="AB98" s="47">
        <f>IF([Lucro Líquido]&lt;0,0,[Lucro Líquido]-[Reserva Legal])</f>
        <v>302263400</v>
      </c>
      <c r="AC98" s="47">
        <f>Tabela3[[#This Row],[Lucro Distribuir]]*[%Div]</f>
        <v>75565850</v>
      </c>
      <c r="AD98" s="56">
        <f>SUMPRODUCT(N([Nome]=Tabela3[[#This Row],[Nome]]),[Ações])</f>
        <v>164611187</v>
      </c>
      <c r="AE98" s="85">
        <f>[Capital Social]/[Total Ações]</f>
        <v>1.454550325003124</v>
      </c>
      <c r="AF98" s="85">
        <f>Tabela3[[#This Row],[Lucro Líquido]]/Tabela3[[#This Row],[Total Ações]]</f>
        <v>1.9328698480255779</v>
      </c>
      <c r="AG98" s="85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0.45905658890607476</v>
      </c>
      <c r="AH98" s="85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98" s="77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98" s="85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0.45905658890607476</v>
      </c>
      <c r="AK98" s="7">
        <f>[Div Base]*[Ações]</f>
        <v>75565850</v>
      </c>
      <c r="AL98" s="7">
        <f>SUMPRODUCT(N([Nome]=Tabela3[[#This Row],[Nome]]),[Div Base]*[Ações])</f>
        <v>75565850</v>
      </c>
      <c r="AM98" s="5">
        <f>[Patrimônio Líquido]/[Total Ações]</f>
        <v>5.5115209150396325</v>
      </c>
      <c r="AN98" s="52">
        <f>MAX(Tabela3[[#This Row],[Cotação 1]:[Cotação 5]])</f>
        <v>24.38</v>
      </c>
      <c r="AO98" s="53">
        <f>[Cotação]/[VPA]</f>
        <v>4.4234613958322768</v>
      </c>
      <c r="AP98" s="37">
        <f>IF(Tabela3[[#This Row],[Lucro/Ação]]&gt;0,Tabela3[[#This Row],[Cotação]]/(Tabela3[[#This Row],[Lucro/Ação]]/[Ref]*4),0)</f>
        <v>12.613368678136354</v>
      </c>
      <c r="AQ98" s="85">
        <f>[Lucro Distribuir]/[Total Ações]</f>
        <v>1.836226355624299</v>
      </c>
      <c r="AR98" s="85">
        <f>IF([Unit ON]&gt;0,SUMPRODUCT(N([Nome]=Tabela3[[#This Row],[Nome]]),N(RIGHT([PAPEL],1)="3"),[Div Base])*[Unit ON]+SUMPRODUCT(N([Nome]=Tabela3[[#This Row],[Nome]]),N(RIGHT([PAPEL],1)="4"),[Div Base])*[Unit PN],[Div Base])</f>
        <v>0.45905658890607476</v>
      </c>
      <c r="AS98" s="10" t="str">
        <f>IF(AND([% A.A.]&gt;=6%,SUMPRODUCT(N([Nome]=Tabela3[[#This Row],[Nome]]),[PL])&gt;0,[Rentabilidade s/ PL]&gt;=[Rentabilidade s/ PL Média]),"Sim","Não")</f>
        <v>Não</v>
      </c>
      <c r="AT98" s="22">
        <f>IF([Cotação]&gt;0,Tabela3[[#This Row],[Lucro]]/Tabela3[[#This Row],[Cotação]],0)</f>
        <v>1.8829228421085923E-2</v>
      </c>
      <c r="AU98" s="22">
        <f>((1+Tabela3[[#This Row],[% Yield]])^(1/(3*Tabela3[[#This Row],[Ref]])))^(12)-1</f>
        <v>1.8829228421085809E-2</v>
      </c>
      <c r="AV98" s="10">
        <f>IF([Cotação]&gt;0,($BH$1/Tabela3[[#This Row],[Cotação]]-MOD($BH$1/Tabela3[[#This Row],[Cotação]],100)),)</f>
        <v>0</v>
      </c>
      <c r="AW98" s="7">
        <f>Tabela3[[#This Row],[Ativos]]*[Lucro]</f>
        <v>0</v>
      </c>
      <c r="AX98" s="7">
        <f>SUMPRODUCT(N(Tabela1[Código]=Tabela3[[#This Row],[PAPEL]]),Tabela1[Fechamento])</f>
        <v>0</v>
      </c>
      <c r="AY98" s="7">
        <f>SUMPRODUCT(N(Tabela17[Código]=Tabela3[[#This Row],[PAPEL]]),Tabela17[Fechamento])</f>
        <v>0</v>
      </c>
      <c r="AZ98" s="7">
        <f>SUMPRODUCT(N(Tabela176[Código]=Tabela3[[#This Row],[PAPEL]]),Tabela176[Fechamento])</f>
        <v>0</v>
      </c>
      <c r="BA98" s="7">
        <f>SUMPRODUCT(N(Tabela1768[Código]=Tabela3[[#This Row],[PAPEL]]),Tabela1768[Fechamento])</f>
        <v>24.38</v>
      </c>
      <c r="BB98" s="7">
        <f>SUMPRODUCT(N(Tabela17683[Código]=Tabela3[[#This Row],[PAPEL]]),Tabela17683[Fechamento])</f>
        <v>0</v>
      </c>
    </row>
    <row r="99" spans="1:54" hidden="1">
      <c r="A99" s="4" t="s">
        <v>37</v>
      </c>
      <c r="B99" s="57" t="s">
        <v>182</v>
      </c>
      <c r="C99" s="14" t="str">
        <f>LEFT([PAPEL],LEN([PAPEL])-(LEN([PAPEL])-4))</f>
        <v>SAPR</v>
      </c>
      <c r="D99" s="15">
        <v>3</v>
      </c>
      <c r="E99" s="6">
        <v>2597359806</v>
      </c>
      <c r="F99" s="8">
        <v>289836870</v>
      </c>
      <c r="G99" s="81">
        <v>0.25</v>
      </c>
      <c r="H99" s="15"/>
      <c r="I99" s="19"/>
      <c r="J99" s="19"/>
      <c r="K99" s="88"/>
      <c r="L99" s="88"/>
      <c r="M99" s="55"/>
      <c r="N99" s="55"/>
      <c r="O99" s="55"/>
      <c r="P99" s="6">
        <v>3403126000</v>
      </c>
      <c r="Q99" s="6">
        <v>314887000</v>
      </c>
      <c r="R99" s="6">
        <f>IF(Tabela3[[#This Row],[Ativo || Passivo]]&gt;0,Tabela3[[#This Row],[Ativo || Passivo]]-Tabela3[[#This Row],[Patrimônio Líquido]],0)</f>
        <v>0</v>
      </c>
      <c r="S99" s="6">
        <f>Tabela3[[#This Row],[Cotação]]*Tabela3[[#This Row],[Total Ações]]</f>
        <v>3903519487.1399999</v>
      </c>
      <c r="T99" s="132">
        <f>IF(Tabela3[[#This Row],[Passivo Circulante]]&gt;0,Tabela3[[#This Row],[Ativo Circulante]]/Tabela3[[#This Row],[Passivo Circulante]],0)</f>
        <v>0</v>
      </c>
      <c r="U99" s="132">
        <f>SUMPRODUCT(N([Liquidez Corrente]&gt;0),N(RIGHT([PAPEL],LEN([PAPEL])-(LEN([PAPEL])-1))="3"),[Liquidez Corrente])/SUMPRODUCT(N([Liquidez Corrente]&gt;0),N(RIGHT([PAPEL],LEN([PAPEL])-(LEN([PAPEL])-1))="3"))</f>
        <v>2.331224473064915</v>
      </c>
      <c r="V99" s="19">
        <f>IF(Tabela3[[#This Row],[Lucro Líquido]]&gt;0,Tabela3[[#This Row],[Lucro Líquido]]/Tabela3[[#This Row],[Patrimônio Líquido]],0)</f>
        <v>9.252875150670295E-2</v>
      </c>
      <c r="W99" s="19">
        <f>SUMPRODUCT(N([Rentabilidade s/ PL]&gt;0),N(RIGHT([PAPEL],LEN([PAPEL])-(LEN([PAPEL])-1))="3"),[Rentabilidade s/ PL])/SUMPRODUCT(N([Rentabilidade s/ PL]&gt;0),N(RIGHT([PAPEL],LEN([PAPEL])-(LEN([PAPEL])-1))="3"))</f>
        <v>0.1261051308670782</v>
      </c>
      <c r="X99" s="19">
        <f>IF(Tabela3[[#This Row],[Dívida]]&gt;0,Tabela3[[#This Row],[Dívida]]/Tabela3[[#This Row],[Patrimônio Líquido]],0)</f>
        <v>0</v>
      </c>
      <c r="Y99" s="19">
        <f>SUMPRODUCT(N([Dívida / PL]&gt;0),N(RIGHT([PAPEL],LEN([PAPEL])-(LEN([PAPEL])-1))="3"),[Dívida / PL])/SUMPRODUCT(N([Dívida / PL]&gt;0),N(RIGHT([PAPEL],LEN([PAPEL])-(LEN([PAPEL])-1))="3"))</f>
        <v>2.1510410379481146</v>
      </c>
      <c r="Z99" s="6">
        <f>Tabela3[[#This Row],[Capital Social]]*20%</f>
        <v>519471961.20000005</v>
      </c>
      <c r="AA99" s="6">
        <f>IF(([Lucro Líquido]*5%)&gt;[Teto R. Legal],[Teto R. Legal],[Lucro Líquido]*5%)</f>
        <v>15744350</v>
      </c>
      <c r="AB99" s="6">
        <f>IF([Lucro Líquido]&lt;0,0,[Lucro Líquido]-[Reserva Legal])</f>
        <v>299142650</v>
      </c>
      <c r="AC99" s="6">
        <f>Tabela3[[#This Row],[Lucro Distribuir]]*[%Div]</f>
        <v>74785662.5</v>
      </c>
      <c r="AD99" s="21">
        <f>SUMPRODUCT(N([Nome]=Tabela3[[#This Row],[Nome]]),[Ações])</f>
        <v>476620206</v>
      </c>
      <c r="AE99" s="6">
        <f>[Capital Social]/[Total Ações]</f>
        <v>5.4495377520775943</v>
      </c>
      <c r="AF99" s="78">
        <f>Tabela3[[#This Row],[Lucro Líquido]]/Tabela3[[#This Row],[Total Ações]]</f>
        <v>0.66066649301897196</v>
      </c>
      <c r="AG99" s="78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0.15202627846555206</v>
      </c>
      <c r="AH99" s="78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99" s="78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99" s="78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0.15202627846555206</v>
      </c>
      <c r="AK99" s="6">
        <f>[Div Base]*[Ações]</f>
        <v>44062820.708204009</v>
      </c>
      <c r="AL99" s="6">
        <f>SUMPRODUCT(N([Nome]=Tabela3[[#This Row],[Nome]]),[Div Base]*[Ações])</f>
        <v>75298393.747600317</v>
      </c>
      <c r="AM99" s="6">
        <f>[Patrimônio Líquido]/[Total Ações]</f>
        <v>7.1401211219316201</v>
      </c>
      <c r="AN99" s="48">
        <f>MAX(Tabela3[[#This Row],[Cotação 1]:[Cotação 5]])</f>
        <v>8.19</v>
      </c>
      <c r="AO99" s="44">
        <f>[Cotação]/[VPA]</f>
        <v>1.1470393653188273</v>
      </c>
      <c r="AP99" s="40">
        <f>IF(Tabela3[[#This Row],[Lucro/Ação]]&gt;0,Tabela3[[#This Row],[Cotação]]/(Tabela3[[#This Row],[Lucro/Ação]]/[Ref]*4),0)</f>
        <v>9.2974292852832914</v>
      </c>
      <c r="AQ99" s="78">
        <f>[Lucro Distribuir]/[Total Ações]</f>
        <v>0.62763316836802341</v>
      </c>
      <c r="AR99" s="78">
        <f>IF([Unit ON]&gt;0,SUMPRODUCT(N([Nome]=Tabela3[[#This Row],[Nome]]),N(RIGHT([PAPEL],1)="3"),[Div Base])*[Unit ON]+SUMPRODUCT(N([Nome]=Tabela3[[#This Row],[Nome]]),N(RIGHT([PAPEL],1)="4"),[Div Base])*[Unit PN],[Div Base])</f>
        <v>0.15202627846555206</v>
      </c>
      <c r="AS99" s="15" t="str">
        <f>IF(AND([% A.A.]&gt;=6%,SUMPRODUCT(N([Nome]=Tabela3[[#This Row],[Nome]]),[PL])&gt;0,[Rentabilidade s/ PL]&gt;=[Rentabilidade s/ PL Média]),"Sim","Não")</f>
        <v>Não</v>
      </c>
      <c r="AT99" s="42">
        <f>IF([Cotação]&gt;0,Tabela3[[#This Row],[Lucro]]/Tabela3[[#This Row],[Cotação]],0)</f>
        <v>1.856242716307107E-2</v>
      </c>
      <c r="AU99" s="19">
        <f>((1+Tabela3[[#This Row],[% Yield]])^(1/(3*Tabela3[[#This Row],[Ref]])))^(12)-1</f>
        <v>2.4826159165840522E-2</v>
      </c>
      <c r="AV99" s="14">
        <f>IF([Cotação]&gt;0,($BH$1/Tabela3[[#This Row],[Cotação]]-MOD($BH$1/Tabela3[[#This Row],[Cotação]],100)),)</f>
        <v>0</v>
      </c>
      <c r="AW99" s="17">
        <f>Tabela3[[#This Row],[Ativos]]*[Lucro]</f>
        <v>0</v>
      </c>
      <c r="AX99" s="5">
        <f>SUMPRODUCT(N(Tabela1[Código]=Tabela3[[#This Row],[PAPEL]]),Tabela1[Fechamento])</f>
        <v>8.19</v>
      </c>
      <c r="AY99" s="5">
        <f>SUMPRODUCT(N(Tabela17[Código]=Tabela3[[#This Row],[PAPEL]]),Tabela17[Fechamento])</f>
        <v>0</v>
      </c>
      <c r="AZ99" s="7">
        <f>SUMPRODUCT(N(Tabela176[Código]=Tabela3[[#This Row],[PAPEL]]),Tabela176[Fechamento])</f>
        <v>0</v>
      </c>
      <c r="BA99" s="7">
        <f>SUMPRODUCT(N(Tabela1768[Código]=Tabela3[[#This Row],[PAPEL]]),Tabela1768[Fechamento])</f>
        <v>0</v>
      </c>
      <c r="BB99" s="7">
        <f>SUMPRODUCT(N(Tabela17683[Código]=Tabela3[[#This Row],[PAPEL]]),Tabela17683[Fechamento])</f>
        <v>0</v>
      </c>
    </row>
    <row r="100" spans="1:54" hidden="1">
      <c r="A100" s="4" t="s">
        <v>37</v>
      </c>
      <c r="B100" s="57" t="s">
        <v>66</v>
      </c>
      <c r="C100" s="14" t="str">
        <f>LEFT([PAPEL],LEN([PAPEL])-(LEN([PAPEL])-4))</f>
        <v>SAPR</v>
      </c>
      <c r="D100" s="15">
        <v>3</v>
      </c>
      <c r="E100" s="6">
        <v>2597359806</v>
      </c>
      <c r="F100" s="8">
        <v>186783336</v>
      </c>
      <c r="G100" s="86">
        <v>0.25</v>
      </c>
      <c r="H100" s="15"/>
      <c r="I100" s="19"/>
      <c r="J100" s="19">
        <v>0.1</v>
      </c>
      <c r="K100" s="88"/>
      <c r="L100" s="88"/>
      <c r="M100" s="55"/>
      <c r="N100" s="55"/>
      <c r="O100" s="55"/>
      <c r="P100" s="6">
        <v>3403126000</v>
      </c>
      <c r="Q100" s="6">
        <v>314887000</v>
      </c>
      <c r="R100" s="6">
        <f>IF(Tabela3[[#This Row],[Ativo || Passivo]]&gt;0,Tabela3[[#This Row],[Ativo || Passivo]]-Tabela3[[#This Row],[Patrimônio Líquido]],0)</f>
        <v>0</v>
      </c>
      <c r="S100" s="6">
        <f>Tabela3[[#This Row],[Cotação]]*Tabela3[[#This Row],[Total Ações]]</f>
        <v>2430763050.5999999</v>
      </c>
      <c r="T100" s="132">
        <f>IF(Tabela3[[#This Row],[Passivo Circulante]]&gt;0,Tabela3[[#This Row],[Ativo Circulante]]/Tabela3[[#This Row],[Passivo Circulante]],0)</f>
        <v>0</v>
      </c>
      <c r="U100" s="132">
        <f>SUMPRODUCT(N([Liquidez Corrente]&gt;0),N(RIGHT([PAPEL],LEN([PAPEL])-(LEN([PAPEL])-1))="3"),[Liquidez Corrente])/SUMPRODUCT(N([Liquidez Corrente]&gt;0),N(RIGHT([PAPEL],LEN([PAPEL])-(LEN([PAPEL])-1))="3"))</f>
        <v>2.331224473064915</v>
      </c>
      <c r="V100" s="19">
        <f>IF(Tabela3[[#This Row],[Lucro Líquido]]&gt;0,Tabela3[[#This Row],[Lucro Líquido]]/Tabela3[[#This Row],[Patrimônio Líquido]],0)</f>
        <v>9.252875150670295E-2</v>
      </c>
      <c r="W100" s="19">
        <f>SUMPRODUCT(N([Rentabilidade s/ PL]&gt;0),N(RIGHT([PAPEL],LEN([PAPEL])-(LEN([PAPEL])-1))="3"),[Rentabilidade s/ PL])/SUMPRODUCT(N([Rentabilidade s/ PL]&gt;0),N(RIGHT([PAPEL],LEN([PAPEL])-(LEN([PAPEL])-1))="3"))</f>
        <v>0.1261051308670782</v>
      </c>
      <c r="X100" s="19">
        <f>IF(Tabela3[[#This Row],[Dívida]]&gt;0,Tabela3[[#This Row],[Dívida]]/Tabela3[[#This Row],[Patrimônio Líquido]],0)</f>
        <v>0</v>
      </c>
      <c r="Y100" s="19">
        <f>SUMPRODUCT(N([Dívida / PL]&gt;0),N(RIGHT([PAPEL],LEN([PAPEL])-(LEN([PAPEL])-1))="3"),[Dívida / PL])/SUMPRODUCT(N([Dívida / PL]&gt;0),N(RIGHT([PAPEL],LEN([PAPEL])-(LEN([PAPEL])-1))="3"))</f>
        <v>2.1510410379481146</v>
      </c>
      <c r="Z100" s="6">
        <f>Tabela3[[#This Row],[Capital Social]]*20%</f>
        <v>519471961.20000005</v>
      </c>
      <c r="AA100" s="6">
        <f>IF(([Lucro Líquido]*5%)&gt;[Teto R. Legal],[Teto R. Legal],[Lucro Líquido]*5%)</f>
        <v>15744350</v>
      </c>
      <c r="AB100" s="6">
        <f>IF([Lucro Líquido]&lt;0,0,[Lucro Líquido]-[Reserva Legal])</f>
        <v>299142650</v>
      </c>
      <c r="AC100" s="6">
        <f>Tabela3[[#This Row],[Lucro Distribuir]]*[%Div]</f>
        <v>74785662.5</v>
      </c>
      <c r="AD100" s="21">
        <f>SUMPRODUCT(N([Nome]=Tabela3[[#This Row],[Nome]]),[Ações])</f>
        <v>476620206</v>
      </c>
      <c r="AE100" s="6">
        <f>[Capital Social]/[Total Ações]</f>
        <v>5.4495377520775943</v>
      </c>
      <c r="AF100" s="78">
        <f>Tabela3[[#This Row],[Lucro Líquido]]/Tabela3[[#This Row],[Total Ações]]</f>
        <v>0.66066649301897196</v>
      </c>
      <c r="AG100" s="78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0.16722890654119335</v>
      </c>
      <c r="AH100" s="78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100" s="78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100" s="78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0.16722890654119335</v>
      </c>
      <c r="AK100" s="6">
        <f>[Div Base]*[Ações]</f>
        <v>31235573.039396316</v>
      </c>
      <c r="AL100" s="6">
        <f>SUMPRODUCT(N([Nome]=Tabela3[[#This Row],[Nome]]),[Div Base]*[Ações])</f>
        <v>75298393.747600317</v>
      </c>
      <c r="AM100" s="6">
        <f>[Patrimônio Líquido]/[Total Ações]</f>
        <v>7.1401211219316201</v>
      </c>
      <c r="AN100" s="48">
        <f>MAX(Tabela3[[#This Row],[Cotação 1]:[Cotação 5]])</f>
        <v>5.0999999999999996</v>
      </c>
      <c r="AO100" s="44">
        <f>[Cotação]/[VPA]</f>
        <v>0.71427359745128449</v>
      </c>
      <c r="AP100" s="40">
        <f>IF(Tabela3[[#This Row],[Lucro/Ação]]&gt;0,Tabela3[[#This Row],[Cotação]]/(Tabela3[[#This Row],[Lucro/Ação]]/[Ref]*4),0)</f>
        <v>5.7896079798467381</v>
      </c>
      <c r="AQ100" s="78">
        <f>[Lucro Distribuir]/[Total Ações]</f>
        <v>0.62763316836802341</v>
      </c>
      <c r="AR100" s="78">
        <f>IF([Unit ON]&gt;0,SUMPRODUCT(N([Nome]=Tabela3[[#This Row],[Nome]]),N(RIGHT([PAPEL],1)="3"),[Div Base])*[Unit ON]+SUMPRODUCT(N([Nome]=Tabela3[[#This Row],[Nome]]),N(RIGHT([PAPEL],1)="4"),[Div Base])*[Unit PN],[Div Base])</f>
        <v>0.16722890654119335</v>
      </c>
      <c r="AS100" s="15" t="str">
        <f>IF(AND([% A.A.]&gt;=6%,SUMPRODUCT(N([Nome]=Tabela3[[#This Row],[Nome]]),[PL])&gt;0,[Rentabilidade s/ PL]&gt;=[Rentabilidade s/ PL Média]),"Sim","Não")</f>
        <v>Não</v>
      </c>
      <c r="AT100" s="42">
        <f>IF([Cotação]&gt;0,Tabela3[[#This Row],[Lucro]]/Tabela3[[#This Row],[Cotação]],0)</f>
        <v>3.2789981674743798E-2</v>
      </c>
      <c r="AU100" s="19">
        <f>((1+Tabela3[[#This Row],[% Yield]])^(1/(3*Tabela3[[#This Row],[Ref]])))^(12)-1</f>
        <v>4.3957187478939064E-2</v>
      </c>
      <c r="AV100" s="14">
        <f>IF([Cotação]&gt;0,($BH$1/Tabela3[[#This Row],[Cotação]]-MOD($BH$1/Tabela3[[#This Row],[Cotação]],100)),)</f>
        <v>0</v>
      </c>
      <c r="AW100" s="17">
        <f>Tabela3[[#This Row],[Ativos]]*[Lucro]</f>
        <v>0</v>
      </c>
      <c r="AX100" s="5">
        <f>SUMPRODUCT(N(Tabela1[Código]=Tabela3[[#This Row],[PAPEL]]),Tabela1[Fechamento])</f>
        <v>5.0999999999999996</v>
      </c>
      <c r="AY100" s="5">
        <f>SUMPRODUCT(N(Tabela17[Código]=Tabela3[[#This Row],[PAPEL]]),Tabela17[Fechamento])</f>
        <v>0</v>
      </c>
      <c r="AZ100" s="7">
        <f>SUMPRODUCT(N(Tabela176[Código]=Tabela3[[#This Row],[PAPEL]]),Tabela176[Fechamento])</f>
        <v>0</v>
      </c>
      <c r="BA100" s="7">
        <f>SUMPRODUCT(N(Tabela1768[Código]=Tabela3[[#This Row],[PAPEL]]),Tabela1768[Fechamento])</f>
        <v>0</v>
      </c>
      <c r="BB100" s="7">
        <f>SUMPRODUCT(N(Tabela17683[Código]=Tabela3[[#This Row],[PAPEL]]),Tabela17683[Fechamento])</f>
        <v>0</v>
      </c>
    </row>
    <row r="101" spans="1:54" hidden="1">
      <c r="A101" s="3" t="s">
        <v>1329</v>
      </c>
      <c r="B101" s="57" t="s">
        <v>1323</v>
      </c>
      <c r="C101" s="16" t="str">
        <f>LEFT([PAPEL],LEN([PAPEL])-(LEN([PAPEL])-4))</f>
        <v>ECOR</v>
      </c>
      <c r="D101" s="16">
        <v>3</v>
      </c>
      <c r="E101" s="5">
        <v>1340699080</v>
      </c>
      <c r="F101" s="56">
        <v>558699080</v>
      </c>
      <c r="G101" s="81">
        <v>0.25</v>
      </c>
      <c r="H101" s="87"/>
      <c r="J101" s="18"/>
      <c r="K101" s="16"/>
      <c r="L101" s="87"/>
      <c r="M101" s="54"/>
      <c r="N101" s="54"/>
      <c r="O101" s="54"/>
      <c r="P101" s="91">
        <v>2152782000</v>
      </c>
      <c r="Q101" s="93">
        <v>309558000</v>
      </c>
      <c r="R101" s="73">
        <f>IF(Tabela3[[#This Row],[Ativo || Passivo]]&gt;0,Tabela3[[#This Row],[Ativo || Passivo]]-Tabela3[[#This Row],[Patrimônio Líquido]],0)</f>
        <v>0</v>
      </c>
      <c r="S101" s="73">
        <f>Tabela3[[#This Row],[Cotação]]*Tabela3[[#This Row],[Total Ações]]</f>
        <v>6905520628.7999992</v>
      </c>
      <c r="T101" s="37">
        <f>IF(Tabela3[[#This Row],[Passivo Circulante]]&gt;0,Tabela3[[#This Row],[Ativo Circulante]]/Tabela3[[#This Row],[Passivo Circulante]],0)</f>
        <v>0</v>
      </c>
      <c r="U101" s="37">
        <f>SUMPRODUCT(N([Liquidez Corrente]&gt;0),N(RIGHT([PAPEL],LEN([PAPEL])-(LEN([PAPEL])-1))="3"),[Liquidez Corrente])/SUMPRODUCT(N([Liquidez Corrente]&gt;0),N(RIGHT([PAPEL],LEN([PAPEL])-(LEN([PAPEL])-1))="3"))</f>
        <v>2.331224473064915</v>
      </c>
      <c r="V101" s="18">
        <f>IF(Tabela3[[#This Row],[Lucro Líquido]]&gt;0,Tabela3[[#This Row],[Lucro Líquido]]/Tabela3[[#This Row],[Patrimônio Líquido]],0)</f>
        <v>0.14379440184839895</v>
      </c>
      <c r="W101" s="18">
        <f>SUMPRODUCT(N([Rentabilidade s/ PL]&gt;0),N(RIGHT([PAPEL],LEN([PAPEL])-(LEN([PAPEL])-1))="3"),[Rentabilidade s/ PL])/SUMPRODUCT(N([Rentabilidade s/ PL]&gt;0),N(RIGHT([PAPEL],LEN([PAPEL])-(LEN([PAPEL])-1))="3"))</f>
        <v>0.1261051308670782</v>
      </c>
      <c r="X101" s="18">
        <f>IF(Tabela3[[#This Row],[Dívida]]&gt;0,Tabela3[[#This Row],[Dívida]]/Tabela3[[#This Row],[Patrimônio Líquido]],0)</f>
        <v>0</v>
      </c>
      <c r="Y101" s="18">
        <f>SUMPRODUCT(N([Dívida / PL]&gt;0),N(RIGHT([PAPEL],LEN([PAPEL])-(LEN([PAPEL])-1))="3"),[Dívida / PL])/SUMPRODUCT(N([Dívida / PL]&gt;0),N(RIGHT([PAPEL],LEN([PAPEL])-(LEN([PAPEL])-1))="3"))</f>
        <v>2.1510410379481146</v>
      </c>
      <c r="Z101" s="7">
        <f>Tabela3[[#This Row],[Capital Social]]*20%</f>
        <v>268139816</v>
      </c>
      <c r="AA101" s="47">
        <f>IF(([Lucro Líquido]*5%)&gt;[Teto R. Legal],[Teto R. Legal],[Lucro Líquido]*5%)</f>
        <v>15477900</v>
      </c>
      <c r="AB101" s="47">
        <f>IF([Lucro Líquido]&lt;0,0,[Lucro Líquido]-[Reserva Legal])</f>
        <v>294080100</v>
      </c>
      <c r="AC101" s="47">
        <f>Tabela3[[#This Row],[Lucro Distribuir]]*[%Div]</f>
        <v>73520025</v>
      </c>
      <c r="AD101" s="56">
        <f>SUMPRODUCT(N([Nome]=Tabela3[[#This Row],[Nome]]),[Ações])</f>
        <v>558699080</v>
      </c>
      <c r="AE101" s="85">
        <f>[Capital Social]/[Total Ações]</f>
        <v>2.3996801283438662</v>
      </c>
      <c r="AF101" s="85">
        <f>Tabela3[[#This Row],[Lucro Líquido]]/Tabela3[[#This Row],[Total Ações]]</f>
        <v>0.55406928538346623</v>
      </c>
      <c r="AG101" s="85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0.13159145527857322</v>
      </c>
      <c r="AH101" s="85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101" s="77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101" s="85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0.13159145527857322</v>
      </c>
      <c r="AK101" s="7">
        <f>[Div Base]*[Ações]</f>
        <v>73520025</v>
      </c>
      <c r="AL101" s="120">
        <f>SUMPRODUCT(N([Nome]=Tabela3[[#This Row],[Nome]]),[Div Base]*[Ações])</f>
        <v>73520025</v>
      </c>
      <c r="AM101" s="5">
        <f>[Patrimônio Líquido]/[Total Ações]</f>
        <v>3.853204841504303</v>
      </c>
      <c r="AN101" s="52">
        <f>MAX(Tabela3[[#This Row],[Cotação 1]:[Cotação 5]])</f>
        <v>12.36</v>
      </c>
      <c r="AO101" s="53">
        <f>[Cotação]/[VPA]</f>
        <v>3.2077194201735244</v>
      </c>
      <c r="AP101" s="37">
        <f>IF(Tabela3[[#This Row],[Lucro/Ação]]&gt;0,Tabela3[[#This Row],[Cotação]]/(Tabela3[[#This Row],[Lucro/Ação]]/[Ref]*4),0)</f>
        <v>16.730759572034966</v>
      </c>
      <c r="AQ101" s="85">
        <f>[Lucro Distribuir]/[Total Ações]</f>
        <v>0.52636582111429286</v>
      </c>
      <c r="AR101" s="85">
        <f>IF([Unit ON]&gt;0,SUMPRODUCT(N([Nome]=Tabela3[[#This Row],[Nome]]),N(RIGHT([PAPEL],1)="3"),[Div Base])*[Unit ON]+SUMPRODUCT(N([Nome]=Tabela3[[#This Row],[Nome]]),N(RIGHT([PAPEL],1)="4"),[Div Base])*[Unit PN],[Div Base])</f>
        <v>0.13159145527857322</v>
      </c>
      <c r="AS101" s="10" t="str">
        <f>IF(AND([% A.A.]&gt;=6%,SUMPRODUCT(N([Nome]=Tabela3[[#This Row],[Nome]]),[PL])&gt;0,[Rentabilidade s/ PL]&gt;=[Rentabilidade s/ PL Média]),"Sim","Não")</f>
        <v>Não</v>
      </c>
      <c r="AT101" s="22">
        <f>IF([Cotação]&gt;0,Tabela3[[#This Row],[Lucro]]/Tabela3[[#This Row],[Cotação]],0)</f>
        <v>1.0646557870434727E-2</v>
      </c>
      <c r="AU101" s="22">
        <f>((1+Tabela3[[#This Row],[% Yield]])^(1/(3*Tabela3[[#This Row],[Ref]])))^(12)-1</f>
        <v>1.4220539872658478E-2</v>
      </c>
      <c r="AV101" s="10">
        <f>IF([Cotação]&gt;0,($BH$1/Tabela3[[#This Row],[Cotação]]-MOD($BH$1/Tabela3[[#This Row],[Cotação]],100)),)</f>
        <v>0</v>
      </c>
      <c r="AW101" s="7">
        <f>Tabela3[[#This Row],[Ativos]]*[Lucro]</f>
        <v>0</v>
      </c>
      <c r="AX101" s="7">
        <f>SUMPRODUCT(N(Tabela1[Código]=Tabela3[[#This Row],[PAPEL]]),Tabela1[Fechamento])</f>
        <v>0</v>
      </c>
      <c r="AY101" s="7">
        <f>SUMPRODUCT(N(Tabela17[Código]=Tabela3[[#This Row],[PAPEL]]),Tabela17[Fechamento])</f>
        <v>0</v>
      </c>
      <c r="AZ101" s="7">
        <f>SUMPRODUCT(N(Tabela176[Código]=Tabela3[[#This Row],[PAPEL]]),Tabela176[Fechamento])</f>
        <v>0</v>
      </c>
      <c r="BA101" s="7">
        <f>SUMPRODUCT(N(Tabela1768[Código]=Tabela3[[#This Row],[PAPEL]]),Tabela1768[Fechamento])</f>
        <v>0</v>
      </c>
      <c r="BB101" s="7">
        <f>SUMPRODUCT(N(Tabela17683[Código]=Tabela3[[#This Row],[PAPEL]]),Tabela17683[Fechamento])</f>
        <v>12.36</v>
      </c>
    </row>
    <row r="102" spans="1:54" hidden="1">
      <c r="A102" s="4" t="s">
        <v>14</v>
      </c>
      <c r="B102" s="57" t="s">
        <v>212</v>
      </c>
      <c r="C102" s="14" t="str">
        <f>LEFT([PAPEL],LEN([PAPEL])-(LEN([PAPEL])-4))</f>
        <v>BNBR</v>
      </c>
      <c r="D102" s="15">
        <v>3</v>
      </c>
      <c r="E102" s="6">
        <v>2437000000</v>
      </c>
      <c r="F102" s="8">
        <v>48484775</v>
      </c>
      <c r="G102" s="81">
        <v>0.25</v>
      </c>
      <c r="H102" s="15"/>
      <c r="I102" s="19"/>
      <c r="J102" s="19"/>
      <c r="K102" s="88"/>
      <c r="L102" s="88"/>
      <c r="M102" s="55"/>
      <c r="N102" s="55"/>
      <c r="O102" s="55"/>
      <c r="P102" s="6">
        <v>2513911000</v>
      </c>
      <c r="Q102" s="6">
        <v>303723000</v>
      </c>
      <c r="R102" s="6">
        <f>IF(Tabela3[[#This Row],[Ativo || Passivo]]&gt;0,Tabela3[[#This Row],[Ativo || Passivo]]-Tabela3[[#This Row],[Patrimônio Líquido]],0)</f>
        <v>0</v>
      </c>
      <c r="S102" s="6">
        <f>Tabela3[[#This Row],[Cotação]]*Tabela3[[#This Row],[Total Ações]]</f>
        <v>2349051327</v>
      </c>
      <c r="T102" s="132">
        <f>IF(Tabela3[[#This Row],[Passivo Circulante]]&gt;0,Tabela3[[#This Row],[Ativo Circulante]]/Tabela3[[#This Row],[Passivo Circulante]],0)</f>
        <v>0</v>
      </c>
      <c r="U102" s="132">
        <f>SUMPRODUCT(N([Liquidez Corrente]&gt;0),N(RIGHT([PAPEL],LEN([PAPEL])-(LEN([PAPEL])-1))="3"),[Liquidez Corrente])/SUMPRODUCT(N([Liquidez Corrente]&gt;0),N(RIGHT([PAPEL],LEN([PAPEL])-(LEN([PAPEL])-1))="3"))</f>
        <v>2.331224473064915</v>
      </c>
      <c r="V102" s="19">
        <f>IF(Tabela3[[#This Row],[Lucro Líquido]]&gt;0,Tabela3[[#This Row],[Lucro Líquido]]/Tabela3[[#This Row],[Patrimônio Líquido]],0)</f>
        <v>0.12081692629532231</v>
      </c>
      <c r="W102" s="19">
        <f>SUMPRODUCT(N([Rentabilidade s/ PL]&gt;0),N(RIGHT([PAPEL],LEN([PAPEL])-(LEN([PAPEL])-1))="3"),[Rentabilidade s/ PL])/SUMPRODUCT(N([Rentabilidade s/ PL]&gt;0),N(RIGHT([PAPEL],LEN([PAPEL])-(LEN([PAPEL])-1))="3"))</f>
        <v>0.1261051308670782</v>
      </c>
      <c r="X102" s="19">
        <f>IF(Tabela3[[#This Row],[Dívida]]&gt;0,Tabela3[[#This Row],[Dívida]]/Tabela3[[#This Row],[Patrimônio Líquido]],0)</f>
        <v>0</v>
      </c>
      <c r="Y102" s="19">
        <f>SUMPRODUCT(N([Dívida / PL]&gt;0),N(RIGHT([PAPEL],LEN([PAPEL])-(LEN([PAPEL])-1))="3"),[Dívida / PL])/SUMPRODUCT(N([Dívida / PL]&gt;0),N(RIGHT([PAPEL],LEN([PAPEL])-(LEN([PAPEL])-1))="3"))</f>
        <v>2.1510410379481146</v>
      </c>
      <c r="Z102" s="6">
        <f>Tabela3[[#This Row],[Capital Social]]*20%</f>
        <v>487400000</v>
      </c>
      <c r="AA102" s="6">
        <f>IF(([Lucro Líquido]*5%)&gt;[Teto R. Legal],[Teto R. Legal],[Lucro Líquido]*5%)</f>
        <v>15186150</v>
      </c>
      <c r="AB102" s="6">
        <f>IF([Lucro Líquido]&lt;0,0,[Lucro Líquido]-[Reserva Legal])</f>
        <v>288536850</v>
      </c>
      <c r="AC102" s="6">
        <f>Tabela3[[#This Row],[Lucro Distribuir]]*[%Div]</f>
        <v>72134212.5</v>
      </c>
      <c r="AD102" s="21">
        <f>SUMPRODUCT(N([Nome]=Tabela3[[#This Row],[Nome]]),[Ações])</f>
        <v>87001901</v>
      </c>
      <c r="AE102" s="6">
        <f>[Capital Social]/[Total Ações]</f>
        <v>28.010882198999308</v>
      </c>
      <c r="AF102" s="78">
        <f>Tabela3[[#This Row],[Lucro Líquido]]/Tabela3[[#This Row],[Total Ações]]</f>
        <v>3.4909926853207494</v>
      </c>
      <c r="AG102" s="78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0.82911076276367801</v>
      </c>
      <c r="AH102" s="78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102" s="78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102" s="78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0.82911076276367801</v>
      </c>
      <c r="AK102" s="6">
        <f>[Div Base]*[Ações]</f>
        <v>40199248.782675304</v>
      </c>
      <c r="AL102" s="6">
        <f>SUMPRODUCT(N([Nome]=Tabela3[[#This Row],[Nome]]),[Div Base]*[Ações])</f>
        <v>72134212.5</v>
      </c>
      <c r="AM102" s="6">
        <f>[Patrimônio Líquido]/[Total Ações]</f>
        <v>28.894897365518485</v>
      </c>
      <c r="AN102" s="48">
        <f>MAX(Tabela3[[#This Row],[Cotação 1]:[Cotação 5]])</f>
        <v>27</v>
      </c>
      <c r="AO102" s="44">
        <f>[Cotação]/[VPA]</f>
        <v>0.93442103837407131</v>
      </c>
      <c r="AP102" s="40">
        <f>IF(Tabela3[[#This Row],[Lucro/Ação]]&gt;0,Tabela3[[#This Row],[Cotação]]/(Tabela3[[#This Row],[Lucro/Ação]]/[Ref]*4),0)</f>
        <v>5.8006423459863097</v>
      </c>
      <c r="AQ102" s="78">
        <f>[Lucro Distribuir]/[Total Ações]</f>
        <v>3.316443051054712</v>
      </c>
      <c r="AR102" s="78">
        <f>IF([Unit ON]&gt;0,SUMPRODUCT(N([Nome]=Tabela3[[#This Row],[Nome]]),N(RIGHT([PAPEL],1)="3"),[Div Base])*[Unit ON]+SUMPRODUCT(N([Nome]=Tabela3[[#This Row],[Nome]]),N(RIGHT([PAPEL],1)="4"),[Div Base])*[Unit PN],[Div Base])</f>
        <v>0.82911076276367801</v>
      </c>
      <c r="AS102" s="15" t="str">
        <f>IF(AND([% A.A.]&gt;=6%,SUMPRODUCT(N([Nome]=Tabela3[[#This Row],[Nome]]),[PL])&gt;0,[Rentabilidade s/ PL]&gt;=[Rentabilidade s/ PL Média]),"Sim","Não")</f>
        <v>Não</v>
      </c>
      <c r="AT102" s="42">
        <f>IF([Cotação]&gt;0,Tabela3[[#This Row],[Lucro]]/Tabela3[[#This Row],[Cotação]],0)</f>
        <v>3.0707806028284372E-2</v>
      </c>
      <c r="AU102" s="19">
        <f>((1+Tabela3[[#This Row],[% Yield]])^(1/(3*Tabela3[[#This Row],[Ref]])))^(12)-1</f>
        <v>4.1151878166107103E-2</v>
      </c>
      <c r="AV102" s="14">
        <f>IF([Cotação]&gt;0,($BH$1/Tabela3[[#This Row],[Cotação]]-MOD($BH$1/Tabela3[[#This Row],[Cotação]],100)),)</f>
        <v>0</v>
      </c>
      <c r="AW102" s="17">
        <f>Tabela3[[#This Row],[Ativos]]*[Lucro]</f>
        <v>0</v>
      </c>
      <c r="AX102" s="5">
        <f>SUMPRODUCT(N(Tabela1[Código]=Tabela3[[#This Row],[PAPEL]]),Tabela1[Fechamento])</f>
        <v>27</v>
      </c>
      <c r="AY102" s="5">
        <f>SUMPRODUCT(N(Tabela17[Código]=Tabela3[[#This Row],[PAPEL]]),Tabela17[Fechamento])</f>
        <v>0</v>
      </c>
      <c r="AZ102" s="7">
        <f>SUMPRODUCT(N(Tabela176[Código]=Tabela3[[#This Row],[PAPEL]]),Tabela176[Fechamento])</f>
        <v>0</v>
      </c>
      <c r="BA102" s="7">
        <f>SUMPRODUCT(N(Tabela1768[Código]=Tabela3[[#This Row],[PAPEL]]),Tabela1768[Fechamento])</f>
        <v>0</v>
      </c>
      <c r="BB102" s="7">
        <f>SUMPRODUCT(N(Tabela17683[Código]=Tabela3[[#This Row],[PAPEL]]),Tabela17683[Fechamento])</f>
        <v>0</v>
      </c>
    </row>
    <row r="103" spans="1:54" hidden="1">
      <c r="A103" s="4" t="s">
        <v>14</v>
      </c>
      <c r="B103" s="57" t="s">
        <v>213</v>
      </c>
      <c r="C103" s="14" t="str">
        <f>LEFT([PAPEL],LEN([PAPEL])-(LEN([PAPEL])-4))</f>
        <v>BNBR</v>
      </c>
      <c r="D103" s="15">
        <v>3</v>
      </c>
      <c r="E103" s="6">
        <v>2437000000</v>
      </c>
      <c r="F103" s="8">
        <v>38517126</v>
      </c>
      <c r="G103" s="86">
        <v>0.25</v>
      </c>
      <c r="H103" s="19"/>
      <c r="I103" s="19"/>
      <c r="J103" s="19"/>
      <c r="K103" s="88"/>
      <c r="L103" s="88"/>
      <c r="M103" s="55"/>
      <c r="N103" s="55"/>
      <c r="O103" s="55"/>
      <c r="P103" s="6">
        <v>2513911000</v>
      </c>
      <c r="Q103" s="6">
        <v>303723000</v>
      </c>
      <c r="R103" s="6">
        <f>IF(Tabela3[[#This Row],[Ativo || Passivo]]&gt;0,Tabela3[[#This Row],[Ativo || Passivo]]-Tabela3[[#This Row],[Patrimônio Líquido]],0)</f>
        <v>0</v>
      </c>
      <c r="S103" s="6">
        <f>Tabela3[[#This Row],[Cotação]]*Tabela3[[#This Row],[Total Ações]]</f>
        <v>2349921346.0100002</v>
      </c>
      <c r="T103" s="132">
        <f>IF(Tabela3[[#This Row],[Passivo Circulante]]&gt;0,Tabela3[[#This Row],[Ativo Circulante]]/Tabela3[[#This Row],[Passivo Circulante]],0)</f>
        <v>0</v>
      </c>
      <c r="U103" s="132">
        <f>SUMPRODUCT(N([Liquidez Corrente]&gt;0),N(RIGHT([PAPEL],LEN([PAPEL])-(LEN([PAPEL])-1))="3"),[Liquidez Corrente])/SUMPRODUCT(N([Liquidez Corrente]&gt;0),N(RIGHT([PAPEL],LEN([PAPEL])-(LEN([PAPEL])-1))="3"))</f>
        <v>2.331224473064915</v>
      </c>
      <c r="V103" s="19">
        <f>IF(Tabela3[[#This Row],[Lucro Líquido]]&gt;0,Tabela3[[#This Row],[Lucro Líquido]]/Tabela3[[#This Row],[Patrimônio Líquido]],0)</f>
        <v>0.12081692629532231</v>
      </c>
      <c r="W103" s="19">
        <f>SUMPRODUCT(N([Rentabilidade s/ PL]&gt;0),N(RIGHT([PAPEL],LEN([PAPEL])-(LEN([PAPEL])-1))="3"),[Rentabilidade s/ PL])/SUMPRODUCT(N([Rentabilidade s/ PL]&gt;0),N(RIGHT([PAPEL],LEN([PAPEL])-(LEN([PAPEL])-1))="3"))</f>
        <v>0.1261051308670782</v>
      </c>
      <c r="X103" s="19">
        <f>IF(Tabela3[[#This Row],[Dívida]]&gt;0,Tabela3[[#This Row],[Dívida]]/Tabela3[[#This Row],[Patrimônio Líquido]],0)</f>
        <v>0</v>
      </c>
      <c r="Y103" s="19">
        <f>SUMPRODUCT(N([Dívida / PL]&gt;0),N(RIGHT([PAPEL],LEN([PAPEL])-(LEN([PAPEL])-1))="3"),[Dívida / PL])/SUMPRODUCT(N([Dívida / PL]&gt;0),N(RIGHT([PAPEL],LEN([PAPEL])-(LEN([PAPEL])-1))="3"))</f>
        <v>2.1510410379481146</v>
      </c>
      <c r="Z103" s="6">
        <f>Tabela3[[#This Row],[Capital Social]]*20%</f>
        <v>487400000</v>
      </c>
      <c r="AA103" s="6">
        <f>IF(([Lucro Líquido]*5%)&gt;[Teto R. Legal],[Teto R. Legal],[Lucro Líquido]*5%)</f>
        <v>15186150</v>
      </c>
      <c r="AB103" s="6">
        <f>IF([Lucro Líquido]&lt;0,0,[Lucro Líquido]-[Reserva Legal])</f>
        <v>288536850</v>
      </c>
      <c r="AC103" s="6">
        <f>Tabela3[[#This Row],[Lucro Distribuir]]*[%Div]</f>
        <v>72134212.5</v>
      </c>
      <c r="AD103" s="21">
        <f>SUMPRODUCT(N([Nome]=Tabela3[[#This Row],[Nome]]),[Ações])</f>
        <v>87001901</v>
      </c>
      <c r="AE103" s="6">
        <f>[Capital Social]/[Total Ações]</f>
        <v>28.010882198999308</v>
      </c>
      <c r="AF103" s="78">
        <f>Tabela3[[#This Row],[Lucro Líquido]]/Tabela3[[#This Row],[Total Ações]]</f>
        <v>3.4909926853207494</v>
      </c>
      <c r="AG103" s="78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0.82911076276367801</v>
      </c>
      <c r="AH103" s="78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103" s="78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103" s="78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0.82911076276367801</v>
      </c>
      <c r="AK103" s="6">
        <f>[Div Base]*[Ações]</f>
        <v>31934963.717324693</v>
      </c>
      <c r="AL103" s="6">
        <f>SUMPRODUCT(N([Nome]=Tabela3[[#This Row],[Nome]]),[Div Base]*[Ações])</f>
        <v>72134212.5</v>
      </c>
      <c r="AM103" s="6">
        <f>[Patrimônio Líquido]/[Total Ações]</f>
        <v>28.894897365518485</v>
      </c>
      <c r="AN103" s="48">
        <f>MAX(Tabela3[[#This Row],[Cotação 1]:[Cotação 5]])</f>
        <v>27.01</v>
      </c>
      <c r="AO103" s="44">
        <f>[Cotação]/[VPA]</f>
        <v>0.93476712024013586</v>
      </c>
      <c r="AP103" s="40">
        <f>IF(Tabela3[[#This Row],[Lucro/Ação]]&gt;0,Tabela3[[#This Row],[Cotação]]/(Tabela3[[#This Row],[Lucro/Ação]]/[Ref]*4),0)</f>
        <v>5.8027907320403793</v>
      </c>
      <c r="AQ103" s="78">
        <f>[Lucro Distribuir]/[Total Ações]</f>
        <v>3.316443051054712</v>
      </c>
      <c r="AR103" s="78">
        <f>IF([Unit ON]&gt;0,SUMPRODUCT(N([Nome]=Tabela3[[#This Row],[Nome]]),N(RIGHT([PAPEL],1)="3"),[Div Base])*[Unit ON]+SUMPRODUCT(N([Nome]=Tabela3[[#This Row],[Nome]]),N(RIGHT([PAPEL],1)="4"),[Div Base])*[Unit PN],[Div Base])</f>
        <v>0.82911076276367801</v>
      </c>
      <c r="AS103" s="15" t="str">
        <f>IF(AND([% A.A.]&gt;=6%,SUMPRODUCT(N([Nome]=Tabela3[[#This Row],[Nome]]),[PL])&gt;0,[Rentabilidade s/ PL]&gt;=[Rentabilidade s/ PL Média]),"Sim","Não")</f>
        <v>Não</v>
      </c>
      <c r="AT103" s="42">
        <f>IF([Cotação]&gt;0,Tabela3[[#This Row],[Lucro]]/Tabela3[[#This Row],[Cotação]],0)</f>
        <v>3.0696436977551943E-2</v>
      </c>
      <c r="AU103" s="19">
        <f>((1+Tabela3[[#This Row],[% Yield]])^(1/(3*Tabela3[[#This Row],[Ref]])))^(12)-1</f>
        <v>4.1136565857817553E-2</v>
      </c>
      <c r="AV103" s="14">
        <f>IF([Cotação]&gt;0,($BH$1/Tabela3[[#This Row],[Cotação]]-MOD($BH$1/Tabela3[[#This Row],[Cotação]],100)),)</f>
        <v>0</v>
      </c>
      <c r="AW103" s="17">
        <f>Tabela3[[#This Row],[Ativos]]*[Lucro]</f>
        <v>0</v>
      </c>
      <c r="AX103" s="5">
        <f>SUMPRODUCT(N(Tabela1[Código]=Tabela3[[#This Row],[PAPEL]]),Tabela1[Fechamento])</f>
        <v>27.01</v>
      </c>
      <c r="AY103" s="5">
        <f>SUMPRODUCT(N(Tabela17[Código]=Tabela3[[#This Row],[PAPEL]]),Tabela17[Fechamento])</f>
        <v>0</v>
      </c>
      <c r="AZ103" s="7">
        <f>SUMPRODUCT(N(Tabela176[Código]=Tabela3[[#This Row],[PAPEL]]),Tabela176[Fechamento])</f>
        <v>0</v>
      </c>
      <c r="BA103" s="7">
        <f>SUMPRODUCT(N(Tabela1768[Código]=Tabela3[[#This Row],[PAPEL]]),Tabela1768[Fechamento])</f>
        <v>0</v>
      </c>
      <c r="BB103" s="7">
        <f>SUMPRODUCT(N(Tabela17683[Código]=Tabela3[[#This Row],[PAPEL]]),Tabela17683[Fechamento])</f>
        <v>0</v>
      </c>
    </row>
    <row r="104" spans="1:54" hidden="1">
      <c r="A104" s="3" t="s">
        <v>312</v>
      </c>
      <c r="B104" s="58" t="s">
        <v>1159</v>
      </c>
      <c r="C104" s="16" t="str">
        <f>LEFT([PAPEL],LEN([PAPEL])-(LEN([PAPEL])-4))</f>
        <v>RENT</v>
      </c>
      <c r="D104" s="16">
        <v>3</v>
      </c>
      <c r="E104" s="5">
        <v>976708000</v>
      </c>
      <c r="F104" s="56">
        <v>211793400</v>
      </c>
      <c r="G104" s="81">
        <v>0.25</v>
      </c>
      <c r="H104" s="87"/>
      <c r="J104" s="18"/>
      <c r="K104" s="16"/>
      <c r="L104" s="87"/>
      <c r="M104" s="54"/>
      <c r="N104" s="54"/>
      <c r="O104" s="54"/>
      <c r="P104" s="91">
        <v>1554129000</v>
      </c>
      <c r="Q104" s="73">
        <v>294349000</v>
      </c>
      <c r="R104" s="73">
        <f>IF(Tabela3[[#This Row],[Ativo || Passivo]]&gt;0,Tabela3[[#This Row],[Ativo || Passivo]]-Tabela3[[#This Row],[Patrimônio Líquido]],0)</f>
        <v>0</v>
      </c>
      <c r="S104" s="73">
        <f>Tabela3[[#This Row],[Cotação]]*Tabela3[[#This Row],[Total Ações]]</f>
        <v>6787978469.999999</v>
      </c>
      <c r="T104" s="37">
        <f>IF(Tabela3[[#This Row],[Passivo Circulante]]&gt;0,Tabela3[[#This Row],[Ativo Circulante]]/Tabela3[[#This Row],[Passivo Circulante]],0)</f>
        <v>0</v>
      </c>
      <c r="U104" s="37">
        <f>SUMPRODUCT(N([Liquidez Corrente]&gt;0),N(RIGHT([PAPEL],LEN([PAPEL])-(LEN([PAPEL])-1))="3"),[Liquidez Corrente])/SUMPRODUCT(N([Liquidez Corrente]&gt;0),N(RIGHT([PAPEL],LEN([PAPEL])-(LEN([PAPEL])-1))="3"))</f>
        <v>2.331224473064915</v>
      </c>
      <c r="V104" s="18">
        <f>IF(Tabela3[[#This Row],[Lucro Líquido]]&gt;0,Tabela3[[#This Row],[Lucro Líquido]]/Tabela3[[#This Row],[Patrimônio Líquido]],0)</f>
        <v>0.18939804868193053</v>
      </c>
      <c r="W104" s="18">
        <f>SUMPRODUCT(N([Rentabilidade s/ PL]&gt;0),N(RIGHT([PAPEL],LEN([PAPEL])-(LEN([PAPEL])-1))="3"),[Rentabilidade s/ PL])/SUMPRODUCT(N([Rentabilidade s/ PL]&gt;0),N(RIGHT([PAPEL],LEN([PAPEL])-(LEN([PAPEL])-1))="3"))</f>
        <v>0.1261051308670782</v>
      </c>
      <c r="X104" s="18">
        <f>IF(Tabela3[[#This Row],[Dívida]]&gt;0,Tabela3[[#This Row],[Dívida]]/Tabela3[[#This Row],[Patrimônio Líquido]],0)</f>
        <v>0</v>
      </c>
      <c r="Y104" s="18">
        <f>SUMPRODUCT(N([Dívida / PL]&gt;0),N(RIGHT([PAPEL],LEN([PAPEL])-(LEN([PAPEL])-1))="3"),[Dívida / PL])/SUMPRODUCT(N([Dívida / PL]&gt;0),N(RIGHT([PAPEL],LEN([PAPEL])-(LEN([PAPEL])-1))="3"))</f>
        <v>2.1510410379481146</v>
      </c>
      <c r="Z104" s="7">
        <f>Tabela3[[#This Row],[Capital Social]]*20%</f>
        <v>195341600</v>
      </c>
      <c r="AA104" s="47">
        <f>IF(([Lucro Líquido]*5%)&gt;[Teto R. Legal],[Teto R. Legal],[Lucro Líquido]*5%)</f>
        <v>14717450</v>
      </c>
      <c r="AB104" s="47">
        <f>IF([Lucro Líquido]&lt;0,0,[Lucro Líquido]-[Reserva Legal])</f>
        <v>279631550</v>
      </c>
      <c r="AC104" s="47">
        <f>Tabela3[[#This Row],[Lucro Distribuir]]*[%Div]</f>
        <v>69907887.5</v>
      </c>
      <c r="AD104" s="56">
        <f>SUMPRODUCT(N([Nome]=Tabela3[[#This Row],[Nome]]),[Ações])</f>
        <v>211793400</v>
      </c>
      <c r="AE104" s="85">
        <f>[Capital Social]/[Total Ações]</f>
        <v>4.6116073494263752</v>
      </c>
      <c r="AF104" s="85">
        <f>Tabela3[[#This Row],[Lucro Líquido]]/Tabela3[[#This Row],[Total Ações]]</f>
        <v>1.3897930719276428</v>
      </c>
      <c r="AG104" s="85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0.33007585458281513</v>
      </c>
      <c r="AH104" s="85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104" s="77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104" s="85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0.33007585458281513</v>
      </c>
      <c r="AK104" s="7">
        <f>[Div Base]*[Ações]</f>
        <v>69907887.5</v>
      </c>
      <c r="AL104" s="120">
        <f>SUMPRODUCT(N([Nome]=Tabela3[[#This Row],[Nome]]),[Div Base]*[Ações])</f>
        <v>69907887.5</v>
      </c>
      <c r="AM104" s="5">
        <f>[Patrimônio Líquido]/[Total Ações]</f>
        <v>7.3379482080178136</v>
      </c>
      <c r="AN104" s="52">
        <f>MAX(Tabela3[[#This Row],[Cotação 1]:[Cotação 5]])</f>
        <v>32.049999999999997</v>
      </c>
      <c r="AO104" s="53">
        <f>[Cotação]/[VPA]</f>
        <v>4.3677059433290282</v>
      </c>
      <c r="AP104" s="37">
        <f>IF(Tabela3[[#This Row],[Lucro/Ação]]&gt;0,Tabela3[[#This Row],[Cotação]]/(Tabela3[[#This Row],[Lucro/Ação]]/[Ref]*4),0)</f>
        <v>17.295740269204241</v>
      </c>
      <c r="AQ104" s="85">
        <f>[Lucro Distribuir]/[Total Ações]</f>
        <v>1.3203034183312605</v>
      </c>
      <c r="AR104" s="85">
        <f>IF([Unit ON]&gt;0,SUMPRODUCT(N([Nome]=Tabela3[[#This Row],[Nome]]),N(RIGHT([PAPEL],1)="3"),[Div Base])*[Unit ON]+SUMPRODUCT(N([Nome]=Tabela3[[#This Row],[Nome]]),N(RIGHT([PAPEL],1)="4"),[Div Base])*[Unit PN],[Div Base])</f>
        <v>0.33007585458281513</v>
      </c>
      <c r="AS104" s="10" t="str">
        <f>IF(AND([% A.A.]&gt;=6%,SUMPRODUCT(N([Nome]=Tabela3[[#This Row],[Nome]]),[PL])&gt;0,[Rentabilidade s/ PL]&gt;=[Rentabilidade s/ PL Média]),"Sim","Não")</f>
        <v>Não</v>
      </c>
      <c r="AT104" s="22">
        <f>IF([Cotação]&gt;0,Tabela3[[#This Row],[Lucro]]/Tabela3[[#This Row],[Cotação]],0)</f>
        <v>1.0298778614128399E-2</v>
      </c>
      <c r="AU104" s="22">
        <f>((1+Tabela3[[#This Row],[% Yield]])^(1/(3*Tabela3[[#This Row],[Ref]])))^(12)-1</f>
        <v>1.3755221071072965E-2</v>
      </c>
      <c r="AV104" s="10">
        <f>IF([Cotação]&gt;0,($BH$1/Tabela3[[#This Row],[Cotação]]-MOD($BH$1/Tabela3[[#This Row],[Cotação]],100)),)</f>
        <v>0</v>
      </c>
      <c r="AW104" s="7">
        <f>Tabela3[[#This Row],[Ativos]]*[Lucro]</f>
        <v>0</v>
      </c>
      <c r="AX104" s="7">
        <f>SUMPRODUCT(N(Tabela1[Código]=Tabela3[[#This Row],[PAPEL]]),Tabela1[Fechamento])</f>
        <v>0</v>
      </c>
      <c r="AY104" s="7">
        <f>SUMPRODUCT(N(Tabela17[Código]=Tabela3[[#This Row],[PAPEL]]),Tabela17[Fechamento])</f>
        <v>0</v>
      </c>
      <c r="AZ104" s="7">
        <f>SUMPRODUCT(N(Tabela176[Código]=Tabela3[[#This Row],[PAPEL]]),Tabela176[Fechamento])</f>
        <v>0</v>
      </c>
      <c r="BA104" s="7">
        <f>SUMPRODUCT(N(Tabela1768[Código]=Tabela3[[#This Row],[PAPEL]]),Tabela1768[Fechamento])</f>
        <v>32.049999999999997</v>
      </c>
      <c r="BB104" s="7">
        <f>SUMPRODUCT(N(Tabela17683[Código]=Tabela3[[#This Row],[PAPEL]]),Tabela17683[Fechamento])</f>
        <v>0</v>
      </c>
    </row>
    <row r="105" spans="1:54">
      <c r="A105" s="4" t="s">
        <v>19</v>
      </c>
      <c r="B105" s="58" t="s">
        <v>186</v>
      </c>
      <c r="C105" s="14" t="str">
        <f>LEFT([PAPEL],LEN([PAPEL])-(LEN([PAPEL])-4))</f>
        <v>KLBN</v>
      </c>
      <c r="D105" s="15">
        <v>4</v>
      </c>
      <c r="E105" s="6">
        <v>2271500000</v>
      </c>
      <c r="F105" s="8">
        <v>345102174</v>
      </c>
      <c r="G105" s="86">
        <v>0.25</v>
      </c>
      <c r="H105" s="15"/>
      <c r="I105" s="19"/>
      <c r="J105" s="19"/>
      <c r="K105" s="88"/>
      <c r="L105" s="88"/>
      <c r="M105" s="55"/>
      <c r="N105" s="55"/>
      <c r="O105" s="55"/>
      <c r="P105" s="6">
        <v>5392667000</v>
      </c>
      <c r="Q105" s="6">
        <v>290097000</v>
      </c>
      <c r="R105" s="6">
        <f>IF(Tabela3[[#This Row],[Ativo || Passivo]]&gt;0,Tabela3[[#This Row],[Ativo || Passivo]]-Tabela3[[#This Row],[Patrimônio Líquido]],0)</f>
        <v>0</v>
      </c>
      <c r="S105" s="6">
        <f>Tabela3[[#This Row],[Cotação]]*Tabela3[[#This Row],[Total Ações]]</f>
        <v>11843392995.639999</v>
      </c>
      <c r="T105" s="132">
        <f>IF(Tabela3[[#This Row],[Passivo Circulante]]&gt;0,Tabela3[[#This Row],[Ativo Circulante]]/Tabela3[[#This Row],[Passivo Circulante]],0)</f>
        <v>0</v>
      </c>
      <c r="U105" s="132">
        <f>SUMPRODUCT(N([Liquidez Corrente]&gt;0),N(RIGHT([PAPEL],LEN([PAPEL])-(LEN([PAPEL])-1))="3"),[Liquidez Corrente])/SUMPRODUCT(N([Liquidez Corrente]&gt;0),N(RIGHT([PAPEL],LEN([PAPEL])-(LEN([PAPEL])-1))="3"))</f>
        <v>2.331224473064915</v>
      </c>
      <c r="V105" s="19">
        <f>IF(Tabela3[[#This Row],[Lucro Líquido]]&gt;0,Tabela3[[#This Row],[Lucro Líquido]]/Tabela3[[#This Row],[Patrimônio Líquido]],0)</f>
        <v>5.3794717901179512E-2</v>
      </c>
      <c r="W105" s="19">
        <f>SUMPRODUCT(N([Rentabilidade s/ PL]&gt;0),N(RIGHT([PAPEL],LEN([PAPEL])-(LEN([PAPEL])-1))="3"),[Rentabilidade s/ PL])/SUMPRODUCT(N([Rentabilidade s/ PL]&gt;0),N(RIGHT([PAPEL],LEN([PAPEL])-(LEN([PAPEL])-1))="3"))</f>
        <v>0.1261051308670782</v>
      </c>
      <c r="X105" s="19">
        <f>IF(Tabela3[[#This Row],[Dívida]]&gt;0,Tabela3[[#This Row],[Dívida]]/Tabela3[[#This Row],[Patrimônio Líquido]],0)</f>
        <v>0</v>
      </c>
      <c r="Y105" s="19">
        <f>SUMPRODUCT(N([Dívida / PL]&gt;0),N(RIGHT([PAPEL],LEN([PAPEL])-(LEN([PAPEL])-1))="3"),[Dívida / PL])/SUMPRODUCT(N([Dívida / PL]&gt;0),N(RIGHT([PAPEL],LEN([PAPEL])-(LEN([PAPEL])-1))="3"))</f>
        <v>2.1510410379481146</v>
      </c>
      <c r="Z105" s="6">
        <f>Tabela3[[#This Row],[Capital Social]]*20%</f>
        <v>454300000</v>
      </c>
      <c r="AA105" s="6">
        <f>IF(([Lucro Líquido]*5%)&gt;[Teto R. Legal],[Teto R. Legal],[Lucro Líquido]*5%)</f>
        <v>14504850</v>
      </c>
      <c r="AB105" s="6">
        <f>IF([Lucro Líquido]&lt;0,0,[Lucro Líquido]-[Reserva Legal])</f>
        <v>275592150</v>
      </c>
      <c r="AC105" s="6">
        <f>Tabela3[[#This Row],[Lucro Distribuir]]*[%Div]</f>
        <v>68898037.5</v>
      </c>
      <c r="AD105" s="56">
        <f>SUMPRODUCT(N([Nome]=Tabela3[[#This Row],[Nome]]),[Ações])</f>
        <v>945957907</v>
      </c>
      <c r="AE105" s="6">
        <f>[Capital Social]/[Total Ações]</f>
        <v>2.4012696370431628</v>
      </c>
      <c r="AF105" s="78">
        <f>Tabela3[[#This Row],[Lucro Líquido]]/Tabela3[[#This Row],[Total Ações]]</f>
        <v>0.30667009372542831</v>
      </c>
      <c r="AG105" s="78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7.283414725978922E-2</v>
      </c>
      <c r="AH105" s="78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105" s="78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105" s="78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7.283414725978922E-2</v>
      </c>
      <c r="AK105" s="6">
        <f>[Div Base]*[Ações]</f>
        <v>25135222.560789403</v>
      </c>
      <c r="AL105" s="6">
        <f>SUMPRODUCT(N([Nome]=Tabela3[[#This Row],[Nome]]),[Div Base]*[Ações])</f>
        <v>68898037.5</v>
      </c>
      <c r="AM105" s="6">
        <f>[Patrimônio Líquido]/[Total Ações]</f>
        <v>5.700747316656237</v>
      </c>
      <c r="AN105" s="48">
        <f>MAX(Tabela3[[#This Row],[Cotação 1]:[Cotação 5]])</f>
        <v>12.52</v>
      </c>
      <c r="AO105" s="44">
        <f>[Cotação]/[VPA]</f>
        <v>2.1962032878425459</v>
      </c>
      <c r="AP105" s="40">
        <f>IF(Tabela3[[#This Row],[Lucro/Ação]]&gt;0,Tabela3[[#This Row],[Cotação]]/(Tabela3[[#This Row],[Lucro/Ação]]/[Ref]*4),0)</f>
        <v>40.825630722275655</v>
      </c>
      <c r="AQ105" s="78">
        <f>[Lucro Distribuir]/[Total Ações]</f>
        <v>0.29133658903915688</v>
      </c>
      <c r="AR105" s="78">
        <f>IF([Unit ON]&gt;0,SUMPRODUCT(N([Nome]=Tabela3[[#This Row],[Nome]]),N(RIGHT([PAPEL],1)="3"),[Div Base])*[Unit ON]+SUMPRODUCT(N([Nome]=Tabela3[[#This Row],[Nome]]),N(RIGHT([PAPEL],1)="4"),[Div Base])*[Unit PN],[Div Base])</f>
        <v>7.283414725978922E-2</v>
      </c>
      <c r="AS105" s="15" t="str">
        <f>IF(AND([% A.A.]&gt;=6%,SUMPRODUCT(N([Nome]=Tabela3[[#This Row],[Nome]]),[PL])&gt;0,[Rentabilidade s/ PL]&gt;=[Rentabilidade s/ PL Média]),"Sim","Não")</f>
        <v>Não</v>
      </c>
      <c r="AT105" s="42">
        <f>IF([Cotação]&gt;0,Tabela3[[#This Row],[Lucro]]/Tabela3[[#This Row],[Cotação]],0)</f>
        <v>5.8174239025390751E-3</v>
      </c>
      <c r="AU105" s="19">
        <f>((1+Tabela3[[#This Row],[% Yield]])^(1/(3*Tabela3[[#This Row],[Ref]])))^(12)-1</f>
        <v>5.8174239025388097E-3</v>
      </c>
      <c r="AV105" s="14">
        <f>IF([Cotação]&gt;0,($BH$1/Tabela3[[#This Row],[Cotação]]-MOD($BH$1/Tabela3[[#This Row],[Cotação]],100)),)</f>
        <v>0</v>
      </c>
      <c r="AW105" s="17">
        <f>Tabela3[[#This Row],[Ativos]]*[Lucro]</f>
        <v>0</v>
      </c>
      <c r="AX105" s="5">
        <f>SUMPRODUCT(N(Tabela1[Código]=Tabela3[[#This Row],[PAPEL]]),Tabela1[Fechamento])</f>
        <v>12.52</v>
      </c>
      <c r="AY105" s="5">
        <f>SUMPRODUCT(N(Tabela17[Código]=Tabela3[[#This Row],[PAPEL]]),Tabela17[Fechamento])</f>
        <v>0</v>
      </c>
      <c r="AZ105" s="7">
        <f>SUMPRODUCT(N(Tabela176[Código]=Tabela3[[#This Row],[PAPEL]]),Tabela176[Fechamento])</f>
        <v>0</v>
      </c>
      <c r="BA105" s="7">
        <f>SUMPRODUCT(N(Tabela1768[Código]=Tabela3[[#This Row],[PAPEL]]),Tabela1768[Fechamento])</f>
        <v>0</v>
      </c>
      <c r="BB105" s="7">
        <f>SUMPRODUCT(N(Tabela17683[Código]=Tabela3[[#This Row],[PAPEL]]),Tabela17683[Fechamento])</f>
        <v>0</v>
      </c>
    </row>
    <row r="106" spans="1:54">
      <c r="A106" s="4" t="s">
        <v>19</v>
      </c>
      <c r="B106" s="58" t="s">
        <v>54</v>
      </c>
      <c r="C106" s="14" t="str">
        <f>LEFT([PAPEL],LEN([PAPEL])-(LEN([PAPEL])-4))</f>
        <v>KLBN</v>
      </c>
      <c r="D106" s="15">
        <v>4</v>
      </c>
      <c r="E106" s="6">
        <v>2271500000</v>
      </c>
      <c r="F106" s="8">
        <v>600855733</v>
      </c>
      <c r="G106" s="81">
        <v>0.25</v>
      </c>
      <c r="H106" s="15"/>
      <c r="I106" s="19"/>
      <c r="J106" s="19"/>
      <c r="K106" s="88"/>
      <c r="L106" s="88"/>
      <c r="M106" s="55"/>
      <c r="N106" s="55"/>
      <c r="O106" s="55"/>
      <c r="P106" s="6">
        <v>5392667000</v>
      </c>
      <c r="Q106" s="6">
        <v>290097000</v>
      </c>
      <c r="R106" s="6">
        <f>IF(Tabela3[[#This Row],[Ativo || Passivo]]&gt;0,Tabela3[[#This Row],[Ativo || Passivo]]-Tabela3[[#This Row],[Patrimônio Líquido]],0)</f>
        <v>0</v>
      </c>
      <c r="S106" s="6">
        <f>Tabela3[[#This Row],[Cotação]]*Tabela3[[#This Row],[Total Ações]]</f>
        <v>11587984360.75</v>
      </c>
      <c r="T106" s="132">
        <f>IF(Tabela3[[#This Row],[Passivo Circulante]]&gt;0,Tabela3[[#This Row],[Ativo Circulante]]/Tabela3[[#This Row],[Passivo Circulante]],0)</f>
        <v>0</v>
      </c>
      <c r="U106" s="132">
        <f>SUMPRODUCT(N([Liquidez Corrente]&gt;0),N(RIGHT([PAPEL],LEN([PAPEL])-(LEN([PAPEL])-1))="3"),[Liquidez Corrente])/SUMPRODUCT(N([Liquidez Corrente]&gt;0),N(RIGHT([PAPEL],LEN([PAPEL])-(LEN([PAPEL])-1))="3"))</f>
        <v>2.331224473064915</v>
      </c>
      <c r="V106" s="19">
        <f>IF(Tabela3[[#This Row],[Lucro Líquido]]&gt;0,Tabela3[[#This Row],[Lucro Líquido]]/Tabela3[[#This Row],[Patrimônio Líquido]],0)</f>
        <v>5.3794717901179512E-2</v>
      </c>
      <c r="W106" s="19">
        <f>SUMPRODUCT(N([Rentabilidade s/ PL]&gt;0),N(RIGHT([PAPEL],LEN([PAPEL])-(LEN([PAPEL])-1))="3"),[Rentabilidade s/ PL])/SUMPRODUCT(N([Rentabilidade s/ PL]&gt;0),N(RIGHT([PAPEL],LEN([PAPEL])-(LEN([PAPEL])-1))="3"))</f>
        <v>0.1261051308670782</v>
      </c>
      <c r="X106" s="19">
        <f>IF(Tabela3[[#This Row],[Dívida]]&gt;0,Tabela3[[#This Row],[Dívida]]/Tabela3[[#This Row],[Patrimônio Líquido]],0)</f>
        <v>0</v>
      </c>
      <c r="Y106" s="19">
        <f>SUMPRODUCT(N([Dívida / PL]&gt;0),N(RIGHT([PAPEL],LEN([PAPEL])-(LEN([PAPEL])-1))="3"),[Dívida / PL])/SUMPRODUCT(N([Dívida / PL]&gt;0),N(RIGHT([PAPEL],LEN([PAPEL])-(LEN([PAPEL])-1))="3"))</f>
        <v>2.1510410379481146</v>
      </c>
      <c r="Z106" s="6">
        <f>Tabela3[[#This Row],[Capital Social]]*20%</f>
        <v>454300000</v>
      </c>
      <c r="AA106" s="6">
        <f>IF(([Lucro Líquido]*5%)&gt;[Teto R. Legal],[Teto R. Legal],[Lucro Líquido]*5%)</f>
        <v>14504850</v>
      </c>
      <c r="AB106" s="6">
        <f>IF([Lucro Líquido]&lt;0,0,[Lucro Líquido]-[Reserva Legal])</f>
        <v>275592150</v>
      </c>
      <c r="AC106" s="6">
        <f>Tabela3[[#This Row],[Lucro Distribuir]]*[%Div]</f>
        <v>68898037.5</v>
      </c>
      <c r="AD106" s="56">
        <f>SUMPRODUCT(N([Nome]=Tabela3[[#This Row],[Nome]]),[Ações])</f>
        <v>945957907</v>
      </c>
      <c r="AE106" s="6">
        <f>[Capital Social]/[Total Ações]</f>
        <v>2.4012696370431628</v>
      </c>
      <c r="AF106" s="78">
        <f>Tabela3[[#This Row],[Lucro Líquido]]/Tabela3[[#This Row],[Total Ações]]</f>
        <v>0.30667009372542831</v>
      </c>
      <c r="AG106" s="78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7.283414725978922E-2</v>
      </c>
      <c r="AH106" s="78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106" s="78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106" s="78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7.283414725978922E-2</v>
      </c>
      <c r="AK106" s="6">
        <f>[Div Base]*[Ações]</f>
        <v>43762814.939210594</v>
      </c>
      <c r="AL106" s="6">
        <f>SUMPRODUCT(N([Nome]=Tabela3[[#This Row],[Nome]]),[Div Base]*[Ações])</f>
        <v>68898037.5</v>
      </c>
      <c r="AM106" s="6">
        <f>[Patrimônio Líquido]/[Total Ações]</f>
        <v>5.700747316656237</v>
      </c>
      <c r="AN106" s="48">
        <f>MAX(Tabela3[[#This Row],[Cotação 1]:[Cotação 5]])</f>
        <v>12.25</v>
      </c>
      <c r="AO106" s="44">
        <f>[Cotação]/[VPA]</f>
        <v>2.1488410763635137</v>
      </c>
      <c r="AP106" s="40">
        <f>IF(Tabela3[[#This Row],[Lucro/Ação]]&gt;0,Tabela3[[#This Row],[Cotação]]/(Tabela3[[#This Row],[Lucro/Ação]]/[Ref]*4),0)</f>
        <v>39.945205778584409</v>
      </c>
      <c r="AQ106" s="78">
        <f>[Lucro Distribuir]/[Total Ações]</f>
        <v>0.29133658903915688</v>
      </c>
      <c r="AR106" s="78">
        <f>IF([Unit ON]&gt;0,SUMPRODUCT(N([Nome]=Tabela3[[#This Row],[Nome]]),N(RIGHT([PAPEL],1)="3"),[Div Base])*[Unit ON]+SUMPRODUCT(N([Nome]=Tabela3[[#This Row],[Nome]]),N(RIGHT([PAPEL],1)="4"),[Div Base])*[Unit PN],[Div Base])</f>
        <v>7.283414725978922E-2</v>
      </c>
      <c r="AS106" s="15" t="str">
        <f>IF(AND([% A.A.]&gt;=6%,SUMPRODUCT(N([Nome]=Tabela3[[#This Row],[Nome]]),[PL])&gt;0,[Rentabilidade s/ PL]&gt;=[Rentabilidade s/ PL Média]),"Sim","Não")</f>
        <v>Não</v>
      </c>
      <c r="AT106" s="42">
        <f>IF([Cotação]&gt;0,Tabela3[[#This Row],[Lucro]]/Tabela3[[#This Row],[Cotação]],0)</f>
        <v>5.9456446742685081E-3</v>
      </c>
      <c r="AU106" s="19">
        <f>((1+Tabela3[[#This Row],[% Yield]])^(1/(3*Tabela3[[#This Row],[Ref]])))^(12)-1</f>
        <v>5.9456446742689462E-3</v>
      </c>
      <c r="AV106" s="14">
        <f>IF([Cotação]&gt;0,($BH$1/Tabela3[[#This Row],[Cotação]]-MOD($BH$1/Tabela3[[#This Row],[Cotação]],100)),)</f>
        <v>0</v>
      </c>
      <c r="AW106" s="17">
        <f>Tabela3[[#This Row],[Ativos]]*[Lucro]</f>
        <v>0</v>
      </c>
      <c r="AX106" s="5">
        <f>SUMPRODUCT(N(Tabela1[Código]=Tabela3[[#This Row],[PAPEL]]),Tabela1[Fechamento])</f>
        <v>12.25</v>
      </c>
      <c r="AY106" s="5">
        <f>SUMPRODUCT(N(Tabela17[Código]=Tabela3[[#This Row],[PAPEL]]),Tabela17[Fechamento])</f>
        <v>0</v>
      </c>
      <c r="AZ106" s="7">
        <f>SUMPRODUCT(N(Tabela176[Código]=Tabela3[[#This Row],[PAPEL]]),Tabela176[Fechamento])</f>
        <v>0</v>
      </c>
      <c r="BA106" s="7">
        <f>SUMPRODUCT(N(Tabela1768[Código]=Tabela3[[#This Row],[PAPEL]]),Tabela1768[Fechamento])</f>
        <v>0</v>
      </c>
      <c r="BB106" s="7">
        <f>SUMPRODUCT(N(Tabela17683[Código]=Tabela3[[#This Row],[PAPEL]]),Tabela17683[Fechamento])</f>
        <v>0</v>
      </c>
    </row>
    <row r="107" spans="1:54" hidden="1">
      <c r="A107" s="4" t="s">
        <v>12</v>
      </c>
      <c r="B107" s="60" t="s">
        <v>162</v>
      </c>
      <c r="C107" s="14" t="str">
        <f>LEFT([PAPEL],LEN([PAPEL])-(LEN([PAPEL])-4))</f>
        <v>GEPA</v>
      </c>
      <c r="D107" s="15">
        <v>3</v>
      </c>
      <c r="E107" s="6">
        <v>1339137503.8</v>
      </c>
      <c r="F107" s="8">
        <v>31477761</v>
      </c>
      <c r="G107" s="81">
        <v>0.25</v>
      </c>
      <c r="H107" s="15"/>
      <c r="I107" s="19"/>
      <c r="J107" s="19"/>
      <c r="K107" s="88"/>
      <c r="L107" s="88"/>
      <c r="M107" s="55"/>
      <c r="N107" s="55"/>
      <c r="O107" s="55"/>
      <c r="P107" s="89">
        <v>2745488000</v>
      </c>
      <c r="Q107" s="89">
        <v>276732000</v>
      </c>
      <c r="R107" s="89">
        <f>IF(Tabela3[[#This Row],[Ativo || Passivo]]&gt;0,Tabela3[[#This Row],[Ativo || Passivo]]-Tabela3[[#This Row],[Patrimônio Líquido]],0)</f>
        <v>0</v>
      </c>
      <c r="S107" s="89">
        <f>Tabela3[[#This Row],[Cotação]]*Tabela3[[#This Row],[Total Ações]]</f>
        <v>5858640877.3199997</v>
      </c>
      <c r="T107" s="132">
        <f>IF(Tabela3[[#This Row],[Passivo Circulante]]&gt;0,Tabela3[[#This Row],[Ativo Circulante]]/Tabela3[[#This Row],[Passivo Circulante]],0)</f>
        <v>0</v>
      </c>
      <c r="U107" s="132">
        <f>SUMPRODUCT(N([Liquidez Corrente]&gt;0),N(RIGHT([PAPEL],LEN([PAPEL])-(LEN([PAPEL])-1))="3"),[Liquidez Corrente])/SUMPRODUCT(N([Liquidez Corrente]&gt;0),N(RIGHT([PAPEL],LEN([PAPEL])-(LEN([PAPEL])-1))="3"))</f>
        <v>2.331224473064915</v>
      </c>
      <c r="V107" s="19">
        <f>IF(Tabela3[[#This Row],[Lucro Líquido]]&gt;0,Tabela3[[#This Row],[Lucro Líquido]]/Tabela3[[#This Row],[Patrimônio Líquido]],0)</f>
        <v>0.10079519560821246</v>
      </c>
      <c r="W107" s="19">
        <f>SUMPRODUCT(N([Rentabilidade s/ PL]&gt;0),N(RIGHT([PAPEL],LEN([PAPEL])-(LEN([PAPEL])-1))="3"),[Rentabilidade s/ PL])/SUMPRODUCT(N([Rentabilidade s/ PL]&gt;0),N(RIGHT([PAPEL],LEN([PAPEL])-(LEN([PAPEL])-1))="3"))</f>
        <v>0.1261051308670782</v>
      </c>
      <c r="X107" s="19">
        <f>IF(Tabela3[[#This Row],[Dívida]]&gt;0,Tabela3[[#This Row],[Dívida]]/Tabela3[[#This Row],[Patrimônio Líquido]],0)</f>
        <v>0</v>
      </c>
      <c r="Y107" s="19">
        <f>SUMPRODUCT(N([Dívida / PL]&gt;0),N(RIGHT([PAPEL],LEN([PAPEL])-(LEN([PAPEL])-1))="3"),[Dívida / PL])/SUMPRODUCT(N([Dívida / PL]&gt;0),N(RIGHT([PAPEL],LEN([PAPEL])-(LEN([PAPEL])-1))="3"))</f>
        <v>2.1510410379481146</v>
      </c>
      <c r="Z107" s="6">
        <f>Tabela3[[#This Row],[Capital Social]]*20%</f>
        <v>267827500.75999999</v>
      </c>
      <c r="AA107" s="6">
        <f>IF(([Lucro Líquido]*5%)&gt;[Teto R. Legal],[Teto R. Legal],[Lucro Líquido]*5%)</f>
        <v>13836600</v>
      </c>
      <c r="AB107" s="89">
        <f>IF([Lucro Líquido]&lt;0,0,[Lucro Líquido]-[Reserva Legal])</f>
        <v>262895400</v>
      </c>
      <c r="AC107" s="89">
        <f>Tabela3[[#This Row],[Lucro Distribuir]]*[%Div]</f>
        <v>65723850</v>
      </c>
      <c r="AD107" s="56">
        <f>SUMPRODUCT(N([Nome]=Tabela3[[#This Row],[Nome]]),[Ações])</f>
        <v>94433283</v>
      </c>
      <c r="AE107" s="6">
        <f>[Capital Social]/[Total Ações]</f>
        <v>14.180778865858132</v>
      </c>
      <c r="AF107" s="78">
        <f>Tabela3[[#This Row],[Lucro Líquido]]/Tabela3[[#This Row],[Total Ações]]</f>
        <v>2.9304498499750347</v>
      </c>
      <c r="AG107" s="78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0.69598183936907076</v>
      </c>
      <c r="AH107" s="78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107" s="78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107" s="78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</v>
      </c>
      <c r="AK107" s="6">
        <f>[Div Base]*[Ações]</f>
        <v>0</v>
      </c>
      <c r="AL107" s="6">
        <f>SUMPRODUCT(N([Nome]=Tabela3[[#This Row],[Nome]]),[Div Base]*[Ações])</f>
        <v>89275833.586666673</v>
      </c>
      <c r="AM107" s="6">
        <f>[Patrimônio Líquido]/[Total Ações]</f>
        <v>29.073308824813388</v>
      </c>
      <c r="AN107" s="48">
        <f>MAX(Tabela3[[#This Row],[Cotação 1]:[Cotação 5]])</f>
        <v>62.04</v>
      </c>
      <c r="AO107" s="44">
        <f>[Cotação]/[VPA]</f>
        <v>2.1339160387224418</v>
      </c>
      <c r="AP107" s="40">
        <f>IF(Tabela3[[#This Row],[Lucro/Ação]]&gt;0,Tabela3[[#This Row],[Cotação]]/(Tabela3[[#This Row],[Lucro/Ação]]/[Ref]*4),0)</f>
        <v>15.878108270781841</v>
      </c>
      <c r="AQ107" s="78">
        <f>[Lucro Distribuir]/[Total Ações]</f>
        <v>2.7839273574762831</v>
      </c>
      <c r="AR107" s="78">
        <f>IF([Unit ON]&gt;0,SUMPRODUCT(N([Nome]=Tabela3[[#This Row],[Nome]]),N(RIGHT([PAPEL],1)="3"),[Div Base])*[Unit ON]+SUMPRODUCT(N([Nome]=Tabela3[[#This Row],[Nome]]),N(RIGHT([PAPEL],1)="4"),[Div Base])*[Unit PN],[Div Base])</f>
        <v>0</v>
      </c>
      <c r="AS107" s="15" t="str">
        <f>IF(AND([% A.A.]&gt;=6%,SUMPRODUCT(N([Nome]=Tabela3[[#This Row],[Nome]]),[PL])&gt;0,[Rentabilidade s/ PL]&gt;=[Rentabilidade s/ PL Média]),"Sim","Não")</f>
        <v>Não</v>
      </c>
      <c r="AT107" s="42">
        <f>IF([Cotação]&gt;0,Tabela3[[#This Row],[Lucro]]/Tabela3[[#This Row],[Cotação]],0)</f>
        <v>0</v>
      </c>
      <c r="AU107" s="19">
        <f>((1+Tabela3[[#This Row],[% Yield]])^(1/(3*Tabela3[[#This Row],[Ref]])))^(12)-1</f>
        <v>0</v>
      </c>
      <c r="AV107" s="14">
        <f>IF([Cotação]&gt;0,($BH$1/Tabela3[[#This Row],[Cotação]]-MOD($BH$1/Tabela3[[#This Row],[Cotação]],100)),)</f>
        <v>0</v>
      </c>
      <c r="AW107" s="17">
        <f>Tabela3[[#This Row],[Ativos]]*[Lucro]</f>
        <v>0</v>
      </c>
      <c r="AX107" s="5">
        <f>SUMPRODUCT(N(Tabela1[Código]=Tabela3[[#This Row],[PAPEL]]),Tabela1[Fechamento])</f>
        <v>62.04</v>
      </c>
      <c r="AY107" s="5">
        <f>SUMPRODUCT(N(Tabela17[Código]=Tabela3[[#This Row],[PAPEL]]),Tabela17[Fechamento])</f>
        <v>0</v>
      </c>
      <c r="AZ107" s="7">
        <f>SUMPRODUCT(N(Tabela176[Código]=Tabela3[[#This Row],[PAPEL]]),Tabela176[Fechamento])</f>
        <v>0</v>
      </c>
      <c r="BA107" s="7">
        <f>SUMPRODUCT(N(Tabela1768[Código]=Tabela3[[#This Row],[PAPEL]]),Tabela1768[Fechamento])</f>
        <v>0</v>
      </c>
      <c r="BB107" s="7">
        <f>SUMPRODUCT(N(Tabela17683[Código]=Tabela3[[#This Row],[PAPEL]]),Tabela17683[Fechamento])</f>
        <v>0</v>
      </c>
    </row>
    <row r="108" spans="1:54" hidden="1">
      <c r="A108" s="24" t="s">
        <v>12</v>
      </c>
      <c r="B108" s="60" t="s">
        <v>38</v>
      </c>
      <c r="C108" s="15" t="str">
        <f>LEFT([PAPEL],LEN([PAPEL])-(LEN([PAPEL])-4))</f>
        <v>GEPA</v>
      </c>
      <c r="D108" s="15">
        <v>3</v>
      </c>
      <c r="E108" s="6">
        <v>1339137503.8</v>
      </c>
      <c r="F108" s="8">
        <v>62955522</v>
      </c>
      <c r="G108" s="86">
        <v>0.25</v>
      </c>
      <c r="H108" s="15"/>
      <c r="I108" s="19">
        <v>0.1</v>
      </c>
      <c r="J108" s="19"/>
      <c r="K108" s="88"/>
      <c r="L108" s="88"/>
      <c r="M108" s="55"/>
      <c r="N108" s="55"/>
      <c r="O108" s="55"/>
      <c r="P108" s="90">
        <v>2745488000</v>
      </c>
      <c r="Q108" s="90">
        <v>276732000</v>
      </c>
      <c r="R108" s="90">
        <f>IF(Tabela3[[#This Row],[Ativo || Passivo]]&gt;0,Tabela3[[#This Row],[Ativo || Passivo]]-Tabela3[[#This Row],[Patrimônio Líquido]],0)</f>
        <v>0</v>
      </c>
      <c r="S108" s="90">
        <f>Tabela3[[#This Row],[Cotação]]*Tabela3[[#This Row],[Total Ações]]</f>
        <v>5665996980</v>
      </c>
      <c r="T108" s="131">
        <f>IF(Tabela3[[#This Row],[Passivo Circulante]]&gt;0,Tabela3[[#This Row],[Ativo Circulante]]/Tabela3[[#This Row],[Passivo Circulante]],0)</f>
        <v>0</v>
      </c>
      <c r="U108" s="131">
        <f>SUMPRODUCT(N([Liquidez Corrente]&gt;0),N(RIGHT([PAPEL],LEN([PAPEL])-(LEN([PAPEL])-1))="3"),[Liquidez Corrente])/SUMPRODUCT(N([Liquidez Corrente]&gt;0),N(RIGHT([PAPEL],LEN([PAPEL])-(LEN([PAPEL])-1))="3"))</f>
        <v>2.331224473064915</v>
      </c>
      <c r="V108" s="49">
        <f>IF(Tabela3[[#This Row],[Lucro Líquido]]&gt;0,Tabela3[[#This Row],[Lucro Líquido]]/Tabela3[[#This Row],[Patrimônio Líquido]],0)</f>
        <v>0.10079519560821246</v>
      </c>
      <c r="W108" s="49">
        <f>SUMPRODUCT(N([Rentabilidade s/ PL]&gt;0),N(RIGHT([PAPEL],LEN([PAPEL])-(LEN([PAPEL])-1))="3"),[Rentabilidade s/ PL])/SUMPRODUCT(N([Rentabilidade s/ PL]&gt;0),N(RIGHT([PAPEL],LEN([PAPEL])-(LEN([PAPEL])-1))="3"))</f>
        <v>0.1261051308670782</v>
      </c>
      <c r="X108" s="49">
        <f>IF(Tabela3[[#This Row],[Dívida]]&gt;0,Tabela3[[#This Row],[Dívida]]/Tabela3[[#This Row],[Patrimônio Líquido]],0)</f>
        <v>0</v>
      </c>
      <c r="Y108" s="49">
        <f>SUMPRODUCT(N([Dívida / PL]&gt;0),N(RIGHT([PAPEL],LEN([PAPEL])-(LEN([PAPEL])-1))="3"),[Dívida / PL])/SUMPRODUCT(N([Dívida / PL]&gt;0),N(RIGHT([PAPEL],LEN([PAPEL])-(LEN([PAPEL])-1))="3"))</f>
        <v>2.1510410379481146</v>
      </c>
      <c r="Z108" s="28">
        <f>Tabela3[[#This Row],[Capital Social]]*20%</f>
        <v>267827500.75999999</v>
      </c>
      <c r="AA108" s="28">
        <f>IF(([Lucro Líquido]*5%)&gt;[Teto R. Legal],[Teto R. Legal],[Lucro Líquido]*5%)</f>
        <v>13836600</v>
      </c>
      <c r="AB108" s="90">
        <f>IF([Lucro Líquido]&lt;0,0,[Lucro Líquido]-[Reserva Legal])</f>
        <v>262895400</v>
      </c>
      <c r="AC108" s="90">
        <f>Tabela3[[#This Row],[Lucro Distribuir]]*[%Div]</f>
        <v>65723850</v>
      </c>
      <c r="AD108" s="56">
        <f>SUMPRODUCT(N([Nome]=Tabela3[[#This Row],[Nome]]),[Ações])</f>
        <v>94433283</v>
      </c>
      <c r="AE108" s="28">
        <f>[Capital Social]/[Total Ações]</f>
        <v>14.180778865858132</v>
      </c>
      <c r="AF108" s="79">
        <f>Tabela3[[#This Row],[Lucro Líquido]]/Tabela3[[#This Row],[Total Ações]]</f>
        <v>2.9304498499750347</v>
      </c>
      <c r="AG108" s="79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0.69598183936907076</v>
      </c>
      <c r="AH108" s="79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108" s="79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1.4180778865858132</v>
      </c>
      <c r="AJ108" s="79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1.4180778865858132</v>
      </c>
      <c r="AK108" s="28">
        <f>[Div Base]*[Ações]</f>
        <v>89275833.586666673</v>
      </c>
      <c r="AL108" s="28">
        <f>SUMPRODUCT(N([Nome]=Tabela3[[#This Row],[Nome]]),[Div Base]*[Ações])</f>
        <v>89275833.586666673</v>
      </c>
      <c r="AM108" s="28">
        <f>[Patrimônio Líquido]/[Total Ações]</f>
        <v>29.073308824813388</v>
      </c>
      <c r="AN108" s="29">
        <f>MAX(Tabela3[[#This Row],[Cotação 1]:[Cotação 5]])</f>
        <v>60</v>
      </c>
      <c r="AO108" s="30">
        <f>[Cotação]/[VPA]</f>
        <v>2.0637485867721876</v>
      </c>
      <c r="AP108" s="35">
        <f>IF(Tabela3[[#This Row],[Lucro/Ação]]&gt;0,Tabela3[[#This Row],[Cotação]]/(Tabela3[[#This Row],[Lucro/Ação]]/[Ref]*4),0)</f>
        <v>15.356004130349943</v>
      </c>
      <c r="AQ108" s="78">
        <f>[Lucro Distribuir]/[Total Ações]</f>
        <v>2.7839273574762831</v>
      </c>
      <c r="AR108" s="78">
        <f>IF([Unit ON]&gt;0,SUMPRODUCT(N([Nome]=Tabela3[[#This Row],[Nome]]),N(RIGHT([PAPEL],1)="3"),[Div Base])*[Unit ON]+SUMPRODUCT(N([Nome]=Tabela3[[#This Row],[Nome]]),N(RIGHT([PAPEL],1)="4"),[Div Base])*[Unit PN],[Div Base])</f>
        <v>1.4180778865858132</v>
      </c>
      <c r="AS108" s="25" t="str">
        <f>IF(AND([% A.A.]&gt;=6%,SUMPRODUCT(N([Nome]=Tabela3[[#This Row],[Nome]]),[PL])&gt;0,[Rentabilidade s/ PL]&gt;=[Rentabilidade s/ PL Média]),"Sim","Não")</f>
        <v>Não</v>
      </c>
      <c r="AT108" s="27">
        <f>IF([Cotação]&gt;0,Tabela3[[#This Row],[Lucro]]/Tabela3[[#This Row],[Cotação]],0)</f>
        <v>2.3634631443096889E-2</v>
      </c>
      <c r="AU108" s="49">
        <f>((1+Tabela3[[#This Row],[% Yield]])^(1/(3*Tabela3[[#This Row],[Ref]])))^(12)-1</f>
        <v>3.163632870468569E-2</v>
      </c>
      <c r="AV108" s="10">
        <f>IF([Cotação]&gt;0,($BH$1/Tabela3[[#This Row],[Cotação]]-MOD($BH$1/Tabela3[[#This Row],[Cotação]],100)),)</f>
        <v>0</v>
      </c>
      <c r="AW108" s="7">
        <f>Tabela3[[#This Row],[Ativos]]*[Lucro]</f>
        <v>0</v>
      </c>
      <c r="AX108" s="5">
        <f>SUMPRODUCT(N(Tabela1[Código]=Tabela3[[#This Row],[PAPEL]]),Tabela1[Fechamento])</f>
        <v>60</v>
      </c>
      <c r="AY108" s="5">
        <f>SUMPRODUCT(N(Tabela17[Código]=Tabela3[[#This Row],[PAPEL]]),Tabela17[Fechamento])</f>
        <v>0</v>
      </c>
      <c r="AZ108" s="7">
        <f>SUMPRODUCT(N(Tabela176[Código]=Tabela3[[#This Row],[PAPEL]]),Tabela176[Fechamento])</f>
        <v>0</v>
      </c>
      <c r="BA108" s="7">
        <f>SUMPRODUCT(N(Tabela1768[Código]=Tabela3[[#This Row],[PAPEL]]),Tabela1768[Fechamento])</f>
        <v>0</v>
      </c>
      <c r="BB108" s="7">
        <f>SUMPRODUCT(N(Tabela17683[Código]=Tabela3[[#This Row],[PAPEL]]),Tabela17683[Fechamento])</f>
        <v>0</v>
      </c>
    </row>
    <row r="109" spans="1:54" hidden="1">
      <c r="A109" s="4" t="s">
        <v>12</v>
      </c>
      <c r="B109" s="57" t="s">
        <v>166</v>
      </c>
      <c r="C109" s="84" t="str">
        <f>LEFT([PAPEL],LEN([PAPEL])-(LEN([PAPEL])-4))</f>
        <v>ELPL</v>
      </c>
      <c r="D109" s="15">
        <v>3</v>
      </c>
      <c r="E109" s="5">
        <v>1257629316.47</v>
      </c>
      <c r="F109" s="8">
        <v>66604817</v>
      </c>
      <c r="G109" s="86">
        <v>0.25</v>
      </c>
      <c r="H109" s="15"/>
      <c r="I109" s="19"/>
      <c r="J109" s="19"/>
      <c r="K109" s="88"/>
      <c r="L109" s="88"/>
      <c r="M109" s="54">
        <v>11031692000</v>
      </c>
      <c r="N109" s="54">
        <v>3005937000</v>
      </c>
      <c r="O109" s="54">
        <v>2196938000</v>
      </c>
      <c r="P109" s="89">
        <v>2577741000</v>
      </c>
      <c r="Q109" s="89">
        <v>271448000</v>
      </c>
      <c r="R109" s="89">
        <f>IF(Tabela3[[#This Row],[Ativo || Passivo]]&gt;0,Tabela3[[#This Row],[Ativo || Passivo]]-Tabela3[[#This Row],[Patrimônio Líquido]],0)</f>
        <v>8453951000</v>
      </c>
      <c r="S109" s="89">
        <f>Tabela3[[#This Row],[Cotação]]*Tabela3[[#This Row],[Total Ações]]</f>
        <v>1723642036.1000001</v>
      </c>
      <c r="T109" s="132">
        <f>IF(Tabela3[[#This Row],[Passivo Circulante]]&gt;0,Tabela3[[#This Row],[Ativo Circulante]]/Tabela3[[#This Row],[Passivo Circulante]],0)</f>
        <v>1.3682393403910351</v>
      </c>
      <c r="U109" s="132">
        <f>SUMPRODUCT(N([Liquidez Corrente]&gt;0),N(RIGHT([PAPEL],LEN([PAPEL])-(LEN([PAPEL])-1))="3"),[Liquidez Corrente])/SUMPRODUCT(N([Liquidez Corrente]&gt;0),N(RIGHT([PAPEL],LEN([PAPEL])-(LEN([PAPEL])-1))="3"))</f>
        <v>2.331224473064915</v>
      </c>
      <c r="V109" s="19">
        <f>IF(Tabela3[[#This Row],[Lucro Líquido]]&gt;0,Tabela3[[#This Row],[Lucro Líquido]]/Tabela3[[#This Row],[Patrimônio Líquido]],0)</f>
        <v>0.10530460585450595</v>
      </c>
      <c r="W109" s="19">
        <f>SUMPRODUCT(N([Rentabilidade s/ PL]&gt;0),N(RIGHT([PAPEL],LEN([PAPEL])-(LEN([PAPEL])-1))="3"),[Rentabilidade s/ PL])/SUMPRODUCT(N([Rentabilidade s/ PL]&gt;0),N(RIGHT([PAPEL],LEN([PAPEL])-(LEN([PAPEL])-1))="3"))</f>
        <v>0.1261051308670782</v>
      </c>
      <c r="X109" s="19">
        <f>IF(Tabela3[[#This Row],[Dívida]]&gt;0,Tabela3[[#This Row],[Dívida]]/Tabela3[[#This Row],[Patrimônio Líquido]],0)</f>
        <v>3.2795967476949781</v>
      </c>
      <c r="Y109" s="19">
        <f>SUMPRODUCT(N([Dívida / PL]&gt;0),N(RIGHT([PAPEL],LEN([PAPEL])-(LEN([PAPEL])-1))="3"),[Dívida / PL])/SUMPRODUCT(N([Dívida / PL]&gt;0),N(RIGHT([PAPEL],LEN([PAPEL])-(LEN([PAPEL])-1))="3"))</f>
        <v>2.1510410379481146</v>
      </c>
      <c r="Z109" s="13">
        <f>Tabela3[[#This Row],[Capital Social]]*20%</f>
        <v>251525863.29400003</v>
      </c>
      <c r="AA109" s="13">
        <f>IF(([Lucro Líquido]*5%)&gt;[Teto R. Legal],[Teto R. Legal],[Lucro Líquido]*5%)</f>
        <v>13572400</v>
      </c>
      <c r="AB109" s="89">
        <f>IF([Lucro Líquido]&lt;0,0,[Lucro Líquido]-[Reserva Legal])</f>
        <v>257875600</v>
      </c>
      <c r="AC109" s="89">
        <f>Tabela3[[#This Row],[Lucro Distribuir]]*[%Div]</f>
        <v>64468900</v>
      </c>
      <c r="AD109" s="56">
        <f>SUMPRODUCT(N([Nome]=Tabela3[[#This Row],[Nome]]),[Ações])</f>
        <v>167343887</v>
      </c>
      <c r="AE109" s="5">
        <f>[Capital Social]/[Total Ações]</f>
        <v>7.5152390626016716</v>
      </c>
      <c r="AF109" s="78">
        <f>Tabela3[[#This Row],[Lucro Líquido]]/Tabela3[[#This Row],[Total Ações]]</f>
        <v>1.6220968979882724</v>
      </c>
      <c r="AG109" s="78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0.37326148263522085</v>
      </c>
      <c r="AH109" s="78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109" s="78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109" s="78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0.37326148263522085</v>
      </c>
      <c r="AK109" s="13">
        <f>[Div Base]*[Ações]</f>
        <v>24861012.744067561</v>
      </c>
      <c r="AL109" s="13">
        <f>SUMPRODUCT(N([Nome]=Tabela3[[#This Row],[Nome]]),[Div Base]*[Ações])</f>
        <v>66223228.890972093</v>
      </c>
      <c r="AM109" s="6">
        <f>[Patrimônio Líquido]/[Total Ações]</f>
        <v>15.403855176377013</v>
      </c>
      <c r="AN109" s="48">
        <f>MAX(Tabela3[[#This Row],[Cotação 1]:[Cotação 5]])</f>
        <v>10.3</v>
      </c>
      <c r="AO109" s="44">
        <f>[Cotação]/[VPA]</f>
        <v>0.66866377812976563</v>
      </c>
      <c r="AP109" s="40">
        <f>IF(Tabela3[[#This Row],[Lucro/Ação]]&gt;0,Tabela3[[#This Row],[Cotação]]/(Tabela3[[#This Row],[Lucro/Ação]]/[Ref]*4),0)</f>
        <v>4.762354215448263</v>
      </c>
      <c r="AQ109" s="78">
        <f>[Lucro Distribuir]/[Total Ações]</f>
        <v>1.5409920530888588</v>
      </c>
      <c r="AR109" s="78">
        <f>IF([Unit ON]&gt;0,SUMPRODUCT(N([Nome]=Tabela3[[#This Row],[Nome]]),N(RIGHT([PAPEL],1)="3"),[Div Base])*[Unit ON]+SUMPRODUCT(N([Nome]=Tabela3[[#This Row],[Nome]]),N(RIGHT([PAPEL],1)="4"),[Div Base])*[Unit PN],[Div Base])</f>
        <v>0.37326148263522085</v>
      </c>
      <c r="AS109" s="14" t="str">
        <f>IF(AND([% A.A.]&gt;=6%,SUMPRODUCT(N([Nome]=Tabela3[[#This Row],[Nome]]),[PL])&gt;0,[Rentabilidade s/ PL]&gt;=[Rentabilidade s/ PL Média]),"Sim","Não")</f>
        <v>Não</v>
      </c>
      <c r="AT109" s="42">
        <f>IF([Cotação]&gt;0,Tabela3[[#This Row],[Lucro]]/Tabela3[[#This Row],[Cotação]],0)</f>
        <v>3.6238978896623385E-2</v>
      </c>
      <c r="AU109" s="19">
        <f>((1+Tabela3[[#This Row],[% Yield]])^(1/(3*Tabela3[[#This Row],[Ref]])))^(12)-1</f>
        <v>4.8608159509095916E-2</v>
      </c>
      <c r="AV109" s="14">
        <f>IF([Cotação]&gt;0,($BH$1/Tabela3[[#This Row],[Cotação]]-MOD($BH$1/Tabela3[[#This Row],[Cotação]],100)),)</f>
        <v>0</v>
      </c>
      <c r="AW109" s="17">
        <f>Tabela3[[#This Row],[Ativos]]*[Lucro]</f>
        <v>0</v>
      </c>
      <c r="AX109" s="17">
        <f>SUMPRODUCT(N(Tabela1[Código]=Tabela3[[#This Row],[PAPEL]]),Tabela1[Fechamento])</f>
        <v>10.3</v>
      </c>
      <c r="AY109" s="17">
        <f>SUMPRODUCT(N(Tabela17[Código]=Tabela3[[#This Row],[PAPEL]]),Tabela17[Fechamento])</f>
        <v>0</v>
      </c>
      <c r="AZ109" s="7">
        <f>SUMPRODUCT(N(Tabela176[Código]=Tabela3[[#This Row],[PAPEL]]),Tabela176[Fechamento])</f>
        <v>0</v>
      </c>
      <c r="BA109" s="7">
        <f>SUMPRODUCT(N(Tabela1768[Código]=Tabela3[[#This Row],[PAPEL]]),Tabela1768[Fechamento])</f>
        <v>0</v>
      </c>
      <c r="BB109" s="7">
        <f>SUMPRODUCT(N(Tabela17683[Código]=Tabela3[[#This Row],[PAPEL]]),Tabela17683[Fechamento])</f>
        <v>0</v>
      </c>
    </row>
    <row r="110" spans="1:54" hidden="1">
      <c r="A110" s="4" t="s">
        <v>12</v>
      </c>
      <c r="B110" s="57" t="s">
        <v>1</v>
      </c>
      <c r="C110" s="82" t="str">
        <f>LEFT([PAPEL],LEN([PAPEL])-(LEN([PAPEL])-4))</f>
        <v>ELPL</v>
      </c>
      <c r="D110" s="16">
        <v>3</v>
      </c>
      <c r="E110" s="5">
        <v>1257629316.47</v>
      </c>
      <c r="F110" s="56">
        <v>100739070</v>
      </c>
      <c r="G110" s="81">
        <v>0.25</v>
      </c>
      <c r="H110" s="18"/>
      <c r="J110" s="18">
        <v>0.1</v>
      </c>
      <c r="K110" s="87"/>
      <c r="L110" s="87"/>
      <c r="M110" s="54">
        <v>11031692000</v>
      </c>
      <c r="N110" s="54">
        <v>3005937000</v>
      </c>
      <c r="O110" s="54">
        <v>2196938000</v>
      </c>
      <c r="P110" s="89">
        <v>2577741000</v>
      </c>
      <c r="Q110" s="89">
        <v>271448000</v>
      </c>
      <c r="R110" s="89">
        <f>IF(Tabela3[[#This Row],[Ativo || Passivo]]&gt;0,Tabela3[[#This Row],[Ativo || Passivo]]-Tabela3[[#This Row],[Patrimônio Líquido]],0)</f>
        <v>8453951000</v>
      </c>
      <c r="S110" s="89">
        <f>Tabela3[[#This Row],[Cotação]]*Tabela3[[#This Row],[Total Ações]]</f>
        <v>1393974578.71</v>
      </c>
      <c r="T110" s="132">
        <f>IF(Tabela3[[#This Row],[Passivo Circulante]]&gt;0,Tabela3[[#This Row],[Ativo Circulante]]/Tabela3[[#This Row],[Passivo Circulante]],0)</f>
        <v>1.3682393403910351</v>
      </c>
      <c r="U110" s="132">
        <f>SUMPRODUCT(N([Liquidez Corrente]&gt;0),N(RIGHT([PAPEL],LEN([PAPEL])-(LEN([PAPEL])-1))="3"),[Liquidez Corrente])/SUMPRODUCT(N([Liquidez Corrente]&gt;0),N(RIGHT([PAPEL],LEN([PAPEL])-(LEN([PAPEL])-1))="3"))</f>
        <v>2.331224473064915</v>
      </c>
      <c r="V110" s="19">
        <f>IF(Tabela3[[#This Row],[Lucro Líquido]]&gt;0,Tabela3[[#This Row],[Lucro Líquido]]/Tabela3[[#This Row],[Patrimônio Líquido]],0)</f>
        <v>0.10530460585450595</v>
      </c>
      <c r="W110" s="19">
        <f>SUMPRODUCT(N([Rentabilidade s/ PL]&gt;0),N(RIGHT([PAPEL],LEN([PAPEL])-(LEN([PAPEL])-1))="3"),[Rentabilidade s/ PL])/SUMPRODUCT(N([Rentabilidade s/ PL]&gt;0),N(RIGHT([PAPEL],LEN([PAPEL])-(LEN([PAPEL])-1))="3"))</f>
        <v>0.1261051308670782</v>
      </c>
      <c r="X110" s="19">
        <f>IF(Tabela3[[#This Row],[Dívida]]&gt;0,Tabela3[[#This Row],[Dívida]]/Tabela3[[#This Row],[Patrimônio Líquido]],0)</f>
        <v>3.2795967476949781</v>
      </c>
      <c r="Y110" s="19">
        <f>SUMPRODUCT(N([Dívida / PL]&gt;0),N(RIGHT([PAPEL],LEN([PAPEL])-(LEN([PAPEL])-1))="3"),[Dívida / PL])/SUMPRODUCT(N([Dívida / PL]&gt;0),N(RIGHT([PAPEL],LEN([PAPEL])-(LEN([PAPEL])-1))="3"))</f>
        <v>2.1510410379481146</v>
      </c>
      <c r="Z110" s="6">
        <f>Tabela3[[#This Row],[Capital Social]]*20%</f>
        <v>251525863.29400003</v>
      </c>
      <c r="AA110" s="6">
        <f>IF(([Lucro Líquido]*5%)&gt;[Teto R. Legal],[Teto R. Legal],[Lucro Líquido]*5%)</f>
        <v>13572400</v>
      </c>
      <c r="AB110" s="89">
        <f>IF([Lucro Líquido]&lt;0,0,[Lucro Líquido]-[Reserva Legal])</f>
        <v>257875600</v>
      </c>
      <c r="AC110" s="89">
        <f>Tabela3[[#This Row],[Lucro Distribuir]]*[%Div]</f>
        <v>64468900</v>
      </c>
      <c r="AD110" s="56">
        <f>SUMPRODUCT(N([Nome]=Tabela3[[#This Row],[Nome]]),[Ações])</f>
        <v>167343887</v>
      </c>
      <c r="AE110" s="6">
        <f>[Capital Social]/[Total Ações]</f>
        <v>7.5152390626016716</v>
      </c>
      <c r="AF110" s="78">
        <f>Tabela3[[#This Row],[Lucro Líquido]]/Tabela3[[#This Row],[Total Ações]]</f>
        <v>1.6220968979882724</v>
      </c>
      <c r="AG110" s="78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0.41058763146120503</v>
      </c>
      <c r="AH110" s="78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110" s="78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110" s="78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0.41058763146120503</v>
      </c>
      <c r="AK110" s="6">
        <f>[Div Base]*[Ações]</f>
        <v>41362216.146904536</v>
      </c>
      <c r="AL110" s="6">
        <f>SUMPRODUCT(N([Nome]=Tabela3[[#This Row],[Nome]]),[Div Base]*[Ações])</f>
        <v>66223228.890972093</v>
      </c>
      <c r="AM110" s="6">
        <f>[Patrimônio Líquido]/[Total Ações]</f>
        <v>15.403855176377013</v>
      </c>
      <c r="AN110" s="11">
        <f>MAX(Tabela3[[#This Row],[Cotação 1]:[Cotação 5]])</f>
        <v>8.33</v>
      </c>
      <c r="AO110" s="9">
        <f>[Cotação]/[VPA]</f>
        <v>0.5407737157107716</v>
      </c>
      <c r="AP110" s="36">
        <f>IF(Tabela3[[#This Row],[Lucro/Ação]]&gt;0,Tabela3[[#This Row],[Cotação]]/(Tabela3[[#This Row],[Lucro/Ação]]/[Ref]*4),0)</f>
        <v>3.8514961761829154</v>
      </c>
      <c r="AQ110" s="78">
        <f>[Lucro Distribuir]/[Total Ações]</f>
        <v>1.5409920530888588</v>
      </c>
      <c r="AR110" s="78">
        <f>IF([Unit ON]&gt;0,SUMPRODUCT(N([Nome]=Tabela3[[#This Row],[Nome]]),N(RIGHT([PAPEL],1)="3"),[Div Base])*[Unit ON]+SUMPRODUCT(N([Nome]=Tabela3[[#This Row],[Nome]]),N(RIGHT([PAPEL],1)="4"),[Div Base])*[Unit PN],[Div Base])</f>
        <v>0.41058763146120503</v>
      </c>
      <c r="AS110" s="14" t="str">
        <f>IF(AND([% A.A.]&gt;=6%,SUMPRODUCT(N([Nome]=Tabela3[[#This Row],[Nome]]),[PL])&gt;0,[Rentabilidade s/ PL]&gt;=[Rentabilidade s/ PL Média]),"Sim","Não")</f>
        <v>Não</v>
      </c>
      <c r="AT110" s="19">
        <f>IF([Cotação]&gt;0,Tabela3[[#This Row],[Lucro]]/Tabela3[[#This Row],[Cotação]],0)</f>
        <v>4.9290231868091838E-2</v>
      </c>
      <c r="AU110" s="19">
        <f>((1+Tabela3[[#This Row],[% Yield]])^(1/(3*Tabela3[[#This Row],[Ref]])))^(12)-1</f>
        <v>6.6254408713581681E-2</v>
      </c>
      <c r="AV110" s="10">
        <f>IF([Cotação]&gt;0,($BH$1/Tabela3[[#This Row],[Cotação]]-MOD($BH$1/Tabela3[[#This Row],[Cotação]],100)),)</f>
        <v>0</v>
      </c>
      <c r="AW110" s="5">
        <f>Tabela3[[#This Row],[Ativos]]*[Lucro]</f>
        <v>0</v>
      </c>
      <c r="AX110" s="5">
        <f>SUMPRODUCT(N(Tabela1[Código]=Tabela3[[#This Row],[PAPEL]]),Tabela1[Fechamento])</f>
        <v>8.33</v>
      </c>
      <c r="AY110" s="5">
        <f>SUMPRODUCT(N(Tabela17[Código]=Tabela3[[#This Row],[PAPEL]]),Tabela17[Fechamento])</f>
        <v>0</v>
      </c>
      <c r="AZ110" s="7">
        <f>SUMPRODUCT(N(Tabela176[Código]=Tabela3[[#This Row],[PAPEL]]),Tabela176[Fechamento])</f>
        <v>0</v>
      </c>
      <c r="BA110" s="7">
        <f>SUMPRODUCT(N(Tabela1768[Código]=Tabela3[[#This Row],[PAPEL]]),Tabela1768[Fechamento])</f>
        <v>0</v>
      </c>
      <c r="BB110" s="7">
        <f>SUMPRODUCT(N(Tabela17683[Código]=Tabela3[[#This Row],[PAPEL]]),Tabela17683[Fechamento])</f>
        <v>0</v>
      </c>
    </row>
    <row r="111" spans="1:54">
      <c r="A111" s="4" t="s">
        <v>14</v>
      </c>
      <c r="B111" s="57" t="s">
        <v>439</v>
      </c>
      <c r="C111" s="16" t="str">
        <f>LEFT([PAPEL],LEN([PAPEL])-(LEN([PAPEL])-4))</f>
        <v>ABCB</v>
      </c>
      <c r="D111" s="16">
        <v>4</v>
      </c>
      <c r="E111" s="5">
        <v>1113919943.79</v>
      </c>
      <c r="F111" s="56">
        <v>73697646</v>
      </c>
      <c r="G111" s="81">
        <v>0.25</v>
      </c>
      <c r="H111" s="16"/>
      <c r="J111" s="18"/>
      <c r="K111" s="87"/>
      <c r="L111" s="87"/>
      <c r="M111" s="54"/>
      <c r="N111" s="54"/>
      <c r="O111" s="54"/>
      <c r="P111" s="6">
        <v>1917522000</v>
      </c>
      <c r="Q111" s="6">
        <v>268263000</v>
      </c>
      <c r="R111" s="6">
        <f>IF(Tabela3[[#This Row],[Ativo || Passivo]]&gt;0,Tabela3[[#This Row],[Ativo || Passivo]]-Tabela3[[#This Row],[Patrimônio Líquido]],0)</f>
        <v>0</v>
      </c>
      <c r="S111" s="6">
        <f>Tabela3[[#This Row],[Cotação]]*Tabela3[[#This Row],[Total Ações]]</f>
        <v>0</v>
      </c>
      <c r="T111" s="132">
        <f>IF(Tabela3[[#This Row],[Passivo Circulante]]&gt;0,Tabela3[[#This Row],[Ativo Circulante]]/Tabela3[[#This Row],[Passivo Circulante]],0)</f>
        <v>0</v>
      </c>
      <c r="U111" s="132">
        <f>SUMPRODUCT(N([Liquidez Corrente]&gt;0),N(RIGHT([PAPEL],LEN([PAPEL])-(LEN([PAPEL])-1))="3"),[Liquidez Corrente])/SUMPRODUCT(N([Liquidez Corrente]&gt;0),N(RIGHT([PAPEL],LEN([PAPEL])-(LEN([PAPEL])-1))="3"))</f>
        <v>2.331224473064915</v>
      </c>
      <c r="V111" s="19">
        <f>IF(Tabela3[[#This Row],[Lucro Líquido]]&gt;0,Tabela3[[#This Row],[Lucro Líquido]]/Tabela3[[#This Row],[Patrimônio Líquido]],0)</f>
        <v>0.1399008720630063</v>
      </c>
      <c r="W111" s="19">
        <f>SUMPRODUCT(N([Rentabilidade s/ PL]&gt;0),N(RIGHT([PAPEL],LEN([PAPEL])-(LEN([PAPEL])-1))="3"),[Rentabilidade s/ PL])/SUMPRODUCT(N([Rentabilidade s/ PL]&gt;0),N(RIGHT([PAPEL],LEN([PAPEL])-(LEN([PAPEL])-1))="3"))</f>
        <v>0.1261051308670782</v>
      </c>
      <c r="X111" s="19">
        <f>IF(Tabela3[[#This Row],[Dívida]]&gt;0,Tabela3[[#This Row],[Dívida]]/Tabela3[[#This Row],[Patrimônio Líquido]],0)</f>
        <v>0</v>
      </c>
      <c r="Y111" s="19">
        <f>SUMPRODUCT(N([Dívida / PL]&gt;0),N(RIGHT([PAPEL],LEN([PAPEL])-(LEN([PAPEL])-1))="3"),[Dívida / PL])/SUMPRODUCT(N([Dívida / PL]&gt;0),N(RIGHT([PAPEL],LEN([PAPEL])-(LEN([PAPEL])-1))="3"))</f>
        <v>2.1510410379481146</v>
      </c>
      <c r="Z111" s="47">
        <f>Tabela3[[#This Row],[Capital Social]]*20%</f>
        <v>222783988.75800002</v>
      </c>
      <c r="AA111" s="47">
        <f>IF(([Lucro Líquido]*5%)&gt;[Teto R. Legal],[Teto R. Legal],[Lucro Líquido]*5%)</f>
        <v>13413150</v>
      </c>
      <c r="AB111" s="47">
        <f>IF([Lucro Líquido]&lt;0,0,[Lucro Líquido]-[Reserva Legal])</f>
        <v>254849850</v>
      </c>
      <c r="AC111" s="47">
        <f>Tabela3[[#This Row],[Lucro Distribuir]]*[%Div]</f>
        <v>63712462.5</v>
      </c>
      <c r="AD111" s="21">
        <f>SUMPRODUCT(N([Nome]=Tabela3[[#This Row],[Nome]]),[Ações])</f>
        <v>147232649</v>
      </c>
      <c r="AE111" s="5">
        <f>[Capital Social]/[Total Ações]</f>
        <v>7.5657128453214204</v>
      </c>
      <c r="AF111" s="77">
        <f>Tabela3[[#This Row],[Lucro Líquido]]/Tabela3[[#This Row],[Total Ações]]</f>
        <v>1.8220347308972211</v>
      </c>
      <c r="AG111" s="77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0.43273324858808998</v>
      </c>
      <c r="AH111" s="77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111" s="77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111" s="77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0.43273324858808998</v>
      </c>
      <c r="AK111" s="47">
        <f>[Div Base]*[Ações]</f>
        <v>31891421.766875055</v>
      </c>
      <c r="AL111" s="47">
        <f>SUMPRODUCT(N([Nome]=Tabela3[[#This Row],[Nome]]),[Div Base]*[Ações])</f>
        <v>63712462.5</v>
      </c>
      <c r="AM111" s="5">
        <f>[Patrimônio Líquido]/[Total Ações]</f>
        <v>13.023755349263601</v>
      </c>
      <c r="AN111" s="80">
        <f>MAX(Tabela3[[#This Row],[Cotação 1]:[Cotação 5]])</f>
        <v>0</v>
      </c>
      <c r="AO111" s="81">
        <f>[Cotação]/[VPA]</f>
        <v>0</v>
      </c>
      <c r="AP111" s="34">
        <f>IF(Tabela3[[#This Row],[Lucro/Ação]]&gt;0,Tabela3[[#This Row],[Cotação]]/(Tabela3[[#This Row],[Lucro/Ação]]/[Ref]*4),0)</f>
        <v>0</v>
      </c>
      <c r="AQ111" s="77">
        <f>[Lucro Distribuir]/[Total Ações]</f>
        <v>1.7309329943523599</v>
      </c>
      <c r="AR111" s="77">
        <f>IF([Unit ON]&gt;0,SUMPRODUCT(N([Nome]=Tabela3[[#This Row],[Nome]]),N(RIGHT([PAPEL],1)="3"),[Div Base])*[Unit ON]+SUMPRODUCT(N([Nome]=Tabela3[[#This Row],[Nome]]),N(RIGHT([PAPEL],1)="4"),[Div Base])*[Unit PN],[Div Base])</f>
        <v>0.43273324858808998</v>
      </c>
      <c r="AS111" s="10" t="str">
        <f>IF(AND([% A.A.]&gt;=6%,SUMPRODUCT(N([Nome]=Tabela3[[#This Row],[Nome]]),[PL])&gt;0,[Rentabilidade s/ PL]&gt;=[Rentabilidade s/ PL Média]),"Sim","Não")</f>
        <v>Não</v>
      </c>
      <c r="AT111" s="22">
        <f>IF([Cotação]&gt;0,Tabela3[[#This Row],[Lucro]]/Tabela3[[#This Row],[Cotação]],0)</f>
        <v>0</v>
      </c>
      <c r="AU111" s="18">
        <f>((1+Tabela3[[#This Row],[% Yield]])^(1/(3*Tabela3[[#This Row],[Ref]])))^(12)-1</f>
        <v>0</v>
      </c>
      <c r="AV111" s="10">
        <f>IF([Cotação]&gt;0,($BH$1/Tabela3[[#This Row],[Cotação]]-MOD($BH$1/Tabela3[[#This Row],[Cotação]],100)),)</f>
        <v>0</v>
      </c>
      <c r="AW111" s="47">
        <f>Tabela3[[#This Row],[Ativos]]*[Lucro]</f>
        <v>0</v>
      </c>
      <c r="AX111" s="47">
        <f>SUMPRODUCT(N(Tabela1[Código]=Tabela3[[#This Row],[PAPEL]]),Tabela1[Fechamento])</f>
        <v>0</v>
      </c>
      <c r="AY111" s="47">
        <f>SUMPRODUCT(N(Tabela17[Código]=Tabela3[[#This Row],[PAPEL]]),Tabela17[Fechamento])</f>
        <v>0</v>
      </c>
      <c r="AZ111" s="7">
        <f>SUMPRODUCT(N(Tabela176[Código]=Tabela3[[#This Row],[PAPEL]]),Tabela176[Fechamento])</f>
        <v>0</v>
      </c>
      <c r="BA111" s="7">
        <f>SUMPRODUCT(N(Tabela1768[Código]=Tabela3[[#This Row],[PAPEL]]),Tabela1768[Fechamento])</f>
        <v>0</v>
      </c>
      <c r="BB111" s="7">
        <f>SUMPRODUCT(N(Tabela17683[Código]=Tabela3[[#This Row],[PAPEL]]),Tabela17683[Fechamento])</f>
        <v>0</v>
      </c>
    </row>
    <row r="112" spans="1:54">
      <c r="A112" s="4" t="s">
        <v>14</v>
      </c>
      <c r="B112" s="57" t="s">
        <v>22</v>
      </c>
      <c r="C112" s="14" t="str">
        <f>LEFT([PAPEL],LEN([PAPEL])-(LEN([PAPEL])-4))</f>
        <v>ABCB</v>
      </c>
      <c r="D112" s="15">
        <v>4</v>
      </c>
      <c r="E112" s="5">
        <v>1113919943.79</v>
      </c>
      <c r="F112" s="8">
        <v>73535003</v>
      </c>
      <c r="G112" s="86">
        <v>0.25</v>
      </c>
      <c r="H112" s="15"/>
      <c r="I112" s="19"/>
      <c r="J112" s="19"/>
      <c r="K112" s="88"/>
      <c r="L112" s="88"/>
      <c r="M112" s="55"/>
      <c r="N112" s="55"/>
      <c r="O112" s="55"/>
      <c r="P112" s="6">
        <v>1917522000</v>
      </c>
      <c r="Q112" s="6">
        <v>268263000</v>
      </c>
      <c r="R112" s="6">
        <f>IF(Tabela3[[#This Row],[Ativo || Passivo]]&gt;0,Tabela3[[#This Row],[Ativo || Passivo]]-Tabela3[[#This Row],[Patrimônio Líquido]],0)</f>
        <v>0</v>
      </c>
      <c r="S112" s="6">
        <f>Tabela3[[#This Row],[Cotação]]*Tabela3[[#This Row],[Total Ações]]</f>
        <v>1688758484.0300002</v>
      </c>
      <c r="T112" s="132">
        <f>IF(Tabela3[[#This Row],[Passivo Circulante]]&gt;0,Tabela3[[#This Row],[Ativo Circulante]]/Tabela3[[#This Row],[Passivo Circulante]],0)</f>
        <v>0</v>
      </c>
      <c r="U112" s="132">
        <f>SUMPRODUCT(N([Liquidez Corrente]&gt;0),N(RIGHT([PAPEL],LEN([PAPEL])-(LEN([PAPEL])-1))="3"),[Liquidez Corrente])/SUMPRODUCT(N([Liquidez Corrente]&gt;0),N(RIGHT([PAPEL],LEN([PAPEL])-(LEN([PAPEL])-1))="3"))</f>
        <v>2.331224473064915</v>
      </c>
      <c r="V112" s="19">
        <f>IF(Tabela3[[#This Row],[Lucro Líquido]]&gt;0,Tabela3[[#This Row],[Lucro Líquido]]/Tabela3[[#This Row],[Patrimônio Líquido]],0)</f>
        <v>0.1399008720630063</v>
      </c>
      <c r="W112" s="19">
        <f>SUMPRODUCT(N([Rentabilidade s/ PL]&gt;0),N(RIGHT([PAPEL],LEN([PAPEL])-(LEN([PAPEL])-1))="3"),[Rentabilidade s/ PL])/SUMPRODUCT(N([Rentabilidade s/ PL]&gt;0),N(RIGHT([PAPEL],LEN([PAPEL])-(LEN([PAPEL])-1))="3"))</f>
        <v>0.1261051308670782</v>
      </c>
      <c r="X112" s="19">
        <f>IF(Tabela3[[#This Row],[Dívida]]&gt;0,Tabela3[[#This Row],[Dívida]]/Tabela3[[#This Row],[Patrimônio Líquido]],0)</f>
        <v>0</v>
      </c>
      <c r="Y112" s="19">
        <f>SUMPRODUCT(N([Dívida / PL]&gt;0),N(RIGHT([PAPEL],LEN([PAPEL])-(LEN([PAPEL])-1))="3"),[Dívida / PL])/SUMPRODUCT(N([Dívida / PL]&gt;0),N(RIGHT([PAPEL],LEN([PAPEL])-(LEN([PAPEL])-1))="3"))</f>
        <v>2.1510410379481146</v>
      </c>
      <c r="Z112" s="6">
        <f>Tabela3[[#This Row],[Capital Social]]*20%</f>
        <v>222783988.75800002</v>
      </c>
      <c r="AA112" s="6">
        <f>IF(([Lucro Líquido]*5%)&gt;[Teto R. Legal],[Teto R. Legal],[Lucro Líquido]*5%)</f>
        <v>13413150</v>
      </c>
      <c r="AB112" s="6">
        <f>IF([Lucro Líquido]&lt;0,0,[Lucro Líquido]-[Reserva Legal])</f>
        <v>254849850</v>
      </c>
      <c r="AC112" s="6">
        <f>Tabela3[[#This Row],[Lucro Distribuir]]*[%Div]</f>
        <v>63712462.5</v>
      </c>
      <c r="AD112" s="21">
        <f>SUMPRODUCT(N([Nome]=Tabela3[[#This Row],[Nome]]),[Ações])</f>
        <v>147232649</v>
      </c>
      <c r="AE112" s="6">
        <f>[Capital Social]/[Total Ações]</f>
        <v>7.5657128453214204</v>
      </c>
      <c r="AF112" s="78">
        <f>Tabela3[[#This Row],[Lucro Líquido]]/Tabela3[[#This Row],[Total Ações]]</f>
        <v>1.8220347308972211</v>
      </c>
      <c r="AG112" s="78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0.43273324858808998</v>
      </c>
      <c r="AH112" s="78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112" s="78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112" s="78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0.43273324858808998</v>
      </c>
      <c r="AK112" s="6">
        <f>[Div Base]*[Ações]</f>
        <v>31821040.733124942</v>
      </c>
      <c r="AL112" s="6">
        <f>SUMPRODUCT(N([Nome]=Tabela3[[#This Row],[Nome]]),[Div Base]*[Ações])</f>
        <v>63712462.5</v>
      </c>
      <c r="AM112" s="6">
        <f>[Patrimônio Líquido]/[Total Ações]</f>
        <v>13.023755349263601</v>
      </c>
      <c r="AN112" s="48">
        <f>MAX(Tabela3[[#This Row],[Cotação 1]:[Cotação 5]])</f>
        <v>11.47</v>
      </c>
      <c r="AO112" s="44">
        <f>[Cotação]/[VPA]</f>
        <v>0.88069836175543226</v>
      </c>
      <c r="AP112" s="40">
        <f>IF(Tabela3[[#This Row],[Lucro/Ação]]&gt;0,Tabela3[[#This Row],[Cotação]]/(Tabela3[[#This Row],[Lucro/Ação]]/[Ref]*4),0)</f>
        <v>6.2951599140768577</v>
      </c>
      <c r="AQ112" s="78">
        <f>[Lucro Distribuir]/[Total Ações]</f>
        <v>1.7309329943523599</v>
      </c>
      <c r="AR112" s="78">
        <f>IF([Unit ON]&gt;0,SUMPRODUCT(N([Nome]=Tabela3[[#This Row],[Nome]]),N(RIGHT([PAPEL],1)="3"),[Div Base])*[Unit ON]+SUMPRODUCT(N([Nome]=Tabela3[[#This Row],[Nome]]),N(RIGHT([PAPEL],1)="4"),[Div Base])*[Unit PN],[Div Base])</f>
        <v>0.43273324858808998</v>
      </c>
      <c r="AS112" s="15" t="str">
        <f>IF(AND([% A.A.]&gt;=6%,SUMPRODUCT(N([Nome]=Tabela3[[#This Row],[Nome]]),[PL])&gt;0,[Rentabilidade s/ PL]&gt;=[Rentabilidade s/ PL Média]),"Sim","Não")</f>
        <v>Não</v>
      </c>
      <c r="AT112" s="42">
        <f>IF([Cotação]&gt;0,Tabela3[[#This Row],[Lucro]]/Tabela3[[#This Row],[Cotação]],0)</f>
        <v>3.7727397435753263E-2</v>
      </c>
      <c r="AU112" s="19">
        <f>((1+Tabela3[[#This Row],[% Yield]])^(1/(3*Tabela3[[#This Row],[Ref]])))^(12)-1</f>
        <v>3.7727397435752819E-2</v>
      </c>
      <c r="AV112" s="14">
        <f>IF([Cotação]&gt;0,($BH$1/Tabela3[[#This Row],[Cotação]]-MOD($BH$1/Tabela3[[#This Row],[Cotação]],100)),)</f>
        <v>0</v>
      </c>
      <c r="AW112" s="17">
        <f>Tabela3[[#This Row],[Ativos]]*[Lucro]</f>
        <v>0</v>
      </c>
      <c r="AX112" s="5">
        <f>SUMPRODUCT(N(Tabela1[Código]=Tabela3[[#This Row],[PAPEL]]),Tabela1[Fechamento])</f>
        <v>11.47</v>
      </c>
      <c r="AY112" s="5">
        <f>SUMPRODUCT(N(Tabela17[Código]=Tabela3[[#This Row],[PAPEL]]),Tabela17[Fechamento])</f>
        <v>0</v>
      </c>
      <c r="AZ112" s="7">
        <f>SUMPRODUCT(N(Tabela176[Código]=Tabela3[[#This Row],[PAPEL]]),Tabela176[Fechamento])</f>
        <v>0</v>
      </c>
      <c r="BA112" s="7">
        <f>SUMPRODUCT(N(Tabela1768[Código]=Tabela3[[#This Row],[PAPEL]]),Tabela1768[Fechamento])</f>
        <v>0</v>
      </c>
      <c r="BB112" s="7">
        <f>SUMPRODUCT(N(Tabela17683[Código]=Tabela3[[#This Row],[PAPEL]]),Tabela17683[Fechamento])</f>
        <v>0</v>
      </c>
    </row>
    <row r="113" spans="1:54" hidden="1">
      <c r="A113" s="4" t="s">
        <v>376</v>
      </c>
      <c r="B113" s="57" t="s">
        <v>378</v>
      </c>
      <c r="C113" s="82" t="str">
        <f>LEFT([PAPEL],LEN([PAPEL])-(LEN([PAPEL])-4))</f>
        <v>CTIP</v>
      </c>
      <c r="D113" s="15">
        <v>3</v>
      </c>
      <c r="E113" s="6">
        <v>588599499.64999998</v>
      </c>
      <c r="F113" s="38">
        <v>260498279</v>
      </c>
      <c r="G113" s="86">
        <v>0.25</v>
      </c>
      <c r="H113" s="15"/>
      <c r="I113" s="19"/>
      <c r="J113" s="19"/>
      <c r="K113" s="88"/>
      <c r="L113" s="88"/>
      <c r="M113" s="55"/>
      <c r="N113" s="55"/>
      <c r="O113" s="55"/>
      <c r="P113" s="6">
        <v>1632971000</v>
      </c>
      <c r="Q113" s="6">
        <v>264743000</v>
      </c>
      <c r="R113" s="6">
        <f>IF(Tabela3[[#This Row],[Ativo || Passivo]]&gt;0,Tabela3[[#This Row],[Ativo || Passivo]]-Tabela3[[#This Row],[Patrimônio Líquido]],0)</f>
        <v>0</v>
      </c>
      <c r="S113" s="6">
        <f>Tabela3[[#This Row],[Cotação]]*Tabela3[[#This Row],[Total Ações]]</f>
        <v>6429097525.7200003</v>
      </c>
      <c r="T113" s="132">
        <f>IF(Tabela3[[#This Row],[Passivo Circulante]]&gt;0,Tabela3[[#This Row],[Ativo Circulante]]/Tabela3[[#This Row],[Passivo Circulante]],0)</f>
        <v>0</v>
      </c>
      <c r="U113" s="132">
        <f>SUMPRODUCT(N([Liquidez Corrente]&gt;0),N(RIGHT([PAPEL],LEN([PAPEL])-(LEN([PAPEL])-1))="3"),[Liquidez Corrente])/SUMPRODUCT(N([Liquidez Corrente]&gt;0),N(RIGHT([PAPEL],LEN([PAPEL])-(LEN([PAPEL])-1))="3"))</f>
        <v>2.331224473064915</v>
      </c>
      <c r="V113" s="19">
        <f>IF(Tabela3[[#This Row],[Lucro Líquido]]&gt;0,Tabela3[[#This Row],[Lucro Líquido]]/Tabela3[[#This Row],[Patrimônio Líquido]],0)</f>
        <v>0.16212351597180844</v>
      </c>
      <c r="W113" s="19">
        <f>SUMPRODUCT(N([Rentabilidade s/ PL]&gt;0),N(RIGHT([PAPEL],LEN([PAPEL])-(LEN([PAPEL])-1))="3"),[Rentabilidade s/ PL])/SUMPRODUCT(N([Rentabilidade s/ PL]&gt;0),N(RIGHT([PAPEL],LEN([PAPEL])-(LEN([PAPEL])-1))="3"))</f>
        <v>0.1261051308670782</v>
      </c>
      <c r="X113" s="19">
        <f>IF(Tabela3[[#This Row],[Dívida]]&gt;0,Tabela3[[#This Row],[Dívida]]/Tabela3[[#This Row],[Patrimônio Líquido]],0)</f>
        <v>0</v>
      </c>
      <c r="Y113" s="19">
        <f>SUMPRODUCT(N([Dívida / PL]&gt;0),N(RIGHT([PAPEL],LEN([PAPEL])-(LEN([PAPEL])-1))="3"),[Dívida / PL])/SUMPRODUCT(N([Dívida / PL]&gt;0),N(RIGHT([PAPEL],LEN([PAPEL])-(LEN([PAPEL])-1))="3"))</f>
        <v>2.1510410379481146</v>
      </c>
      <c r="Z113" s="6">
        <f>Tabela3[[#This Row],[Capital Social]]*20%</f>
        <v>117719899.93000001</v>
      </c>
      <c r="AA113" s="6">
        <f>IF(([Lucro Líquido]*5%)&gt;[Teto R. Legal],[Teto R. Legal],[Lucro Líquido]*5%)</f>
        <v>13237150</v>
      </c>
      <c r="AB113" s="6">
        <f>IF([Lucro Líquido]&lt;0,0,[Lucro Líquido]-[Reserva Legal])</f>
        <v>251505850</v>
      </c>
      <c r="AC113" s="6">
        <f>Tabela3[[#This Row],[Lucro Distribuir]]*[%Div]</f>
        <v>62876462.5</v>
      </c>
      <c r="AD113" s="56">
        <f>SUMPRODUCT(N([Nome]=Tabela3[[#This Row],[Nome]]),[Ações])</f>
        <v>260498279</v>
      </c>
      <c r="AE113" s="6">
        <f>[Capital Social]/[Total Ações]</f>
        <v>2.2595139665010993</v>
      </c>
      <c r="AF113" s="78">
        <f>Tabela3[[#This Row],[Lucro Líquido]]/Tabela3[[#This Row],[Total Ações]]</f>
        <v>1.0162946220462363</v>
      </c>
      <c r="AG113" s="78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0.2413699727359811</v>
      </c>
      <c r="AH113" s="78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113" s="78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113" s="78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0.2413699727359811</v>
      </c>
      <c r="AK113" s="6">
        <f>[Div Base]*[Ações]</f>
        <v>62876462.5</v>
      </c>
      <c r="AL113" s="6">
        <f>SUMPRODUCT(N([Nome]=Tabela3[[#This Row],[Nome]]),[Div Base]*[Ações])</f>
        <v>62876462.5</v>
      </c>
      <c r="AM113" s="6">
        <f>[Patrimônio Líquido]/[Total Ações]</f>
        <v>6.2686441010998006</v>
      </c>
      <c r="AN113" s="48">
        <f>MAX(Tabela3[[#This Row],[Cotação 1]:[Cotação 5]])</f>
        <v>24.68</v>
      </c>
      <c r="AO113" s="44">
        <f>[Cotação]/[VPA]</f>
        <v>3.9370555421498605</v>
      </c>
      <c r="AP113" s="40">
        <f>IF(Tabela3[[#This Row],[Lucro/Ação]]&gt;0,Tabela3[[#This Row],[Cotação]]/(Tabela3[[#This Row],[Lucro/Ação]]/[Ref]*4),0)</f>
        <v>18.213222424351162</v>
      </c>
      <c r="AQ113" s="78">
        <f>[Lucro Distribuir]/[Total Ações]</f>
        <v>0.96547989094392439</v>
      </c>
      <c r="AR113" s="78">
        <f>IF([Unit ON]&gt;0,SUMPRODUCT(N([Nome]=Tabela3[[#This Row],[Nome]]),N(RIGHT([PAPEL],1)="3"),[Div Base])*[Unit ON]+SUMPRODUCT(N([Nome]=Tabela3[[#This Row],[Nome]]),N(RIGHT([PAPEL],1)="4"),[Div Base])*[Unit PN],[Div Base])</f>
        <v>0.2413699727359811</v>
      </c>
      <c r="AS113" s="15" t="str">
        <f>IF(AND([% A.A.]&gt;=6%,SUMPRODUCT(N([Nome]=Tabela3[[#This Row],[Nome]]),[PL])&gt;0,[Rentabilidade s/ PL]&gt;=[Rentabilidade s/ PL Média]),"Sim","Não")</f>
        <v>Não</v>
      </c>
      <c r="AT113" s="42">
        <f>IF([Cotação]&gt;0,Tabela3[[#This Row],[Lucro]]/Tabela3[[#This Row],[Cotação]],0)</f>
        <v>9.7799826878436427E-3</v>
      </c>
      <c r="AU113" s="19">
        <f>((1+Tabela3[[#This Row],[% Yield]])^(1/(3*Tabela3[[#This Row],[Ref]])))^(12)-1</f>
        <v>1.3061186034752037E-2</v>
      </c>
      <c r="AV113" s="14">
        <f>IF([Cotação]&gt;0,($BH$1/Tabela3[[#This Row],[Cotação]]-MOD($BH$1/Tabela3[[#This Row],[Cotação]],100)),)</f>
        <v>0</v>
      </c>
      <c r="AW113" s="17">
        <f>Tabela3[[#This Row],[Ativos]]*[Lucro]</f>
        <v>0</v>
      </c>
      <c r="AX113" s="13">
        <f>SUMPRODUCT(N(Tabela1[Código]=Tabela3[[#This Row],[PAPEL]]),Tabela1[Fechamento])</f>
        <v>0</v>
      </c>
      <c r="AY113" s="55">
        <f>SUMPRODUCT(N(Tabela17[Código]=Tabela3[[#This Row],[PAPEL]]),Tabela17[Fechamento])</f>
        <v>24.68</v>
      </c>
      <c r="AZ113" s="7">
        <f>SUMPRODUCT(N(Tabela176[Código]=Tabela3[[#This Row],[PAPEL]]),Tabela176[Fechamento])</f>
        <v>0</v>
      </c>
      <c r="BA113" s="7">
        <f>SUMPRODUCT(N(Tabela1768[Código]=Tabela3[[#This Row],[PAPEL]]),Tabela1768[Fechamento])</f>
        <v>0</v>
      </c>
      <c r="BB113" s="7">
        <f>SUMPRODUCT(N(Tabela17683[Código]=Tabela3[[#This Row],[PAPEL]]),Tabela17683[Fechamento])</f>
        <v>0</v>
      </c>
    </row>
    <row r="114" spans="1:54" hidden="1">
      <c r="A114" s="3" t="s">
        <v>907</v>
      </c>
      <c r="B114" s="58" t="s">
        <v>913</v>
      </c>
      <c r="C114" s="16" t="str">
        <f>LEFT([PAPEL],LEN([PAPEL])-(LEN([PAPEL])-4))</f>
        <v>BMTO</v>
      </c>
      <c r="D114" s="16">
        <v>3</v>
      </c>
      <c r="E114" s="5">
        <v>577400000</v>
      </c>
      <c r="F114" s="56">
        <v>1878384068</v>
      </c>
      <c r="G114" s="81">
        <v>0.25</v>
      </c>
      <c r="H114" s="87"/>
      <c r="J114" s="18">
        <v>0.1</v>
      </c>
      <c r="K114" s="16"/>
      <c r="L114" s="87"/>
      <c r="M114" s="54">
        <v>1067544000</v>
      </c>
      <c r="N114" s="54">
        <v>944000</v>
      </c>
      <c r="O114" s="54">
        <v>1139000</v>
      </c>
      <c r="P114" s="91">
        <v>1187464000</v>
      </c>
      <c r="Q114" s="73">
        <v>258949000</v>
      </c>
      <c r="R114" s="73">
        <f>IF(Tabela3[[#This Row],[Ativo || Passivo]]&gt;0,Tabela3[[#This Row],[Ativo || Passivo]]-Tabela3[[#This Row],[Patrimônio Líquido]],0)</f>
        <v>-119920000</v>
      </c>
      <c r="S114" s="73">
        <f>Tabela3[[#This Row],[Cotação]]*Tabela3[[#This Row],[Total Ações]]</f>
        <v>2377488611.2999997</v>
      </c>
      <c r="T114" s="37">
        <f>IF(Tabela3[[#This Row],[Passivo Circulante]]&gt;0,Tabela3[[#This Row],[Ativo Circulante]]/Tabela3[[#This Row],[Passivo Circulante]],0)</f>
        <v>0.82879719051799827</v>
      </c>
      <c r="U114" s="37">
        <f>SUMPRODUCT(N([Liquidez Corrente]&gt;0),N(RIGHT([PAPEL],LEN([PAPEL])-(LEN([PAPEL])-1))="3"),[Liquidez Corrente])/SUMPRODUCT(N([Liquidez Corrente]&gt;0),N(RIGHT([PAPEL],LEN([PAPEL])-(LEN([PAPEL])-1))="3"))</f>
        <v>2.331224473064915</v>
      </c>
      <c r="V114" s="18">
        <f>IF(Tabela3[[#This Row],[Lucro Líquido]]&gt;0,Tabela3[[#This Row],[Lucro Líquido]]/Tabela3[[#This Row],[Patrimônio Líquido]],0)</f>
        <v>0.21806892672114692</v>
      </c>
      <c r="W114" s="18">
        <f>SUMPRODUCT(N([Rentabilidade s/ PL]&gt;0),N(RIGHT([PAPEL],LEN([PAPEL])-(LEN([PAPEL])-1))="3"),[Rentabilidade s/ PL])/SUMPRODUCT(N([Rentabilidade s/ PL]&gt;0),N(RIGHT([PAPEL],LEN([PAPEL])-(LEN([PAPEL])-1))="3"))</f>
        <v>0.1261051308670782</v>
      </c>
      <c r="X114" s="18">
        <f>IF(Tabela3[[#This Row],[Dívida]]&gt;0,Tabela3[[#This Row],[Dívida]]/Tabela3[[#This Row],[Patrimônio Líquido]],0)</f>
        <v>0</v>
      </c>
      <c r="Y114" s="18">
        <f>SUMPRODUCT(N([Dívida / PL]&gt;0),N(RIGHT([PAPEL],LEN([PAPEL])-(LEN([PAPEL])-1))="3"),[Dívida / PL])/SUMPRODUCT(N([Dívida / PL]&gt;0),N(RIGHT([PAPEL],LEN([PAPEL])-(LEN([PAPEL])-1))="3"))</f>
        <v>2.1510410379481146</v>
      </c>
      <c r="Z114" s="7">
        <f>Tabela3[[#This Row],[Capital Social]]*20%</f>
        <v>115480000</v>
      </c>
      <c r="AA114" s="47">
        <f>IF(([Lucro Líquido]*5%)&gt;[Teto R. Legal],[Teto R. Legal],[Lucro Líquido]*5%)</f>
        <v>12947450</v>
      </c>
      <c r="AB114" s="47">
        <f>IF([Lucro Líquido]&lt;0,0,[Lucro Líquido]-[Reserva Legal])</f>
        <v>246001550</v>
      </c>
      <c r="AC114" s="47">
        <f>Tabela3[[#This Row],[Lucro Distribuir]]*[%Div]</f>
        <v>61500387.5</v>
      </c>
      <c r="AD114" s="56">
        <f>SUMPRODUCT(N([Nome]=Tabela3[[#This Row],[Nome]]),[Ações])</f>
        <v>2864444110</v>
      </c>
      <c r="AE114" s="85">
        <f>[Capital Social]/[Total Ações]</f>
        <v>0.2015748877711564</v>
      </c>
      <c r="AF114" s="85">
        <f>Tabela3[[#This Row],[Lucro Líquido]]/Tabela3[[#This Row],[Total Ações]]</f>
        <v>9.040113545800689E-2</v>
      </c>
      <c r="AG114" s="85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2.2882472764197942E-2</v>
      </c>
      <c r="AH114" s="85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114" s="77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114" s="85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2.2882472764197942E-2</v>
      </c>
      <c r="AK114" s="7">
        <f>[Div Base]*[Ações]</f>
        <v>42982072.276713334</v>
      </c>
      <c r="AL114" s="7">
        <f>SUMPRODUCT(N([Nome]=Tabela3[[#This Row],[Nome]]),[Div Base]*[Ações])</f>
        <v>71613725.012087822</v>
      </c>
      <c r="AM114" s="5">
        <f>[Patrimônio Líquido]/[Total Ações]</f>
        <v>0.41455303521352349</v>
      </c>
      <c r="AN114" s="52">
        <f>MAX(Tabela3[[#This Row],[Cotação 1]:[Cotação 5]])</f>
        <v>0.83</v>
      </c>
      <c r="AO114" s="53">
        <f>[Cotação]/[VPA]</f>
        <v>2.0021563696246791</v>
      </c>
      <c r="AP114" s="37">
        <f>IF(Tabela3[[#This Row],[Lucro/Ação]]&gt;0,Tabela3[[#This Row],[Cotação]]/(Tabela3[[#This Row],[Lucro/Ação]]/[Ref]*4),0)</f>
        <v>6.885975456460538</v>
      </c>
      <c r="AQ114" s="85">
        <f>[Lucro Distribuir]/[Total Ações]</f>
        <v>8.5881078685106554E-2</v>
      </c>
      <c r="AR114" s="85">
        <f>IF([Unit ON]&gt;0,SUMPRODUCT(N([Nome]=Tabela3[[#This Row],[Nome]]),N(RIGHT([PAPEL],1)="3"),[Div Base])*[Unit ON]+SUMPRODUCT(N([Nome]=Tabela3[[#This Row],[Nome]]),N(RIGHT([PAPEL],1)="4"),[Div Base])*[Unit PN],[Div Base])</f>
        <v>2.2882472764197942E-2</v>
      </c>
      <c r="AS114" s="10" t="str">
        <f>IF(AND([% A.A.]&gt;=6%,SUMPRODUCT(N([Nome]=Tabela3[[#This Row],[Nome]]),[PL])&gt;0,[Rentabilidade s/ PL]&gt;=[Rentabilidade s/ PL Média]),"Sim","Não")</f>
        <v>Não</v>
      </c>
      <c r="AT114" s="22">
        <f>IF([Cotação]&gt;0,Tabela3[[#This Row],[Lucro]]/Tabela3[[#This Row],[Cotação]],0)</f>
        <v>2.7569244294214389E-2</v>
      </c>
      <c r="AU114" s="22">
        <f>((1+Tabela3[[#This Row],[% Yield]])^(1/(3*Tabela3[[#This Row],[Ref]])))^(12)-1</f>
        <v>3.6926872263712607E-2</v>
      </c>
      <c r="AV114" s="10">
        <f>IF([Cotação]&gt;0,($BH$1/Tabela3[[#This Row],[Cotação]]-MOD($BH$1/Tabela3[[#This Row],[Cotação]],100)),)</f>
        <v>600</v>
      </c>
      <c r="AW114" s="7">
        <f>Tabela3[[#This Row],[Ativos]]*[Lucro]</f>
        <v>13.729483658518765</v>
      </c>
      <c r="AX114" s="7">
        <f>SUMPRODUCT(N(Tabela1[Código]=Tabela3[[#This Row],[PAPEL]]),Tabela1[Fechamento])</f>
        <v>0</v>
      </c>
      <c r="AY114" s="7">
        <f>SUMPRODUCT(N(Tabela17[Código]=Tabela3[[#This Row],[PAPEL]]),Tabela17[Fechamento])</f>
        <v>0</v>
      </c>
      <c r="AZ114" s="7">
        <f>SUMPRODUCT(N(Tabela176[Código]=Tabela3[[#This Row],[PAPEL]]),Tabela176[Fechamento])</f>
        <v>0</v>
      </c>
      <c r="BA114" s="7">
        <f>SUMPRODUCT(N(Tabela1768[Código]=Tabela3[[#This Row],[PAPEL]]),Tabela1768[Fechamento])</f>
        <v>0.83</v>
      </c>
      <c r="BB114" s="7">
        <f>SUMPRODUCT(N(Tabela17683[Código]=Tabela3[[#This Row],[PAPEL]]),Tabela17683[Fechamento])</f>
        <v>0</v>
      </c>
    </row>
    <row r="115" spans="1:54">
      <c r="A115" s="3" t="s">
        <v>1330</v>
      </c>
      <c r="B115" s="57" t="s">
        <v>1335</v>
      </c>
      <c r="C115" s="16" t="str">
        <f>LEFT([PAPEL],LEN([PAPEL])-(LEN([PAPEL])-4))</f>
        <v>STBP</v>
      </c>
      <c r="D115" s="16">
        <v>4</v>
      </c>
      <c r="E115" s="5">
        <v>1071077315.22</v>
      </c>
      <c r="F115" s="56">
        <v>454629482</v>
      </c>
      <c r="G115" s="81">
        <v>0.25</v>
      </c>
      <c r="H115" s="87"/>
      <c r="J115" s="18"/>
      <c r="K115" s="16"/>
      <c r="L115" s="87"/>
      <c r="M115" s="54"/>
      <c r="N115" s="54"/>
      <c r="O115" s="54"/>
      <c r="P115" s="91">
        <v>1447969000</v>
      </c>
      <c r="Q115" s="73">
        <v>255060000</v>
      </c>
      <c r="R115" s="73">
        <f>IF(Tabela3[[#This Row],[Ativo || Passivo]]&gt;0,Tabela3[[#This Row],[Ativo || Passivo]]-Tabela3[[#This Row],[Patrimônio Líquido]],0)</f>
        <v>0</v>
      </c>
      <c r="S115" s="73">
        <f>Tabela3[[#This Row],[Cotação]]*Tabela3[[#This Row],[Total Ações]]</f>
        <v>0</v>
      </c>
      <c r="T115" s="37">
        <f>IF(Tabela3[[#This Row],[Passivo Circulante]]&gt;0,Tabela3[[#This Row],[Ativo Circulante]]/Tabela3[[#This Row],[Passivo Circulante]],0)</f>
        <v>0</v>
      </c>
      <c r="U115" s="37">
        <f>SUMPRODUCT(N([Liquidez Corrente]&gt;0),N(RIGHT([PAPEL],LEN([PAPEL])-(LEN([PAPEL])-1))="3"),[Liquidez Corrente])/SUMPRODUCT(N([Liquidez Corrente]&gt;0),N(RIGHT([PAPEL],LEN([PAPEL])-(LEN([PAPEL])-1))="3"))</f>
        <v>2.331224473064915</v>
      </c>
      <c r="V115" s="18">
        <f>IF(Tabela3[[#This Row],[Lucro Líquido]]&gt;0,Tabela3[[#This Row],[Lucro Líquido]]/Tabela3[[#This Row],[Patrimônio Líquido]],0)</f>
        <v>0.17615018001075991</v>
      </c>
      <c r="W115" s="18">
        <f>SUMPRODUCT(N([Rentabilidade s/ PL]&gt;0),N(RIGHT([PAPEL],LEN([PAPEL])-(LEN([PAPEL])-1))="3"),[Rentabilidade s/ PL])/SUMPRODUCT(N([Rentabilidade s/ PL]&gt;0),N(RIGHT([PAPEL],LEN([PAPEL])-(LEN([PAPEL])-1))="3"))</f>
        <v>0.1261051308670782</v>
      </c>
      <c r="X115" s="18">
        <f>IF(Tabela3[[#This Row],[Dívida]]&gt;0,Tabela3[[#This Row],[Dívida]]/Tabela3[[#This Row],[Patrimônio Líquido]],0)</f>
        <v>0</v>
      </c>
      <c r="Y115" s="18">
        <f>SUMPRODUCT(N([Dívida / PL]&gt;0),N(RIGHT([PAPEL],LEN([PAPEL])-(LEN([PAPEL])-1))="3"),[Dívida / PL])/SUMPRODUCT(N([Dívida / PL]&gt;0),N(RIGHT([PAPEL],LEN([PAPEL])-(LEN([PAPEL])-1))="3"))</f>
        <v>2.1510410379481146</v>
      </c>
      <c r="Z115" s="7">
        <f>Tabela3[[#This Row],[Capital Social]]*20%</f>
        <v>214215463.04400003</v>
      </c>
      <c r="AA115" s="47">
        <f>IF(([Lucro Líquido]*5%)&gt;[Teto R. Legal],[Teto R. Legal],[Lucro Líquido]*5%)</f>
        <v>12753000</v>
      </c>
      <c r="AB115" s="47">
        <f>IF([Lucro Líquido]&lt;0,0,[Lucro Líquido]-[Reserva Legal])</f>
        <v>242307000</v>
      </c>
      <c r="AC115" s="47">
        <f>Tabela3[[#This Row],[Lucro Distribuir]]*[%Div]</f>
        <v>60576750</v>
      </c>
      <c r="AD115" s="56">
        <f>SUMPRODUCT(N([Nome]=Tabela3[[#This Row],[Nome]]),[Ações])</f>
        <v>666086554</v>
      </c>
      <c r="AE115" s="85">
        <f>[Capital Social]/[Total Ações]</f>
        <v>1.6080152178240787</v>
      </c>
      <c r="AF115" s="85">
        <f>Tabela3[[#This Row],[Lucro Líquido]]/Tabela3[[#This Row],[Total Ações]]</f>
        <v>0.38292320790489942</v>
      </c>
      <c r="AG115" s="85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9.0944261877413612E-2</v>
      </c>
      <c r="AH115" s="85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115" s="77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115" s="85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9.0944261877413612E-2</v>
      </c>
      <c r="AK115" s="7">
        <f>[Div Base]*[Ações]</f>
        <v>41345942.668200895</v>
      </c>
      <c r="AL115" s="120">
        <f>SUMPRODUCT(N([Nome]=Tabela3[[#This Row],[Nome]]),[Div Base]*[Ações])</f>
        <v>60576750</v>
      </c>
      <c r="AM115" s="5">
        <f>[Patrimônio Líquido]/[Total Ações]</f>
        <v>2.1738451126278102</v>
      </c>
      <c r="AN115" s="52">
        <f>MAX(Tabela3[[#This Row],[Cotação 1]:[Cotação 5]])</f>
        <v>0</v>
      </c>
      <c r="AO115" s="53">
        <f>[Cotação]/[VPA]</f>
        <v>0</v>
      </c>
      <c r="AP115" s="37">
        <f>IF(Tabela3[[#This Row],[Lucro/Ação]]&gt;0,Tabela3[[#This Row],[Cotação]]/(Tabela3[[#This Row],[Lucro/Ação]]/[Ref]*4),0)</f>
        <v>0</v>
      </c>
      <c r="AQ115" s="85">
        <f>[Lucro Distribuir]/[Total Ações]</f>
        <v>0.36377704750965445</v>
      </c>
      <c r="AR115" s="85">
        <f>IF([Unit ON]&gt;0,SUMPRODUCT(N([Nome]=Tabela3[[#This Row],[Nome]]),N(RIGHT([PAPEL],1)="3"),[Div Base])*[Unit ON]+SUMPRODUCT(N([Nome]=Tabela3[[#This Row],[Nome]]),N(RIGHT([PAPEL],1)="4"),[Div Base])*[Unit PN],[Div Base])</f>
        <v>9.0944261877413612E-2</v>
      </c>
      <c r="AS115" s="10" t="str">
        <f>IF(AND([% A.A.]&gt;=6%,SUMPRODUCT(N([Nome]=Tabela3[[#This Row],[Nome]]),[PL])&gt;0,[Rentabilidade s/ PL]&gt;=[Rentabilidade s/ PL Média]),"Sim","Não")</f>
        <v>Não</v>
      </c>
      <c r="AT115" s="22">
        <f>IF([Cotação]&gt;0,Tabela3[[#This Row],[Lucro]]/Tabela3[[#This Row],[Cotação]],0)</f>
        <v>0</v>
      </c>
      <c r="AU115" s="22">
        <f>((1+Tabela3[[#This Row],[% Yield]])^(1/(3*Tabela3[[#This Row],[Ref]])))^(12)-1</f>
        <v>0</v>
      </c>
      <c r="AV115" s="10">
        <f>IF([Cotação]&gt;0,($BH$1/Tabela3[[#This Row],[Cotação]]-MOD($BH$1/Tabela3[[#This Row],[Cotação]],100)),)</f>
        <v>0</v>
      </c>
      <c r="AW115" s="7">
        <f>Tabela3[[#This Row],[Ativos]]*[Lucro]</f>
        <v>0</v>
      </c>
      <c r="AX115" s="7">
        <f>SUMPRODUCT(N(Tabela1[Código]=Tabela3[[#This Row],[PAPEL]]),Tabela1[Fechamento])</f>
        <v>0</v>
      </c>
      <c r="AY115" s="7">
        <f>SUMPRODUCT(N(Tabela17[Código]=Tabela3[[#This Row],[PAPEL]]),Tabela17[Fechamento])</f>
        <v>0</v>
      </c>
      <c r="AZ115" s="7">
        <f>SUMPRODUCT(N(Tabela176[Código]=Tabela3[[#This Row],[PAPEL]]),Tabela176[Fechamento])</f>
        <v>0</v>
      </c>
      <c r="BA115" s="7">
        <f>SUMPRODUCT(N(Tabela1768[Código]=Tabela3[[#This Row],[PAPEL]]),Tabela1768[Fechamento])</f>
        <v>0</v>
      </c>
      <c r="BB115" s="7">
        <f>SUMPRODUCT(N(Tabela17683[Código]=Tabela3[[#This Row],[PAPEL]]),Tabela17683[Fechamento])</f>
        <v>0</v>
      </c>
    </row>
    <row r="116" spans="1:54">
      <c r="A116" s="3" t="s">
        <v>1330</v>
      </c>
      <c r="B116" s="57" t="s">
        <v>1336</v>
      </c>
      <c r="C116" s="16" t="str">
        <f>LEFT([PAPEL],LEN([PAPEL])-(LEN([PAPEL])-4))</f>
        <v>STBP</v>
      </c>
      <c r="D116" s="16">
        <v>4</v>
      </c>
      <c r="E116" s="5">
        <v>1071077315.22</v>
      </c>
      <c r="F116" s="56">
        <v>211457072</v>
      </c>
      <c r="G116" s="81">
        <v>0.25</v>
      </c>
      <c r="H116" s="87"/>
      <c r="J116" s="18"/>
      <c r="K116" s="16"/>
      <c r="L116" s="87"/>
      <c r="M116" s="54"/>
      <c r="N116" s="54"/>
      <c r="O116" s="54"/>
      <c r="P116" s="91">
        <v>1447969000</v>
      </c>
      <c r="Q116" s="73">
        <v>255060000</v>
      </c>
      <c r="R116" s="73">
        <f>IF(Tabela3[[#This Row],[Ativo || Passivo]]&gt;0,Tabela3[[#This Row],[Ativo || Passivo]]-Tabela3[[#This Row],[Patrimônio Líquido]],0)</f>
        <v>0</v>
      </c>
      <c r="S116" s="73">
        <f>Tabela3[[#This Row],[Cotação]]*Tabela3[[#This Row],[Total Ações]]</f>
        <v>0</v>
      </c>
      <c r="T116" s="37">
        <f>IF(Tabela3[[#This Row],[Passivo Circulante]]&gt;0,Tabela3[[#This Row],[Ativo Circulante]]/Tabela3[[#This Row],[Passivo Circulante]],0)</f>
        <v>0</v>
      </c>
      <c r="U116" s="37">
        <f>SUMPRODUCT(N([Liquidez Corrente]&gt;0),N(RIGHT([PAPEL],LEN([PAPEL])-(LEN([PAPEL])-1))="3"),[Liquidez Corrente])/SUMPRODUCT(N([Liquidez Corrente]&gt;0),N(RIGHT([PAPEL],LEN([PAPEL])-(LEN([PAPEL])-1))="3"))</f>
        <v>2.331224473064915</v>
      </c>
      <c r="V116" s="18">
        <f>IF(Tabela3[[#This Row],[Lucro Líquido]]&gt;0,Tabela3[[#This Row],[Lucro Líquido]]/Tabela3[[#This Row],[Patrimônio Líquido]],0)</f>
        <v>0.17615018001075991</v>
      </c>
      <c r="W116" s="18">
        <f>SUMPRODUCT(N([Rentabilidade s/ PL]&gt;0),N(RIGHT([PAPEL],LEN([PAPEL])-(LEN([PAPEL])-1))="3"),[Rentabilidade s/ PL])/SUMPRODUCT(N([Rentabilidade s/ PL]&gt;0),N(RIGHT([PAPEL],LEN([PAPEL])-(LEN([PAPEL])-1))="3"))</f>
        <v>0.1261051308670782</v>
      </c>
      <c r="X116" s="18">
        <f>IF(Tabela3[[#This Row],[Dívida]]&gt;0,Tabela3[[#This Row],[Dívida]]/Tabela3[[#This Row],[Patrimônio Líquido]],0)</f>
        <v>0</v>
      </c>
      <c r="Y116" s="18">
        <f>SUMPRODUCT(N([Dívida / PL]&gt;0),N(RIGHT([PAPEL],LEN([PAPEL])-(LEN([PAPEL])-1))="3"),[Dívida / PL])/SUMPRODUCT(N([Dívida / PL]&gt;0),N(RIGHT([PAPEL],LEN([PAPEL])-(LEN([PAPEL])-1))="3"))</f>
        <v>2.1510410379481146</v>
      </c>
      <c r="Z116" s="7">
        <f>Tabela3[[#This Row],[Capital Social]]*20%</f>
        <v>214215463.04400003</v>
      </c>
      <c r="AA116" s="47">
        <f>IF(([Lucro Líquido]*5%)&gt;[Teto R. Legal],[Teto R. Legal],[Lucro Líquido]*5%)</f>
        <v>12753000</v>
      </c>
      <c r="AB116" s="47">
        <f>IF([Lucro Líquido]&lt;0,0,[Lucro Líquido]-[Reserva Legal])</f>
        <v>242307000</v>
      </c>
      <c r="AC116" s="47">
        <f>Tabela3[[#This Row],[Lucro Distribuir]]*[%Div]</f>
        <v>60576750</v>
      </c>
      <c r="AD116" s="56">
        <f>SUMPRODUCT(N([Nome]=Tabela3[[#This Row],[Nome]]),[Ações])</f>
        <v>666086554</v>
      </c>
      <c r="AE116" s="85">
        <f>[Capital Social]/[Total Ações]</f>
        <v>1.6080152178240787</v>
      </c>
      <c r="AF116" s="85">
        <f>Tabela3[[#This Row],[Lucro Líquido]]/Tabela3[[#This Row],[Total Ações]]</f>
        <v>0.38292320790489942</v>
      </c>
      <c r="AG116" s="85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9.0944261877413612E-2</v>
      </c>
      <c r="AH116" s="85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116" s="77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116" s="85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9.0944261877413612E-2</v>
      </c>
      <c r="AK116" s="7">
        <f>[Div Base]*[Ações]</f>
        <v>19230807.331799105</v>
      </c>
      <c r="AL116" s="120">
        <f>SUMPRODUCT(N([Nome]=Tabela3[[#This Row],[Nome]]),[Div Base]*[Ações])</f>
        <v>60576750</v>
      </c>
      <c r="AM116" s="5">
        <f>[Patrimônio Líquido]/[Total Ações]</f>
        <v>2.1738451126278102</v>
      </c>
      <c r="AN116" s="52">
        <f>MAX(Tabela3[[#This Row],[Cotação 1]:[Cotação 5]])</f>
        <v>0</v>
      </c>
      <c r="AO116" s="53">
        <f>[Cotação]/[VPA]</f>
        <v>0</v>
      </c>
      <c r="AP116" s="37">
        <f>IF(Tabela3[[#This Row],[Lucro/Ação]]&gt;0,Tabela3[[#This Row],[Cotação]]/(Tabela3[[#This Row],[Lucro/Ação]]/[Ref]*4),0)</f>
        <v>0</v>
      </c>
      <c r="AQ116" s="85">
        <f>[Lucro Distribuir]/[Total Ações]</f>
        <v>0.36377704750965445</v>
      </c>
      <c r="AR116" s="85">
        <f>IF([Unit ON]&gt;0,SUMPRODUCT(N([Nome]=Tabela3[[#This Row],[Nome]]),N(RIGHT([PAPEL],1)="3"),[Div Base])*[Unit ON]+SUMPRODUCT(N([Nome]=Tabela3[[#This Row],[Nome]]),N(RIGHT([PAPEL],1)="4"),[Div Base])*[Unit PN],[Div Base])</f>
        <v>9.0944261877413612E-2</v>
      </c>
      <c r="AS116" s="10" t="str">
        <f>IF(AND([% A.A.]&gt;=6%,SUMPRODUCT(N([Nome]=Tabela3[[#This Row],[Nome]]),[PL])&gt;0,[Rentabilidade s/ PL]&gt;=[Rentabilidade s/ PL Média]),"Sim","Não")</f>
        <v>Não</v>
      </c>
      <c r="AT116" s="22">
        <f>IF([Cotação]&gt;0,Tabela3[[#This Row],[Lucro]]/Tabela3[[#This Row],[Cotação]],0)</f>
        <v>0</v>
      </c>
      <c r="AU116" s="22">
        <f>((1+Tabela3[[#This Row],[% Yield]])^(1/(3*Tabela3[[#This Row],[Ref]])))^(12)-1</f>
        <v>0</v>
      </c>
      <c r="AV116" s="10">
        <f>IF([Cotação]&gt;0,($BH$1/Tabela3[[#This Row],[Cotação]]-MOD($BH$1/Tabela3[[#This Row],[Cotação]],100)),)</f>
        <v>0</v>
      </c>
      <c r="AW116" s="7">
        <f>Tabela3[[#This Row],[Ativos]]*[Lucro]</f>
        <v>0</v>
      </c>
      <c r="AX116" s="7">
        <f>SUMPRODUCT(N(Tabela1[Código]=Tabela3[[#This Row],[PAPEL]]),Tabela1[Fechamento])</f>
        <v>0</v>
      </c>
      <c r="AY116" s="7">
        <f>SUMPRODUCT(N(Tabela17[Código]=Tabela3[[#This Row],[PAPEL]]),Tabela17[Fechamento])</f>
        <v>0</v>
      </c>
      <c r="AZ116" s="7">
        <f>SUMPRODUCT(N(Tabela176[Código]=Tabela3[[#This Row],[PAPEL]]),Tabela176[Fechamento])</f>
        <v>0</v>
      </c>
      <c r="BA116" s="7">
        <f>SUMPRODUCT(N(Tabela1768[Código]=Tabela3[[#This Row],[PAPEL]]),Tabela1768[Fechamento])</f>
        <v>0</v>
      </c>
      <c r="BB116" s="7">
        <f>SUMPRODUCT(N(Tabela17683[Código]=Tabela3[[#This Row],[PAPEL]]),Tabela17683[Fechamento])</f>
        <v>0</v>
      </c>
    </row>
    <row r="117" spans="1:54" hidden="1">
      <c r="A117" s="4" t="s">
        <v>524</v>
      </c>
      <c r="B117" s="57" t="s">
        <v>529</v>
      </c>
      <c r="C117" s="15" t="str">
        <f>LEFT([PAPEL],LEN([PAPEL])-(LEN([PAPEL])-4))</f>
        <v>CEGR</v>
      </c>
      <c r="D117" s="15">
        <v>3</v>
      </c>
      <c r="E117" s="6">
        <v>362342011.75999999</v>
      </c>
      <c r="F117" s="8">
        <v>51927546</v>
      </c>
      <c r="G117" s="86">
        <v>0.25</v>
      </c>
      <c r="H117" s="15"/>
      <c r="I117" s="19"/>
      <c r="J117" s="19"/>
      <c r="K117" s="88"/>
      <c r="L117" s="88"/>
      <c r="M117" s="55">
        <v>2188906000</v>
      </c>
      <c r="N117" s="55">
        <v>507421000</v>
      </c>
      <c r="O117" s="55">
        <v>653386000</v>
      </c>
      <c r="P117" s="92">
        <v>922580000</v>
      </c>
      <c r="Q117" s="93">
        <v>252179000</v>
      </c>
      <c r="R117" s="93">
        <f>IF(Tabela3[[#This Row],[Ativo || Passivo]]&gt;0,Tabela3[[#This Row],[Ativo || Passivo]]-Tabela3[[#This Row],[Patrimônio Líquido]],0)</f>
        <v>1266326000</v>
      </c>
      <c r="S117" s="93">
        <f>Tabela3[[#This Row],[Cotação]]*Tabela3[[#This Row],[Total Ações]]</f>
        <v>4413841410</v>
      </c>
      <c r="T117" s="40">
        <f>IF(Tabela3[[#This Row],[Passivo Circulante]]&gt;0,Tabela3[[#This Row],[Ativo Circulante]]/Tabela3[[#This Row],[Passivo Circulante]],0)</f>
        <v>0.77660219227225558</v>
      </c>
      <c r="U117" s="40">
        <f>SUMPRODUCT(N([Liquidez Corrente]&gt;0),N(RIGHT([PAPEL],LEN([PAPEL])-(LEN([PAPEL])-1))="3"),[Liquidez Corrente])/SUMPRODUCT(N([Liquidez Corrente]&gt;0),N(RIGHT([PAPEL],LEN([PAPEL])-(LEN([PAPEL])-1))="3"))</f>
        <v>2.331224473064915</v>
      </c>
      <c r="V117" s="19">
        <f>IF(Tabela3[[#This Row],[Lucro Líquido]]&gt;0,Tabela3[[#This Row],[Lucro Líquido]]/Tabela3[[#This Row],[Patrimônio Líquido]],0)</f>
        <v>0.27334106527347224</v>
      </c>
      <c r="W117" s="19">
        <f>SUMPRODUCT(N([Rentabilidade s/ PL]&gt;0),N(RIGHT([PAPEL],LEN([PAPEL])-(LEN([PAPEL])-1))="3"),[Rentabilidade s/ PL])/SUMPRODUCT(N([Rentabilidade s/ PL]&gt;0),N(RIGHT([PAPEL],LEN([PAPEL])-(LEN([PAPEL])-1))="3"))</f>
        <v>0.1261051308670782</v>
      </c>
      <c r="X117" s="19">
        <f>IF(Tabela3[[#This Row],[Dívida]]&gt;0,Tabela3[[#This Row],[Dívida]]/Tabela3[[#This Row],[Patrimônio Líquido]],0)</f>
        <v>1.3725920787357193</v>
      </c>
      <c r="Y117" s="19">
        <f>SUMPRODUCT(N([Dívida / PL]&gt;0),N(RIGHT([PAPEL],LEN([PAPEL])-(LEN([PAPEL])-1))="3"),[Dívida / PL])/SUMPRODUCT(N([Dívida / PL]&gt;0),N(RIGHT([PAPEL],LEN([PAPEL])-(LEN([PAPEL])-1))="3"))</f>
        <v>2.1510410379481146</v>
      </c>
      <c r="Z117" s="13">
        <f>Tabela3[[#This Row],[Capital Social]]*20%</f>
        <v>72468402.351999998</v>
      </c>
      <c r="AA117" s="13">
        <f>IF(([Lucro Líquido]*5%)&gt;[Teto R. Legal],[Teto R. Legal],[Lucro Líquido]*5%)</f>
        <v>12608950</v>
      </c>
      <c r="AB117" s="13">
        <f>IF([Lucro Líquido]&lt;0,0,[Lucro Líquido]-[Reserva Legal])</f>
        <v>239570050</v>
      </c>
      <c r="AC117" s="13">
        <f>Tabela3[[#This Row],[Lucro Distribuir]]*[%Div]</f>
        <v>59892512.5</v>
      </c>
      <c r="AD117" s="56">
        <f>SUMPRODUCT(N([Nome]=Tabela3[[#This Row],[Nome]]),[Ações])</f>
        <v>51927546</v>
      </c>
      <c r="AE117" s="6">
        <f>[Capital Social]/[Total Ações]</f>
        <v>6.9778381547242763</v>
      </c>
      <c r="AF117" s="78">
        <f>Tabela3[[#This Row],[Lucro Líquido]]/Tabela3[[#This Row],[Total Ações]]</f>
        <v>4.8563627482030443</v>
      </c>
      <c r="AG117" s="78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1.153386152698223</v>
      </c>
      <c r="AH117" s="78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117" s="78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117" s="78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1.153386152698223</v>
      </c>
      <c r="AK117" s="13">
        <f>[Div Base]*[Ações]</f>
        <v>59892512.5</v>
      </c>
      <c r="AL117" s="13">
        <f>SUMPRODUCT(N([Nome]=Tabela3[[#This Row],[Nome]]),[Div Base]*[Ações])</f>
        <v>59892512.5</v>
      </c>
      <c r="AM117" s="6">
        <f>[Patrimônio Líquido]/[Total Ações]</f>
        <v>17.766678209673149</v>
      </c>
      <c r="AN117" s="48">
        <f>MAX(Tabela3[[#This Row],[Cotação 1]:[Cotação 5]])</f>
        <v>85</v>
      </c>
      <c r="AO117" s="44">
        <f>[Cotação]/[VPA]</f>
        <v>4.7842370417741549</v>
      </c>
      <c r="AP117" s="40">
        <f>IF(Tabela3[[#This Row],[Lucro/Ação]]&gt;0,Tabela3[[#This Row],[Cotação]]/(Tabela3[[#This Row],[Lucro/Ação]]/[Ref]*4),0)</f>
        <v>13.127108353590108</v>
      </c>
      <c r="AQ117" s="78">
        <f>[Lucro Distribuir]/[Total Ações]</f>
        <v>4.6135446107928919</v>
      </c>
      <c r="AR117" s="78">
        <f>IF([Unit ON]&gt;0,SUMPRODUCT(N([Nome]=Tabela3[[#This Row],[Nome]]),N(RIGHT([PAPEL],1)="3"),[Div Base])*[Unit ON]+SUMPRODUCT(N([Nome]=Tabela3[[#This Row],[Nome]]),N(RIGHT([PAPEL],1)="4"),[Div Base])*[Unit PN],[Div Base])</f>
        <v>1.153386152698223</v>
      </c>
      <c r="AS117" s="14" t="str">
        <f>IF(AND([% A.A.]&gt;=6%,SUMPRODUCT(N([Nome]=Tabela3[[#This Row],[Nome]]),[PL])&gt;0,[Rentabilidade s/ PL]&gt;=[Rentabilidade s/ PL Média]),"Sim","Não")</f>
        <v>Não</v>
      </c>
      <c r="AT117" s="42">
        <f>IF([Cotação]&gt;0,Tabela3[[#This Row],[Lucro]]/Tabela3[[#This Row],[Cotação]],0)</f>
        <v>1.3569248855273211E-2</v>
      </c>
      <c r="AU117" s="42">
        <f>((1+Tabela3[[#This Row],[% Yield]])^(1/(3*Tabela3[[#This Row],[Ref]])))^(12)-1</f>
        <v>1.8133125679044015E-2</v>
      </c>
      <c r="AV117" s="14">
        <f>IF([Cotação]&gt;0,($BH$1/Tabela3[[#This Row],[Cotação]]-MOD($BH$1/Tabela3[[#This Row],[Cotação]],100)),)</f>
        <v>0</v>
      </c>
      <c r="AW117" s="17">
        <f>Tabela3[[#This Row],[Ativos]]*[Lucro]</f>
        <v>0</v>
      </c>
      <c r="AX117" s="17">
        <f>SUMPRODUCT(N(Tabela1[Código]=Tabela3[[#This Row],[PAPEL]]),Tabela1[Fechamento])</f>
        <v>0</v>
      </c>
      <c r="AY117" s="17">
        <f>SUMPRODUCT(N(Tabela17[Código]=Tabela3[[#This Row],[PAPEL]]),Tabela17[Fechamento])</f>
        <v>85</v>
      </c>
      <c r="AZ117" s="7">
        <f>SUMPRODUCT(N(Tabela176[Código]=Tabela3[[#This Row],[PAPEL]]),Tabela176[Fechamento])</f>
        <v>0</v>
      </c>
      <c r="BA117" s="7">
        <f>SUMPRODUCT(N(Tabela1768[Código]=Tabela3[[#This Row],[PAPEL]]),Tabela1768[Fechamento])</f>
        <v>0</v>
      </c>
      <c r="BB117" s="7">
        <f>SUMPRODUCT(N(Tabela17683[Código]=Tabela3[[#This Row],[PAPEL]]),Tabela17683[Fechamento])</f>
        <v>0</v>
      </c>
    </row>
    <row r="118" spans="1:54" hidden="1">
      <c r="A118" s="3" t="s">
        <v>1083</v>
      </c>
      <c r="B118" s="58" t="s">
        <v>1079</v>
      </c>
      <c r="C118" s="16" t="str">
        <f>LEFT([PAPEL],LEN([PAPEL])-(LEN([PAPEL])-4))</f>
        <v>ALPA</v>
      </c>
      <c r="D118" s="16">
        <v>3</v>
      </c>
      <c r="E118" s="5">
        <v>624610414.55999994</v>
      </c>
      <c r="F118" s="56">
        <v>219644137</v>
      </c>
      <c r="G118" s="81">
        <v>0.25</v>
      </c>
      <c r="H118" s="87"/>
      <c r="J118" s="18"/>
      <c r="K118" s="16"/>
      <c r="L118" s="87"/>
      <c r="M118" s="54"/>
      <c r="N118" s="54"/>
      <c r="O118" s="54"/>
      <c r="P118" s="91">
        <v>1775139000</v>
      </c>
      <c r="Q118" s="73">
        <v>237360000</v>
      </c>
      <c r="R118" s="73">
        <f>IF(Tabela3[[#This Row],[Ativo || Passivo]]&gt;0,Tabela3[[#This Row],[Ativo || Passivo]]-Tabela3[[#This Row],[Patrimônio Líquido]],0)</f>
        <v>0</v>
      </c>
      <c r="S118" s="73">
        <f>Tabela3[[#This Row],[Cotação]]*Tabela3[[#This Row],[Total Ações]]</f>
        <v>4931169020.9499998</v>
      </c>
      <c r="T118" s="37">
        <f>IF(Tabela3[[#This Row],[Passivo Circulante]]&gt;0,Tabela3[[#This Row],[Ativo Circulante]]/Tabela3[[#This Row],[Passivo Circulante]],0)</f>
        <v>0</v>
      </c>
      <c r="U118" s="37">
        <f>SUMPRODUCT(N([Liquidez Corrente]&gt;0),N(RIGHT([PAPEL],LEN([PAPEL])-(LEN([PAPEL])-1))="3"),[Liquidez Corrente])/SUMPRODUCT(N([Liquidez Corrente]&gt;0),N(RIGHT([PAPEL],LEN([PAPEL])-(LEN([PAPEL])-1))="3"))</f>
        <v>2.331224473064915</v>
      </c>
      <c r="V118" s="18">
        <f>IF(Tabela3[[#This Row],[Lucro Líquido]]&gt;0,Tabela3[[#This Row],[Lucro Líquido]]/Tabela3[[#This Row],[Patrimônio Líquido]],0)</f>
        <v>0.13371347257876706</v>
      </c>
      <c r="W118" s="18">
        <f>SUMPRODUCT(N([Rentabilidade s/ PL]&gt;0),N(RIGHT([PAPEL],LEN([PAPEL])-(LEN([PAPEL])-1))="3"),[Rentabilidade s/ PL])/SUMPRODUCT(N([Rentabilidade s/ PL]&gt;0),N(RIGHT([PAPEL],LEN([PAPEL])-(LEN([PAPEL])-1))="3"))</f>
        <v>0.1261051308670782</v>
      </c>
      <c r="X118" s="18">
        <f>IF(Tabela3[[#This Row],[Dívida]]&gt;0,Tabela3[[#This Row],[Dívida]]/Tabela3[[#This Row],[Patrimônio Líquido]],0)</f>
        <v>0</v>
      </c>
      <c r="Y118" s="18">
        <f>SUMPRODUCT(N([Dívida / PL]&gt;0),N(RIGHT([PAPEL],LEN([PAPEL])-(LEN([PAPEL])-1))="3"),[Dívida / PL])/SUMPRODUCT(N([Dívida / PL]&gt;0),N(RIGHT([PAPEL],LEN([PAPEL])-(LEN([PAPEL])-1))="3"))</f>
        <v>2.1510410379481146</v>
      </c>
      <c r="Z118" s="7">
        <f>Tabela3[[#This Row],[Capital Social]]*20%</f>
        <v>124922082.912</v>
      </c>
      <c r="AA118" s="47">
        <f>IF(([Lucro Líquido]*5%)&gt;[Teto R. Legal],[Teto R. Legal],[Lucro Líquido]*5%)</f>
        <v>11868000</v>
      </c>
      <c r="AB118" s="47">
        <f>IF([Lucro Líquido]&lt;0,0,[Lucro Líquido]-[Reserva Legal])</f>
        <v>225492000</v>
      </c>
      <c r="AC118" s="47">
        <f>Tabela3[[#This Row],[Lucro Distribuir]]*[%Div]</f>
        <v>56373000</v>
      </c>
      <c r="AD118" s="56">
        <f>SUMPRODUCT(N([Nome]=Tabela3[[#This Row],[Nome]]),[Ações])</f>
        <v>427681615</v>
      </c>
      <c r="AE118" s="85">
        <f>[Capital Social]/[Total Ações]</f>
        <v>1.4604565467701949</v>
      </c>
      <c r="AF118" s="85">
        <f>Tabela3[[#This Row],[Lucro Líquido]]/Tabela3[[#This Row],[Total Ações]]</f>
        <v>0.55499229257259519</v>
      </c>
      <c r="AG118" s="85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0.12770953833503038</v>
      </c>
      <c r="AH118" s="85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118" s="77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118" s="85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0.12770953833503038</v>
      </c>
      <c r="AK118" s="7">
        <f>[Div Base]*[Ações]</f>
        <v>28050651.334266163</v>
      </c>
      <c r="AL118" s="7">
        <f>SUMPRODUCT(N([Nome]=Tabela3[[#This Row],[Nome]]),[Div Base]*[Ações])</f>
        <v>57275858.673242077</v>
      </c>
      <c r="AM118" s="5">
        <f>[Patrimônio Líquido]/[Total Ações]</f>
        <v>4.1506086250632963</v>
      </c>
      <c r="AN118" s="52">
        <f>MAX(Tabela3[[#This Row],[Cotação 1]:[Cotação 5]])</f>
        <v>11.53</v>
      </c>
      <c r="AO118" s="53">
        <f>[Cotação]/[VPA]</f>
        <v>2.777905854668282</v>
      </c>
      <c r="AP118" s="37">
        <f>IF(Tabela3[[#This Row],[Lucro/Ação]]&gt;0,Tabela3[[#This Row],[Cotação]]/(Tabela3[[#This Row],[Lucro/Ação]]/[Ref]*4),0)</f>
        <v>15.581297462556874</v>
      </c>
      <c r="AQ118" s="85">
        <f>[Lucro Distribuir]/[Total Ações]</f>
        <v>0.5272426779439654</v>
      </c>
      <c r="AR118" s="85">
        <f>IF([Unit ON]&gt;0,SUMPRODUCT(N([Nome]=Tabela3[[#This Row],[Nome]]),N(RIGHT([PAPEL],1)="3"),[Div Base])*[Unit ON]+SUMPRODUCT(N([Nome]=Tabela3[[#This Row],[Nome]]),N(RIGHT([PAPEL],1)="4"),[Div Base])*[Unit PN],[Div Base])</f>
        <v>0.12770953833503038</v>
      </c>
      <c r="AS118" s="10" t="str">
        <f>IF(AND([% A.A.]&gt;=6%,SUMPRODUCT(N([Nome]=Tabela3[[#This Row],[Nome]]),[PL])&gt;0,[Rentabilidade s/ PL]&gt;=[Rentabilidade s/ PL Média]),"Sim","Não")</f>
        <v>Não</v>
      </c>
      <c r="AT118" s="22">
        <f>IF([Cotação]&gt;0,Tabela3[[#This Row],[Lucro]]/Tabela3[[#This Row],[Cotação]],0)</f>
        <v>1.1076282596273234E-2</v>
      </c>
      <c r="AU118" s="22">
        <f>((1+Tabela3[[#This Row],[% Yield]])^(1/(3*Tabela3[[#This Row],[Ref]])))^(12)-1</f>
        <v>1.4795573116721528E-2</v>
      </c>
      <c r="AV118" s="10">
        <f>IF([Cotação]&gt;0,($BH$1/Tabela3[[#This Row],[Cotação]]-MOD($BH$1/Tabela3[[#This Row],[Cotação]],100)),)</f>
        <v>0</v>
      </c>
      <c r="AW118" s="7">
        <f>Tabela3[[#This Row],[Ativos]]*[Lucro]</f>
        <v>0</v>
      </c>
      <c r="AX118" s="7">
        <f>SUMPRODUCT(N(Tabela1[Código]=Tabela3[[#This Row],[PAPEL]]),Tabela1[Fechamento])</f>
        <v>0</v>
      </c>
      <c r="AY118" s="7">
        <f>SUMPRODUCT(N(Tabela17[Código]=Tabela3[[#This Row],[PAPEL]]),Tabela17[Fechamento])</f>
        <v>0</v>
      </c>
      <c r="AZ118" s="7">
        <f>SUMPRODUCT(N(Tabela176[Código]=Tabela3[[#This Row],[PAPEL]]),Tabela176[Fechamento])</f>
        <v>0</v>
      </c>
      <c r="BA118" s="7">
        <f>SUMPRODUCT(N(Tabela1768[Código]=Tabela3[[#This Row],[PAPEL]]),Tabela1768[Fechamento])</f>
        <v>11.53</v>
      </c>
      <c r="BB118" s="7">
        <f>SUMPRODUCT(N(Tabela17683[Código]=Tabela3[[#This Row],[PAPEL]]),Tabela17683[Fechamento])</f>
        <v>0</v>
      </c>
    </row>
    <row r="119" spans="1:54" hidden="1">
      <c r="A119" s="3" t="s">
        <v>1083</v>
      </c>
      <c r="B119" s="58" t="s">
        <v>1080</v>
      </c>
      <c r="C119" s="16" t="str">
        <f>LEFT([PAPEL],LEN([PAPEL])-(LEN([PAPEL])-4))</f>
        <v>ALPA</v>
      </c>
      <c r="D119" s="16">
        <v>3</v>
      </c>
      <c r="E119" s="5">
        <v>624610414.55999994</v>
      </c>
      <c r="F119" s="56">
        <v>208037478</v>
      </c>
      <c r="G119" s="81">
        <v>0.25</v>
      </c>
      <c r="H119" s="87"/>
      <c r="J119" s="18">
        <v>0.1</v>
      </c>
      <c r="K119" s="16"/>
      <c r="L119" s="87"/>
      <c r="M119" s="54"/>
      <c r="N119" s="54"/>
      <c r="O119" s="54"/>
      <c r="P119" s="91">
        <v>1775139000</v>
      </c>
      <c r="Q119" s="73">
        <v>237360000</v>
      </c>
      <c r="R119" s="73">
        <f>IF(Tabela3[[#This Row],[Ativo || Passivo]]&gt;0,Tabela3[[#This Row],[Ativo || Passivo]]-Tabela3[[#This Row],[Patrimônio Líquido]],0)</f>
        <v>0</v>
      </c>
      <c r="S119" s="73">
        <f>Tabela3[[#This Row],[Cotação]]*Tabela3[[#This Row],[Total Ações]]</f>
        <v>5213438886.8499994</v>
      </c>
      <c r="T119" s="37">
        <f>IF(Tabela3[[#This Row],[Passivo Circulante]]&gt;0,Tabela3[[#This Row],[Ativo Circulante]]/Tabela3[[#This Row],[Passivo Circulante]],0)</f>
        <v>0</v>
      </c>
      <c r="U119" s="37">
        <f>SUMPRODUCT(N([Liquidez Corrente]&gt;0),N(RIGHT([PAPEL],LEN([PAPEL])-(LEN([PAPEL])-1))="3"),[Liquidez Corrente])/SUMPRODUCT(N([Liquidez Corrente]&gt;0),N(RIGHT([PAPEL],LEN([PAPEL])-(LEN([PAPEL])-1))="3"))</f>
        <v>2.331224473064915</v>
      </c>
      <c r="V119" s="18">
        <f>IF(Tabela3[[#This Row],[Lucro Líquido]]&gt;0,Tabela3[[#This Row],[Lucro Líquido]]/Tabela3[[#This Row],[Patrimônio Líquido]],0)</f>
        <v>0.13371347257876706</v>
      </c>
      <c r="W119" s="18">
        <f>SUMPRODUCT(N([Rentabilidade s/ PL]&gt;0),N(RIGHT([PAPEL],LEN([PAPEL])-(LEN([PAPEL])-1))="3"),[Rentabilidade s/ PL])/SUMPRODUCT(N([Rentabilidade s/ PL]&gt;0),N(RIGHT([PAPEL],LEN([PAPEL])-(LEN([PAPEL])-1))="3"))</f>
        <v>0.1261051308670782</v>
      </c>
      <c r="X119" s="18">
        <f>IF(Tabela3[[#This Row],[Dívida]]&gt;0,Tabela3[[#This Row],[Dívida]]/Tabela3[[#This Row],[Patrimônio Líquido]],0)</f>
        <v>0</v>
      </c>
      <c r="Y119" s="18">
        <f>SUMPRODUCT(N([Dívida / PL]&gt;0),N(RIGHT([PAPEL],LEN([PAPEL])-(LEN([PAPEL])-1))="3"),[Dívida / PL])/SUMPRODUCT(N([Dívida / PL]&gt;0),N(RIGHT([PAPEL],LEN([PAPEL])-(LEN([PAPEL])-1))="3"))</f>
        <v>2.1510410379481146</v>
      </c>
      <c r="Z119" s="7">
        <f>Tabela3[[#This Row],[Capital Social]]*20%</f>
        <v>124922082.912</v>
      </c>
      <c r="AA119" s="47">
        <f>IF(([Lucro Líquido]*5%)&gt;[Teto R. Legal],[Teto R. Legal],[Lucro Líquido]*5%)</f>
        <v>11868000</v>
      </c>
      <c r="AB119" s="47">
        <f>IF([Lucro Líquido]&lt;0,0,[Lucro Líquido]-[Reserva Legal])</f>
        <v>225492000</v>
      </c>
      <c r="AC119" s="47">
        <f>Tabela3[[#This Row],[Lucro Distribuir]]*[%Div]</f>
        <v>56373000</v>
      </c>
      <c r="AD119" s="56">
        <f>SUMPRODUCT(N([Nome]=Tabela3[[#This Row],[Nome]]),[Ações])</f>
        <v>427681615</v>
      </c>
      <c r="AE119" s="85">
        <f>[Capital Social]/[Total Ações]</f>
        <v>1.4604565467701949</v>
      </c>
      <c r="AF119" s="85">
        <f>Tabela3[[#This Row],[Lucro Líquido]]/Tabela3[[#This Row],[Total Ações]]</f>
        <v>0.55499229257259519</v>
      </c>
      <c r="AG119" s="85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0.14048049236097698</v>
      </c>
      <c r="AH119" s="85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119" s="77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119" s="85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0.14048049236097698</v>
      </c>
      <c r="AK119" s="7">
        <f>[Div Base]*[Ações]</f>
        <v>29225207.338975918</v>
      </c>
      <c r="AL119" s="7">
        <f>SUMPRODUCT(N([Nome]=Tabela3[[#This Row],[Nome]]),[Div Base]*[Ações])</f>
        <v>57275858.673242077</v>
      </c>
      <c r="AM119" s="5">
        <f>[Patrimônio Líquido]/[Total Ações]</f>
        <v>4.1506086250632963</v>
      </c>
      <c r="AN119" s="52">
        <f>MAX(Tabela3[[#This Row],[Cotação 1]:[Cotação 5]])</f>
        <v>12.19</v>
      </c>
      <c r="AO119" s="53">
        <f>[Cotação]/[VPA]</f>
        <v>2.9369186789597883</v>
      </c>
      <c r="AP119" s="37">
        <f>IF(Tabela3[[#This Row],[Lucro/Ação]]&gt;0,Tabela3[[#This Row],[Cotação]]/(Tabela3[[#This Row],[Lucro/Ação]]/[Ref]*4),0)</f>
        <v>16.473201740552323</v>
      </c>
      <c r="AQ119" s="85">
        <f>[Lucro Distribuir]/[Total Ações]</f>
        <v>0.5272426779439654</v>
      </c>
      <c r="AR119" s="85">
        <f>IF([Unit ON]&gt;0,SUMPRODUCT(N([Nome]=Tabela3[[#This Row],[Nome]]),N(RIGHT([PAPEL],1)="3"),[Div Base])*[Unit ON]+SUMPRODUCT(N([Nome]=Tabela3[[#This Row],[Nome]]),N(RIGHT([PAPEL],1)="4"),[Div Base])*[Unit PN],[Div Base])</f>
        <v>0.14048049236097698</v>
      </c>
      <c r="AS119" s="10" t="str">
        <f>IF(AND([% A.A.]&gt;=6%,SUMPRODUCT(N([Nome]=Tabela3[[#This Row],[Nome]]),[PL])&gt;0,[Rentabilidade s/ PL]&gt;=[Rentabilidade s/ PL Média]),"Sim","Não")</f>
        <v>Não</v>
      </c>
      <c r="AT119" s="22">
        <f>IF([Cotação]&gt;0,Tabela3[[#This Row],[Lucro]]/Tabela3[[#This Row],[Cotação]],0)</f>
        <v>1.152424055463306E-2</v>
      </c>
      <c r="AU119" s="22">
        <f>((1+Tabela3[[#This Row],[% Yield]])^(1/(3*Tabela3[[#This Row],[Ref]])))^(12)-1</f>
        <v>1.5395091768311442E-2</v>
      </c>
      <c r="AV119" s="10">
        <f>IF([Cotação]&gt;0,($BH$1/Tabela3[[#This Row],[Cotação]]-MOD($BH$1/Tabela3[[#This Row],[Cotação]],100)),)</f>
        <v>0</v>
      </c>
      <c r="AW119" s="7">
        <f>Tabela3[[#This Row],[Ativos]]*[Lucro]</f>
        <v>0</v>
      </c>
      <c r="AX119" s="7">
        <f>SUMPRODUCT(N(Tabela1[Código]=Tabela3[[#This Row],[PAPEL]]),Tabela1[Fechamento])</f>
        <v>0</v>
      </c>
      <c r="AY119" s="7">
        <f>SUMPRODUCT(N(Tabela17[Código]=Tabela3[[#This Row],[PAPEL]]),Tabela17[Fechamento])</f>
        <v>0</v>
      </c>
      <c r="AZ119" s="7">
        <f>SUMPRODUCT(N(Tabela176[Código]=Tabela3[[#This Row],[PAPEL]]),Tabela176[Fechamento])</f>
        <v>0</v>
      </c>
      <c r="BA119" s="7">
        <f>SUMPRODUCT(N(Tabela1768[Código]=Tabela3[[#This Row],[PAPEL]]),Tabela1768[Fechamento])</f>
        <v>12.19</v>
      </c>
      <c r="BB119" s="7">
        <f>SUMPRODUCT(N(Tabela17683[Código]=Tabela3[[#This Row],[PAPEL]]),Tabela17683[Fechamento])</f>
        <v>0</v>
      </c>
    </row>
    <row r="120" spans="1:54" hidden="1">
      <c r="A120" s="3" t="s">
        <v>343</v>
      </c>
      <c r="B120" s="58" t="s">
        <v>354</v>
      </c>
      <c r="C120" s="83" t="str">
        <f>LEFT([PAPEL],LEN([PAPEL])-(LEN([PAPEL])-4))</f>
        <v>MULT</v>
      </c>
      <c r="D120" s="16">
        <v>3</v>
      </c>
      <c r="E120" s="6">
        <v>2388062147.3800001</v>
      </c>
      <c r="F120" s="21">
        <v>178138867</v>
      </c>
      <c r="G120" s="81">
        <v>0.25</v>
      </c>
      <c r="H120" s="16"/>
      <c r="J120" s="18"/>
      <c r="K120" s="87"/>
      <c r="L120" s="87"/>
      <c r="M120" s="54"/>
      <c r="N120" s="54"/>
      <c r="O120" s="54"/>
      <c r="P120" s="5">
        <v>3824504000</v>
      </c>
      <c r="Q120" s="5">
        <v>227417000</v>
      </c>
      <c r="R120" s="5">
        <f>IF(Tabela3[[#This Row],[Ativo || Passivo]]&gt;0,Tabela3[[#This Row],[Ativo || Passivo]]-Tabela3[[#This Row],[Patrimônio Líquido]],0)</f>
        <v>0</v>
      </c>
      <c r="S120" s="5">
        <f>Tabela3[[#This Row],[Cotação]]*Tabela3[[#This Row],[Total Ações]]</f>
        <v>8544174713.5799999</v>
      </c>
      <c r="T120" s="130">
        <f>IF(Tabela3[[#This Row],[Passivo Circulante]]&gt;0,Tabela3[[#This Row],[Ativo Circulante]]/Tabela3[[#This Row],[Passivo Circulante]],0)</f>
        <v>0</v>
      </c>
      <c r="U120" s="130">
        <f>SUMPRODUCT(N([Liquidez Corrente]&gt;0),N(RIGHT([PAPEL],LEN([PAPEL])-(LEN([PAPEL])-1))="3"),[Liquidez Corrente])/SUMPRODUCT(N([Liquidez Corrente]&gt;0),N(RIGHT([PAPEL],LEN([PAPEL])-(LEN([PAPEL])-1))="3"))</f>
        <v>2.331224473064915</v>
      </c>
      <c r="V120" s="18">
        <f>IF(Tabela3[[#This Row],[Lucro Líquido]]&gt;0,Tabela3[[#This Row],[Lucro Líquido]]/Tabela3[[#This Row],[Patrimônio Líquido]],0)</f>
        <v>5.9463135611833584E-2</v>
      </c>
      <c r="W120" s="18">
        <f>SUMPRODUCT(N([Rentabilidade s/ PL]&gt;0),N(RIGHT([PAPEL],LEN([PAPEL])-(LEN([PAPEL])-1))="3"),[Rentabilidade s/ PL])/SUMPRODUCT(N([Rentabilidade s/ PL]&gt;0),N(RIGHT([PAPEL],LEN([PAPEL])-(LEN([PAPEL])-1))="3"))</f>
        <v>0.1261051308670782</v>
      </c>
      <c r="X120" s="18">
        <f>IF(Tabela3[[#This Row],[Dívida]]&gt;0,Tabela3[[#This Row],[Dívida]]/Tabela3[[#This Row],[Patrimônio Líquido]],0)</f>
        <v>0</v>
      </c>
      <c r="Y120" s="18">
        <f>SUMPRODUCT(N([Dívida / PL]&gt;0),N(RIGHT([PAPEL],LEN([PAPEL])-(LEN([PAPEL])-1))="3"),[Dívida / PL])/SUMPRODUCT(N([Dívida / PL]&gt;0),N(RIGHT([PAPEL],LEN([PAPEL])-(LEN([PAPEL])-1))="3"))</f>
        <v>2.1510410379481146</v>
      </c>
      <c r="Z120" s="5">
        <f>Tabela3[[#This Row],[Capital Social]]*20%</f>
        <v>477612429.47600007</v>
      </c>
      <c r="AA120" s="5">
        <f>IF(([Lucro Líquido]*5%)&gt;[Teto R. Legal],[Teto R. Legal],[Lucro Líquido]*5%)</f>
        <v>11370850</v>
      </c>
      <c r="AB120" s="5">
        <f>IF([Lucro Líquido]&lt;0,0,[Lucro Líquido]-[Reserva Legal])</f>
        <v>216046150</v>
      </c>
      <c r="AC120" s="5">
        <f>Tabela3[[#This Row],[Lucro Distribuir]]*[%Div]</f>
        <v>54011537.5</v>
      </c>
      <c r="AD120" s="56">
        <f>SUMPRODUCT(N([Nome]=Tabela3[[#This Row],[Nome]]),[Ações])</f>
        <v>189997214</v>
      </c>
      <c r="AE120" s="5">
        <f>[Capital Social]/[Total Ações]</f>
        <v>12.568932444346263</v>
      </c>
      <c r="AF120" s="77">
        <f>Tabela3[[#This Row],[Lucro Líquido]]/Tabela3[[#This Row],[Total Ações]]</f>
        <v>1.1969491300014536</v>
      </c>
      <c r="AG120" s="77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0.28427541837534526</v>
      </c>
      <c r="AH120" s="77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120" s="77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120" s="77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0.28427541837534526</v>
      </c>
      <c r="AK120" s="5">
        <f>[Div Base]*[Ações]</f>
        <v>50640500.945334986</v>
      </c>
      <c r="AL120" s="5">
        <f>SUMPRODUCT(N([Nome]=Tabela3[[#This Row],[Nome]]),[Div Base]*[Ações])</f>
        <v>54011537.500000007</v>
      </c>
      <c r="AM120" s="5">
        <f>[Patrimônio Líquido]/[Total Ações]</f>
        <v>20.129263579622805</v>
      </c>
      <c r="AN120" s="52">
        <f>MAX(Tabela3[[#This Row],[Cotação 1]:[Cotação 5]])</f>
        <v>44.97</v>
      </c>
      <c r="AO120" s="53">
        <f>[Cotação]/[VPA]</f>
        <v>2.2340608647761906</v>
      </c>
      <c r="AP120" s="37">
        <f>IF(Tabela3[[#This Row],[Lucro/Ação]]&gt;0,Tabela3[[#This Row],[Cotação]]/(Tabela3[[#This Row],[Lucro/Ação]]/[Ref]*4),0)</f>
        <v>28.177889230730329</v>
      </c>
      <c r="AQ120" s="77">
        <f>[Lucro Distribuir]/[Total Ações]</f>
        <v>1.137101673501381</v>
      </c>
      <c r="AR120" s="77">
        <f>IF([Unit ON]&gt;0,SUMPRODUCT(N([Nome]=Tabela3[[#This Row],[Nome]]),N(RIGHT([PAPEL],1)="3"),[Div Base])*[Unit ON]+SUMPRODUCT(N([Nome]=Tabela3[[#This Row],[Nome]]),N(RIGHT([PAPEL],1)="4"),[Div Base])*[Unit PN],[Div Base])</f>
        <v>0.28427541837534526</v>
      </c>
      <c r="AS120" s="16" t="str">
        <f>IF(AND([% A.A.]&gt;=6%,SUMPRODUCT(N([Nome]=Tabela3[[#This Row],[Nome]]),[PL])&gt;0,[Rentabilidade s/ PL]&gt;=[Rentabilidade s/ PL Média]),"Sim","Não")</f>
        <v>Não</v>
      </c>
      <c r="AT120" s="22">
        <f>IF([Cotação]&gt;0,Tabela3[[#This Row],[Lucro]]/Tabela3[[#This Row],[Cotação]],0)</f>
        <v>6.3214458166632259E-3</v>
      </c>
      <c r="AU120" s="18">
        <f>((1+Tabela3[[#This Row],[% Yield]])^(1/(3*Tabela3[[#This Row],[Ref]])))^(12)-1</f>
        <v>8.4374621309233344E-3</v>
      </c>
      <c r="AV120" s="10">
        <f>IF([Cotação]&gt;0,($BH$1/Tabela3[[#This Row],[Cotação]]-MOD($BH$1/Tabela3[[#This Row],[Cotação]],100)),)</f>
        <v>0</v>
      </c>
      <c r="AW120" s="7">
        <f>Tabela3[[#This Row],[Ativos]]*[Lucro]</f>
        <v>0</v>
      </c>
      <c r="AX120" s="47">
        <f>SUMPRODUCT(N(Tabela1[Código]=Tabela3[[#This Row],[PAPEL]]),Tabela1[Fechamento])</f>
        <v>0</v>
      </c>
      <c r="AY120" s="54">
        <f>SUMPRODUCT(N(Tabela17[Código]=Tabela3[[#This Row],[PAPEL]]),Tabela17[Fechamento])</f>
        <v>44.97</v>
      </c>
      <c r="AZ120" s="7">
        <f>SUMPRODUCT(N(Tabela176[Código]=Tabela3[[#This Row],[PAPEL]]),Tabela176[Fechamento])</f>
        <v>0</v>
      </c>
      <c r="BA120" s="7">
        <f>SUMPRODUCT(N(Tabela1768[Código]=Tabela3[[#This Row],[PAPEL]]),Tabela1768[Fechamento])</f>
        <v>0</v>
      </c>
      <c r="BB120" s="7">
        <f>SUMPRODUCT(N(Tabela17683[Código]=Tabela3[[#This Row],[PAPEL]]),Tabela17683[Fechamento])</f>
        <v>0</v>
      </c>
    </row>
    <row r="121" spans="1:54" hidden="1">
      <c r="A121" s="3" t="s">
        <v>343</v>
      </c>
      <c r="B121" s="58" t="s">
        <v>750</v>
      </c>
      <c r="C121" s="15" t="str">
        <f>LEFT([PAPEL],LEN([PAPEL])-(LEN([PAPEL])-4))</f>
        <v>MULT</v>
      </c>
      <c r="D121" s="16">
        <v>3</v>
      </c>
      <c r="E121" s="6">
        <v>2388062147.3800001</v>
      </c>
      <c r="F121" s="8">
        <v>11858347</v>
      </c>
      <c r="G121" s="81">
        <v>0.25</v>
      </c>
      <c r="H121" s="15"/>
      <c r="I121" s="19"/>
      <c r="J121" s="19"/>
      <c r="K121" s="88"/>
      <c r="L121" s="88"/>
      <c r="M121" s="55"/>
      <c r="N121" s="55"/>
      <c r="O121" s="55"/>
      <c r="P121" s="5">
        <v>3824504000</v>
      </c>
      <c r="Q121" s="5">
        <v>227417000</v>
      </c>
      <c r="R121" s="5">
        <f>IF(Tabela3[[#This Row],[Ativo || Passivo]]&gt;0,Tabela3[[#This Row],[Ativo || Passivo]]-Tabela3[[#This Row],[Patrimônio Líquido]],0)</f>
        <v>0</v>
      </c>
      <c r="S121" s="5">
        <f>Tabela3[[#This Row],[Cotação]]*Tabela3[[#This Row],[Total Ações]]</f>
        <v>0</v>
      </c>
      <c r="T121" s="130">
        <f>IF(Tabela3[[#This Row],[Passivo Circulante]]&gt;0,Tabela3[[#This Row],[Ativo Circulante]]/Tabela3[[#This Row],[Passivo Circulante]],0)</f>
        <v>0</v>
      </c>
      <c r="U121" s="130">
        <f>SUMPRODUCT(N([Liquidez Corrente]&gt;0),N(RIGHT([PAPEL],LEN([PAPEL])-(LEN([PAPEL])-1))="3"),[Liquidez Corrente])/SUMPRODUCT(N([Liquidez Corrente]&gt;0),N(RIGHT([PAPEL],LEN([PAPEL])-(LEN([PAPEL])-1))="3"))</f>
        <v>2.331224473064915</v>
      </c>
      <c r="V121" s="18">
        <f>IF(Tabela3[[#This Row],[Lucro Líquido]]&gt;0,Tabela3[[#This Row],[Lucro Líquido]]/Tabela3[[#This Row],[Patrimônio Líquido]],0)</f>
        <v>5.9463135611833584E-2</v>
      </c>
      <c r="W121" s="18">
        <f>SUMPRODUCT(N([Rentabilidade s/ PL]&gt;0),N(RIGHT([PAPEL],LEN([PAPEL])-(LEN([PAPEL])-1))="3"),[Rentabilidade s/ PL])/SUMPRODUCT(N([Rentabilidade s/ PL]&gt;0),N(RIGHT([PAPEL],LEN([PAPEL])-(LEN([PAPEL])-1))="3"))</f>
        <v>0.1261051308670782</v>
      </c>
      <c r="X121" s="18">
        <f>IF(Tabela3[[#This Row],[Dívida]]&gt;0,Tabela3[[#This Row],[Dívida]]/Tabela3[[#This Row],[Patrimônio Líquido]],0)</f>
        <v>0</v>
      </c>
      <c r="Y121" s="18">
        <f>SUMPRODUCT(N([Dívida / PL]&gt;0),N(RIGHT([PAPEL],LEN([PAPEL])-(LEN([PAPEL])-1))="3"),[Dívida / PL])/SUMPRODUCT(N([Dívida / PL]&gt;0),N(RIGHT([PAPEL],LEN([PAPEL])-(LEN([PAPEL])-1))="3"))</f>
        <v>2.1510410379481146</v>
      </c>
      <c r="Z121" s="13">
        <f>Tabela3[[#This Row],[Capital Social]]*20%</f>
        <v>477612429.47600007</v>
      </c>
      <c r="AA121" s="13">
        <f>IF(([Lucro Líquido]*5%)&gt;[Teto R. Legal],[Teto R. Legal],[Lucro Líquido]*5%)</f>
        <v>11370850</v>
      </c>
      <c r="AB121" s="13">
        <f>IF([Lucro Líquido]&lt;0,0,[Lucro Líquido]-[Reserva Legal])</f>
        <v>216046150</v>
      </c>
      <c r="AC121" s="13">
        <f>Tabela3[[#This Row],[Lucro Distribuir]]*[%Div]</f>
        <v>54011537.5</v>
      </c>
      <c r="AD121" s="56">
        <f>SUMPRODUCT(N([Nome]=Tabela3[[#This Row],[Nome]]),[Ações])</f>
        <v>189997214</v>
      </c>
      <c r="AE121" s="6">
        <f>[Capital Social]/[Total Ações]</f>
        <v>12.568932444346263</v>
      </c>
      <c r="AF121" s="78">
        <f>Tabela3[[#This Row],[Lucro Líquido]]/Tabela3[[#This Row],[Total Ações]]</f>
        <v>1.1969491300014536</v>
      </c>
      <c r="AG121" s="78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0.28427541837534526</v>
      </c>
      <c r="AH121" s="78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121" s="78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121" s="78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0.28427541837534526</v>
      </c>
      <c r="AK121" s="13">
        <f>[Div Base]*[Ações]</f>
        <v>3371036.5546650202</v>
      </c>
      <c r="AL121" s="13">
        <f>SUMPRODUCT(N([Nome]=Tabela3[[#This Row],[Nome]]),[Div Base]*[Ações])</f>
        <v>54011537.500000007</v>
      </c>
      <c r="AM121" s="6">
        <f>[Patrimônio Líquido]/[Total Ações]</f>
        <v>20.129263579622805</v>
      </c>
      <c r="AN121" s="48">
        <f>MAX(Tabela3[[#This Row],[Cotação 1]:[Cotação 5]])</f>
        <v>0</v>
      </c>
      <c r="AO121" s="44">
        <f>[Cotação]/[VPA]</f>
        <v>0</v>
      </c>
      <c r="AP121" s="40">
        <f>IF(Tabela3[[#This Row],[Lucro/Ação]]&gt;0,Tabela3[[#This Row],[Cotação]]/(Tabela3[[#This Row],[Lucro/Ação]]/[Ref]*4),0)</f>
        <v>0</v>
      </c>
      <c r="AQ121" s="78">
        <f>[Lucro Distribuir]/[Total Ações]</f>
        <v>1.137101673501381</v>
      </c>
      <c r="AR121" s="78">
        <f>IF([Unit ON]&gt;0,SUMPRODUCT(N([Nome]=Tabela3[[#This Row],[Nome]]),N(RIGHT([PAPEL],1)="3"),[Div Base])*[Unit ON]+SUMPRODUCT(N([Nome]=Tabela3[[#This Row],[Nome]]),N(RIGHT([PAPEL],1)="4"),[Div Base])*[Unit PN],[Div Base])</f>
        <v>0.28427541837534526</v>
      </c>
      <c r="AS121" s="14" t="str">
        <f>IF(AND([% A.A.]&gt;=6%,SUMPRODUCT(N([Nome]=Tabela3[[#This Row],[Nome]]),[PL])&gt;0,[Rentabilidade s/ PL]&gt;=[Rentabilidade s/ PL Média]),"Sim","Não")</f>
        <v>Não</v>
      </c>
      <c r="AT121" s="42">
        <f>IF([Cotação]&gt;0,Tabela3[[#This Row],[Lucro]]/Tabela3[[#This Row],[Cotação]],0)</f>
        <v>0</v>
      </c>
      <c r="AU121" s="42">
        <f>((1+Tabela3[[#This Row],[% Yield]])^(1/(3*Tabela3[[#This Row],[Ref]])))^(12)-1</f>
        <v>0</v>
      </c>
      <c r="AV121" s="14">
        <f>IF([Cotação]&gt;0,($BH$1/Tabela3[[#This Row],[Cotação]]-MOD($BH$1/Tabela3[[#This Row],[Cotação]],100)),)</f>
        <v>0</v>
      </c>
      <c r="AW121" s="17">
        <f>Tabela3[[#This Row],[Ativos]]*[Lucro]</f>
        <v>0</v>
      </c>
      <c r="AX121" s="17">
        <f>SUMPRODUCT(N(Tabela1[Código]=Tabela3[[#This Row],[PAPEL]]),Tabela1[Fechamento])</f>
        <v>0</v>
      </c>
      <c r="AY121" s="17">
        <f>SUMPRODUCT(N(Tabela17[Código]=Tabela3[[#This Row],[PAPEL]]),Tabela17[Fechamento])</f>
        <v>0</v>
      </c>
      <c r="AZ121" s="17">
        <f>SUMPRODUCT(N(Tabela176[Código]=Tabela3[[#This Row],[PAPEL]]),Tabela176[Fechamento])</f>
        <v>0</v>
      </c>
      <c r="BA121" s="17">
        <f>SUMPRODUCT(N(Tabela1768[Código]=Tabela3[[#This Row],[PAPEL]]),Tabela1768[Fechamento])</f>
        <v>0</v>
      </c>
      <c r="BB121" s="7">
        <f>SUMPRODUCT(N(Tabela17683[Código]=Tabela3[[#This Row],[PAPEL]]),Tabela17683[Fechamento])</f>
        <v>0</v>
      </c>
    </row>
    <row r="122" spans="1:54">
      <c r="A122" s="4" t="s">
        <v>579</v>
      </c>
      <c r="B122" s="57" t="s">
        <v>588</v>
      </c>
      <c r="C122" s="15" t="str">
        <f>LEFT([PAPEL],LEN([PAPEL])-(LEN([PAPEL])-4))</f>
        <v>TOTS</v>
      </c>
      <c r="D122" s="15">
        <v>4</v>
      </c>
      <c r="E122" s="6">
        <v>526592102.22000003</v>
      </c>
      <c r="F122" s="8">
        <v>163467071</v>
      </c>
      <c r="G122" s="86">
        <v>0.25</v>
      </c>
      <c r="H122" s="15"/>
      <c r="I122" s="19"/>
      <c r="J122" s="19"/>
      <c r="K122" s="88"/>
      <c r="L122" s="88"/>
      <c r="M122" s="55">
        <v>1724141000</v>
      </c>
      <c r="N122" s="55">
        <v>855578000</v>
      </c>
      <c r="O122" s="55">
        <v>277528000</v>
      </c>
      <c r="P122" s="92">
        <v>1067621000</v>
      </c>
      <c r="Q122" s="93">
        <v>222512000</v>
      </c>
      <c r="R122" s="93">
        <f>IF(Tabela3[[#This Row],[Ativo || Passivo]]&gt;0,Tabela3[[#This Row],[Ativo || Passivo]]-Tabela3[[#This Row],[Patrimônio Líquido]],0)</f>
        <v>656520000</v>
      </c>
      <c r="S122" s="93">
        <f>Tabela3[[#This Row],[Cotação]]*Tabela3[[#This Row],[Total Ações]]</f>
        <v>5276717051.8800001</v>
      </c>
      <c r="T122" s="40">
        <f>IF(Tabela3[[#This Row],[Passivo Circulante]]&gt;0,Tabela3[[#This Row],[Ativo Circulante]]/Tabela3[[#This Row],[Passivo Circulante]],0)</f>
        <v>3.082852901328875</v>
      </c>
      <c r="U122" s="40">
        <f>SUMPRODUCT(N([Liquidez Corrente]&gt;0),N(RIGHT([PAPEL],LEN([PAPEL])-(LEN([PAPEL])-1))="3"),[Liquidez Corrente])/SUMPRODUCT(N([Liquidez Corrente]&gt;0),N(RIGHT([PAPEL],LEN([PAPEL])-(LEN([PAPEL])-1))="3"))</f>
        <v>2.331224473064915</v>
      </c>
      <c r="V122" s="19">
        <f>IF(Tabela3[[#This Row],[Lucro Líquido]]&gt;0,Tabela3[[#This Row],[Lucro Líquido]]/Tabela3[[#This Row],[Patrimônio Líquido]],0)</f>
        <v>0.20841853054595216</v>
      </c>
      <c r="W122" s="19">
        <f>SUMPRODUCT(N([Rentabilidade s/ PL]&gt;0),N(RIGHT([PAPEL],LEN([PAPEL])-(LEN([PAPEL])-1))="3"),[Rentabilidade s/ PL])/SUMPRODUCT(N([Rentabilidade s/ PL]&gt;0),N(RIGHT([PAPEL],LEN([PAPEL])-(LEN([PAPEL])-1))="3"))</f>
        <v>0.1261051308670782</v>
      </c>
      <c r="X122" s="19">
        <f>IF(Tabela3[[#This Row],[Dívida]]&gt;0,Tabela3[[#This Row],[Dívida]]/Tabela3[[#This Row],[Patrimônio Líquido]],0)</f>
        <v>0.61493732326359263</v>
      </c>
      <c r="Y122" s="19">
        <f>SUMPRODUCT(N([Dívida / PL]&gt;0),N(RIGHT([PAPEL],LEN([PAPEL])-(LEN([PAPEL])-1))="3"),[Dívida / PL])/SUMPRODUCT(N([Dívida / PL]&gt;0),N(RIGHT([PAPEL],LEN([PAPEL])-(LEN([PAPEL])-1))="3"))</f>
        <v>2.1510410379481146</v>
      </c>
      <c r="Z122" s="13">
        <f>Tabela3[[#This Row],[Capital Social]]*20%</f>
        <v>105318420.44400001</v>
      </c>
      <c r="AA122" s="13">
        <f>IF(([Lucro Líquido]*5%)&gt;[Teto R. Legal],[Teto R. Legal],[Lucro Líquido]*5%)</f>
        <v>11125600</v>
      </c>
      <c r="AB122" s="13">
        <f>IF([Lucro Líquido]&lt;0,0,[Lucro Líquido]-[Reserva Legal])</f>
        <v>211386400</v>
      </c>
      <c r="AC122" s="13">
        <f>Tabela3[[#This Row],[Lucro Distribuir]]*[%Div]</f>
        <v>52846600</v>
      </c>
      <c r="AD122" s="56">
        <f>SUMPRODUCT(N([Nome]=Tabela3[[#This Row],[Nome]]),[Ações])</f>
        <v>163467071</v>
      </c>
      <c r="AE122" s="6">
        <f>[Capital Social]/[Total Ações]</f>
        <v>3.2213955936116334</v>
      </c>
      <c r="AF122" s="78">
        <f>Tabela3[[#This Row],[Lucro Líquido]]/Tabela3[[#This Row],[Total Ações]]</f>
        <v>1.3612038108886162</v>
      </c>
      <c r="AG122" s="78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0.32328590508604638</v>
      </c>
      <c r="AH122" s="78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122" s="78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122" s="78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0.32328590508604638</v>
      </c>
      <c r="AK122" s="13">
        <f>[Div Base]*[Ações]</f>
        <v>52846600.000000007</v>
      </c>
      <c r="AL122" s="13">
        <f>SUMPRODUCT(N([Nome]=Tabela3[[#This Row],[Nome]]),[Div Base]*[Ações])</f>
        <v>52846600.000000007</v>
      </c>
      <c r="AM122" s="6">
        <f>[Patrimônio Líquido]/[Total Ações]</f>
        <v>6.5311074179582018</v>
      </c>
      <c r="AN122" s="48">
        <f>MAX(Tabela3[[#This Row],[Cotação 1]:[Cotação 5]])</f>
        <v>32.28</v>
      </c>
      <c r="AO122" s="44">
        <f>[Cotação]/[VPA]</f>
        <v>4.9425002429513842</v>
      </c>
      <c r="AP122" s="40">
        <f>IF(Tabela3[[#This Row],[Lucro/Ação]]&gt;0,Tabela3[[#This Row],[Cotação]]/(Tabela3[[#This Row],[Lucro/Ação]]/[Ref]*4),0)</f>
        <v>23.7143032819803</v>
      </c>
      <c r="AQ122" s="78">
        <f>[Lucro Distribuir]/[Total Ações]</f>
        <v>1.2931436203441855</v>
      </c>
      <c r="AR122" s="78">
        <f>IF([Unit ON]&gt;0,SUMPRODUCT(N([Nome]=Tabela3[[#This Row],[Nome]]),N(RIGHT([PAPEL],1)="3"),[Div Base])*[Unit ON]+SUMPRODUCT(N([Nome]=Tabela3[[#This Row],[Nome]]),N(RIGHT([PAPEL],1)="4"),[Div Base])*[Unit PN],[Div Base])</f>
        <v>0.32328590508604638</v>
      </c>
      <c r="AS122" s="14" t="str">
        <f>IF(AND([% A.A.]&gt;=6%,SUMPRODUCT(N([Nome]=Tabela3[[#This Row],[Nome]]),[PL])&gt;0,[Rentabilidade s/ PL]&gt;=[Rentabilidade s/ PL Média]),"Sim","Não")</f>
        <v>Não</v>
      </c>
      <c r="AT122" s="42">
        <f>IF([Cotação]&gt;0,Tabela3[[#This Row],[Lucro]]/Tabela3[[#This Row],[Cotação]],0)</f>
        <v>1.0015052821748648E-2</v>
      </c>
      <c r="AU122" s="42">
        <f>((1+Tabela3[[#This Row],[% Yield]])^(1/(3*Tabela3[[#This Row],[Ref]])))^(12)-1</f>
        <v>1.0015052821747528E-2</v>
      </c>
      <c r="AV122" s="14">
        <f>IF([Cotação]&gt;0,($BH$1/Tabela3[[#This Row],[Cotação]]-MOD($BH$1/Tabela3[[#This Row],[Cotação]],100)),)</f>
        <v>0</v>
      </c>
      <c r="AW122" s="17">
        <f>Tabela3[[#This Row],[Ativos]]*[Lucro]</f>
        <v>0</v>
      </c>
      <c r="AX122" s="17">
        <f>SUMPRODUCT(N(Tabela1[Código]=Tabela3[[#This Row],[PAPEL]]),Tabela1[Fechamento])</f>
        <v>0</v>
      </c>
      <c r="AY122" s="17">
        <f>SUMPRODUCT(N(Tabela17[Código]=Tabela3[[#This Row],[PAPEL]]),Tabela17[Fechamento])</f>
        <v>0</v>
      </c>
      <c r="AZ122" s="17">
        <f>SUMPRODUCT(N(Tabela176[Código]=Tabela3[[#This Row],[PAPEL]]),Tabela176[Fechamento])</f>
        <v>32.28</v>
      </c>
      <c r="BA122" s="17">
        <f>SUMPRODUCT(N(Tabela1768[Código]=Tabela3[[#This Row],[PAPEL]]),Tabela1768[Fechamento])</f>
        <v>0</v>
      </c>
      <c r="BB122" s="7">
        <f>SUMPRODUCT(N(Tabela17683[Código]=Tabela3[[#This Row],[PAPEL]]),Tabela17683[Fechamento])</f>
        <v>0</v>
      </c>
    </row>
    <row r="123" spans="1:54" hidden="1">
      <c r="A123" s="4" t="s">
        <v>12</v>
      </c>
      <c r="B123" s="57" t="s">
        <v>457</v>
      </c>
      <c r="C123" s="15" t="str">
        <f>LEFT([PAPEL],LEN([PAPEL])-(LEN([PAPEL])-4))</f>
        <v>ALUP</v>
      </c>
      <c r="D123" s="15">
        <v>3</v>
      </c>
      <c r="E123" s="6"/>
      <c r="F123" s="8"/>
      <c r="G123" s="81">
        <v>0.5</v>
      </c>
      <c r="H123" s="15"/>
      <c r="I123" s="19"/>
      <c r="J123" s="19"/>
      <c r="K123" s="88">
        <v>1</v>
      </c>
      <c r="L123" s="88">
        <v>2</v>
      </c>
      <c r="M123" s="55"/>
      <c r="N123" s="55"/>
      <c r="O123" s="55"/>
      <c r="P123" s="92">
        <v>2637769000</v>
      </c>
      <c r="Q123" s="93">
        <v>221854000</v>
      </c>
      <c r="R123" s="93">
        <f>IF(Tabela3[[#This Row],[Ativo || Passivo]]&gt;0,Tabela3[[#This Row],[Ativo || Passivo]]-Tabela3[[#This Row],[Patrimônio Líquido]],0)</f>
        <v>0</v>
      </c>
      <c r="S123" s="93">
        <f>Tabela3[[#This Row],[Cotação]]*Tabela3[[#This Row],[Total Ações]]</f>
        <v>10579587474</v>
      </c>
      <c r="T123" s="40">
        <f>IF(Tabela3[[#This Row],[Passivo Circulante]]&gt;0,Tabela3[[#This Row],[Ativo Circulante]]/Tabela3[[#This Row],[Passivo Circulante]],0)</f>
        <v>0</v>
      </c>
      <c r="U123" s="40">
        <f>SUMPRODUCT(N([Liquidez Corrente]&gt;0),N(RIGHT([PAPEL],LEN([PAPEL])-(LEN([PAPEL])-1))="3"),[Liquidez Corrente])/SUMPRODUCT(N([Liquidez Corrente]&gt;0),N(RIGHT([PAPEL],LEN([PAPEL])-(LEN([PAPEL])-1))="3"))</f>
        <v>2.331224473064915</v>
      </c>
      <c r="V123" s="19">
        <f>IF(Tabela3[[#This Row],[Lucro Líquido]]&gt;0,Tabela3[[#This Row],[Lucro Líquido]]/Tabela3[[#This Row],[Patrimônio Líquido]],0)</f>
        <v>8.4106682579103781E-2</v>
      </c>
      <c r="W123" s="19">
        <f>SUMPRODUCT(N([Rentabilidade s/ PL]&gt;0),N(RIGHT([PAPEL],LEN([PAPEL])-(LEN([PAPEL])-1))="3"),[Rentabilidade s/ PL])/SUMPRODUCT(N([Rentabilidade s/ PL]&gt;0),N(RIGHT([PAPEL],LEN([PAPEL])-(LEN([PAPEL])-1))="3"))</f>
        <v>0.1261051308670782</v>
      </c>
      <c r="X123" s="19">
        <f>IF(Tabela3[[#This Row],[Dívida]]&gt;0,Tabela3[[#This Row],[Dívida]]/Tabela3[[#This Row],[Patrimônio Líquido]],0)</f>
        <v>0</v>
      </c>
      <c r="Y123" s="19">
        <f>SUMPRODUCT(N([Dívida / PL]&gt;0),N(RIGHT([PAPEL],LEN([PAPEL])-(LEN([PAPEL])-1))="3"),[Dívida / PL])/SUMPRODUCT(N([Dívida / PL]&gt;0),N(RIGHT([PAPEL],LEN([PAPEL])-(LEN([PAPEL])-1))="3"))</f>
        <v>2.1510410379481146</v>
      </c>
      <c r="Z123" s="13">
        <f>Tabela3[[#This Row],[Capital Social]]*20%</f>
        <v>0</v>
      </c>
      <c r="AA123" s="13">
        <f>IF(([Lucro Líquido]*5%)&gt;[Teto R. Legal],[Teto R. Legal],[Lucro Líquido]*5%)</f>
        <v>0</v>
      </c>
      <c r="AB123" s="13">
        <f>IF([Lucro Líquido]&lt;0,0,[Lucro Líquido]-[Reserva Legal])</f>
        <v>221854000</v>
      </c>
      <c r="AC123" s="13">
        <f>Tabela3[[#This Row],[Lucro Distribuir]]*[%Div]</f>
        <v>110927000</v>
      </c>
      <c r="AD123" s="56">
        <f>SUMPRODUCT(N([Nome]=Tabela3[[#This Row],[Nome]]),[Ações])</f>
        <v>624901800</v>
      </c>
      <c r="AE123" s="6">
        <f>[Capital Social]/[Total Ações]</f>
        <v>0</v>
      </c>
      <c r="AF123" s="78">
        <f>Tabela3[[#This Row],[Lucro Líquido]]/Tabela3[[#This Row],[Total Ações]]</f>
        <v>0.35502218108509209</v>
      </c>
      <c r="AG123" s="78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</v>
      </c>
      <c r="AH123" s="78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123" s="78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123" s="78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</v>
      </c>
      <c r="AK123" s="13">
        <f>[Div Base]*[Ações]</f>
        <v>0</v>
      </c>
      <c r="AL123" s="13">
        <f>SUMPRODUCT(N([Nome]=Tabela3[[#This Row],[Nome]]),[Div Base]*[Ações])</f>
        <v>105380650</v>
      </c>
      <c r="AM123" s="6">
        <f>[Patrimônio Líquido]/[Total Ações]</f>
        <v>4.221093618229296</v>
      </c>
      <c r="AN123" s="48">
        <f>MAX(Tabela3[[#This Row],[Cotação 1]:[Cotação 5]])</f>
        <v>16.93</v>
      </c>
      <c r="AO123" s="44">
        <f>[Cotação]/[VPA]</f>
        <v>4.010808935126617</v>
      </c>
      <c r="AP123" s="40">
        <f>IF(Tabela3[[#This Row],[Lucro/Ação]]&gt;0,Tabela3[[#This Row],[Cotação]]/(Tabela3[[#This Row],[Lucro/Ação]]/[Ref]*4),0)</f>
        <v>35.765370944404879</v>
      </c>
      <c r="AQ123" s="78">
        <f>[Lucro Distribuir]/[Total Ações]</f>
        <v>0.35502218108509209</v>
      </c>
      <c r="AR123" s="78">
        <f>IF([Unit ON]&gt;0,SUMPRODUCT(N([Nome]=Tabela3[[#This Row],[Nome]]),N(RIGHT([PAPEL],1)="3"),[Div Base])*[Unit ON]+SUMPRODUCT(N([Nome]=Tabela3[[#This Row],[Nome]]),N(RIGHT([PAPEL],1)="4"),[Div Base])*[Unit PN],[Div Base])</f>
        <v>0.5059066080462562</v>
      </c>
      <c r="AS123" s="14" t="str">
        <f>IF(AND([% A.A.]&gt;=6%,SUMPRODUCT(N([Nome]=Tabela3[[#This Row],[Nome]]),[PL])&gt;0,[Rentabilidade s/ PL]&gt;=[Rentabilidade s/ PL Média]),"Sim","Não")</f>
        <v>Não</v>
      </c>
      <c r="AT123" s="42">
        <f>IF([Cotação]&gt;0,Tabela3[[#This Row],[Lucro]]/Tabela3[[#This Row],[Cotação]],0)</f>
        <v>2.9882256824941299E-2</v>
      </c>
      <c r="AU123" s="42">
        <f>((1+Tabela3[[#This Row],[% Yield]])^(1/(3*Tabela3[[#This Row],[Ref]])))^(12)-1</f>
        <v>4.0040140725668971E-2</v>
      </c>
      <c r="AV123" s="14">
        <f>IF([Cotação]&gt;0,($BH$1/Tabela3[[#This Row],[Cotação]]-MOD($BH$1/Tabela3[[#This Row],[Cotação]],100)),)</f>
        <v>0</v>
      </c>
      <c r="AW123" s="17">
        <f>Tabela3[[#This Row],[Ativos]]*[Lucro]</f>
        <v>0</v>
      </c>
      <c r="AX123" s="17">
        <f>SUMPRODUCT(N(Tabela1[Código]=Tabela3[[#This Row],[PAPEL]]),Tabela1[Fechamento])</f>
        <v>0</v>
      </c>
      <c r="AY123" s="17">
        <f>SUMPRODUCT(N(Tabela17[Código]=Tabela3[[#This Row],[PAPEL]]),Tabela17[Fechamento])</f>
        <v>16.93</v>
      </c>
      <c r="AZ123" s="7">
        <f>SUMPRODUCT(N(Tabela176[Código]=Tabela3[[#This Row],[PAPEL]]),Tabela176[Fechamento])</f>
        <v>0</v>
      </c>
      <c r="BA123" s="7">
        <f>SUMPRODUCT(N(Tabela1768[Código]=Tabela3[[#This Row],[PAPEL]]),Tabela1768[Fechamento])</f>
        <v>0</v>
      </c>
      <c r="BB123" s="7">
        <f>SUMPRODUCT(N(Tabela17683[Código]=Tabela3[[#This Row],[PAPEL]]),Tabela17683[Fechamento])</f>
        <v>0</v>
      </c>
    </row>
    <row r="124" spans="1:54" hidden="1">
      <c r="A124" s="4" t="s">
        <v>12</v>
      </c>
      <c r="B124" s="57" t="s">
        <v>458</v>
      </c>
      <c r="C124" s="15" t="str">
        <f>LEFT([PAPEL],LEN([PAPEL])-(LEN([PAPEL])-4))</f>
        <v>ALUP</v>
      </c>
      <c r="D124" s="15">
        <v>3</v>
      </c>
      <c r="E124" s="6">
        <v>1625227100</v>
      </c>
      <c r="F124" s="8">
        <v>461243600</v>
      </c>
      <c r="G124" s="81">
        <v>0.5</v>
      </c>
      <c r="H124" s="15"/>
      <c r="I124" s="19"/>
      <c r="J124" s="19"/>
      <c r="K124" s="88"/>
      <c r="L124" s="88"/>
      <c r="M124" s="55"/>
      <c r="N124" s="55"/>
      <c r="O124" s="55"/>
      <c r="P124" s="92">
        <v>2637769000</v>
      </c>
      <c r="Q124" s="93">
        <v>221854000</v>
      </c>
      <c r="R124" s="93">
        <f>IF(Tabela3[[#This Row],[Ativo || Passivo]]&gt;0,Tabela3[[#This Row],[Ativo || Passivo]]-Tabela3[[#This Row],[Patrimônio Líquido]],0)</f>
        <v>0</v>
      </c>
      <c r="S124" s="93">
        <f>Tabela3[[#This Row],[Cotação]]*Tabela3[[#This Row],[Total Ações]]</f>
        <v>0</v>
      </c>
      <c r="T124" s="40">
        <f>IF(Tabela3[[#This Row],[Passivo Circulante]]&gt;0,Tabela3[[#This Row],[Ativo Circulante]]/Tabela3[[#This Row],[Passivo Circulante]],0)</f>
        <v>0</v>
      </c>
      <c r="U124" s="40">
        <f>SUMPRODUCT(N([Liquidez Corrente]&gt;0),N(RIGHT([PAPEL],LEN([PAPEL])-(LEN([PAPEL])-1))="3"),[Liquidez Corrente])/SUMPRODUCT(N([Liquidez Corrente]&gt;0),N(RIGHT([PAPEL],LEN([PAPEL])-(LEN([PAPEL])-1))="3"))</f>
        <v>2.331224473064915</v>
      </c>
      <c r="V124" s="19">
        <f>IF(Tabela3[[#This Row],[Lucro Líquido]]&gt;0,Tabela3[[#This Row],[Lucro Líquido]]/Tabela3[[#This Row],[Patrimônio Líquido]],0)</f>
        <v>8.4106682579103781E-2</v>
      </c>
      <c r="W124" s="19">
        <f>SUMPRODUCT(N([Rentabilidade s/ PL]&gt;0),N(RIGHT([PAPEL],LEN([PAPEL])-(LEN([PAPEL])-1))="3"),[Rentabilidade s/ PL])/SUMPRODUCT(N([Rentabilidade s/ PL]&gt;0),N(RIGHT([PAPEL],LEN([PAPEL])-(LEN([PAPEL])-1))="3"))</f>
        <v>0.1261051308670782</v>
      </c>
      <c r="X124" s="19">
        <f>IF(Tabela3[[#This Row],[Dívida]]&gt;0,Tabela3[[#This Row],[Dívida]]/Tabela3[[#This Row],[Patrimônio Líquido]],0)</f>
        <v>0</v>
      </c>
      <c r="Y124" s="19">
        <f>SUMPRODUCT(N([Dívida / PL]&gt;0),N(RIGHT([PAPEL],LEN([PAPEL])-(LEN([PAPEL])-1))="3"),[Dívida / PL])/SUMPRODUCT(N([Dívida / PL]&gt;0),N(RIGHT([PAPEL],LEN([PAPEL])-(LEN([PAPEL])-1))="3"))</f>
        <v>2.1510410379481146</v>
      </c>
      <c r="Z124" s="13">
        <f>Tabela3[[#This Row],[Capital Social]]*20%</f>
        <v>325045420</v>
      </c>
      <c r="AA124" s="13">
        <f>IF(([Lucro Líquido]*5%)&gt;[Teto R. Legal],[Teto R. Legal],[Lucro Líquido]*5%)</f>
        <v>11092700</v>
      </c>
      <c r="AB124" s="13">
        <f>IF([Lucro Líquido]&lt;0,0,[Lucro Líquido]-[Reserva Legal])</f>
        <v>210761300</v>
      </c>
      <c r="AC124" s="13">
        <f>Tabela3[[#This Row],[Lucro Distribuir]]*[%Div]</f>
        <v>105380650</v>
      </c>
      <c r="AD124" s="56">
        <f>SUMPRODUCT(N([Nome]=Tabela3[[#This Row],[Nome]]),[Ações])</f>
        <v>624901800</v>
      </c>
      <c r="AE124" s="6">
        <f>[Capital Social]/[Total Ações]</f>
        <v>2.6007719932955866</v>
      </c>
      <c r="AF124" s="78">
        <f>Tabela3[[#This Row],[Lucro Líquido]]/Tabela3[[#This Row],[Total Ações]]</f>
        <v>0.35502218108509209</v>
      </c>
      <c r="AG124" s="78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0.16863553601541875</v>
      </c>
      <c r="AH124" s="78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124" s="78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124" s="78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0.16863553601541875</v>
      </c>
      <c r="AK124" s="13">
        <f>[Div Base]*[Ações]</f>
        <v>77782061.719681397</v>
      </c>
      <c r="AL124" s="13">
        <f>SUMPRODUCT(N([Nome]=Tabela3[[#This Row],[Nome]]),[Div Base]*[Ações])</f>
        <v>105380650</v>
      </c>
      <c r="AM124" s="6">
        <f>[Patrimônio Líquido]/[Total Ações]</f>
        <v>4.221093618229296</v>
      </c>
      <c r="AN124" s="48">
        <f>MAX(Tabela3[[#This Row],[Cotação 1]:[Cotação 5]])</f>
        <v>0</v>
      </c>
      <c r="AO124" s="44">
        <f>[Cotação]/[VPA]</f>
        <v>0</v>
      </c>
      <c r="AP124" s="40">
        <f>IF(Tabela3[[#This Row],[Lucro/Ação]]&gt;0,Tabela3[[#This Row],[Cotação]]/(Tabela3[[#This Row],[Lucro/Ação]]/[Ref]*4),0)</f>
        <v>0</v>
      </c>
      <c r="AQ124" s="78">
        <f>[Lucro Distribuir]/[Total Ações]</f>
        <v>0.3372710720308375</v>
      </c>
      <c r="AR124" s="78">
        <f>IF([Unit ON]&gt;0,SUMPRODUCT(N([Nome]=Tabela3[[#This Row],[Nome]]),N(RIGHT([PAPEL],1)="3"),[Div Base])*[Unit ON]+SUMPRODUCT(N([Nome]=Tabela3[[#This Row],[Nome]]),N(RIGHT([PAPEL],1)="4"),[Div Base])*[Unit PN],[Div Base])</f>
        <v>0.16863553601541875</v>
      </c>
      <c r="AS124" s="14" t="str">
        <f>IF(AND([% A.A.]&gt;=6%,SUMPRODUCT(N([Nome]=Tabela3[[#This Row],[Nome]]),[PL])&gt;0,[Rentabilidade s/ PL]&gt;=[Rentabilidade s/ PL Média]),"Sim","Não")</f>
        <v>Não</v>
      </c>
      <c r="AT124" s="42">
        <f>IF([Cotação]&gt;0,Tabela3[[#This Row],[Lucro]]/Tabela3[[#This Row],[Cotação]],0)</f>
        <v>0</v>
      </c>
      <c r="AU124" s="42">
        <f>((1+Tabela3[[#This Row],[% Yield]])^(1/(3*Tabela3[[#This Row],[Ref]])))^(12)-1</f>
        <v>0</v>
      </c>
      <c r="AV124" s="14">
        <f>IF([Cotação]&gt;0,($BH$1/Tabela3[[#This Row],[Cotação]]-MOD($BH$1/Tabela3[[#This Row],[Cotação]],100)),)</f>
        <v>0</v>
      </c>
      <c r="AW124" s="17">
        <f>Tabela3[[#This Row],[Ativos]]*[Lucro]</f>
        <v>0</v>
      </c>
      <c r="AX124" s="17">
        <f>SUMPRODUCT(N(Tabela1[Código]=Tabela3[[#This Row],[PAPEL]]),Tabela1[Fechamento])</f>
        <v>0</v>
      </c>
      <c r="AY124" s="17">
        <f>SUMPRODUCT(N(Tabela17[Código]=Tabela3[[#This Row],[PAPEL]]),Tabela17[Fechamento])</f>
        <v>0</v>
      </c>
      <c r="AZ124" s="7">
        <f>SUMPRODUCT(N(Tabela176[Código]=Tabela3[[#This Row],[PAPEL]]),Tabela176[Fechamento])</f>
        <v>0</v>
      </c>
      <c r="BA124" s="7">
        <f>SUMPRODUCT(N(Tabela1768[Código]=Tabela3[[#This Row],[PAPEL]]),Tabela1768[Fechamento])</f>
        <v>0</v>
      </c>
      <c r="BB124" s="7">
        <f>SUMPRODUCT(N(Tabela17683[Código]=Tabela3[[#This Row],[PAPEL]]),Tabela17683[Fechamento])</f>
        <v>0</v>
      </c>
    </row>
    <row r="125" spans="1:54" hidden="1">
      <c r="A125" s="4" t="s">
        <v>12</v>
      </c>
      <c r="B125" s="57" t="s">
        <v>459</v>
      </c>
      <c r="C125" s="15" t="str">
        <f>LEFT([PAPEL],LEN([PAPEL])-(LEN([PAPEL])-4))</f>
        <v>ALUP</v>
      </c>
      <c r="D125" s="15">
        <v>3</v>
      </c>
      <c r="E125" s="6">
        <v>1625227100</v>
      </c>
      <c r="F125" s="8">
        <v>163658200</v>
      </c>
      <c r="G125" s="81">
        <v>0.5</v>
      </c>
      <c r="H125" s="15"/>
      <c r="I125" s="19"/>
      <c r="J125" s="19"/>
      <c r="K125" s="88"/>
      <c r="L125" s="88"/>
      <c r="M125" s="55"/>
      <c r="N125" s="55"/>
      <c r="O125" s="55"/>
      <c r="P125" s="92">
        <v>2637769000</v>
      </c>
      <c r="Q125" s="93">
        <v>221854000</v>
      </c>
      <c r="R125" s="93">
        <f>IF(Tabela3[[#This Row],[Ativo || Passivo]]&gt;0,Tabela3[[#This Row],[Ativo || Passivo]]-Tabela3[[#This Row],[Patrimônio Líquido]],0)</f>
        <v>0</v>
      </c>
      <c r="S125" s="93">
        <f>Tabela3[[#This Row],[Cotação]]*Tabela3[[#This Row],[Total Ações]]</f>
        <v>0</v>
      </c>
      <c r="T125" s="40">
        <f>IF(Tabela3[[#This Row],[Passivo Circulante]]&gt;0,Tabela3[[#This Row],[Ativo Circulante]]/Tabela3[[#This Row],[Passivo Circulante]],0)</f>
        <v>0</v>
      </c>
      <c r="U125" s="40">
        <f>SUMPRODUCT(N([Liquidez Corrente]&gt;0),N(RIGHT([PAPEL],LEN([PAPEL])-(LEN([PAPEL])-1))="3"),[Liquidez Corrente])/SUMPRODUCT(N([Liquidez Corrente]&gt;0),N(RIGHT([PAPEL],LEN([PAPEL])-(LEN([PAPEL])-1))="3"))</f>
        <v>2.331224473064915</v>
      </c>
      <c r="V125" s="19">
        <f>IF(Tabela3[[#This Row],[Lucro Líquido]]&gt;0,Tabela3[[#This Row],[Lucro Líquido]]/Tabela3[[#This Row],[Patrimônio Líquido]],0)</f>
        <v>8.4106682579103781E-2</v>
      </c>
      <c r="W125" s="19">
        <f>SUMPRODUCT(N([Rentabilidade s/ PL]&gt;0),N(RIGHT([PAPEL],LEN([PAPEL])-(LEN([PAPEL])-1))="3"),[Rentabilidade s/ PL])/SUMPRODUCT(N([Rentabilidade s/ PL]&gt;0),N(RIGHT([PAPEL],LEN([PAPEL])-(LEN([PAPEL])-1))="3"))</f>
        <v>0.1261051308670782</v>
      </c>
      <c r="X125" s="19">
        <f>IF(Tabela3[[#This Row],[Dívida]]&gt;0,Tabela3[[#This Row],[Dívida]]/Tabela3[[#This Row],[Patrimônio Líquido]],0)</f>
        <v>0</v>
      </c>
      <c r="Y125" s="19">
        <f>SUMPRODUCT(N([Dívida / PL]&gt;0),N(RIGHT([PAPEL],LEN([PAPEL])-(LEN([PAPEL])-1))="3"),[Dívida / PL])/SUMPRODUCT(N([Dívida / PL]&gt;0),N(RIGHT([PAPEL],LEN([PAPEL])-(LEN([PAPEL])-1))="3"))</f>
        <v>2.1510410379481146</v>
      </c>
      <c r="Z125" s="13">
        <f>Tabela3[[#This Row],[Capital Social]]*20%</f>
        <v>325045420</v>
      </c>
      <c r="AA125" s="13">
        <f>IF(([Lucro Líquido]*5%)&gt;[Teto R. Legal],[Teto R. Legal],[Lucro Líquido]*5%)</f>
        <v>11092700</v>
      </c>
      <c r="AB125" s="13">
        <f>IF([Lucro Líquido]&lt;0,0,[Lucro Líquido]-[Reserva Legal])</f>
        <v>210761300</v>
      </c>
      <c r="AC125" s="13">
        <f>Tabela3[[#This Row],[Lucro Distribuir]]*[%Div]</f>
        <v>105380650</v>
      </c>
      <c r="AD125" s="56">
        <f>SUMPRODUCT(N([Nome]=Tabela3[[#This Row],[Nome]]),[Ações])</f>
        <v>624901800</v>
      </c>
      <c r="AE125" s="6">
        <f>[Capital Social]/[Total Ações]</f>
        <v>2.6007719932955866</v>
      </c>
      <c r="AF125" s="78">
        <f>Tabela3[[#This Row],[Lucro Líquido]]/Tabela3[[#This Row],[Total Ações]]</f>
        <v>0.35502218108509209</v>
      </c>
      <c r="AG125" s="78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0.16863553601541875</v>
      </c>
      <c r="AH125" s="78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125" s="78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125" s="78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0.16863553601541875</v>
      </c>
      <c r="AK125" s="13">
        <f>[Div Base]*[Ações]</f>
        <v>27598588.280318607</v>
      </c>
      <c r="AL125" s="13">
        <f>SUMPRODUCT(N([Nome]=Tabela3[[#This Row],[Nome]]),[Div Base]*[Ações])</f>
        <v>105380650</v>
      </c>
      <c r="AM125" s="6">
        <f>[Patrimônio Líquido]/[Total Ações]</f>
        <v>4.221093618229296</v>
      </c>
      <c r="AN125" s="48">
        <f>MAX(Tabela3[[#This Row],[Cotação 1]:[Cotação 5]])</f>
        <v>0</v>
      </c>
      <c r="AO125" s="44">
        <f>[Cotação]/[VPA]</f>
        <v>0</v>
      </c>
      <c r="AP125" s="40">
        <f>IF(Tabela3[[#This Row],[Lucro/Ação]]&gt;0,Tabela3[[#This Row],[Cotação]]/(Tabela3[[#This Row],[Lucro/Ação]]/[Ref]*4),0)</f>
        <v>0</v>
      </c>
      <c r="AQ125" s="78">
        <f>[Lucro Distribuir]/[Total Ações]</f>
        <v>0.3372710720308375</v>
      </c>
      <c r="AR125" s="78">
        <f>IF([Unit ON]&gt;0,SUMPRODUCT(N([Nome]=Tabela3[[#This Row],[Nome]]),N(RIGHT([PAPEL],1)="3"),[Div Base])*[Unit ON]+SUMPRODUCT(N([Nome]=Tabela3[[#This Row],[Nome]]),N(RIGHT([PAPEL],1)="4"),[Div Base])*[Unit PN],[Div Base])</f>
        <v>0.16863553601541875</v>
      </c>
      <c r="AS125" s="14" t="str">
        <f>IF(AND([% A.A.]&gt;=6%,SUMPRODUCT(N([Nome]=Tabela3[[#This Row],[Nome]]),[PL])&gt;0,[Rentabilidade s/ PL]&gt;=[Rentabilidade s/ PL Média]),"Sim","Não")</f>
        <v>Não</v>
      </c>
      <c r="AT125" s="42">
        <f>IF([Cotação]&gt;0,Tabela3[[#This Row],[Lucro]]/Tabela3[[#This Row],[Cotação]],0)</f>
        <v>0</v>
      </c>
      <c r="AU125" s="42">
        <f>((1+Tabela3[[#This Row],[% Yield]])^(1/(3*Tabela3[[#This Row],[Ref]])))^(12)-1</f>
        <v>0</v>
      </c>
      <c r="AV125" s="14">
        <f>IF([Cotação]&gt;0,($BH$1/Tabela3[[#This Row],[Cotação]]-MOD($BH$1/Tabela3[[#This Row],[Cotação]],100)),)</f>
        <v>0</v>
      </c>
      <c r="AW125" s="17">
        <f>Tabela3[[#This Row],[Ativos]]*[Lucro]</f>
        <v>0</v>
      </c>
      <c r="AX125" s="17">
        <f>SUMPRODUCT(N(Tabela1[Código]=Tabela3[[#This Row],[PAPEL]]),Tabela1[Fechamento])</f>
        <v>0</v>
      </c>
      <c r="AY125" s="17">
        <f>SUMPRODUCT(N(Tabela17[Código]=Tabela3[[#This Row],[PAPEL]]),Tabela17[Fechamento])</f>
        <v>0</v>
      </c>
      <c r="AZ125" s="7">
        <f>SUMPRODUCT(N(Tabela176[Código]=Tabela3[[#This Row],[PAPEL]]),Tabela176[Fechamento])</f>
        <v>0</v>
      </c>
      <c r="BA125" s="7">
        <f>SUMPRODUCT(N(Tabela1768[Código]=Tabela3[[#This Row],[PAPEL]]),Tabela1768[Fechamento])</f>
        <v>0</v>
      </c>
      <c r="BB125" s="7">
        <f>SUMPRODUCT(N(Tabela17683[Código]=Tabela3[[#This Row],[PAPEL]]),Tabela17683[Fechamento])</f>
        <v>0</v>
      </c>
    </row>
    <row r="126" spans="1:54" hidden="1">
      <c r="A126" s="3" t="s">
        <v>1497</v>
      </c>
      <c r="B126" s="57" t="s">
        <v>1464</v>
      </c>
      <c r="C126" s="16" t="str">
        <f>LEFT([PAPEL],LEN([PAPEL])-(LEN([PAPEL])-4))</f>
        <v>POMO</v>
      </c>
      <c r="D126" s="16">
        <v>3</v>
      </c>
      <c r="E126" s="5">
        <v>700000000</v>
      </c>
      <c r="F126" s="56">
        <v>341625744</v>
      </c>
      <c r="G126" s="81">
        <v>0.25</v>
      </c>
      <c r="H126" s="87"/>
      <c r="J126" s="18"/>
      <c r="K126" s="16"/>
      <c r="L126" s="87"/>
      <c r="M126" s="54"/>
      <c r="N126" s="54"/>
      <c r="O126" s="54"/>
      <c r="P126" s="91">
        <v>1410684000</v>
      </c>
      <c r="Q126" s="73">
        <v>214808000</v>
      </c>
      <c r="R126" s="73">
        <f>IF(Tabela3[[#This Row],[Ativo || Passivo]]&gt;0,Tabela3[[#This Row],[Ativo || Passivo]]-Tabela3[[#This Row],[Patrimônio Líquido]],0)</f>
        <v>0</v>
      </c>
      <c r="S126" s="73">
        <f>Tabela3[[#This Row],[Cotação]]*Tabela3[[#This Row],[Total Ações]]</f>
        <v>4062957380.5200005</v>
      </c>
      <c r="T126" s="37">
        <f>IF(Tabela3[[#This Row],[Passivo Circulante]]&gt;0,Tabela3[[#This Row],[Ativo Circulante]]/Tabela3[[#This Row],[Passivo Circulante]],0)</f>
        <v>0</v>
      </c>
      <c r="U126" s="37">
        <f>SUMPRODUCT(N([Liquidez Corrente]&gt;0),N(RIGHT([PAPEL],LEN([PAPEL])-(LEN([PAPEL])-1))="3"),[Liquidez Corrente])/SUMPRODUCT(N([Liquidez Corrente]&gt;0),N(RIGHT([PAPEL],LEN([PAPEL])-(LEN([PAPEL])-1))="3"))</f>
        <v>2.331224473064915</v>
      </c>
      <c r="V126" s="18">
        <f>IF(Tabela3[[#This Row],[Lucro Líquido]]&gt;0,Tabela3[[#This Row],[Lucro Líquido]]/Tabela3[[#This Row],[Patrimônio Líquido]],0)</f>
        <v>0.15227223105954274</v>
      </c>
      <c r="W126" s="18">
        <f>SUMPRODUCT(N([Rentabilidade s/ PL]&gt;0),N(RIGHT([PAPEL],LEN([PAPEL])-(LEN([PAPEL])-1))="3"),[Rentabilidade s/ PL])/SUMPRODUCT(N([Rentabilidade s/ PL]&gt;0),N(RIGHT([PAPEL],LEN([PAPEL])-(LEN([PAPEL])-1))="3"))</f>
        <v>0.1261051308670782</v>
      </c>
      <c r="X126" s="18">
        <f>IF(Tabela3[[#This Row],[Dívida]]&gt;0,Tabela3[[#This Row],[Dívida]]/Tabela3[[#This Row],[Patrimônio Líquido]],0)</f>
        <v>0</v>
      </c>
      <c r="Y126" s="18">
        <f>SUMPRODUCT(N([Dívida / PL]&gt;0),N(RIGHT([PAPEL],LEN([PAPEL])-(LEN([PAPEL])-1))="3"),[Dívida / PL])/SUMPRODUCT(N([Dívida / PL]&gt;0),N(RIGHT([PAPEL],LEN([PAPEL])-(LEN([PAPEL])-1))="3"))</f>
        <v>2.1510410379481146</v>
      </c>
      <c r="Z126" s="7">
        <f>Tabela3[[#This Row],[Capital Social]]*20%</f>
        <v>140000000</v>
      </c>
      <c r="AA126" s="47">
        <f>IF(([Lucro Líquido]*5%)&gt;[Teto R. Legal],[Teto R. Legal],[Lucro Líquido]*5%)</f>
        <v>10740400</v>
      </c>
      <c r="AB126" s="47">
        <f>IF([Lucro Líquido]&lt;0,0,[Lucro Líquido]-[Reserva Legal])</f>
        <v>204067600</v>
      </c>
      <c r="AC126" s="47">
        <f>Tabela3[[#This Row],[Lucro Distribuir]]*[%Div]</f>
        <v>51016900</v>
      </c>
      <c r="AD126" s="56">
        <f>SUMPRODUCT(N([Nome]=Tabela3[[#This Row],[Nome]]),[Ações])</f>
        <v>896900084</v>
      </c>
      <c r="AE126" s="85">
        <f>[Capital Social]/[Total Ações]</f>
        <v>0.78046597663157313</v>
      </c>
      <c r="AF126" s="85">
        <f>Tabela3[[#This Row],[Lucro Líquido]]/Tabela3[[#This Row],[Total Ações]]</f>
        <v>0.23950047929753568</v>
      </c>
      <c r="AG126" s="85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5.6881363833164722E-2</v>
      </c>
      <c r="AH126" s="85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126" s="77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126" s="85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5.6881363833164722E-2</v>
      </c>
      <c r="AK126" s="7">
        <f>[Div Base]*[Ações]</f>
        <v>19432138.239239588</v>
      </c>
      <c r="AL126" s="120">
        <f>SUMPRODUCT(N([Nome]=Tabela3[[#This Row],[Nome]]),[Div Base]*[Ações])</f>
        <v>51016900</v>
      </c>
      <c r="AM126" s="5">
        <f>[Patrimônio Líquido]/[Total Ações]</f>
        <v>1.5728440939693344</v>
      </c>
      <c r="AN126" s="52">
        <f>MAX(Tabela3[[#This Row],[Cotação 1]:[Cotação 5]])</f>
        <v>4.53</v>
      </c>
      <c r="AO126" s="53">
        <f>[Cotação]/[VPA]</f>
        <v>2.8801328862594318</v>
      </c>
      <c r="AP126" s="37">
        <f>IF(Tabela3[[#This Row],[Lucro/Ação]]&gt;0,Tabela3[[#This Row],[Cotação]]/(Tabela3[[#This Row],[Lucro/Ação]]/[Ref]*4),0)</f>
        <v>14.185775368654799</v>
      </c>
      <c r="AQ126" s="85">
        <f>[Lucro Distribuir]/[Total Ações]</f>
        <v>0.22752545533265889</v>
      </c>
      <c r="AR126" s="85">
        <f>IF([Unit ON]&gt;0,SUMPRODUCT(N([Nome]=Tabela3[[#This Row],[Nome]]),N(RIGHT([PAPEL],1)="3"),[Div Base])*[Unit ON]+SUMPRODUCT(N([Nome]=Tabela3[[#This Row],[Nome]]),N(RIGHT([PAPEL],1)="4"),[Div Base])*[Unit PN],[Div Base])</f>
        <v>5.6881363833164722E-2</v>
      </c>
      <c r="AS126" s="10" t="str">
        <f>IF(AND([% A.A.]&gt;=6%,SUMPRODUCT(N([Nome]=Tabela3[[#This Row],[Nome]]),[PL])&gt;0,[Rentabilidade s/ PL]&gt;=[Rentabilidade s/ PL Média]),"Sim","Não")</f>
        <v>Não</v>
      </c>
      <c r="AT126" s="22">
        <f>IF([Cotação]&gt;0,Tabela3[[#This Row],[Lucro]]/Tabela3[[#This Row],[Cotação]],0)</f>
        <v>1.2556592457652256E-2</v>
      </c>
      <c r="AU126" s="22">
        <f>((1+Tabela3[[#This Row],[% Yield]])^(1/(3*Tabela3[[#This Row],[Ref]])))^(12)-1</f>
        <v>1.6777063354886712E-2</v>
      </c>
      <c r="AV126" s="10">
        <f>IF([Cotação]&gt;0,($BH$1/Tabela3[[#This Row],[Cotação]]-MOD($BH$1/Tabela3[[#This Row],[Cotação]],100)),)</f>
        <v>100</v>
      </c>
      <c r="AW126" s="7">
        <f>Tabela3[[#This Row],[Ativos]]*[Lucro]</f>
        <v>5.688136383316472</v>
      </c>
      <c r="AX126" s="7">
        <f>SUMPRODUCT(N(Tabela1[Código]=Tabela3[[#This Row],[PAPEL]]),Tabela1[Fechamento])</f>
        <v>0</v>
      </c>
      <c r="AY126" s="7">
        <f>SUMPRODUCT(N(Tabela17[Código]=Tabela3[[#This Row],[PAPEL]]),Tabela17[Fechamento])</f>
        <v>0</v>
      </c>
      <c r="AZ126" s="7">
        <f>SUMPRODUCT(N(Tabela176[Código]=Tabela3[[#This Row],[PAPEL]]),Tabela176[Fechamento])</f>
        <v>0</v>
      </c>
      <c r="BA126" s="7">
        <f>SUMPRODUCT(N(Tabela1768[Código]=Tabela3[[#This Row],[PAPEL]]),Tabela1768[Fechamento])</f>
        <v>0</v>
      </c>
      <c r="BB126" s="7">
        <f>SUMPRODUCT(N(Tabela17683[Código]=Tabela3[[#This Row],[PAPEL]]),Tabela17683[Fechamento])</f>
        <v>4.53</v>
      </c>
    </row>
    <row r="127" spans="1:54" hidden="1">
      <c r="A127" s="3" t="s">
        <v>1497</v>
      </c>
      <c r="B127" s="57" t="s">
        <v>1465</v>
      </c>
      <c r="C127" s="16" t="str">
        <f>LEFT([PAPEL],LEN([PAPEL])-(LEN([PAPEL])-4))</f>
        <v>POMO</v>
      </c>
      <c r="D127" s="16">
        <v>3</v>
      </c>
      <c r="E127" s="5">
        <v>700000000</v>
      </c>
      <c r="F127" s="56">
        <v>555274340</v>
      </c>
      <c r="G127" s="81">
        <v>0.25</v>
      </c>
      <c r="H127" s="87"/>
      <c r="J127" s="18"/>
      <c r="K127" s="16"/>
      <c r="L127" s="87"/>
      <c r="M127" s="54"/>
      <c r="N127" s="54"/>
      <c r="O127" s="54"/>
      <c r="P127" s="91">
        <v>1410684000</v>
      </c>
      <c r="Q127" s="73">
        <v>214808000</v>
      </c>
      <c r="R127" s="73">
        <f>IF(Tabela3[[#This Row],[Ativo || Passivo]]&gt;0,Tabela3[[#This Row],[Ativo || Passivo]]-Tabela3[[#This Row],[Patrimônio Líquido]],0)</f>
        <v>0</v>
      </c>
      <c r="S127" s="73">
        <f>Tabela3[[#This Row],[Cotação]]*Tabela3[[#This Row],[Total Ações]]</f>
        <v>4215430394.8000002</v>
      </c>
      <c r="T127" s="37">
        <f>IF(Tabela3[[#This Row],[Passivo Circulante]]&gt;0,Tabela3[[#This Row],[Ativo Circulante]]/Tabela3[[#This Row],[Passivo Circulante]],0)</f>
        <v>0</v>
      </c>
      <c r="U127" s="37">
        <f>SUMPRODUCT(N([Liquidez Corrente]&gt;0),N(RIGHT([PAPEL],LEN([PAPEL])-(LEN([PAPEL])-1))="3"),[Liquidez Corrente])/SUMPRODUCT(N([Liquidez Corrente]&gt;0),N(RIGHT([PAPEL],LEN([PAPEL])-(LEN([PAPEL])-1))="3"))</f>
        <v>2.331224473064915</v>
      </c>
      <c r="V127" s="18">
        <f>IF(Tabela3[[#This Row],[Lucro Líquido]]&gt;0,Tabela3[[#This Row],[Lucro Líquido]]/Tabela3[[#This Row],[Patrimônio Líquido]],0)</f>
        <v>0.15227223105954274</v>
      </c>
      <c r="W127" s="18">
        <f>SUMPRODUCT(N([Rentabilidade s/ PL]&gt;0),N(RIGHT([PAPEL],LEN([PAPEL])-(LEN([PAPEL])-1))="3"),[Rentabilidade s/ PL])/SUMPRODUCT(N([Rentabilidade s/ PL]&gt;0),N(RIGHT([PAPEL],LEN([PAPEL])-(LEN([PAPEL])-1))="3"))</f>
        <v>0.1261051308670782</v>
      </c>
      <c r="X127" s="18">
        <f>IF(Tabela3[[#This Row],[Dívida]]&gt;0,Tabela3[[#This Row],[Dívida]]/Tabela3[[#This Row],[Patrimônio Líquido]],0)</f>
        <v>0</v>
      </c>
      <c r="Y127" s="18">
        <f>SUMPRODUCT(N([Dívida / PL]&gt;0),N(RIGHT([PAPEL],LEN([PAPEL])-(LEN([PAPEL])-1))="3"),[Dívida / PL])/SUMPRODUCT(N([Dívida / PL]&gt;0),N(RIGHT([PAPEL],LEN([PAPEL])-(LEN([PAPEL])-1))="3"))</f>
        <v>2.1510410379481146</v>
      </c>
      <c r="Z127" s="7">
        <f>Tabela3[[#This Row],[Capital Social]]*20%</f>
        <v>140000000</v>
      </c>
      <c r="AA127" s="47">
        <f>IF(([Lucro Líquido]*5%)&gt;[Teto R. Legal],[Teto R. Legal],[Lucro Líquido]*5%)</f>
        <v>10740400</v>
      </c>
      <c r="AB127" s="47">
        <f>IF([Lucro Líquido]&lt;0,0,[Lucro Líquido]-[Reserva Legal])</f>
        <v>204067600</v>
      </c>
      <c r="AC127" s="47">
        <f>Tabela3[[#This Row],[Lucro Distribuir]]*[%Div]</f>
        <v>51016900</v>
      </c>
      <c r="AD127" s="56">
        <f>SUMPRODUCT(N([Nome]=Tabela3[[#This Row],[Nome]]),[Ações])</f>
        <v>896900084</v>
      </c>
      <c r="AE127" s="85">
        <f>[Capital Social]/[Total Ações]</f>
        <v>0.78046597663157313</v>
      </c>
      <c r="AF127" s="85">
        <f>Tabela3[[#This Row],[Lucro Líquido]]/Tabela3[[#This Row],[Total Ações]]</f>
        <v>0.23950047929753568</v>
      </c>
      <c r="AG127" s="85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5.6881363833164722E-2</v>
      </c>
      <c r="AH127" s="85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127" s="77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127" s="85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5.6881363833164722E-2</v>
      </c>
      <c r="AK127" s="7">
        <f>[Div Base]*[Ações]</f>
        <v>31584761.760760412</v>
      </c>
      <c r="AL127" s="120">
        <f>SUMPRODUCT(N([Nome]=Tabela3[[#This Row],[Nome]]),[Div Base]*[Ações])</f>
        <v>51016900</v>
      </c>
      <c r="AM127" s="5">
        <f>[Patrimônio Líquido]/[Total Ações]</f>
        <v>1.5728440939693344</v>
      </c>
      <c r="AN127" s="52">
        <f>MAX(Tabela3[[#This Row],[Cotação 1]:[Cotação 5]])</f>
        <v>4.7</v>
      </c>
      <c r="AO127" s="53">
        <f>[Cotação]/[VPA]</f>
        <v>2.9882173433596755</v>
      </c>
      <c r="AP127" s="37">
        <f>IF(Tabela3[[#This Row],[Lucro/Ação]]&gt;0,Tabela3[[#This Row],[Cotação]]/(Tabela3[[#This Row],[Lucro/Ação]]/[Ref]*4),0)</f>
        <v>14.718133384697031</v>
      </c>
      <c r="AQ127" s="85">
        <f>[Lucro Distribuir]/[Total Ações]</f>
        <v>0.22752545533265889</v>
      </c>
      <c r="AR127" s="85">
        <f>IF([Unit ON]&gt;0,SUMPRODUCT(N([Nome]=Tabela3[[#This Row],[Nome]]),N(RIGHT([PAPEL],1)="3"),[Div Base])*[Unit ON]+SUMPRODUCT(N([Nome]=Tabela3[[#This Row],[Nome]]),N(RIGHT([PAPEL],1)="4"),[Div Base])*[Unit PN],[Div Base])</f>
        <v>5.6881363833164722E-2</v>
      </c>
      <c r="AS127" s="10" t="str">
        <f>IF(AND([% A.A.]&gt;=6%,SUMPRODUCT(N([Nome]=Tabela3[[#This Row],[Nome]]),[PL])&gt;0,[Rentabilidade s/ PL]&gt;=[Rentabilidade s/ PL Média]),"Sim","Não")</f>
        <v>Não</v>
      </c>
      <c r="AT127" s="22">
        <f>IF([Cotação]&gt;0,Tabela3[[#This Row],[Lucro]]/Tabela3[[#This Row],[Cotação]],0)</f>
        <v>1.2102417836843557E-2</v>
      </c>
      <c r="AU127" s="22">
        <f>((1+Tabela3[[#This Row],[% Yield]])^(1/(3*Tabela3[[#This Row],[Ref]])))^(12)-1</f>
        <v>1.616901857687969E-2</v>
      </c>
      <c r="AV127" s="10">
        <f>IF([Cotação]&gt;0,($BH$1/Tabela3[[#This Row],[Cotação]]-MOD($BH$1/Tabela3[[#This Row],[Cotação]],100)),)</f>
        <v>100</v>
      </c>
      <c r="AW127" s="7">
        <f>Tabela3[[#This Row],[Ativos]]*[Lucro]</f>
        <v>5.688136383316472</v>
      </c>
      <c r="AX127" s="7">
        <f>SUMPRODUCT(N(Tabela1[Código]=Tabela3[[#This Row],[PAPEL]]),Tabela1[Fechamento])</f>
        <v>0</v>
      </c>
      <c r="AY127" s="7">
        <f>SUMPRODUCT(N(Tabela17[Código]=Tabela3[[#This Row],[PAPEL]]),Tabela17[Fechamento])</f>
        <v>0</v>
      </c>
      <c r="AZ127" s="7">
        <f>SUMPRODUCT(N(Tabela176[Código]=Tabela3[[#This Row],[PAPEL]]),Tabela176[Fechamento])</f>
        <v>0</v>
      </c>
      <c r="BA127" s="7">
        <f>SUMPRODUCT(N(Tabela1768[Código]=Tabela3[[#This Row],[PAPEL]]),Tabela1768[Fechamento])</f>
        <v>0</v>
      </c>
      <c r="BB127" s="7">
        <f>SUMPRODUCT(N(Tabela17683[Código]=Tabela3[[#This Row],[PAPEL]]),Tabela17683[Fechamento])</f>
        <v>4.7</v>
      </c>
    </row>
    <row r="128" spans="1:54" hidden="1">
      <c r="A128" s="3" t="s">
        <v>1196</v>
      </c>
      <c r="B128" s="57" t="s">
        <v>1211</v>
      </c>
      <c r="C128" s="16" t="str">
        <f>LEFT([PAPEL],LEN([PAPEL])-(LEN([PAPEL])-4))</f>
        <v>HBOR</v>
      </c>
      <c r="D128" s="16">
        <v>3</v>
      </c>
      <c r="E128" s="5">
        <v>806376305</v>
      </c>
      <c r="F128" s="56">
        <v>257699937</v>
      </c>
      <c r="G128" s="81">
        <v>0.5</v>
      </c>
      <c r="H128" s="87"/>
      <c r="J128" s="18"/>
      <c r="K128" s="16"/>
      <c r="L128" s="87"/>
      <c r="M128" s="47">
        <v>1551852000</v>
      </c>
      <c r="N128" s="47">
        <v>117228000</v>
      </c>
      <c r="O128" s="47">
        <v>74274000</v>
      </c>
      <c r="P128" s="91">
        <v>1247354000</v>
      </c>
      <c r="Q128" s="73">
        <v>211777000</v>
      </c>
      <c r="R128" s="73">
        <f>IF(Tabela3[[#This Row],[Ativo || Passivo]]&gt;0,Tabela3[[#This Row],[Ativo || Passivo]]-Tabela3[[#This Row],[Patrimônio Líquido]],0)</f>
        <v>304498000</v>
      </c>
      <c r="S128" s="7">
        <f>Tabela3[[#This Row],[Cotação]]*Tabela3[[#This Row],[Total Ações]]</f>
        <v>1788437562.7800002</v>
      </c>
      <c r="T128" s="37">
        <f>IF(Tabela3[[#This Row],[Passivo Circulante]]&gt;0,Tabela3[[#This Row],[Ativo Circulante]]/Tabela3[[#This Row],[Passivo Circulante]],0)</f>
        <v>1.578318119395751</v>
      </c>
      <c r="U128" s="37">
        <f>SUMPRODUCT(N([Liquidez Corrente]&gt;0),N(RIGHT([PAPEL],LEN([PAPEL])-(LEN([PAPEL])-1))="3"),[Liquidez Corrente])/SUMPRODUCT(N([Liquidez Corrente]&gt;0),N(RIGHT([PAPEL],LEN([PAPEL])-(LEN([PAPEL])-1))="3"))</f>
        <v>2.331224473064915</v>
      </c>
      <c r="V128" s="18">
        <f>IF(Tabela3[[#This Row],[Lucro Líquido]]&gt;0,Tabela3[[#This Row],[Lucro Líquido]]/Tabela3[[#This Row],[Patrimônio Líquido]],0)</f>
        <v>0.1697809924047223</v>
      </c>
      <c r="W128" s="18">
        <f>SUMPRODUCT(N([Rentabilidade s/ PL]&gt;0),N(RIGHT([PAPEL],LEN([PAPEL])-(LEN([PAPEL])-1))="3"),[Rentabilidade s/ PL])/SUMPRODUCT(N([Rentabilidade s/ PL]&gt;0),N(RIGHT([PAPEL],LEN([PAPEL])-(LEN([PAPEL])-1))="3"))</f>
        <v>0.1261051308670782</v>
      </c>
      <c r="X128" s="18">
        <f>IF(Tabela3[[#This Row],[Dívida]]&gt;0,Tabela3[[#This Row],[Dívida]]/Tabela3[[#This Row],[Patrimônio Líquido]],0)</f>
        <v>0.24411514293456388</v>
      </c>
      <c r="Y128" s="18">
        <f>SUMPRODUCT(N([Dívida / PL]&gt;0),N(RIGHT([PAPEL],LEN([PAPEL])-(LEN([PAPEL])-1))="3"),[Dívida / PL])/SUMPRODUCT(N([Dívida / PL]&gt;0),N(RIGHT([PAPEL],LEN([PAPEL])-(LEN([PAPEL])-1))="3"))</f>
        <v>2.1510410379481146</v>
      </c>
      <c r="Z128" s="7">
        <f>Tabela3[[#This Row],[Capital Social]]*20%</f>
        <v>161275261</v>
      </c>
      <c r="AA128" s="47">
        <f>IF(([Lucro Líquido]*5%)&gt;[Teto R. Legal],[Teto R. Legal],[Lucro Líquido]*5%)</f>
        <v>10588850</v>
      </c>
      <c r="AB128" s="47">
        <f>IF([Lucro Líquido]&lt;0,0,[Lucro Líquido]-[Reserva Legal])</f>
        <v>201188150</v>
      </c>
      <c r="AC128" s="47">
        <f>Tabela3[[#This Row],[Lucro Distribuir]]*[%Div]</f>
        <v>100594075</v>
      </c>
      <c r="AD128" s="56">
        <f>SUMPRODUCT(N([Nome]=Tabela3[[#This Row],[Nome]]),[Ações])</f>
        <v>257699937</v>
      </c>
      <c r="AE128" s="85">
        <f>[Capital Social]/[Total Ações]</f>
        <v>3.1291288402604458</v>
      </c>
      <c r="AF128" s="85">
        <f>Tabela3[[#This Row],[Lucro Líquido]]/Tabela3[[#This Row],[Total Ações]]</f>
        <v>0.82179686369112304</v>
      </c>
      <c r="AG128" s="85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0.39035351025328346</v>
      </c>
      <c r="AH128" s="85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128" s="77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128" s="85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0.39035351025328346</v>
      </c>
      <c r="AK128" s="7">
        <f>[Div Base]*[Ações]</f>
        <v>100594075</v>
      </c>
      <c r="AL128" s="120">
        <f>SUMPRODUCT(N([Nome]=Tabela3[[#This Row],[Nome]]),[Div Base]*[Ações])</f>
        <v>100594075</v>
      </c>
      <c r="AM128" s="5">
        <f>[Patrimônio Líquido]/[Total Ações]</f>
        <v>4.8403349046996471</v>
      </c>
      <c r="AN128" s="52">
        <f>MAX(Tabela3[[#This Row],[Cotação 1]:[Cotação 5]])</f>
        <v>6.94</v>
      </c>
      <c r="AO128" s="53">
        <f>[Cotação]/[VPA]</f>
        <v>1.4337850864950927</v>
      </c>
      <c r="AP128" s="37">
        <f>IF(Tabela3[[#This Row],[Lucro/Ação]]&gt;0,Tabela3[[#This Row],[Cotação]]/(Tabela3[[#This Row],[Lucro/Ação]]/[Ref]*4),0)</f>
        <v>6.333681996085506</v>
      </c>
      <c r="AQ128" s="85">
        <f>[Lucro Distribuir]/[Total Ações]</f>
        <v>0.78070702050656693</v>
      </c>
      <c r="AR128" s="85">
        <f>IF([Unit ON]&gt;0,SUMPRODUCT(N([Nome]=Tabela3[[#This Row],[Nome]]),N(RIGHT([PAPEL],1)="3"),[Div Base])*[Unit ON]+SUMPRODUCT(N([Nome]=Tabela3[[#This Row],[Nome]]),N(RIGHT([PAPEL],1)="4"),[Div Base])*[Unit PN],[Div Base])</f>
        <v>0.39035351025328346</v>
      </c>
      <c r="AS128" s="10" t="str">
        <f>IF(AND([% A.A.]&gt;=6%,SUMPRODUCT(N([Nome]=Tabela3[[#This Row],[Nome]]),[PL])&gt;0,[Rentabilidade s/ PL]&gt;=[Rentabilidade s/ PL Média]),"Sim","Não")</f>
        <v>Sim</v>
      </c>
      <c r="AT128" s="22">
        <f>IF([Cotação]&gt;0,Tabela3[[#This Row],[Lucro]]/Tabela3[[#This Row],[Cotação]],0)</f>
        <v>5.6246903494709427E-2</v>
      </c>
      <c r="AU128" s="22">
        <f>((1+Tabela3[[#This Row],[% Yield]])^(1/(3*Tabela3[[#This Row],[Ref]])))^(12)-1</f>
        <v>7.5690331279576695E-2</v>
      </c>
      <c r="AV128" s="14">
        <f>IF([Cotação]&gt;0,($BH$1/Tabela3[[#This Row],[Cotação]]-MOD($BH$1/Tabela3[[#This Row],[Cotação]],100)),)</f>
        <v>0</v>
      </c>
      <c r="AW128" s="7">
        <f>Tabela3[[#This Row],[Ativos]]*[Lucro]</f>
        <v>0</v>
      </c>
      <c r="AX128" s="7">
        <f>SUMPRODUCT(N(Tabela1[Código]=Tabela3[[#This Row],[PAPEL]]),Tabela1[Fechamento])</f>
        <v>0</v>
      </c>
      <c r="AY128" s="7">
        <f>SUMPRODUCT(N(Tabela17[Código]=Tabela3[[#This Row],[PAPEL]]),Tabela17[Fechamento])</f>
        <v>0</v>
      </c>
      <c r="AZ128" s="7">
        <f>SUMPRODUCT(N(Tabela176[Código]=Tabela3[[#This Row],[PAPEL]]),Tabela176[Fechamento])</f>
        <v>0</v>
      </c>
      <c r="BA128" s="7">
        <f>SUMPRODUCT(N(Tabela1768[Código]=Tabela3[[#This Row],[PAPEL]]),Tabela1768[Fechamento])</f>
        <v>6.94</v>
      </c>
      <c r="BB128" s="7">
        <f>SUMPRODUCT(N(Tabela17683[Código]=Tabela3[[#This Row],[PAPEL]]),Tabela17683[Fechamento])</f>
        <v>0</v>
      </c>
    </row>
    <row r="129" spans="1:54" hidden="1">
      <c r="A129" s="3" t="s">
        <v>1099</v>
      </c>
      <c r="B129" s="58" t="s">
        <v>1100</v>
      </c>
      <c r="C129" s="16" t="str">
        <f>LEFT([PAPEL],LEN([PAPEL])-(LEN([PAPEL])-4))</f>
        <v>NETC</v>
      </c>
      <c r="D129" s="16">
        <v>3</v>
      </c>
      <c r="E129" s="5">
        <v>5612242940.9700003</v>
      </c>
      <c r="F129" s="56">
        <v>114459685</v>
      </c>
      <c r="G129" s="81">
        <v>0.25</v>
      </c>
      <c r="H129" s="87"/>
      <c r="J129" s="18"/>
      <c r="K129" s="16"/>
      <c r="L129" s="87"/>
      <c r="M129" s="54"/>
      <c r="N129" s="54"/>
      <c r="O129" s="54"/>
      <c r="P129" s="91">
        <v>5758900000</v>
      </c>
      <c r="Q129" s="73">
        <v>202336000</v>
      </c>
      <c r="R129" s="73">
        <f>IF(Tabela3[[#This Row],[Ativo || Passivo]]&gt;0,Tabela3[[#This Row],[Ativo || Passivo]]-Tabela3[[#This Row],[Patrimônio Líquido]],0)</f>
        <v>0</v>
      </c>
      <c r="S129" s="73">
        <f>Tabela3[[#This Row],[Cotação]]*Tabela3[[#This Row],[Total Ações]]</f>
        <v>10196307857.73</v>
      </c>
      <c r="T129" s="37">
        <f>IF(Tabela3[[#This Row],[Passivo Circulante]]&gt;0,Tabela3[[#This Row],[Ativo Circulante]]/Tabela3[[#This Row],[Passivo Circulante]],0)</f>
        <v>0</v>
      </c>
      <c r="U129" s="37">
        <f>SUMPRODUCT(N([Liquidez Corrente]&gt;0),N(RIGHT([PAPEL],LEN([PAPEL])-(LEN([PAPEL])-1))="3"),[Liquidez Corrente])/SUMPRODUCT(N([Liquidez Corrente]&gt;0),N(RIGHT([PAPEL],LEN([PAPEL])-(LEN([PAPEL])-1))="3"))</f>
        <v>2.331224473064915</v>
      </c>
      <c r="V129" s="18">
        <f>IF(Tabela3[[#This Row],[Lucro Líquido]]&gt;0,Tabela3[[#This Row],[Lucro Líquido]]/Tabela3[[#This Row],[Patrimônio Líquido]],0)</f>
        <v>3.513448748893018E-2</v>
      </c>
      <c r="W129" s="18">
        <f>SUMPRODUCT(N([Rentabilidade s/ PL]&gt;0),N(RIGHT([PAPEL],LEN([PAPEL])-(LEN([PAPEL])-1))="3"),[Rentabilidade s/ PL])/SUMPRODUCT(N([Rentabilidade s/ PL]&gt;0),N(RIGHT([PAPEL],LEN([PAPEL])-(LEN([PAPEL])-1))="3"))</f>
        <v>0.1261051308670782</v>
      </c>
      <c r="X129" s="18">
        <f>IF(Tabela3[[#This Row],[Dívida]]&gt;0,Tabela3[[#This Row],[Dívida]]/Tabela3[[#This Row],[Patrimônio Líquido]],0)</f>
        <v>0</v>
      </c>
      <c r="Y129" s="18">
        <f>SUMPRODUCT(N([Dívida / PL]&gt;0),N(RIGHT([PAPEL],LEN([PAPEL])-(LEN([PAPEL])-1))="3"),[Dívida / PL])/SUMPRODUCT(N([Dívida / PL]&gt;0),N(RIGHT([PAPEL],LEN([PAPEL])-(LEN([PAPEL])-1))="3"))</f>
        <v>2.1510410379481146</v>
      </c>
      <c r="Z129" s="7">
        <f>Tabela3[[#This Row],[Capital Social]]*20%</f>
        <v>1122448588.194</v>
      </c>
      <c r="AA129" s="47">
        <f>IF(([Lucro Líquido]*5%)&gt;[Teto R. Legal],[Teto R. Legal],[Lucro Líquido]*5%)</f>
        <v>10116800</v>
      </c>
      <c r="AB129" s="47">
        <f>IF([Lucro Líquido]&lt;0,0,[Lucro Líquido]-[Reserva Legal])</f>
        <v>192219200</v>
      </c>
      <c r="AC129" s="47">
        <f>Tabela3[[#This Row],[Lucro Distribuir]]*[%Div]</f>
        <v>48054800</v>
      </c>
      <c r="AD129" s="56">
        <f>SUMPRODUCT(N([Nome]=Tabela3[[#This Row],[Nome]]),[Ações])</f>
        <v>342963601</v>
      </c>
      <c r="AE129" s="85">
        <f>[Capital Social]/[Total Ações]</f>
        <v>16.363960853589241</v>
      </c>
      <c r="AF129" s="85">
        <f>Tabela3[[#This Row],[Lucro Líquido]]/Tabela3[[#This Row],[Total Ações]]</f>
        <v>0.58996348128500087</v>
      </c>
      <c r="AG129" s="85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0.13575677507193401</v>
      </c>
      <c r="AH129" s="85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129" s="77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129" s="85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0.13575677507193401</v>
      </c>
      <c r="AK129" s="7">
        <f>[Div Base]*[Ações]</f>
        <v>15538677.711349418</v>
      </c>
      <c r="AL129" s="7">
        <f>SUMPRODUCT(N([Nome]=Tabela3[[#This Row],[Nome]]),[Div Base]*[Ações])</f>
        <v>49661727.958309345</v>
      </c>
      <c r="AM129" s="5">
        <f>[Patrimônio Líquido]/[Total Ações]</f>
        <v>16.791577832774156</v>
      </c>
      <c r="AN129" s="52">
        <f>MAX(Tabela3[[#This Row],[Cotação 1]:[Cotação 5]])</f>
        <v>29.73</v>
      </c>
      <c r="AO129" s="53">
        <f>[Cotação]/[VPA]</f>
        <v>1.7705304585476394</v>
      </c>
      <c r="AP129" s="37">
        <f>IF(Tabela3[[#This Row],[Lucro/Ação]]&gt;0,Tabela3[[#This Row],[Cotação]]/(Tabela3[[#This Row],[Lucro/Ação]]/[Ref]*4),0)</f>
        <v>37.794712227668334</v>
      </c>
      <c r="AQ129" s="85">
        <f>[Lucro Distribuir]/[Total Ações]</f>
        <v>0.56046530722075083</v>
      </c>
      <c r="AR129" s="85">
        <f>IF([Unit ON]&gt;0,SUMPRODUCT(N([Nome]=Tabela3[[#This Row],[Nome]]),N(RIGHT([PAPEL],1)="3"),[Div Base])*[Unit ON]+SUMPRODUCT(N([Nome]=Tabela3[[#This Row],[Nome]]),N(RIGHT([PAPEL],1)="4"),[Div Base])*[Unit PN],[Div Base])</f>
        <v>0.13575677507193401</v>
      </c>
      <c r="AS129" s="10" t="str">
        <f>IF(AND([% A.A.]&gt;=6%,SUMPRODUCT(N([Nome]=Tabela3[[#This Row],[Nome]]),[PL])&gt;0,[Rentabilidade s/ PL]&gt;=[Rentabilidade s/ PL Média]),"Sim","Não")</f>
        <v>Não</v>
      </c>
      <c r="AT129" s="22">
        <f>IF([Cotação]&gt;0,Tabela3[[#This Row],[Lucro]]/Tabela3[[#This Row],[Cotação]],0)</f>
        <v>4.5663227403946859E-3</v>
      </c>
      <c r="AU129" s="22">
        <f>((1+Tabela3[[#This Row],[% Yield]])^(1/(3*Tabela3[[#This Row],[Ref]])))^(12)-1</f>
        <v>6.0930592505072934E-3</v>
      </c>
      <c r="AV129" s="10">
        <f>IF([Cotação]&gt;0,($BH$1/Tabela3[[#This Row],[Cotação]]-MOD($BH$1/Tabela3[[#This Row],[Cotação]],100)),)</f>
        <v>0</v>
      </c>
      <c r="AW129" s="7">
        <f>Tabela3[[#This Row],[Ativos]]*[Lucro]</f>
        <v>0</v>
      </c>
      <c r="AX129" s="7">
        <f>SUMPRODUCT(N(Tabela1[Código]=Tabela3[[#This Row],[PAPEL]]),Tabela1[Fechamento])</f>
        <v>0</v>
      </c>
      <c r="AY129" s="7">
        <f>SUMPRODUCT(N(Tabela17[Código]=Tabela3[[#This Row],[PAPEL]]),Tabela17[Fechamento])</f>
        <v>0</v>
      </c>
      <c r="AZ129" s="7">
        <f>SUMPRODUCT(N(Tabela176[Código]=Tabela3[[#This Row],[PAPEL]]),Tabela176[Fechamento])</f>
        <v>0</v>
      </c>
      <c r="BA129" s="7">
        <f>SUMPRODUCT(N(Tabela1768[Código]=Tabela3[[#This Row],[PAPEL]]),Tabela1768[Fechamento])</f>
        <v>29.73</v>
      </c>
      <c r="BB129" s="7">
        <f>SUMPRODUCT(N(Tabela17683[Código]=Tabela3[[#This Row],[PAPEL]]),Tabela17683[Fechamento])</f>
        <v>0</v>
      </c>
    </row>
    <row r="130" spans="1:54" hidden="1">
      <c r="A130" s="3" t="s">
        <v>1099</v>
      </c>
      <c r="B130" s="58" t="s">
        <v>1101</v>
      </c>
      <c r="C130" s="16" t="str">
        <f>LEFT([PAPEL],LEN([PAPEL])-(LEN([PAPEL])-4))</f>
        <v>NETC</v>
      </c>
      <c r="D130" s="16">
        <v>3</v>
      </c>
      <c r="E130" s="5">
        <v>5612242940.9700003</v>
      </c>
      <c r="F130" s="56">
        <v>228503916</v>
      </c>
      <c r="G130" s="81">
        <v>0.25</v>
      </c>
      <c r="H130" s="87"/>
      <c r="J130" s="18">
        <v>0.1</v>
      </c>
      <c r="K130" s="16"/>
      <c r="L130" s="87"/>
      <c r="M130" s="54"/>
      <c r="N130" s="54"/>
      <c r="O130" s="54"/>
      <c r="P130" s="91">
        <v>5758900000</v>
      </c>
      <c r="Q130" s="73">
        <v>202336000</v>
      </c>
      <c r="R130" s="73">
        <f>IF(Tabela3[[#This Row],[Ativo || Passivo]]&gt;0,Tabela3[[#This Row],[Ativo || Passivo]]-Tabela3[[#This Row],[Patrimônio Líquido]],0)</f>
        <v>0</v>
      </c>
      <c r="S130" s="73">
        <f>Tabela3[[#This Row],[Cotação]]*Tabela3[[#This Row],[Total Ações]]</f>
        <v>10686745807.16</v>
      </c>
      <c r="T130" s="37">
        <f>IF(Tabela3[[#This Row],[Passivo Circulante]]&gt;0,Tabela3[[#This Row],[Ativo Circulante]]/Tabela3[[#This Row],[Passivo Circulante]],0)</f>
        <v>0</v>
      </c>
      <c r="U130" s="37">
        <f>SUMPRODUCT(N([Liquidez Corrente]&gt;0),N(RIGHT([PAPEL],LEN([PAPEL])-(LEN([PAPEL])-1))="3"),[Liquidez Corrente])/SUMPRODUCT(N([Liquidez Corrente]&gt;0),N(RIGHT([PAPEL],LEN([PAPEL])-(LEN([PAPEL])-1))="3"))</f>
        <v>2.331224473064915</v>
      </c>
      <c r="V130" s="18">
        <f>IF(Tabela3[[#This Row],[Lucro Líquido]]&gt;0,Tabela3[[#This Row],[Lucro Líquido]]/Tabela3[[#This Row],[Patrimônio Líquido]],0)</f>
        <v>3.513448748893018E-2</v>
      </c>
      <c r="W130" s="18">
        <f>SUMPRODUCT(N([Rentabilidade s/ PL]&gt;0),N(RIGHT([PAPEL],LEN([PAPEL])-(LEN([PAPEL])-1))="3"),[Rentabilidade s/ PL])/SUMPRODUCT(N([Rentabilidade s/ PL]&gt;0),N(RIGHT([PAPEL],LEN([PAPEL])-(LEN([PAPEL])-1))="3"))</f>
        <v>0.1261051308670782</v>
      </c>
      <c r="X130" s="18">
        <f>IF(Tabela3[[#This Row],[Dívida]]&gt;0,Tabela3[[#This Row],[Dívida]]/Tabela3[[#This Row],[Patrimônio Líquido]],0)</f>
        <v>0</v>
      </c>
      <c r="Y130" s="18">
        <f>SUMPRODUCT(N([Dívida / PL]&gt;0),N(RIGHT([PAPEL],LEN([PAPEL])-(LEN([PAPEL])-1))="3"),[Dívida / PL])/SUMPRODUCT(N([Dívida / PL]&gt;0),N(RIGHT([PAPEL],LEN([PAPEL])-(LEN([PAPEL])-1))="3"))</f>
        <v>2.1510410379481146</v>
      </c>
      <c r="Z130" s="7">
        <f>Tabela3[[#This Row],[Capital Social]]*20%</f>
        <v>1122448588.194</v>
      </c>
      <c r="AA130" s="47">
        <f>IF(([Lucro Líquido]*5%)&gt;[Teto R. Legal],[Teto R. Legal],[Lucro Líquido]*5%)</f>
        <v>10116800</v>
      </c>
      <c r="AB130" s="47">
        <f>IF([Lucro Líquido]&lt;0,0,[Lucro Líquido]-[Reserva Legal])</f>
        <v>192219200</v>
      </c>
      <c r="AC130" s="47">
        <f>Tabela3[[#This Row],[Lucro Distribuir]]*[%Div]</f>
        <v>48054800</v>
      </c>
      <c r="AD130" s="56">
        <f>SUMPRODUCT(N([Nome]=Tabela3[[#This Row],[Nome]]),[Ações])</f>
        <v>342963601</v>
      </c>
      <c r="AE130" s="85">
        <f>[Capital Social]/[Total Ações]</f>
        <v>16.363960853589241</v>
      </c>
      <c r="AF130" s="85">
        <f>Tabela3[[#This Row],[Lucro Líquido]]/Tabela3[[#This Row],[Total Ações]]</f>
        <v>0.58996348128500087</v>
      </c>
      <c r="AG130" s="85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0.14933245278369725</v>
      </c>
      <c r="AH130" s="85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130" s="77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130" s="85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0.14933245278369725</v>
      </c>
      <c r="AK130" s="7">
        <f>[Div Base]*[Ações]</f>
        <v>34123050.246959925</v>
      </c>
      <c r="AL130" s="7">
        <f>SUMPRODUCT(N([Nome]=Tabela3[[#This Row],[Nome]]),[Div Base]*[Ações])</f>
        <v>49661727.958309345</v>
      </c>
      <c r="AM130" s="5">
        <f>[Patrimônio Líquido]/[Total Ações]</f>
        <v>16.791577832774156</v>
      </c>
      <c r="AN130" s="52">
        <f>MAX(Tabela3[[#This Row],[Cotação 1]:[Cotação 5]])</f>
        <v>31.16</v>
      </c>
      <c r="AO130" s="53">
        <f>[Cotação]/[VPA]</f>
        <v>1.8556921994061366</v>
      </c>
      <c r="AP130" s="37">
        <f>IF(Tabela3[[#This Row],[Lucro/Ação]]&gt;0,Tabela3[[#This Row],[Cotação]]/(Tabela3[[#This Row],[Lucro/Ação]]/[Ref]*4),0)</f>
        <v>39.612621359372525</v>
      </c>
      <c r="AQ130" s="85">
        <f>[Lucro Distribuir]/[Total Ações]</f>
        <v>0.56046530722075083</v>
      </c>
      <c r="AR130" s="85">
        <f>IF([Unit ON]&gt;0,SUMPRODUCT(N([Nome]=Tabela3[[#This Row],[Nome]]),N(RIGHT([PAPEL],1)="3"),[Div Base])*[Unit ON]+SUMPRODUCT(N([Nome]=Tabela3[[#This Row],[Nome]]),N(RIGHT([PAPEL],1)="4"),[Div Base])*[Unit PN],[Div Base])</f>
        <v>0.14933245278369725</v>
      </c>
      <c r="AS130" s="10" t="str">
        <f>IF(AND([% A.A.]&gt;=6%,SUMPRODUCT(N([Nome]=Tabela3[[#This Row],[Nome]]),[PL])&gt;0,[Rentabilidade s/ PL]&gt;=[Rentabilidade s/ PL Média]),"Sim","Não")</f>
        <v>Não</v>
      </c>
      <c r="AT130" s="22">
        <f>IF([Cotação]&gt;0,Tabela3[[#This Row],[Lucro]]/Tabela3[[#This Row],[Cotação]],0)</f>
        <v>4.792440718347152E-3</v>
      </c>
      <c r="AU130" s="22">
        <f>((1+Tabela3[[#This Row],[% Yield]])^(1/(3*Tabela3[[#This Row],[Ref]])))^(12)-1</f>
        <v>6.3950194192823329E-3</v>
      </c>
      <c r="AV130" s="10">
        <f>IF([Cotação]&gt;0,($BH$1/Tabela3[[#This Row],[Cotação]]-MOD($BH$1/Tabela3[[#This Row],[Cotação]],100)),)</f>
        <v>0</v>
      </c>
      <c r="AW130" s="7">
        <f>Tabela3[[#This Row],[Ativos]]*[Lucro]</f>
        <v>0</v>
      </c>
      <c r="AX130" s="7">
        <f>SUMPRODUCT(N(Tabela1[Código]=Tabela3[[#This Row],[PAPEL]]),Tabela1[Fechamento])</f>
        <v>0</v>
      </c>
      <c r="AY130" s="7">
        <f>SUMPRODUCT(N(Tabela17[Código]=Tabela3[[#This Row],[PAPEL]]),Tabela17[Fechamento])</f>
        <v>0</v>
      </c>
      <c r="AZ130" s="7">
        <f>SUMPRODUCT(N(Tabela176[Código]=Tabela3[[#This Row],[PAPEL]]),Tabela176[Fechamento])</f>
        <v>0</v>
      </c>
      <c r="BA130" s="7">
        <f>SUMPRODUCT(N(Tabela1768[Código]=Tabela3[[#This Row],[PAPEL]]),Tabela1768[Fechamento])</f>
        <v>31.16</v>
      </c>
      <c r="BB130" s="7">
        <f>SUMPRODUCT(N(Tabela17683[Código]=Tabela3[[#This Row],[PAPEL]]),Tabela17683[Fechamento])</f>
        <v>0</v>
      </c>
    </row>
    <row r="131" spans="1:54" hidden="1">
      <c r="A131" s="3" t="s">
        <v>818</v>
      </c>
      <c r="B131" s="58" t="s">
        <v>825</v>
      </c>
      <c r="C131" s="16" t="str">
        <f>LEFT([PAPEL],LEN([PAPEL])-(LEN([PAPEL])-4))</f>
        <v>HYPE</v>
      </c>
      <c r="D131" s="16">
        <v>3</v>
      </c>
      <c r="E131" s="5">
        <v>5269124421.04</v>
      </c>
      <c r="F131" s="56">
        <v>632100787</v>
      </c>
      <c r="G131" s="81">
        <v>0.25</v>
      </c>
      <c r="H131" s="87"/>
      <c r="J131" s="18"/>
      <c r="K131" s="16"/>
      <c r="L131" s="87"/>
      <c r="M131" s="54"/>
      <c r="N131" s="54"/>
      <c r="O131" s="54"/>
      <c r="P131" s="91">
        <v>7017182000</v>
      </c>
      <c r="Q131" s="73">
        <v>201804000</v>
      </c>
      <c r="R131" s="73">
        <f>IF(Tabela3[[#This Row],[Ativo || Passivo]]&gt;0,Tabela3[[#This Row],[Ativo || Passivo]]-Tabela3[[#This Row],[Patrimônio Líquido]],0)</f>
        <v>0</v>
      </c>
      <c r="S131" s="73">
        <f>Tabela3[[#This Row],[Cotação]]*Tabela3[[#This Row],[Total Ações]]</f>
        <v>9626894986.0100002</v>
      </c>
      <c r="T131" s="37">
        <f>IF(Tabela3[[#This Row],[Passivo Circulante]]&gt;0,Tabela3[[#This Row],[Ativo Circulante]]/Tabela3[[#This Row],[Passivo Circulante]],0)</f>
        <v>0</v>
      </c>
      <c r="U131" s="37">
        <f>SUMPRODUCT(N([Liquidez Corrente]&gt;0),N(RIGHT([PAPEL],LEN([PAPEL])-(LEN([PAPEL])-1))="3"),[Liquidez Corrente])/SUMPRODUCT(N([Liquidez Corrente]&gt;0),N(RIGHT([PAPEL],LEN([PAPEL])-(LEN([PAPEL])-1))="3"))</f>
        <v>2.331224473064915</v>
      </c>
      <c r="V131" s="18">
        <f>IF(Tabela3[[#This Row],[Lucro Líquido]]&gt;0,Tabela3[[#This Row],[Lucro Líquido]]/Tabela3[[#This Row],[Patrimônio Líquido]],0)</f>
        <v>2.8758552934782081E-2</v>
      </c>
      <c r="W131" s="18">
        <f>SUMPRODUCT(N([Rentabilidade s/ PL]&gt;0),N(RIGHT([PAPEL],LEN([PAPEL])-(LEN([PAPEL])-1))="3"),[Rentabilidade s/ PL])/SUMPRODUCT(N([Rentabilidade s/ PL]&gt;0),N(RIGHT([PAPEL],LEN([PAPEL])-(LEN([PAPEL])-1))="3"))</f>
        <v>0.1261051308670782</v>
      </c>
      <c r="X131" s="18">
        <f>IF(Tabela3[[#This Row],[Dívida]]&gt;0,Tabela3[[#This Row],[Dívida]]/Tabela3[[#This Row],[Patrimônio Líquido]],0)</f>
        <v>0</v>
      </c>
      <c r="Y131" s="18">
        <f>SUMPRODUCT(N([Dívida / PL]&gt;0),N(RIGHT([PAPEL],LEN([PAPEL])-(LEN([PAPEL])-1))="3"),[Dívida / PL])/SUMPRODUCT(N([Dívida / PL]&gt;0),N(RIGHT([PAPEL],LEN([PAPEL])-(LEN([PAPEL])-1))="3"))</f>
        <v>2.1510410379481146</v>
      </c>
      <c r="Z131" s="7">
        <f>Tabela3[[#This Row],[Capital Social]]*20%</f>
        <v>1053824884.2080001</v>
      </c>
      <c r="AA131" s="47">
        <f>IF(([Lucro Líquido]*5%)&gt;[Teto R. Legal],[Teto R. Legal],[Lucro Líquido]*5%)</f>
        <v>10090200</v>
      </c>
      <c r="AB131" s="47">
        <f>IF([Lucro Líquido]&lt;0,0,[Lucro Líquido]-[Reserva Legal])</f>
        <v>191713800</v>
      </c>
      <c r="AC131" s="47">
        <f>Tabela3[[#This Row],[Lucro Distribuir]]*[%Div]</f>
        <v>47928450</v>
      </c>
      <c r="AD131" s="56">
        <f>SUMPRODUCT(N([Nome]=Tabela3[[#This Row],[Nome]]),[Ações])</f>
        <v>632100787</v>
      </c>
      <c r="AE131" s="85">
        <f>[Capital Social]/[Total Ações]</f>
        <v>8.3358928345077352</v>
      </c>
      <c r="AF131" s="85">
        <f>Tabela3[[#This Row],[Lucro Líquido]]/Tabela3[[#This Row],[Total Ações]]</f>
        <v>0.31925921332542179</v>
      </c>
      <c r="AG131" s="85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7.5824063164787681E-2</v>
      </c>
      <c r="AH131" s="85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131" s="77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131" s="85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7.5824063164787681E-2</v>
      </c>
      <c r="AK131" s="7">
        <f>[Div Base]*[Ações]</f>
        <v>47928450</v>
      </c>
      <c r="AL131" s="7">
        <f>SUMPRODUCT(N([Nome]=Tabela3[[#This Row],[Nome]]),[Div Base]*[Ações])</f>
        <v>47928450</v>
      </c>
      <c r="AM131" s="5">
        <f>[Patrimônio Líquido]/[Total Ações]</f>
        <v>11.101365706731828</v>
      </c>
      <c r="AN131" s="52">
        <f>MAX(Tabela3[[#This Row],[Cotação 1]:[Cotação 5]])</f>
        <v>15.23</v>
      </c>
      <c r="AO131" s="53">
        <f>[Cotação]/[VPA]</f>
        <v>1.3719032776989397</v>
      </c>
      <c r="AP131" s="37">
        <f>IF(Tabela3[[#This Row],[Lucro/Ação]]&gt;0,Tabela3[[#This Row],[Cotação]]/(Tabela3[[#This Row],[Lucro/Ação]]/[Ref]*4),0)</f>
        <v>35.778137398205686</v>
      </c>
      <c r="AQ131" s="85">
        <f>[Lucro Distribuir]/[Total Ações]</f>
        <v>0.30329625265915072</v>
      </c>
      <c r="AR131" s="85">
        <f>IF([Unit ON]&gt;0,SUMPRODUCT(N([Nome]=Tabela3[[#This Row],[Nome]]),N(RIGHT([PAPEL],1)="3"),[Div Base])*[Unit ON]+SUMPRODUCT(N([Nome]=Tabela3[[#This Row],[Nome]]),N(RIGHT([PAPEL],1)="4"),[Div Base])*[Unit PN],[Div Base])</f>
        <v>7.5824063164787681E-2</v>
      </c>
      <c r="AS131" s="10" t="str">
        <f>IF(AND([% A.A.]&gt;=6%,SUMPRODUCT(N([Nome]=Tabela3[[#This Row],[Nome]]),[PL])&gt;0,[Rentabilidade s/ PL]&gt;=[Rentabilidade s/ PL Média]),"Sim","Não")</f>
        <v>Não</v>
      </c>
      <c r="AT131" s="22">
        <f>IF([Cotação]&gt;0,Tabela3[[#This Row],[Lucro]]/Tabela3[[#This Row],[Cotação]],0)</f>
        <v>4.978599025921712E-3</v>
      </c>
      <c r="AU131" s="22">
        <f>((1+Tabela3[[#This Row],[% Yield]])^(1/(3*Tabela3[[#This Row],[Ref]])))^(12)-1</f>
        <v>6.6436340528688298E-3</v>
      </c>
      <c r="AV131" s="10">
        <f>IF([Cotação]&gt;0,($BH$1/Tabela3[[#This Row],[Cotação]]-MOD($BH$1/Tabela3[[#This Row],[Cotação]],100)),)</f>
        <v>0</v>
      </c>
      <c r="AW131" s="7">
        <f>Tabela3[[#This Row],[Ativos]]*[Lucro]</f>
        <v>0</v>
      </c>
      <c r="AX131" s="7">
        <f>SUMPRODUCT(N(Tabela1[Código]=Tabela3[[#This Row],[PAPEL]]),Tabela1[Fechamento])</f>
        <v>0</v>
      </c>
      <c r="AY131" s="7">
        <f>SUMPRODUCT(N(Tabela17[Código]=Tabela3[[#This Row],[PAPEL]]),Tabela17[Fechamento])</f>
        <v>0</v>
      </c>
      <c r="AZ131" s="7">
        <f>SUMPRODUCT(N(Tabela176[Código]=Tabela3[[#This Row],[PAPEL]]),Tabela176[Fechamento])</f>
        <v>15.23</v>
      </c>
      <c r="BA131" s="7">
        <f>SUMPRODUCT(N(Tabela1768[Código]=Tabela3[[#This Row],[PAPEL]]),Tabela1768[Fechamento])</f>
        <v>0</v>
      </c>
      <c r="BB131" s="7">
        <f>SUMPRODUCT(N(Tabela17683[Código]=Tabela3[[#This Row],[PAPEL]]),Tabela17683[Fechamento])</f>
        <v>0</v>
      </c>
    </row>
    <row r="132" spans="1:54" hidden="1">
      <c r="A132" s="3" t="s">
        <v>1196</v>
      </c>
      <c r="B132" s="57" t="s">
        <v>1208</v>
      </c>
      <c r="C132" s="16" t="str">
        <f>LEFT([PAPEL],LEN([PAPEL])-(LEN([PAPEL])-4))</f>
        <v>EVEN</v>
      </c>
      <c r="D132" s="16">
        <v>3</v>
      </c>
      <c r="E132" s="5">
        <v>1083266389.5</v>
      </c>
      <c r="F132" s="56">
        <v>233293408</v>
      </c>
      <c r="G132" s="81">
        <v>0.25</v>
      </c>
      <c r="H132" s="87"/>
      <c r="J132" s="18"/>
      <c r="K132" s="16"/>
      <c r="L132" s="87"/>
      <c r="M132" s="54"/>
      <c r="N132" s="54"/>
      <c r="O132" s="54"/>
      <c r="P132" s="91">
        <v>1967466000</v>
      </c>
      <c r="Q132" s="73">
        <v>196335000</v>
      </c>
      <c r="R132" s="73">
        <f>IF(Tabela3[[#This Row],[Ativo || Passivo]]&gt;0,Tabela3[[#This Row],[Ativo || Passivo]]-Tabela3[[#This Row],[Patrimônio Líquido]],0)</f>
        <v>0</v>
      </c>
      <c r="S132" s="73">
        <f>Tabela3[[#This Row],[Cotação]]*Tabela3[[#This Row],[Total Ações]]</f>
        <v>1665714933.1199999</v>
      </c>
      <c r="T132" s="37">
        <f>IF(Tabela3[[#This Row],[Passivo Circulante]]&gt;0,Tabela3[[#This Row],[Ativo Circulante]]/Tabela3[[#This Row],[Passivo Circulante]],0)</f>
        <v>0</v>
      </c>
      <c r="U132" s="37">
        <f>SUMPRODUCT(N([Liquidez Corrente]&gt;0),N(RIGHT([PAPEL],LEN([PAPEL])-(LEN([PAPEL])-1))="3"),[Liquidez Corrente])/SUMPRODUCT(N([Liquidez Corrente]&gt;0),N(RIGHT([PAPEL],LEN([PAPEL])-(LEN([PAPEL])-1))="3"))</f>
        <v>2.331224473064915</v>
      </c>
      <c r="V132" s="18">
        <f>IF(Tabela3[[#This Row],[Lucro Líquido]]&gt;0,Tabela3[[#This Row],[Lucro Líquido]]/Tabela3[[#This Row],[Patrimônio Líquido]],0)</f>
        <v>9.9790796893059391E-2</v>
      </c>
      <c r="W132" s="18">
        <f>SUMPRODUCT(N([Rentabilidade s/ PL]&gt;0),N(RIGHT([PAPEL],LEN([PAPEL])-(LEN([PAPEL])-1))="3"),[Rentabilidade s/ PL])/SUMPRODUCT(N([Rentabilidade s/ PL]&gt;0),N(RIGHT([PAPEL],LEN([PAPEL])-(LEN([PAPEL])-1))="3"))</f>
        <v>0.1261051308670782</v>
      </c>
      <c r="X132" s="18">
        <f>IF(Tabela3[[#This Row],[Dívida]]&gt;0,Tabela3[[#This Row],[Dívida]]/Tabela3[[#This Row],[Patrimônio Líquido]],0)</f>
        <v>0</v>
      </c>
      <c r="Y132" s="18">
        <f>SUMPRODUCT(N([Dívida / PL]&gt;0),N(RIGHT([PAPEL],LEN([PAPEL])-(LEN([PAPEL])-1))="3"),[Dívida / PL])/SUMPRODUCT(N([Dívida / PL]&gt;0),N(RIGHT([PAPEL],LEN([PAPEL])-(LEN([PAPEL])-1))="3"))</f>
        <v>2.1510410379481146</v>
      </c>
      <c r="Z132" s="7">
        <f>Tabela3[[#This Row],[Capital Social]]*20%</f>
        <v>216653277.90000001</v>
      </c>
      <c r="AA132" s="47">
        <f>IF(([Lucro Líquido]*5%)&gt;[Teto R. Legal],[Teto R. Legal],[Lucro Líquido]*5%)</f>
        <v>9816750</v>
      </c>
      <c r="AB132" s="47">
        <f>IF([Lucro Líquido]&lt;0,0,[Lucro Líquido]-[Reserva Legal])</f>
        <v>186518250</v>
      </c>
      <c r="AC132" s="47">
        <f>Tabela3[[#This Row],[Lucro Distribuir]]*[%Div]</f>
        <v>46629562.5</v>
      </c>
      <c r="AD132" s="56">
        <f>SUMPRODUCT(N([Nome]=Tabela3[[#This Row],[Nome]]),[Ações])</f>
        <v>233293408</v>
      </c>
      <c r="AE132" s="85">
        <f>[Capital Social]/[Total Ações]</f>
        <v>4.6433647602250296</v>
      </c>
      <c r="AF132" s="85">
        <f>Tabela3[[#This Row],[Lucro Líquido]]/Tabela3[[#This Row],[Total Ações]]</f>
        <v>0.84157971578862611</v>
      </c>
      <c r="AG132" s="85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0.19987518249979871</v>
      </c>
      <c r="AH132" s="85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132" s="77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132" s="85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0.19987518249979871</v>
      </c>
      <c r="AK132" s="7">
        <f>[Div Base]*[Ações]</f>
        <v>46629562.5</v>
      </c>
      <c r="AL132" s="120">
        <f>SUMPRODUCT(N([Nome]=Tabela3[[#This Row],[Nome]]),[Div Base]*[Ações])</f>
        <v>46629562.5</v>
      </c>
      <c r="AM132" s="5">
        <f>[Patrimônio Líquido]/[Total Ações]</f>
        <v>8.4334401767580154</v>
      </c>
      <c r="AN132" s="52">
        <f>MAX(Tabela3[[#This Row],[Cotação 1]:[Cotação 5]])</f>
        <v>7.14</v>
      </c>
      <c r="AO132" s="53">
        <f>[Cotação]/[VPA]</f>
        <v>0.84662959010219241</v>
      </c>
      <c r="AP132" s="37">
        <f>IF(Tabela3[[#This Row],[Lucro/Ação]]&gt;0,Tabela3[[#This Row],[Cotação]]/(Tabela3[[#This Row],[Lucro/Ação]]/[Ref]*4),0)</f>
        <v>6.3630335897318355</v>
      </c>
      <c r="AQ132" s="85">
        <f>[Lucro Distribuir]/[Total Ações]</f>
        <v>0.79950072999919486</v>
      </c>
      <c r="AR132" s="85">
        <f>IF([Unit ON]&gt;0,SUMPRODUCT(N([Nome]=Tabela3[[#This Row],[Nome]]),N(RIGHT([PAPEL],1)="3"),[Div Base])*[Unit ON]+SUMPRODUCT(N([Nome]=Tabela3[[#This Row],[Nome]]),N(RIGHT([PAPEL],1)="4"),[Div Base])*[Unit PN],[Div Base])</f>
        <v>0.19987518249979871</v>
      </c>
      <c r="AS132" s="10" t="str">
        <f>IF(AND([% A.A.]&gt;=6%,SUMPRODUCT(N([Nome]=Tabela3[[#This Row],[Nome]]),[PL])&gt;0,[Rentabilidade s/ PL]&gt;=[Rentabilidade s/ PL Média]),"Sim","Não")</f>
        <v>Não</v>
      </c>
      <c r="AT132" s="22">
        <f>IF([Cotação]&gt;0,Tabela3[[#This Row],[Lucro]]/Tabela3[[#This Row],[Cotação]],0)</f>
        <v>2.7993723039187495E-2</v>
      </c>
      <c r="AU132" s="22">
        <f>((1+Tabela3[[#This Row],[% Yield]])^(1/(3*Tabela3[[#This Row],[Ref]])))^(12)-1</f>
        <v>3.7498037299868336E-2</v>
      </c>
      <c r="AV132" s="10">
        <f>IF([Cotação]&gt;0,($BH$1/Tabela3[[#This Row],[Cotação]]-MOD($BH$1/Tabela3[[#This Row],[Cotação]],100)),)</f>
        <v>0</v>
      </c>
      <c r="AW132" s="7">
        <f>Tabela3[[#This Row],[Ativos]]*[Lucro]</f>
        <v>0</v>
      </c>
      <c r="AX132" s="7">
        <f>SUMPRODUCT(N(Tabela1[Código]=Tabela3[[#This Row],[PAPEL]]),Tabela1[Fechamento])</f>
        <v>0</v>
      </c>
      <c r="AY132" s="7">
        <f>SUMPRODUCT(N(Tabela17[Código]=Tabela3[[#This Row],[PAPEL]]),Tabela17[Fechamento])</f>
        <v>0</v>
      </c>
      <c r="AZ132" s="7">
        <f>SUMPRODUCT(N(Tabela176[Código]=Tabela3[[#This Row],[PAPEL]]),Tabela176[Fechamento])</f>
        <v>0</v>
      </c>
      <c r="BA132" s="7">
        <f>SUMPRODUCT(N(Tabela1768[Código]=Tabela3[[#This Row],[PAPEL]]),Tabela1768[Fechamento])</f>
        <v>7.14</v>
      </c>
      <c r="BB132" s="7">
        <f>SUMPRODUCT(N(Tabela17683[Código]=Tabela3[[#This Row],[PAPEL]]),Tabela17683[Fechamento])</f>
        <v>0</v>
      </c>
    </row>
    <row r="133" spans="1:54" hidden="1">
      <c r="A133" s="4" t="s">
        <v>26</v>
      </c>
      <c r="B133" s="57" t="s">
        <v>711</v>
      </c>
      <c r="C133" s="82" t="str">
        <f>LEFT([PAPEL],LEN([PAPEL])-(LEN([PAPEL])-4))</f>
        <v>SULA</v>
      </c>
      <c r="D133" s="15">
        <v>3</v>
      </c>
      <c r="E133" s="5">
        <v>2319882346.8499999</v>
      </c>
      <c r="F133" s="8">
        <v>509842829</v>
      </c>
      <c r="G133" s="86">
        <v>0.25</v>
      </c>
      <c r="H133" s="15"/>
      <c r="I133" s="19"/>
      <c r="J133" s="19"/>
      <c r="K133" s="88"/>
      <c r="L133" s="88"/>
      <c r="M133" s="55"/>
      <c r="N133" s="55"/>
      <c r="O133" s="55"/>
      <c r="P133" s="6">
        <v>3411209000</v>
      </c>
      <c r="Q133" s="6">
        <v>191254000</v>
      </c>
      <c r="R133" s="6">
        <f>IF(Tabela3[[#This Row],[Ativo || Passivo]]&gt;0,Tabela3[[#This Row],[Ativo || Passivo]]-Tabela3[[#This Row],[Patrimônio Líquido]],0)</f>
        <v>0</v>
      </c>
      <c r="S133" s="6">
        <f>Tabela3[[#This Row],[Cotação]]*Tabela3[[#This Row],[Total Ações]]</f>
        <v>0</v>
      </c>
      <c r="T133" s="132">
        <f>IF(Tabela3[[#This Row],[Passivo Circulante]]&gt;0,Tabela3[[#This Row],[Ativo Circulante]]/Tabela3[[#This Row],[Passivo Circulante]],0)</f>
        <v>0</v>
      </c>
      <c r="U133" s="132">
        <f>SUMPRODUCT(N([Liquidez Corrente]&gt;0),N(RIGHT([PAPEL],LEN([PAPEL])-(LEN([PAPEL])-1))="3"),[Liquidez Corrente])/SUMPRODUCT(N([Liquidez Corrente]&gt;0),N(RIGHT([PAPEL],LEN([PAPEL])-(LEN([PAPEL])-1))="3"))</f>
        <v>2.331224473064915</v>
      </c>
      <c r="V133" s="19">
        <f>IF(Tabela3[[#This Row],[Lucro Líquido]]&gt;0,Tabela3[[#This Row],[Lucro Líquido]]/Tabela3[[#This Row],[Patrimônio Líquido]],0)</f>
        <v>5.6066338943172346E-2</v>
      </c>
      <c r="W133" s="19">
        <f>SUMPRODUCT(N([Rentabilidade s/ PL]&gt;0),N(RIGHT([PAPEL],LEN([PAPEL])-(LEN([PAPEL])-1))="3"),[Rentabilidade s/ PL])/SUMPRODUCT(N([Rentabilidade s/ PL]&gt;0),N(RIGHT([PAPEL],LEN([PAPEL])-(LEN([PAPEL])-1))="3"))</f>
        <v>0.1261051308670782</v>
      </c>
      <c r="X133" s="19">
        <f>IF(Tabela3[[#This Row],[Dívida]]&gt;0,Tabela3[[#This Row],[Dívida]]/Tabela3[[#This Row],[Patrimônio Líquido]],0)</f>
        <v>0</v>
      </c>
      <c r="Y133" s="19">
        <f>SUMPRODUCT(N([Dívida / PL]&gt;0),N(RIGHT([PAPEL],LEN([PAPEL])-(LEN([PAPEL])-1))="3"),[Dívida / PL])/SUMPRODUCT(N([Dívida / PL]&gt;0),N(RIGHT([PAPEL],LEN([PAPEL])-(LEN([PAPEL])-1))="3"))</f>
        <v>2.1510410379481146</v>
      </c>
      <c r="Z133" s="6">
        <f>Tabela3[[#This Row],[Capital Social]]*20%</f>
        <v>463976469.37</v>
      </c>
      <c r="AA133" s="6">
        <f>IF(([Lucro Líquido]*5%)&gt;[Teto R. Legal],[Teto R. Legal],[Lucro Líquido]*5%)</f>
        <v>9562700</v>
      </c>
      <c r="AB133" s="6">
        <f>IF([Lucro Líquido]&lt;0,0,[Lucro Líquido]-[Reserva Legal])</f>
        <v>181691300</v>
      </c>
      <c r="AC133" s="6">
        <f>Tabela3[[#This Row],[Lucro Distribuir]]*[%Div]</f>
        <v>45422825</v>
      </c>
      <c r="AD133" s="56">
        <f>SUMPRODUCT(N([Nome]=Tabela3[[#This Row],[Nome]]),[Ações])</f>
        <v>1022205493</v>
      </c>
      <c r="AE133" s="6">
        <f>[Capital Social]/[Total Ações]</f>
        <v>2.2694872633109591</v>
      </c>
      <c r="AF133" s="78">
        <f>Tabela3[[#This Row],[Lucro Líquido]]/Tabela3[[#This Row],[Total Ações]]</f>
        <v>0.18709936633064053</v>
      </c>
      <c r="AG133" s="78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4.4436099503527123E-2</v>
      </c>
      <c r="AH133" s="78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133" s="78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133" s="78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4.4436099503527123E-2</v>
      </c>
      <c r="AK133" s="6">
        <f>[Div Base]*[Ações]</f>
        <v>22655426.680603765</v>
      </c>
      <c r="AL133" s="6">
        <f>SUMPRODUCT(N([Nome]=Tabela3[[#This Row],[Nome]]),[Div Base]*[Ações])</f>
        <v>78897402.643435329</v>
      </c>
      <c r="AM133" s="6">
        <f>[Patrimônio Líquido]/[Total Ações]</f>
        <v>3.3371068961766968</v>
      </c>
      <c r="AN133" s="48">
        <f>MAX(Tabela3[[#This Row],[Cotação 1]:[Cotação 5]])</f>
        <v>0</v>
      </c>
      <c r="AO133" s="44">
        <f>[Cotação]/[VPA]</f>
        <v>0</v>
      </c>
      <c r="AP133" s="40">
        <f>IF(Tabela3[[#This Row],[Lucro/Ação]]&gt;0,Tabela3[[#This Row],[Cotação]]/(Tabela3[[#This Row],[Lucro/Ação]]/[Ref]*4),0)</f>
        <v>0</v>
      </c>
      <c r="AQ133" s="78">
        <f>[Lucro Distribuir]/[Total Ações]</f>
        <v>0.17774439801410849</v>
      </c>
      <c r="AR133" s="78">
        <f>IF([Unit ON]&gt;0,SUMPRODUCT(N([Nome]=Tabela3[[#This Row],[Nome]]),N(RIGHT([PAPEL],1)="3"),[Div Base])*[Unit ON]+SUMPRODUCT(N([Nome]=Tabela3[[#This Row],[Nome]]),N(RIGHT([PAPEL],1)="4"),[Div Base])*[Unit PN],[Div Base])</f>
        <v>4.4436099503527123E-2</v>
      </c>
      <c r="AS133" s="15" t="str">
        <f>IF(AND([% A.A.]&gt;=6%,SUMPRODUCT(N([Nome]=Tabela3[[#This Row],[Nome]]),[PL])&gt;0,[Rentabilidade s/ PL]&gt;=[Rentabilidade s/ PL Média]),"Sim","Não")</f>
        <v>Não</v>
      </c>
      <c r="AT133" s="42">
        <f>IF([Cotação]&gt;0,Tabela3[[#This Row],[Lucro]]/Tabela3[[#This Row],[Cotação]],0)</f>
        <v>0</v>
      </c>
      <c r="AU133" s="19">
        <f>((1+Tabela3[[#This Row],[% Yield]])^(1/(3*Tabela3[[#This Row],[Ref]])))^(12)-1</f>
        <v>0</v>
      </c>
      <c r="AV133" s="14">
        <f>IF([Cotação]&gt;0,($BH$1/Tabela3[[#This Row],[Cotação]]-MOD($BH$1/Tabela3[[#This Row],[Cotação]],100)),)</f>
        <v>0</v>
      </c>
      <c r="AW133" s="17">
        <f>Tabela3[[#This Row],[Ativos]]*[Lucro]</f>
        <v>0</v>
      </c>
      <c r="AX133" s="13">
        <f>SUMPRODUCT(N(Tabela1[Código]=Tabela3[[#This Row],[PAPEL]]),Tabela1[Fechamento])</f>
        <v>0</v>
      </c>
      <c r="AY133" s="13">
        <f>SUMPRODUCT(N(Tabela17[Código]=Tabela3[[#This Row],[PAPEL]]),Tabela17[Fechamento])</f>
        <v>0</v>
      </c>
      <c r="AZ133" s="7">
        <f>SUMPRODUCT(N(Tabela176[Código]=Tabela3[[#This Row],[PAPEL]]),Tabela176[Fechamento])</f>
        <v>0</v>
      </c>
      <c r="BA133" s="7">
        <f>SUMPRODUCT(N(Tabela1768[Código]=Tabela3[[#This Row],[PAPEL]]),Tabela1768[Fechamento])</f>
        <v>0</v>
      </c>
      <c r="BB133" s="7">
        <f>SUMPRODUCT(N(Tabela17683[Código]=Tabela3[[#This Row],[PAPEL]]),Tabela17683[Fechamento])</f>
        <v>0</v>
      </c>
    </row>
    <row r="134" spans="1:54" hidden="1">
      <c r="A134" s="4" t="s">
        <v>12</v>
      </c>
      <c r="B134" s="57" t="s">
        <v>170</v>
      </c>
      <c r="C134" s="14" t="str">
        <f>LEFT([PAPEL],LEN([PAPEL])-(LEN([PAPEL])-4))</f>
        <v>ENGI</v>
      </c>
      <c r="D134" s="15">
        <v>3</v>
      </c>
      <c r="E134" s="6">
        <v>1010000001.6</v>
      </c>
      <c r="F134" s="8">
        <v>592714397</v>
      </c>
      <c r="G134" s="81">
        <v>0.25</v>
      </c>
      <c r="H134" s="15"/>
      <c r="I134" s="19"/>
      <c r="J134" s="19"/>
      <c r="K134" s="88"/>
      <c r="L134" s="88"/>
      <c r="M134" s="55"/>
      <c r="N134" s="55"/>
      <c r="O134" s="55"/>
      <c r="P134" s="89">
        <v>1825587000</v>
      </c>
      <c r="Q134" s="89">
        <v>190026000</v>
      </c>
      <c r="R134" s="89">
        <f>IF(Tabela3[[#This Row],[Ativo || Passivo]]&gt;0,Tabela3[[#This Row],[Ativo || Passivo]]-Tabela3[[#This Row],[Patrimônio Líquido]],0)</f>
        <v>0</v>
      </c>
      <c r="S134" s="89">
        <f>Tabela3[[#This Row],[Cotação]]*Tabela3[[#This Row],[Total Ações]]</f>
        <v>3425649944.75</v>
      </c>
      <c r="T134" s="132">
        <f>IF(Tabela3[[#This Row],[Passivo Circulante]]&gt;0,Tabela3[[#This Row],[Ativo Circulante]]/Tabela3[[#This Row],[Passivo Circulante]],0)</f>
        <v>0</v>
      </c>
      <c r="U134" s="132">
        <f>SUMPRODUCT(N([Liquidez Corrente]&gt;0),N(RIGHT([PAPEL],LEN([PAPEL])-(LEN([PAPEL])-1))="3"),[Liquidez Corrente])/SUMPRODUCT(N([Liquidez Corrente]&gt;0),N(RIGHT([PAPEL],LEN([PAPEL])-(LEN([PAPEL])-1))="3"))</f>
        <v>2.331224473064915</v>
      </c>
      <c r="V134" s="19">
        <f>IF(Tabela3[[#This Row],[Lucro Líquido]]&gt;0,Tabela3[[#This Row],[Lucro Líquido]]/Tabela3[[#This Row],[Patrimônio Líquido]],0)</f>
        <v>0.10409035559521403</v>
      </c>
      <c r="W134" s="19">
        <f>SUMPRODUCT(N([Rentabilidade s/ PL]&gt;0),N(RIGHT([PAPEL],LEN([PAPEL])-(LEN([PAPEL])-1))="3"),[Rentabilidade s/ PL])/SUMPRODUCT(N([Rentabilidade s/ PL]&gt;0),N(RIGHT([PAPEL],LEN([PAPEL])-(LEN([PAPEL])-1))="3"))</f>
        <v>0.1261051308670782</v>
      </c>
      <c r="X134" s="19">
        <f>IF(Tabela3[[#This Row],[Dívida]]&gt;0,Tabela3[[#This Row],[Dívida]]/Tabela3[[#This Row],[Patrimônio Líquido]],0)</f>
        <v>0</v>
      </c>
      <c r="Y134" s="19">
        <f>SUMPRODUCT(N([Dívida / PL]&gt;0),N(RIGHT([PAPEL],LEN([PAPEL])-(LEN([PAPEL])-1))="3"),[Dívida / PL])/SUMPRODUCT(N([Dívida / PL]&gt;0),N(RIGHT([PAPEL],LEN([PAPEL])-(LEN([PAPEL])-1))="3"))</f>
        <v>2.1510410379481146</v>
      </c>
      <c r="Z134" s="6">
        <f>Tabela3[[#This Row],[Capital Social]]*20%</f>
        <v>202000000.32000002</v>
      </c>
      <c r="AA134" s="6">
        <f>IF(([Lucro Líquido]*5%)&gt;[Teto R. Legal],[Teto R. Legal],[Lucro Líquido]*5%)</f>
        <v>9501300</v>
      </c>
      <c r="AB134" s="89">
        <f>IF([Lucro Líquido]&lt;0,0,[Lucro Líquido]-[Reserva Legal])</f>
        <v>180524700</v>
      </c>
      <c r="AC134" s="89">
        <f>Tabela3[[#This Row],[Lucro Distribuir]]*[%Div]</f>
        <v>45131175</v>
      </c>
      <c r="AD134" s="56">
        <f>SUMPRODUCT(N([Nome]=Tabela3[[#This Row],[Nome]]),[Ações])</f>
        <v>1245690889</v>
      </c>
      <c r="AE134" s="6">
        <f>[Capital Social]/[Total Ações]</f>
        <v>0.81079504596103702</v>
      </c>
      <c r="AF134" s="78">
        <f>Tabela3[[#This Row],[Lucro Líquido]]/Tabela3[[#This Row],[Total Ações]]</f>
        <v>0.15254667243536371</v>
      </c>
      <c r="AG134" s="78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3.6229834703398876E-2</v>
      </c>
      <c r="AH134" s="78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134" s="78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134" s="78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3.6229834703398876E-2</v>
      </c>
      <c r="AK134" s="6">
        <f>[Div Base]*[Ações]</f>
        <v>21473944.629634738</v>
      </c>
      <c r="AL134" s="6">
        <f>SUMPRODUCT(N([Nome]=Tabela3[[#This Row],[Nome]]),[Div Base]*[Ações])</f>
        <v>45131175</v>
      </c>
      <c r="AM134" s="6">
        <f>[Patrimônio Líquido]/[Total Ações]</f>
        <v>1.4655216764614227</v>
      </c>
      <c r="AN134" s="48">
        <f>MAX(Tabela3[[#This Row],[Cotação 1]:[Cotação 5]])</f>
        <v>2.75</v>
      </c>
      <c r="AO134" s="44">
        <f>[Cotação]/[VPA]</f>
        <v>1.8764649095058192</v>
      </c>
      <c r="AP134" s="40">
        <f>IF(Tabela3[[#This Row],[Lucro/Ação]]&gt;0,Tabela3[[#This Row],[Cotação]]/(Tabela3[[#This Row],[Lucro/Ação]]/[Ref]*4),0)</f>
        <v>13.520452246337342</v>
      </c>
      <c r="AQ134" s="78">
        <f>[Lucro Distribuir]/[Total Ações]</f>
        <v>0.14491933881359551</v>
      </c>
      <c r="AR134" s="78">
        <f>IF([Unit ON]&gt;0,SUMPRODUCT(N([Nome]=Tabela3[[#This Row],[Nome]]),N(RIGHT([PAPEL],1)="3"),[Div Base])*[Unit ON]+SUMPRODUCT(N([Nome]=Tabela3[[#This Row],[Nome]]),N(RIGHT([PAPEL],1)="4"),[Div Base])*[Unit PN],[Div Base])</f>
        <v>3.6229834703398876E-2</v>
      </c>
      <c r="AS134" s="15" t="str">
        <f>IF(AND([% A.A.]&gt;=6%,SUMPRODUCT(N([Nome]=Tabela3[[#This Row],[Nome]]),[PL])&gt;0,[Rentabilidade s/ PL]&gt;=[Rentabilidade s/ PL Média]),"Sim","Não")</f>
        <v>Não</v>
      </c>
      <c r="AT134" s="42">
        <f>IF([Cotação]&gt;0,Tabela3[[#This Row],[Lucro]]/Tabela3[[#This Row],[Cotação]],0)</f>
        <v>1.3174485346690501E-2</v>
      </c>
      <c r="AU134" s="19">
        <f>((1+Tabela3[[#This Row],[% Yield]])^(1/(3*Tabela3[[#This Row],[Ref]])))^(12)-1</f>
        <v>1.7604438615180573E-2</v>
      </c>
      <c r="AV134" s="14">
        <f>IF([Cotação]&gt;0,($BH$1/Tabela3[[#This Row],[Cotação]]-MOD($BH$1/Tabela3[[#This Row],[Cotação]],100)),)</f>
        <v>100</v>
      </c>
      <c r="AW134" s="17">
        <f>Tabela3[[#This Row],[Ativos]]*[Lucro]</f>
        <v>3.6229834703398875</v>
      </c>
      <c r="AX134" s="5">
        <f>SUMPRODUCT(N(Tabela1[Código]=Tabela3[[#This Row],[PAPEL]]),Tabela1[Fechamento])</f>
        <v>2.75</v>
      </c>
      <c r="AY134" s="5">
        <f>SUMPRODUCT(N(Tabela17[Código]=Tabela3[[#This Row],[PAPEL]]),Tabela17[Fechamento])</f>
        <v>0</v>
      </c>
      <c r="AZ134" s="7">
        <f>SUMPRODUCT(N(Tabela176[Código]=Tabela3[[#This Row],[PAPEL]]),Tabela176[Fechamento])</f>
        <v>0</v>
      </c>
      <c r="BA134" s="7">
        <f>SUMPRODUCT(N(Tabela1768[Código]=Tabela3[[#This Row],[PAPEL]]),Tabela1768[Fechamento])</f>
        <v>0</v>
      </c>
      <c r="BB134" s="7">
        <f>SUMPRODUCT(N(Tabela17683[Código]=Tabela3[[#This Row],[PAPEL]]),Tabela17683[Fechamento])</f>
        <v>0</v>
      </c>
    </row>
    <row r="135" spans="1:54" hidden="1">
      <c r="A135" s="4" t="s">
        <v>12</v>
      </c>
      <c r="B135" s="57" t="s">
        <v>64</v>
      </c>
      <c r="C135" s="14" t="str">
        <f>LEFT([PAPEL],LEN([PAPEL])-(LEN([PAPEL])-4))</f>
        <v>ENGI</v>
      </c>
      <c r="D135" s="15">
        <v>3</v>
      </c>
      <c r="E135" s="6">
        <v>1010000001.6</v>
      </c>
      <c r="F135" s="8">
        <v>652976492</v>
      </c>
      <c r="G135" s="86">
        <v>0.25</v>
      </c>
      <c r="H135" s="15"/>
      <c r="I135" s="19"/>
      <c r="J135" s="19"/>
      <c r="K135" s="88"/>
      <c r="L135" s="88"/>
      <c r="M135" s="55"/>
      <c r="N135" s="55"/>
      <c r="O135" s="55"/>
      <c r="P135" s="89">
        <v>1825587000</v>
      </c>
      <c r="Q135" s="89">
        <v>190026000</v>
      </c>
      <c r="R135" s="89">
        <f>IF(Tabela3[[#This Row],[Ativo || Passivo]]&gt;0,Tabela3[[#This Row],[Ativo || Passivo]]-Tabela3[[#This Row],[Patrimônio Líquido]],0)</f>
        <v>0</v>
      </c>
      <c r="S135" s="89">
        <f>Tabela3[[#This Row],[Cotação]]*Tabela3[[#This Row],[Total Ações]]</f>
        <v>2491381778</v>
      </c>
      <c r="T135" s="132">
        <f>IF(Tabela3[[#This Row],[Passivo Circulante]]&gt;0,Tabela3[[#This Row],[Ativo Circulante]]/Tabela3[[#This Row],[Passivo Circulante]],0)</f>
        <v>0</v>
      </c>
      <c r="U135" s="132">
        <f>SUMPRODUCT(N([Liquidez Corrente]&gt;0),N(RIGHT([PAPEL],LEN([PAPEL])-(LEN([PAPEL])-1))="3"),[Liquidez Corrente])/SUMPRODUCT(N([Liquidez Corrente]&gt;0),N(RIGHT([PAPEL],LEN([PAPEL])-(LEN([PAPEL])-1))="3"))</f>
        <v>2.331224473064915</v>
      </c>
      <c r="V135" s="19">
        <f>IF(Tabela3[[#This Row],[Lucro Líquido]]&gt;0,Tabela3[[#This Row],[Lucro Líquido]]/Tabela3[[#This Row],[Patrimônio Líquido]],0)</f>
        <v>0.10409035559521403</v>
      </c>
      <c r="W135" s="19">
        <f>SUMPRODUCT(N([Rentabilidade s/ PL]&gt;0),N(RIGHT([PAPEL],LEN([PAPEL])-(LEN([PAPEL])-1))="3"),[Rentabilidade s/ PL])/SUMPRODUCT(N([Rentabilidade s/ PL]&gt;0),N(RIGHT([PAPEL],LEN([PAPEL])-(LEN([PAPEL])-1))="3"))</f>
        <v>0.1261051308670782</v>
      </c>
      <c r="X135" s="19">
        <f>IF(Tabela3[[#This Row],[Dívida]]&gt;0,Tabela3[[#This Row],[Dívida]]/Tabela3[[#This Row],[Patrimônio Líquido]],0)</f>
        <v>0</v>
      </c>
      <c r="Y135" s="19">
        <f>SUMPRODUCT(N([Dívida / PL]&gt;0),N(RIGHT([PAPEL],LEN([PAPEL])-(LEN([PAPEL])-1))="3"),[Dívida / PL])/SUMPRODUCT(N([Dívida / PL]&gt;0),N(RIGHT([PAPEL],LEN([PAPEL])-(LEN([PAPEL])-1))="3"))</f>
        <v>2.1510410379481146</v>
      </c>
      <c r="Z135" s="6">
        <f>Tabela3[[#This Row],[Capital Social]]*20%</f>
        <v>202000000.32000002</v>
      </c>
      <c r="AA135" s="6">
        <f>IF(([Lucro Líquido]*5%)&gt;[Teto R. Legal],[Teto R. Legal],[Lucro Líquido]*5%)</f>
        <v>9501300</v>
      </c>
      <c r="AB135" s="89">
        <f>IF([Lucro Líquido]&lt;0,0,[Lucro Líquido]-[Reserva Legal])</f>
        <v>180524700</v>
      </c>
      <c r="AC135" s="89">
        <f>Tabela3[[#This Row],[Lucro Distribuir]]*[%Div]</f>
        <v>45131175</v>
      </c>
      <c r="AD135" s="56">
        <f>SUMPRODUCT(N([Nome]=Tabela3[[#This Row],[Nome]]),[Ações])</f>
        <v>1245690889</v>
      </c>
      <c r="AE135" s="6">
        <f>[Capital Social]/[Total Ações]</f>
        <v>0.81079504596103702</v>
      </c>
      <c r="AF135" s="78">
        <f>Tabela3[[#This Row],[Lucro Líquido]]/Tabela3[[#This Row],[Total Ações]]</f>
        <v>0.15254667243536371</v>
      </c>
      <c r="AG135" s="78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3.6229834703398876E-2</v>
      </c>
      <c r="AH135" s="78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135" s="78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135" s="78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3.6229834703398876E-2</v>
      </c>
      <c r="AK135" s="6">
        <f>[Div Base]*[Ações]</f>
        <v>23657230.370365258</v>
      </c>
      <c r="AL135" s="6">
        <f>SUMPRODUCT(N([Nome]=Tabela3[[#This Row],[Nome]]),[Div Base]*[Ações])</f>
        <v>45131175</v>
      </c>
      <c r="AM135" s="6">
        <f>[Patrimônio Líquido]/[Total Ações]</f>
        <v>1.4655216764614227</v>
      </c>
      <c r="AN135" s="48">
        <f>MAX(Tabela3[[#This Row],[Cotação 1]:[Cotação 5]])</f>
        <v>2</v>
      </c>
      <c r="AO135" s="44">
        <f>[Cotação]/[VPA]</f>
        <v>1.3647017523678684</v>
      </c>
      <c r="AP135" s="40">
        <f>IF(Tabela3[[#This Row],[Lucro/Ação]]&gt;0,Tabela3[[#This Row],[Cotação]]/(Tabela3[[#This Row],[Lucro/Ação]]/[Ref]*4),0)</f>
        <v>9.8330561791544309</v>
      </c>
      <c r="AQ135" s="78">
        <f>[Lucro Distribuir]/[Total Ações]</f>
        <v>0.14491933881359551</v>
      </c>
      <c r="AR135" s="78">
        <f>IF([Unit ON]&gt;0,SUMPRODUCT(N([Nome]=Tabela3[[#This Row],[Nome]]),N(RIGHT([PAPEL],1)="3"),[Div Base])*[Unit ON]+SUMPRODUCT(N([Nome]=Tabela3[[#This Row],[Nome]]),N(RIGHT([PAPEL],1)="4"),[Div Base])*[Unit PN],[Div Base])</f>
        <v>3.6229834703398876E-2</v>
      </c>
      <c r="AS135" s="14" t="str">
        <f>IF(AND([% A.A.]&gt;=6%,SUMPRODUCT(N([Nome]=Tabela3[[#This Row],[Nome]]),[PL])&gt;0,[Rentabilidade s/ PL]&gt;=[Rentabilidade s/ PL Média]),"Sim","Não")</f>
        <v>Não</v>
      </c>
      <c r="AT135" s="42">
        <f>IF([Cotação]&gt;0,Tabela3[[#This Row],[Lucro]]/Tabela3[[#This Row],[Cotação]],0)</f>
        <v>1.8114917351699438E-2</v>
      </c>
      <c r="AU135" s="19">
        <f>((1+Tabela3[[#This Row],[% Yield]])^(1/(3*Tabela3[[#This Row],[Ref]])))^(12)-1</f>
        <v>2.4225854052274842E-2</v>
      </c>
      <c r="AV135" s="14">
        <f>IF([Cotação]&gt;0,($BH$1/Tabela3[[#This Row],[Cotação]]-MOD($BH$1/Tabela3[[#This Row],[Cotação]],100)),)</f>
        <v>200</v>
      </c>
      <c r="AW135" s="17">
        <f>Tabela3[[#This Row],[Ativos]]*[Lucro]</f>
        <v>7.2459669406797751</v>
      </c>
      <c r="AX135" s="5">
        <f>SUMPRODUCT(N(Tabela1[Código]=Tabela3[[#This Row],[PAPEL]]),Tabela1[Fechamento])</f>
        <v>2</v>
      </c>
      <c r="AY135" s="5">
        <f>SUMPRODUCT(N(Tabela17[Código]=Tabela3[[#This Row],[PAPEL]]),Tabela17[Fechamento])</f>
        <v>0</v>
      </c>
      <c r="AZ135" s="7">
        <f>SUMPRODUCT(N(Tabela176[Código]=Tabela3[[#This Row],[PAPEL]]),Tabela176[Fechamento])</f>
        <v>0</v>
      </c>
      <c r="BA135" s="7">
        <f>SUMPRODUCT(N(Tabela1768[Código]=Tabela3[[#This Row],[PAPEL]]),Tabela1768[Fechamento])</f>
        <v>0</v>
      </c>
      <c r="BB135" s="7">
        <f>SUMPRODUCT(N(Tabela17683[Código]=Tabela3[[#This Row],[PAPEL]]),Tabela17683[Fechamento])</f>
        <v>0</v>
      </c>
    </row>
    <row r="136" spans="1:54" hidden="1">
      <c r="A136" s="3" t="s">
        <v>818</v>
      </c>
      <c r="B136" s="58" t="s">
        <v>819</v>
      </c>
      <c r="C136" s="16" t="str">
        <f>LEFT([PAPEL],LEN([PAPEL])-(LEN([PAPEL])-4))</f>
        <v>LAME</v>
      </c>
      <c r="D136" s="16">
        <v>3</v>
      </c>
      <c r="E136" s="5">
        <v>548848132.39999998</v>
      </c>
      <c r="F136" s="56">
        <v>367025080</v>
      </c>
      <c r="G136" s="81">
        <v>0.25</v>
      </c>
      <c r="H136" s="87"/>
      <c r="J136" s="18"/>
      <c r="K136" s="16"/>
      <c r="L136" s="87"/>
      <c r="M136" s="54"/>
      <c r="N136" s="54"/>
      <c r="O136" s="54"/>
      <c r="P136" s="91">
        <v>985348000</v>
      </c>
      <c r="Q136" s="73">
        <v>189658000</v>
      </c>
      <c r="R136" s="73">
        <f>IF(Tabela3[[#This Row],[Ativo || Passivo]]&gt;0,Tabela3[[#This Row],[Ativo || Passivo]]-Tabela3[[#This Row],[Patrimônio Líquido]],0)</f>
        <v>0</v>
      </c>
      <c r="S136" s="73">
        <f>Tabela3[[#This Row],[Cotação]]*Tabela3[[#This Row],[Total Ações]]</f>
        <v>12302393964.440001</v>
      </c>
      <c r="T136" s="37">
        <f>IF(Tabela3[[#This Row],[Passivo Circulante]]&gt;0,Tabela3[[#This Row],[Ativo Circulante]]/Tabela3[[#This Row],[Passivo Circulante]],0)</f>
        <v>0</v>
      </c>
      <c r="U136" s="37">
        <f>SUMPRODUCT(N([Liquidez Corrente]&gt;0),N(RIGHT([PAPEL],LEN([PAPEL])-(LEN([PAPEL])-1))="3"),[Liquidez Corrente])/SUMPRODUCT(N([Liquidez Corrente]&gt;0),N(RIGHT([PAPEL],LEN([PAPEL])-(LEN([PAPEL])-1))="3"))</f>
        <v>2.331224473064915</v>
      </c>
      <c r="V136" s="18">
        <f>IF(Tabela3[[#This Row],[Lucro Líquido]]&gt;0,Tabela3[[#This Row],[Lucro Líquido]]/Tabela3[[#This Row],[Patrimônio Líquido]],0)</f>
        <v>0.19247819044642095</v>
      </c>
      <c r="W136" s="18">
        <f>SUMPRODUCT(N([Rentabilidade s/ PL]&gt;0),N(RIGHT([PAPEL],LEN([PAPEL])-(LEN([PAPEL])-1))="3"),[Rentabilidade s/ PL])/SUMPRODUCT(N([Rentabilidade s/ PL]&gt;0),N(RIGHT([PAPEL],LEN([PAPEL])-(LEN([PAPEL])-1))="3"))</f>
        <v>0.1261051308670782</v>
      </c>
      <c r="X136" s="18">
        <f>IF(Tabela3[[#This Row],[Dívida]]&gt;0,Tabela3[[#This Row],[Dívida]]/Tabela3[[#This Row],[Patrimônio Líquido]],0)</f>
        <v>0</v>
      </c>
      <c r="Y136" s="18">
        <f>SUMPRODUCT(N([Dívida / PL]&gt;0),N(RIGHT([PAPEL],LEN([PAPEL])-(LEN([PAPEL])-1))="3"),[Dívida / PL])/SUMPRODUCT(N([Dívida / PL]&gt;0),N(RIGHT([PAPEL],LEN([PAPEL])-(LEN([PAPEL])-1))="3"))</f>
        <v>2.1510410379481146</v>
      </c>
      <c r="Z136" s="7">
        <f>Tabela3[[#This Row],[Capital Social]]*20%</f>
        <v>109769626.48</v>
      </c>
      <c r="AA136" s="47">
        <f>IF(([Lucro Líquido]*5%)&gt;[Teto R. Legal],[Teto R. Legal],[Lucro Líquido]*5%)</f>
        <v>9482900</v>
      </c>
      <c r="AB136" s="47">
        <f>IF([Lucro Líquido]&lt;0,0,[Lucro Líquido]-[Reserva Legal])</f>
        <v>180175100</v>
      </c>
      <c r="AC136" s="47">
        <f>Tabela3[[#This Row],[Lucro Distribuir]]*[%Div]</f>
        <v>45043775</v>
      </c>
      <c r="AD136" s="56">
        <f>SUMPRODUCT(N([Nome]=Tabela3[[#This Row],[Nome]]),[Ações])</f>
        <v>993731338</v>
      </c>
      <c r="AE136" s="85">
        <f>[Capital Social]/[Total Ações]</f>
        <v>0.55231037948810258</v>
      </c>
      <c r="AF136" s="85">
        <f>Tabela3[[#This Row],[Lucro Líquido]]/Tabela3[[#This Row],[Total Ações]]</f>
        <v>0.19085440173569326</v>
      </c>
      <c r="AG136" s="85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4.5327920412227156E-2</v>
      </c>
      <c r="AH136" s="85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136" s="77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136" s="85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4.5327920412227156E-2</v>
      </c>
      <c r="AK136" s="7">
        <f>[Div Base]*[Ações]</f>
        <v>16636483.615531305</v>
      </c>
      <c r="AL136" s="7">
        <f>SUMPRODUCT(N([Nome]=Tabela3[[#This Row],[Nome]]),[Div Base]*[Ações])</f>
        <v>45043775</v>
      </c>
      <c r="AM136" s="5">
        <f>[Patrimônio Líquido]/[Total Ações]</f>
        <v>0.9915637781768335</v>
      </c>
      <c r="AN136" s="52">
        <f>MAX(Tabela3[[#This Row],[Cotação 1]:[Cotação 5]])</f>
        <v>12.38</v>
      </c>
      <c r="AO136" s="53">
        <f>[Cotação]/[VPA]</f>
        <v>12.485329005021578</v>
      </c>
      <c r="AP136" s="37">
        <f>IF(Tabela3[[#This Row],[Lucro/Ação]]&gt;0,Tabela3[[#This Row],[Cotação]]/(Tabela3[[#This Row],[Lucro/Ação]]/[Ref]*4),0)</f>
        <v>48.649650810037016</v>
      </c>
      <c r="AQ136" s="85">
        <f>[Lucro Distribuir]/[Total Ações]</f>
        <v>0.18131168164890862</v>
      </c>
      <c r="AR136" s="85">
        <f>IF([Unit ON]&gt;0,SUMPRODUCT(N([Nome]=Tabela3[[#This Row],[Nome]]),N(RIGHT([PAPEL],1)="3"),[Div Base])*[Unit ON]+SUMPRODUCT(N([Nome]=Tabela3[[#This Row],[Nome]]),N(RIGHT([PAPEL],1)="4"),[Div Base])*[Unit PN],[Div Base])</f>
        <v>4.5327920412227156E-2</v>
      </c>
      <c r="AS136" s="10" t="str">
        <f>IF(AND([% A.A.]&gt;=6%,SUMPRODUCT(N([Nome]=Tabela3[[#This Row],[Nome]]),[PL])&gt;0,[Rentabilidade s/ PL]&gt;=[Rentabilidade s/ PL Média]),"Sim","Não")</f>
        <v>Não</v>
      </c>
      <c r="AT136" s="22">
        <f>IF([Cotação]&gt;0,Tabela3[[#This Row],[Lucro]]/Tabela3[[#This Row],[Cotação]],0)</f>
        <v>3.6613829089036471E-3</v>
      </c>
      <c r="AU136" s="22">
        <f>((1+Tabela3[[#This Row],[% Yield]])^(1/(3*Tabela3[[#This Row],[Ref]])))^(12)-1</f>
        <v>4.8848205083091845E-3</v>
      </c>
      <c r="AV136" s="10">
        <f>IF([Cotação]&gt;0,($BH$1/Tabela3[[#This Row],[Cotação]]-MOD($BH$1/Tabela3[[#This Row],[Cotação]],100)),)</f>
        <v>0</v>
      </c>
      <c r="AW136" s="7">
        <f>Tabela3[[#This Row],[Ativos]]*[Lucro]</f>
        <v>0</v>
      </c>
      <c r="AX136" s="7">
        <f>SUMPRODUCT(N(Tabela1[Código]=Tabela3[[#This Row],[PAPEL]]),Tabela1[Fechamento])</f>
        <v>0</v>
      </c>
      <c r="AY136" s="7">
        <f>SUMPRODUCT(N(Tabela17[Código]=Tabela3[[#This Row],[PAPEL]]),Tabela17[Fechamento])</f>
        <v>0</v>
      </c>
      <c r="AZ136" s="7">
        <f>SUMPRODUCT(N(Tabela176[Código]=Tabela3[[#This Row],[PAPEL]]),Tabela176[Fechamento])</f>
        <v>12.38</v>
      </c>
      <c r="BA136" s="7">
        <f>SUMPRODUCT(N(Tabela1768[Código]=Tabela3[[#This Row],[PAPEL]]),Tabela1768[Fechamento])</f>
        <v>0</v>
      </c>
      <c r="BB136" s="7">
        <f>SUMPRODUCT(N(Tabela17683[Código]=Tabela3[[#This Row],[PAPEL]]),Tabela17683[Fechamento])</f>
        <v>0</v>
      </c>
    </row>
    <row r="137" spans="1:54" hidden="1">
      <c r="A137" s="3" t="s">
        <v>818</v>
      </c>
      <c r="B137" s="58" t="s">
        <v>820</v>
      </c>
      <c r="C137" s="16" t="str">
        <f>LEFT([PAPEL],LEN([PAPEL])-(LEN([PAPEL])-4))</f>
        <v>LAME</v>
      </c>
      <c r="D137" s="16">
        <v>3</v>
      </c>
      <c r="E137" s="5">
        <v>548848132.39999998</v>
      </c>
      <c r="F137" s="56">
        <v>626706258</v>
      </c>
      <c r="G137" s="81">
        <v>0.25</v>
      </c>
      <c r="H137" s="87"/>
      <c r="J137" s="18"/>
      <c r="K137" s="16"/>
      <c r="L137" s="87"/>
      <c r="M137" s="54"/>
      <c r="N137" s="54"/>
      <c r="O137" s="54"/>
      <c r="P137" s="91">
        <v>985348000</v>
      </c>
      <c r="Q137" s="73">
        <v>189658000</v>
      </c>
      <c r="R137" s="73">
        <f>IF(Tabela3[[#This Row],[Ativo || Passivo]]&gt;0,Tabela3[[#This Row],[Ativo || Passivo]]-Tabela3[[#This Row],[Patrimônio Líquido]],0)</f>
        <v>0</v>
      </c>
      <c r="S137" s="73">
        <f>Tabela3[[#This Row],[Cotação]]*Tabela3[[#This Row],[Total Ações]]</f>
        <v>14120922312.980001</v>
      </c>
      <c r="T137" s="37">
        <f>IF(Tabela3[[#This Row],[Passivo Circulante]]&gt;0,Tabela3[[#This Row],[Ativo Circulante]]/Tabela3[[#This Row],[Passivo Circulante]],0)</f>
        <v>0</v>
      </c>
      <c r="U137" s="37">
        <f>SUMPRODUCT(N([Liquidez Corrente]&gt;0),N(RIGHT([PAPEL],LEN([PAPEL])-(LEN([PAPEL])-1))="3"),[Liquidez Corrente])/SUMPRODUCT(N([Liquidez Corrente]&gt;0),N(RIGHT([PAPEL],LEN([PAPEL])-(LEN([PAPEL])-1))="3"))</f>
        <v>2.331224473064915</v>
      </c>
      <c r="V137" s="18">
        <f>IF(Tabela3[[#This Row],[Lucro Líquido]]&gt;0,Tabela3[[#This Row],[Lucro Líquido]]/Tabela3[[#This Row],[Patrimônio Líquido]],0)</f>
        <v>0.19247819044642095</v>
      </c>
      <c r="W137" s="18">
        <f>SUMPRODUCT(N([Rentabilidade s/ PL]&gt;0),N(RIGHT([PAPEL],LEN([PAPEL])-(LEN([PAPEL])-1))="3"),[Rentabilidade s/ PL])/SUMPRODUCT(N([Rentabilidade s/ PL]&gt;0),N(RIGHT([PAPEL],LEN([PAPEL])-(LEN([PAPEL])-1))="3"))</f>
        <v>0.1261051308670782</v>
      </c>
      <c r="X137" s="18">
        <f>IF(Tabela3[[#This Row],[Dívida]]&gt;0,Tabela3[[#This Row],[Dívida]]/Tabela3[[#This Row],[Patrimônio Líquido]],0)</f>
        <v>0</v>
      </c>
      <c r="Y137" s="18">
        <f>SUMPRODUCT(N([Dívida / PL]&gt;0),N(RIGHT([PAPEL],LEN([PAPEL])-(LEN([PAPEL])-1))="3"),[Dívida / PL])/SUMPRODUCT(N([Dívida / PL]&gt;0),N(RIGHT([PAPEL],LEN([PAPEL])-(LEN([PAPEL])-1))="3"))</f>
        <v>2.1510410379481146</v>
      </c>
      <c r="Z137" s="7">
        <f>Tabela3[[#This Row],[Capital Social]]*20%</f>
        <v>109769626.48</v>
      </c>
      <c r="AA137" s="47">
        <f>IF(([Lucro Líquido]*5%)&gt;[Teto R. Legal],[Teto R. Legal],[Lucro Líquido]*5%)</f>
        <v>9482900</v>
      </c>
      <c r="AB137" s="47">
        <f>IF([Lucro Líquido]&lt;0,0,[Lucro Líquido]-[Reserva Legal])</f>
        <v>180175100</v>
      </c>
      <c r="AC137" s="47">
        <f>Tabela3[[#This Row],[Lucro Distribuir]]*[%Div]</f>
        <v>45043775</v>
      </c>
      <c r="AD137" s="56">
        <f>SUMPRODUCT(N([Nome]=Tabela3[[#This Row],[Nome]]),[Ações])</f>
        <v>993731338</v>
      </c>
      <c r="AE137" s="85">
        <f>[Capital Social]/[Total Ações]</f>
        <v>0.55231037948810258</v>
      </c>
      <c r="AF137" s="85">
        <f>Tabela3[[#This Row],[Lucro Líquido]]/Tabela3[[#This Row],[Total Ações]]</f>
        <v>0.19085440173569326</v>
      </c>
      <c r="AG137" s="85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4.5327920412227156E-2</v>
      </c>
      <c r="AH137" s="85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137" s="77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137" s="85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4.5327920412227156E-2</v>
      </c>
      <c r="AK137" s="7">
        <f>[Div Base]*[Ações]</f>
        <v>28407291.384468697</v>
      </c>
      <c r="AL137" s="7">
        <f>SUMPRODUCT(N([Nome]=Tabela3[[#This Row],[Nome]]),[Div Base]*[Ações])</f>
        <v>45043775</v>
      </c>
      <c r="AM137" s="5">
        <f>[Patrimônio Líquido]/[Total Ações]</f>
        <v>0.9915637781768335</v>
      </c>
      <c r="AN137" s="52">
        <f>MAX(Tabela3[[#This Row],[Cotação 1]:[Cotação 5]])</f>
        <v>14.21</v>
      </c>
      <c r="AO137" s="53">
        <f>[Cotação]/[VPA]</f>
        <v>14.3308986398511</v>
      </c>
      <c r="AP137" s="37">
        <f>IF(Tabela3[[#This Row],[Lucro/Ação]]&gt;0,Tabela3[[#This Row],[Cotação]]/(Tabela3[[#This Row],[Lucro/Ação]]/[Ref]*4),0)</f>
        <v>55.840996608289657</v>
      </c>
      <c r="AQ137" s="85">
        <f>[Lucro Distribuir]/[Total Ações]</f>
        <v>0.18131168164890862</v>
      </c>
      <c r="AR137" s="85">
        <f>IF([Unit ON]&gt;0,SUMPRODUCT(N([Nome]=Tabela3[[#This Row],[Nome]]),N(RIGHT([PAPEL],1)="3"),[Div Base])*[Unit ON]+SUMPRODUCT(N([Nome]=Tabela3[[#This Row],[Nome]]),N(RIGHT([PAPEL],1)="4"),[Div Base])*[Unit PN],[Div Base])</f>
        <v>4.5327920412227156E-2</v>
      </c>
      <c r="AS137" s="10" t="str">
        <f>IF(AND([% A.A.]&gt;=6%,SUMPRODUCT(N([Nome]=Tabela3[[#This Row],[Nome]]),[PL])&gt;0,[Rentabilidade s/ PL]&gt;=[Rentabilidade s/ PL Média]),"Sim","Não")</f>
        <v>Não</v>
      </c>
      <c r="AT137" s="22">
        <f>IF([Cotação]&gt;0,Tabela3[[#This Row],[Lucro]]/Tabela3[[#This Row],[Cotação]],0)</f>
        <v>3.1898606905156335E-3</v>
      </c>
      <c r="AU137" s="22">
        <f>((1+Tabela3[[#This Row],[% Yield]])^(1/(3*Tabela3[[#This Row],[Ref]])))^(12)-1</f>
        <v>4.2554071446920805E-3</v>
      </c>
      <c r="AV137" s="10">
        <f>IF([Cotação]&gt;0,($BH$1/Tabela3[[#This Row],[Cotação]]-MOD($BH$1/Tabela3[[#This Row],[Cotação]],100)),)</f>
        <v>0</v>
      </c>
      <c r="AW137" s="7">
        <f>Tabela3[[#This Row],[Ativos]]*[Lucro]</f>
        <v>0</v>
      </c>
      <c r="AX137" s="7">
        <f>SUMPRODUCT(N(Tabela1[Código]=Tabela3[[#This Row],[PAPEL]]),Tabela1[Fechamento])</f>
        <v>0</v>
      </c>
      <c r="AY137" s="7">
        <f>SUMPRODUCT(N(Tabela17[Código]=Tabela3[[#This Row],[PAPEL]]),Tabela17[Fechamento])</f>
        <v>0</v>
      </c>
      <c r="AZ137" s="7">
        <f>SUMPRODUCT(N(Tabela176[Código]=Tabela3[[#This Row],[PAPEL]]),Tabela176[Fechamento])</f>
        <v>14.21</v>
      </c>
      <c r="BA137" s="7">
        <f>SUMPRODUCT(N(Tabela1768[Código]=Tabela3[[#This Row],[PAPEL]]),Tabela1768[Fechamento])</f>
        <v>0</v>
      </c>
      <c r="BB137" s="7">
        <f>SUMPRODUCT(N(Tabela17683[Código]=Tabela3[[#This Row],[PAPEL]]),Tabela17683[Fechamento])</f>
        <v>0</v>
      </c>
    </row>
    <row r="138" spans="1:54" hidden="1">
      <c r="A138" s="3" t="s">
        <v>1497</v>
      </c>
      <c r="B138" s="58" t="s">
        <v>1469</v>
      </c>
      <c r="C138" s="16" t="str">
        <f>LEFT([PAPEL],LEN([PAPEL])-(LEN([PAPEL])-4))</f>
        <v>RAPT</v>
      </c>
      <c r="D138" s="16">
        <v>3</v>
      </c>
      <c r="E138" s="5">
        <v>730000000</v>
      </c>
      <c r="F138" s="56">
        <v>81888294</v>
      </c>
      <c r="G138" s="81">
        <v>0.3</v>
      </c>
      <c r="H138" s="87"/>
      <c r="J138" s="18"/>
      <c r="K138" s="16"/>
      <c r="L138" s="87"/>
      <c r="M138" s="54"/>
      <c r="N138" s="54"/>
      <c r="O138" s="54"/>
      <c r="P138" s="91">
        <v>1228796000</v>
      </c>
      <c r="Q138" s="73">
        <v>187245000</v>
      </c>
      <c r="R138" s="73">
        <f>IF(Tabela3[[#This Row],[Ativo || Passivo]]&gt;0,Tabela3[[#This Row],[Ativo || Passivo]]-Tabela3[[#This Row],[Patrimônio Líquido]],0)</f>
        <v>0</v>
      </c>
      <c r="S138" s="73">
        <f>Tabela3[[#This Row],[Cotação]]*Tabela3[[#This Row],[Total Ações]]</f>
        <v>1762568817.96</v>
      </c>
      <c r="T138" s="37">
        <f>IF(Tabela3[[#This Row],[Passivo Circulante]]&gt;0,Tabela3[[#This Row],[Ativo Circulante]]/Tabela3[[#This Row],[Passivo Circulante]],0)</f>
        <v>0</v>
      </c>
      <c r="U138" s="37">
        <f>SUMPRODUCT(N([Liquidez Corrente]&gt;0),N(RIGHT([PAPEL],LEN([PAPEL])-(LEN([PAPEL])-1))="3"),[Liquidez Corrente])/SUMPRODUCT(N([Liquidez Corrente]&gt;0),N(RIGHT([PAPEL],LEN([PAPEL])-(LEN([PAPEL])-1))="3"))</f>
        <v>2.331224473064915</v>
      </c>
      <c r="V138" s="18">
        <f>IF(Tabela3[[#This Row],[Lucro Líquido]]&gt;0,Tabela3[[#This Row],[Lucro Líquido]]/Tabela3[[#This Row],[Patrimônio Líquido]],0)</f>
        <v>0.15238086712521851</v>
      </c>
      <c r="W138" s="18">
        <f>SUMPRODUCT(N([Rentabilidade s/ PL]&gt;0),N(RIGHT([PAPEL],LEN([PAPEL])-(LEN([PAPEL])-1))="3"),[Rentabilidade s/ PL])/SUMPRODUCT(N([Rentabilidade s/ PL]&gt;0),N(RIGHT([PAPEL],LEN([PAPEL])-(LEN([PAPEL])-1))="3"))</f>
        <v>0.1261051308670782</v>
      </c>
      <c r="X138" s="18">
        <f>IF(Tabela3[[#This Row],[Dívida]]&gt;0,Tabela3[[#This Row],[Dívida]]/Tabela3[[#This Row],[Patrimônio Líquido]],0)</f>
        <v>0</v>
      </c>
      <c r="Y138" s="18">
        <f>SUMPRODUCT(N([Dívida / PL]&gt;0),N(RIGHT([PAPEL],LEN([PAPEL])-(LEN([PAPEL])-1))="3"),[Dívida / PL])/SUMPRODUCT(N([Dívida / PL]&gt;0),N(RIGHT([PAPEL],LEN([PAPEL])-(LEN([PAPEL])-1))="3"))</f>
        <v>2.1510410379481146</v>
      </c>
      <c r="Z138" s="7">
        <f>Tabela3[[#This Row],[Capital Social]]*20%</f>
        <v>146000000</v>
      </c>
      <c r="AA138" s="47">
        <f>IF(([Lucro Líquido]*5%)&gt;[Teto R. Legal],[Teto R. Legal],[Lucro Líquido]*5%)</f>
        <v>9362250</v>
      </c>
      <c r="AB138" s="47">
        <f>IF([Lucro Líquido]&lt;0,0,[Lucro Líquido]-[Reserva Legal])</f>
        <v>177882750</v>
      </c>
      <c r="AC138" s="47">
        <f>Tabela3[[#This Row],[Lucro Distribuir]]*[%Div]</f>
        <v>53364825</v>
      </c>
      <c r="AD138" s="56">
        <f>SUMPRODUCT(N([Nome]=Tabela3[[#This Row],[Nome]]),[Ações])</f>
        <v>243785452</v>
      </c>
      <c r="AE138" s="85">
        <f>[Capital Social]/[Total Ações]</f>
        <v>2.994436271775561</v>
      </c>
      <c r="AF138" s="85">
        <f>Tabela3[[#This Row],[Lucro Líquido]]/Tabela3[[#This Row],[Total Ações]]</f>
        <v>0.76807290371043146</v>
      </c>
      <c r="AG138" s="85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0.21890077755747295</v>
      </c>
      <c r="AH138" s="85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138" s="77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138" s="85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0.21890077755747295</v>
      </c>
      <c r="AK138" s="7">
        <f>[Div Base]*[Ações]</f>
        <v>17925411.229454946</v>
      </c>
      <c r="AL138" s="120">
        <f>SUMPRODUCT(N([Nome]=Tabela3[[#This Row],[Nome]]),[Div Base]*[Ações])</f>
        <v>53364825</v>
      </c>
      <c r="AM138" s="5">
        <f>[Patrimônio Líquido]/[Total Ações]</f>
        <v>5.0404812507023591</v>
      </c>
      <c r="AN138" s="52">
        <f>MAX(Tabela3[[#This Row],[Cotação 1]:[Cotação 5]])</f>
        <v>7.23</v>
      </c>
      <c r="AO138" s="53">
        <f>[Cotação]/[VPA]</f>
        <v>1.434386845302231</v>
      </c>
      <c r="AP138" s="37">
        <f>IF(Tabela3[[#This Row],[Lucro/Ação]]&gt;0,Tabela3[[#This Row],[Cotação]]/(Tabela3[[#This Row],[Lucro/Ação]]/[Ref]*4),0)</f>
        <v>7.0598767041576549</v>
      </c>
      <c r="AQ138" s="85">
        <f>[Lucro Distribuir]/[Total Ações]</f>
        <v>0.72966925852490983</v>
      </c>
      <c r="AR138" s="85">
        <f>IF([Unit ON]&gt;0,SUMPRODUCT(N([Nome]=Tabela3[[#This Row],[Nome]]),N(RIGHT([PAPEL],1)="3"),[Div Base])*[Unit ON]+SUMPRODUCT(N([Nome]=Tabela3[[#This Row],[Nome]]),N(RIGHT([PAPEL],1)="4"),[Div Base])*[Unit PN],[Div Base])</f>
        <v>0.21890077755747295</v>
      </c>
      <c r="AS138" s="10" t="str">
        <f>IF(AND([% A.A.]&gt;=6%,SUMPRODUCT(N([Nome]=Tabela3[[#This Row],[Nome]]),[PL])&gt;0,[Rentabilidade s/ PL]&gt;=[Rentabilidade s/ PL Média]),"Sim","Não")</f>
        <v>Não</v>
      </c>
      <c r="AT138" s="22">
        <f>IF([Cotação]&gt;0,Tabela3[[#This Row],[Lucro]]/Tabela3[[#This Row],[Cotação]],0)</f>
        <v>3.0276732718875925E-2</v>
      </c>
      <c r="AU138" s="22">
        <f>((1+Tabela3[[#This Row],[% Yield]])^(1/(3*Tabela3[[#This Row],[Ref]])))^(12)-1</f>
        <v>4.0571330189707711E-2</v>
      </c>
      <c r="AV138" s="10">
        <f>IF([Cotação]&gt;0,($BH$1/Tabela3[[#This Row],[Cotação]]-MOD($BH$1/Tabela3[[#This Row],[Cotação]],100)),)</f>
        <v>0</v>
      </c>
      <c r="AW138" s="7">
        <f>Tabela3[[#This Row],[Ativos]]*[Lucro]</f>
        <v>0</v>
      </c>
      <c r="AX138" s="7">
        <f>SUMPRODUCT(N(Tabela1[Código]=Tabela3[[#This Row],[PAPEL]]),Tabela1[Fechamento])</f>
        <v>0</v>
      </c>
      <c r="AY138" s="7">
        <f>SUMPRODUCT(N(Tabela17[Código]=Tabela3[[#This Row],[PAPEL]]),Tabela17[Fechamento])</f>
        <v>0</v>
      </c>
      <c r="AZ138" s="7">
        <f>SUMPRODUCT(N(Tabela176[Código]=Tabela3[[#This Row],[PAPEL]]),Tabela176[Fechamento])</f>
        <v>0</v>
      </c>
      <c r="BA138" s="7">
        <f>SUMPRODUCT(N(Tabela1768[Código]=Tabela3[[#This Row],[PAPEL]]),Tabela1768[Fechamento])</f>
        <v>0</v>
      </c>
      <c r="BB138" s="7">
        <f>SUMPRODUCT(N(Tabela17683[Código]=Tabela3[[#This Row],[PAPEL]]),Tabela17683[Fechamento])</f>
        <v>7.23</v>
      </c>
    </row>
    <row r="139" spans="1:54" hidden="1">
      <c r="A139" s="3" t="s">
        <v>1497</v>
      </c>
      <c r="B139" s="58" t="s">
        <v>1470</v>
      </c>
      <c r="C139" s="16" t="str">
        <f>LEFT([PAPEL],LEN([PAPEL])-(LEN([PAPEL])-4))</f>
        <v>RAPT</v>
      </c>
      <c r="D139" s="16">
        <v>3</v>
      </c>
      <c r="E139" s="5">
        <v>730000000</v>
      </c>
      <c r="F139" s="56">
        <v>161897158</v>
      </c>
      <c r="G139" s="81">
        <v>0.3</v>
      </c>
      <c r="H139" s="87"/>
      <c r="J139" s="18"/>
      <c r="K139" s="16"/>
      <c r="L139" s="87"/>
      <c r="M139" s="54"/>
      <c r="N139" s="54"/>
      <c r="O139" s="54"/>
      <c r="P139" s="91">
        <v>1228796000</v>
      </c>
      <c r="Q139" s="73">
        <v>187245000</v>
      </c>
      <c r="R139" s="73">
        <f>IF(Tabela3[[#This Row],[Ativo || Passivo]]&gt;0,Tabela3[[#This Row],[Ativo || Passivo]]-Tabela3[[#This Row],[Patrimônio Líquido]],0)</f>
        <v>0</v>
      </c>
      <c r="S139" s="73">
        <f>Tabela3[[#This Row],[Cotação]]*Tabela3[[#This Row],[Total Ações]]</f>
        <v>2050235651.3199999</v>
      </c>
      <c r="T139" s="37">
        <f>IF(Tabela3[[#This Row],[Passivo Circulante]]&gt;0,Tabela3[[#This Row],[Ativo Circulante]]/Tabela3[[#This Row],[Passivo Circulante]],0)</f>
        <v>0</v>
      </c>
      <c r="U139" s="37">
        <f>SUMPRODUCT(N([Liquidez Corrente]&gt;0),N(RIGHT([PAPEL],LEN([PAPEL])-(LEN([PAPEL])-1))="3"),[Liquidez Corrente])/SUMPRODUCT(N([Liquidez Corrente]&gt;0),N(RIGHT([PAPEL],LEN([PAPEL])-(LEN([PAPEL])-1))="3"))</f>
        <v>2.331224473064915</v>
      </c>
      <c r="V139" s="18">
        <f>IF(Tabela3[[#This Row],[Lucro Líquido]]&gt;0,Tabela3[[#This Row],[Lucro Líquido]]/Tabela3[[#This Row],[Patrimônio Líquido]],0)</f>
        <v>0.15238086712521851</v>
      </c>
      <c r="W139" s="18">
        <f>SUMPRODUCT(N([Rentabilidade s/ PL]&gt;0),N(RIGHT([PAPEL],LEN([PAPEL])-(LEN([PAPEL])-1))="3"),[Rentabilidade s/ PL])/SUMPRODUCT(N([Rentabilidade s/ PL]&gt;0),N(RIGHT([PAPEL],LEN([PAPEL])-(LEN([PAPEL])-1))="3"))</f>
        <v>0.1261051308670782</v>
      </c>
      <c r="X139" s="18">
        <f>IF(Tabela3[[#This Row],[Dívida]]&gt;0,Tabela3[[#This Row],[Dívida]]/Tabela3[[#This Row],[Patrimônio Líquido]],0)</f>
        <v>0</v>
      </c>
      <c r="Y139" s="18">
        <f>SUMPRODUCT(N([Dívida / PL]&gt;0),N(RIGHT([PAPEL],LEN([PAPEL])-(LEN([PAPEL])-1))="3"),[Dívida / PL])/SUMPRODUCT(N([Dívida / PL]&gt;0),N(RIGHT([PAPEL],LEN([PAPEL])-(LEN([PAPEL])-1))="3"))</f>
        <v>2.1510410379481146</v>
      </c>
      <c r="Z139" s="7">
        <f>Tabela3[[#This Row],[Capital Social]]*20%</f>
        <v>146000000</v>
      </c>
      <c r="AA139" s="47">
        <f>IF(([Lucro Líquido]*5%)&gt;[Teto R. Legal],[Teto R. Legal],[Lucro Líquido]*5%)</f>
        <v>9362250</v>
      </c>
      <c r="AB139" s="47">
        <f>IF([Lucro Líquido]&lt;0,0,[Lucro Líquido]-[Reserva Legal])</f>
        <v>177882750</v>
      </c>
      <c r="AC139" s="47">
        <f>Tabela3[[#This Row],[Lucro Distribuir]]*[%Div]</f>
        <v>53364825</v>
      </c>
      <c r="AD139" s="56">
        <f>SUMPRODUCT(N([Nome]=Tabela3[[#This Row],[Nome]]),[Ações])</f>
        <v>243785452</v>
      </c>
      <c r="AE139" s="85">
        <f>[Capital Social]/[Total Ações]</f>
        <v>2.994436271775561</v>
      </c>
      <c r="AF139" s="85">
        <f>Tabela3[[#This Row],[Lucro Líquido]]/Tabela3[[#This Row],[Total Ações]]</f>
        <v>0.76807290371043146</v>
      </c>
      <c r="AG139" s="85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0.21890077755747295</v>
      </c>
      <c r="AH139" s="85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139" s="77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139" s="85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0.21890077755747295</v>
      </c>
      <c r="AK139" s="7">
        <f>[Div Base]*[Ações]</f>
        <v>35439413.770545051</v>
      </c>
      <c r="AL139" s="120">
        <f>SUMPRODUCT(N([Nome]=Tabela3[[#This Row],[Nome]]),[Div Base]*[Ações])</f>
        <v>53364825</v>
      </c>
      <c r="AM139" s="5">
        <f>[Patrimônio Líquido]/[Total Ações]</f>
        <v>5.0404812507023591</v>
      </c>
      <c r="AN139" s="52">
        <f>MAX(Tabela3[[#This Row],[Cotação 1]:[Cotação 5]])</f>
        <v>8.41</v>
      </c>
      <c r="AO139" s="53">
        <f>[Cotação]/[VPA]</f>
        <v>1.6684914756558453</v>
      </c>
      <c r="AP139" s="37">
        <f>IF(Tabela3[[#This Row],[Lucro/Ação]]&gt;0,Tabela3[[#This Row],[Cotação]]/(Tabela3[[#This Row],[Lucro/Ação]]/[Ref]*4),0)</f>
        <v>8.2121110763438274</v>
      </c>
      <c r="AQ139" s="85">
        <f>[Lucro Distribuir]/[Total Ações]</f>
        <v>0.72966925852490983</v>
      </c>
      <c r="AR139" s="85">
        <f>IF([Unit ON]&gt;0,SUMPRODUCT(N([Nome]=Tabela3[[#This Row],[Nome]]),N(RIGHT([PAPEL],1)="3"),[Div Base])*[Unit ON]+SUMPRODUCT(N([Nome]=Tabela3[[#This Row],[Nome]]),N(RIGHT([PAPEL],1)="4"),[Div Base])*[Unit PN],[Div Base])</f>
        <v>0.21890077755747295</v>
      </c>
      <c r="AS139" s="10" t="str">
        <f>IF(AND([% A.A.]&gt;=6%,SUMPRODUCT(N([Nome]=Tabela3[[#This Row],[Nome]]),[PL])&gt;0,[Rentabilidade s/ PL]&gt;=[Rentabilidade s/ PL Média]),"Sim","Não")</f>
        <v>Não</v>
      </c>
      <c r="AT139" s="22">
        <f>IF([Cotação]&gt;0,Tabela3[[#This Row],[Lucro]]/Tabela3[[#This Row],[Cotação]],0)</f>
        <v>2.6028629911709029E-2</v>
      </c>
      <c r="AU139" s="22">
        <f>((1+Tabela3[[#This Row],[% Yield]])^(1/(3*Tabela3[[#This Row],[Ref]])))^(12)-1</f>
        <v>3.4854531615403195E-2</v>
      </c>
      <c r="AV139" s="10">
        <f>IF([Cotação]&gt;0,($BH$1/Tabela3[[#This Row],[Cotação]]-MOD($BH$1/Tabela3[[#This Row],[Cotação]],100)),)</f>
        <v>0</v>
      </c>
      <c r="AW139" s="7">
        <f>Tabela3[[#This Row],[Ativos]]*[Lucro]</f>
        <v>0</v>
      </c>
      <c r="AX139" s="7">
        <f>SUMPRODUCT(N(Tabela1[Código]=Tabela3[[#This Row],[PAPEL]]),Tabela1[Fechamento])</f>
        <v>0</v>
      </c>
      <c r="AY139" s="7">
        <f>SUMPRODUCT(N(Tabela17[Código]=Tabela3[[#This Row],[PAPEL]]),Tabela17[Fechamento])</f>
        <v>0</v>
      </c>
      <c r="AZ139" s="7">
        <f>SUMPRODUCT(N(Tabela176[Código]=Tabela3[[#This Row],[PAPEL]]),Tabela176[Fechamento])</f>
        <v>0</v>
      </c>
      <c r="BA139" s="7">
        <f>SUMPRODUCT(N(Tabela1768[Código]=Tabela3[[#This Row],[PAPEL]]),Tabela1768[Fechamento])</f>
        <v>0</v>
      </c>
      <c r="BB139" s="7">
        <f>SUMPRODUCT(N(Tabela17683[Código]=Tabela3[[#This Row],[PAPEL]]),Tabela17683[Fechamento])</f>
        <v>8.41</v>
      </c>
    </row>
    <row r="140" spans="1:54">
      <c r="A140" s="4" t="s">
        <v>14</v>
      </c>
      <c r="B140" s="57" t="s">
        <v>62</v>
      </c>
      <c r="C140" s="14" t="str">
        <f>LEFT([PAPEL],LEN([PAPEL])-(LEN([PAPEL])-4))</f>
        <v>BAZA</v>
      </c>
      <c r="D140" s="15">
        <v>4</v>
      </c>
      <c r="E140" s="6">
        <v>1219669840.8399999</v>
      </c>
      <c r="F140" s="8">
        <v>2964596762</v>
      </c>
      <c r="G140" s="86">
        <v>0.25</v>
      </c>
      <c r="H140" s="15"/>
      <c r="I140" s="19"/>
      <c r="J140" s="19"/>
      <c r="K140" s="88"/>
      <c r="L140" s="88"/>
      <c r="M140" s="55"/>
      <c r="N140" s="55"/>
      <c r="O140" s="55"/>
      <c r="P140" s="6">
        <v>1624994000</v>
      </c>
      <c r="Q140" s="6">
        <v>182498000</v>
      </c>
      <c r="R140" s="6">
        <f>IF(Tabela3[[#This Row],[Ativo || Passivo]]&gt;0,Tabela3[[#This Row],[Ativo || Passivo]]-Tabela3[[#This Row],[Patrimônio Líquido]],0)</f>
        <v>0</v>
      </c>
      <c r="S140" s="6">
        <f>Tabela3[[#This Row],[Cotação]]*Tabela3[[#This Row],[Total Ações]]</f>
        <v>889379028.60000002</v>
      </c>
      <c r="T140" s="132">
        <f>IF(Tabela3[[#This Row],[Passivo Circulante]]&gt;0,Tabela3[[#This Row],[Ativo Circulante]]/Tabela3[[#This Row],[Passivo Circulante]],0)</f>
        <v>0</v>
      </c>
      <c r="U140" s="132">
        <f>SUMPRODUCT(N([Liquidez Corrente]&gt;0),N(RIGHT([PAPEL],LEN([PAPEL])-(LEN([PAPEL])-1))="3"),[Liquidez Corrente])/SUMPRODUCT(N([Liquidez Corrente]&gt;0),N(RIGHT([PAPEL],LEN([PAPEL])-(LEN([PAPEL])-1))="3"))</f>
        <v>2.331224473064915</v>
      </c>
      <c r="V140" s="19">
        <f>IF(Tabela3[[#This Row],[Lucro Líquido]]&gt;0,Tabela3[[#This Row],[Lucro Líquido]]/Tabela3[[#This Row],[Patrimônio Líquido]],0)</f>
        <v>0.11230687621000447</v>
      </c>
      <c r="W140" s="19">
        <f>SUMPRODUCT(N([Rentabilidade s/ PL]&gt;0),N(RIGHT([PAPEL],LEN([PAPEL])-(LEN([PAPEL])-1))="3"),[Rentabilidade s/ PL])/SUMPRODUCT(N([Rentabilidade s/ PL]&gt;0),N(RIGHT([PAPEL],LEN([PAPEL])-(LEN([PAPEL])-1))="3"))</f>
        <v>0.1261051308670782</v>
      </c>
      <c r="X140" s="19">
        <f>IF(Tabela3[[#This Row],[Dívida]]&gt;0,Tabela3[[#This Row],[Dívida]]/Tabela3[[#This Row],[Patrimônio Líquido]],0)</f>
        <v>0</v>
      </c>
      <c r="Y140" s="19">
        <f>SUMPRODUCT(N([Dívida / PL]&gt;0),N(RIGHT([PAPEL],LEN([PAPEL])-(LEN([PAPEL])-1))="3"),[Dívida / PL])/SUMPRODUCT(N([Dívida / PL]&gt;0),N(RIGHT([PAPEL],LEN([PAPEL])-(LEN([PAPEL])-1))="3"))</f>
        <v>2.1510410379481146</v>
      </c>
      <c r="Z140" s="6">
        <f>Tabela3[[#This Row],[Capital Social]]*20%</f>
        <v>243933968.16799998</v>
      </c>
      <c r="AA140" s="6">
        <f>IF(([Lucro Líquido]*5%)&gt;[Teto R. Legal],[Teto R. Legal],[Lucro Líquido]*5%)</f>
        <v>9124900</v>
      </c>
      <c r="AB140" s="6">
        <f>IF([Lucro Líquido]&lt;0,0,[Lucro Líquido]-[Reserva Legal])</f>
        <v>173373100</v>
      </c>
      <c r="AC140" s="6">
        <f>Tabela3[[#This Row],[Lucro Distribuir]]*[%Div]</f>
        <v>43343275</v>
      </c>
      <c r="AD140" s="21">
        <f>SUMPRODUCT(N([Nome]=Tabela3[[#This Row],[Nome]]),[Ações])</f>
        <v>2964596762</v>
      </c>
      <c r="AE140" s="6">
        <f>[Capital Social]/[Total Ações]</f>
        <v>0.4114117159114673</v>
      </c>
      <c r="AF140" s="78">
        <f>Tabela3[[#This Row],[Lucro Líquido]]/Tabela3[[#This Row],[Total Ações]]</f>
        <v>6.155913085356058E-2</v>
      </c>
      <c r="AG140" s="78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1.4620293577720638E-2</v>
      </c>
      <c r="AH140" s="78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140" s="78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140" s="78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1.4620293577720638E-2</v>
      </c>
      <c r="AK140" s="6">
        <f>[Div Base]*[Ações]</f>
        <v>43343275</v>
      </c>
      <c r="AL140" s="6">
        <f>SUMPRODUCT(N([Nome]=Tabela3[[#This Row],[Nome]]),[Div Base]*[Ações])</f>
        <v>43343275</v>
      </c>
      <c r="AM140" s="6">
        <f>[Patrimônio Líquido]/[Total Ações]</f>
        <v>0.54813323040389939</v>
      </c>
      <c r="AN140" s="48">
        <f>MAX(Tabela3[[#This Row],[Cotação 1]:[Cotação 5]])</f>
        <v>0.3</v>
      </c>
      <c r="AO140" s="44">
        <f>[Cotação]/[VPA]</f>
        <v>0.54731219229117145</v>
      </c>
      <c r="AP140" s="40">
        <f>IF(Tabela3[[#This Row],[Lucro/Ação]]&gt;0,Tabela3[[#This Row],[Cotação]]/(Tabela3[[#This Row],[Lucro/Ação]]/[Ref]*4),0)</f>
        <v>4.873363152472904</v>
      </c>
      <c r="AQ140" s="78">
        <f>[Lucro Distribuir]/[Total Ações]</f>
        <v>5.8481174310882553E-2</v>
      </c>
      <c r="AR140" s="78">
        <f>IF([Unit ON]&gt;0,SUMPRODUCT(N([Nome]=Tabela3[[#This Row],[Nome]]),N(RIGHT([PAPEL],1)="3"),[Div Base])*[Unit ON]+SUMPRODUCT(N([Nome]=Tabela3[[#This Row],[Nome]]),N(RIGHT([PAPEL],1)="4"),[Div Base])*[Unit PN],[Div Base])</f>
        <v>1.4620293577720638E-2</v>
      </c>
      <c r="AS140" s="15" t="str">
        <f>IF(AND([% A.A.]&gt;=6%,SUMPRODUCT(N([Nome]=Tabela3[[#This Row],[Nome]]),[PL])&gt;0,[Rentabilidade s/ PL]&gt;=[Rentabilidade s/ PL Média]),"Sim","Não")</f>
        <v>Não</v>
      </c>
      <c r="AT140" s="42">
        <f>IF([Cotação]&gt;0,Tabela3[[#This Row],[Lucro]]/Tabela3[[#This Row],[Cotação]],0)</f>
        <v>4.8734311925735463E-2</v>
      </c>
      <c r="AU140" s="19">
        <f>((1+Tabela3[[#This Row],[% Yield]])^(1/(3*Tabela3[[#This Row],[Ref]])))^(12)-1</f>
        <v>4.8734311925736629E-2</v>
      </c>
      <c r="AV140" s="14">
        <f>IF([Cotação]&gt;0,($BH$1/Tabela3[[#This Row],[Cotação]]-MOD($BH$1/Tabela3[[#This Row],[Cotação]],100)),)</f>
        <v>1600</v>
      </c>
      <c r="AW140" s="17">
        <f>Tabela3[[#This Row],[Ativos]]*[Lucro]</f>
        <v>23.39246972435302</v>
      </c>
      <c r="AX140" s="5">
        <f>SUMPRODUCT(N(Tabela1[Código]=Tabela3[[#This Row],[PAPEL]]),Tabela1[Fechamento])</f>
        <v>0.3</v>
      </c>
      <c r="AY140" s="5">
        <f>SUMPRODUCT(N(Tabela17[Código]=Tabela3[[#This Row],[PAPEL]]),Tabela17[Fechamento])</f>
        <v>0</v>
      </c>
      <c r="AZ140" s="7">
        <f>SUMPRODUCT(N(Tabela176[Código]=Tabela3[[#This Row],[PAPEL]]),Tabela176[Fechamento])</f>
        <v>0</v>
      </c>
      <c r="BA140" s="7">
        <f>SUMPRODUCT(N(Tabela1768[Código]=Tabela3[[#This Row],[PAPEL]]),Tabela1768[Fechamento])</f>
        <v>0</v>
      </c>
      <c r="BB140" s="7">
        <f>SUMPRODUCT(N(Tabela17683[Código]=Tabela3[[#This Row],[PAPEL]]),Tabela17683[Fechamento])</f>
        <v>0</v>
      </c>
    </row>
    <row r="141" spans="1:54" hidden="1">
      <c r="A141" s="3" t="s">
        <v>1196</v>
      </c>
      <c r="B141" s="57" t="s">
        <v>1230</v>
      </c>
      <c r="C141" s="16" t="str">
        <f>LEFT([PAPEL],LEN([PAPEL])-(LEN([PAPEL])-4))</f>
        <v>TCSA</v>
      </c>
      <c r="D141" s="16">
        <v>3</v>
      </c>
      <c r="E141" s="5">
        <v>1072815631.8</v>
      </c>
      <c r="F141" s="56">
        <v>185966569</v>
      </c>
      <c r="G141" s="81">
        <v>0.25</v>
      </c>
      <c r="H141" s="87"/>
      <c r="J141" s="18"/>
      <c r="K141" s="16"/>
      <c r="L141" s="87"/>
      <c r="M141" s="54"/>
      <c r="N141" s="54"/>
      <c r="O141" s="54"/>
      <c r="P141" s="91">
        <v>1487733000</v>
      </c>
      <c r="Q141" s="73">
        <v>177849000</v>
      </c>
      <c r="R141" s="73">
        <f>IF(Tabela3[[#This Row],[Ativo || Passivo]]&gt;0,Tabela3[[#This Row],[Ativo || Passivo]]-Tabela3[[#This Row],[Patrimônio Líquido]],0)</f>
        <v>0</v>
      </c>
      <c r="S141" s="73">
        <f>Tabela3[[#This Row],[Cotação]]*Tabela3[[#This Row],[Total Ações]]</f>
        <v>1411486258.71</v>
      </c>
      <c r="T141" s="37">
        <f>IF(Tabela3[[#This Row],[Passivo Circulante]]&gt;0,Tabela3[[#This Row],[Ativo Circulante]]/Tabela3[[#This Row],[Passivo Circulante]],0)</f>
        <v>0</v>
      </c>
      <c r="U141" s="37">
        <f>SUMPRODUCT(N([Liquidez Corrente]&gt;0),N(RIGHT([PAPEL],LEN([PAPEL])-(LEN([PAPEL])-1))="3"),[Liquidez Corrente])/SUMPRODUCT(N([Liquidez Corrente]&gt;0),N(RIGHT([PAPEL],LEN([PAPEL])-(LEN([PAPEL])-1))="3"))</f>
        <v>2.331224473064915</v>
      </c>
      <c r="V141" s="18">
        <f>IF(Tabela3[[#This Row],[Lucro Líquido]]&gt;0,Tabela3[[#This Row],[Lucro Líquido]]/Tabela3[[#This Row],[Patrimônio Líquido]],0)</f>
        <v>0.11954362778805068</v>
      </c>
      <c r="W141" s="18">
        <f>SUMPRODUCT(N([Rentabilidade s/ PL]&gt;0),N(RIGHT([PAPEL],LEN([PAPEL])-(LEN([PAPEL])-1))="3"),[Rentabilidade s/ PL])/SUMPRODUCT(N([Rentabilidade s/ PL]&gt;0),N(RIGHT([PAPEL],LEN([PAPEL])-(LEN([PAPEL])-1))="3"))</f>
        <v>0.1261051308670782</v>
      </c>
      <c r="X141" s="18">
        <f>IF(Tabela3[[#This Row],[Dívida]]&gt;0,Tabela3[[#This Row],[Dívida]]/Tabela3[[#This Row],[Patrimônio Líquido]],0)</f>
        <v>0</v>
      </c>
      <c r="Y141" s="18">
        <f>SUMPRODUCT(N([Dívida / PL]&gt;0),N(RIGHT([PAPEL],LEN([PAPEL])-(LEN([PAPEL])-1))="3"),[Dívida / PL])/SUMPRODUCT(N([Dívida / PL]&gt;0),N(RIGHT([PAPEL],LEN([PAPEL])-(LEN([PAPEL])-1))="3"))</f>
        <v>2.1510410379481146</v>
      </c>
      <c r="Z141" s="7">
        <f>Tabela3[[#This Row],[Capital Social]]*20%</f>
        <v>214563126.36000001</v>
      </c>
      <c r="AA141" s="47">
        <f>IF(([Lucro Líquido]*5%)&gt;[Teto R. Legal],[Teto R. Legal],[Lucro Líquido]*5%)</f>
        <v>8892450</v>
      </c>
      <c r="AB141" s="47">
        <f>IF([Lucro Líquido]&lt;0,0,[Lucro Líquido]-[Reserva Legal])</f>
        <v>168956550</v>
      </c>
      <c r="AC141" s="47">
        <f>Tabela3[[#This Row],[Lucro Distribuir]]*[%Div]</f>
        <v>42239137.5</v>
      </c>
      <c r="AD141" s="56">
        <f>SUMPRODUCT(N([Nome]=Tabela3[[#This Row],[Nome]]),[Ações])</f>
        <v>185966569</v>
      </c>
      <c r="AE141" s="85">
        <f>[Capital Social]/[Total Ações]</f>
        <v>5.7688628529786987</v>
      </c>
      <c r="AF141" s="85">
        <f>Tabela3[[#This Row],[Lucro Líquido]]/Tabela3[[#This Row],[Total Ações]]</f>
        <v>0.95634931028920578</v>
      </c>
      <c r="AG141" s="85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0.22713296119368637</v>
      </c>
      <c r="AH141" s="85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141" s="77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141" s="85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0.22713296119368637</v>
      </c>
      <c r="AK141" s="7">
        <f>[Div Base]*[Ações]</f>
        <v>42239137.5</v>
      </c>
      <c r="AL141" s="120">
        <f>SUMPRODUCT(N([Nome]=Tabela3[[#This Row],[Nome]]),[Div Base]*[Ações])</f>
        <v>42239137.5</v>
      </c>
      <c r="AM141" s="5">
        <f>[Patrimônio Líquido]/[Total Ações]</f>
        <v>8.000002409035142</v>
      </c>
      <c r="AN141" s="52">
        <f>MAX(Tabela3[[#This Row],[Cotação 1]:[Cotação 5]])</f>
        <v>7.59</v>
      </c>
      <c r="AO141" s="53">
        <f>[Cotação]/[VPA]</f>
        <v>0.94874971430357469</v>
      </c>
      <c r="AP141" s="37">
        <f>IF(Tabela3[[#This Row],[Lucro/Ação]]&gt;0,Tabela3[[#This Row],[Cotação]]/(Tabela3[[#This Row],[Lucro/Ação]]/[Ref]*4),0)</f>
        <v>5.9523230045291227</v>
      </c>
      <c r="AQ141" s="85">
        <f>[Lucro Distribuir]/[Total Ações]</f>
        <v>0.90853184477474547</v>
      </c>
      <c r="AR141" s="85">
        <f>IF([Unit ON]&gt;0,SUMPRODUCT(N([Nome]=Tabela3[[#This Row],[Nome]]),N(RIGHT([PAPEL],1)="3"),[Div Base])*[Unit ON]+SUMPRODUCT(N([Nome]=Tabela3[[#This Row],[Nome]]),N(RIGHT([PAPEL],1)="4"),[Div Base])*[Unit PN],[Div Base])</f>
        <v>0.22713296119368637</v>
      </c>
      <c r="AS141" s="10" t="str">
        <f>IF(AND([% A.A.]&gt;=6%,SUMPRODUCT(N([Nome]=Tabela3[[#This Row],[Nome]]),[PL])&gt;0,[Rentabilidade s/ PL]&gt;=[Rentabilidade s/ PL Média]),"Sim","Não")</f>
        <v>Não</v>
      </c>
      <c r="AT141" s="22">
        <f>IF([Cotação]&gt;0,Tabela3[[#This Row],[Lucro]]/Tabela3[[#This Row],[Cotação]],0)</f>
        <v>2.9925291329866453E-2</v>
      </c>
      <c r="AU141" s="22">
        <f>((1+Tabela3[[#This Row],[% Yield]])^(1/(3*Tabela3[[#This Row],[Ref]])))^(12)-1</f>
        <v>4.0098086410189415E-2</v>
      </c>
      <c r="AV141" s="10">
        <f>IF([Cotação]&gt;0,($BH$1/Tabela3[[#This Row],[Cotação]]-MOD($BH$1/Tabela3[[#This Row],[Cotação]],100)),)</f>
        <v>0</v>
      </c>
      <c r="AW141" s="7">
        <f>Tabela3[[#This Row],[Ativos]]*[Lucro]</f>
        <v>0</v>
      </c>
      <c r="AX141" s="7">
        <f>SUMPRODUCT(N(Tabela1[Código]=Tabela3[[#This Row],[PAPEL]]),Tabela1[Fechamento])</f>
        <v>0</v>
      </c>
      <c r="AY141" s="7">
        <f>SUMPRODUCT(N(Tabela17[Código]=Tabela3[[#This Row],[PAPEL]]),Tabela17[Fechamento])</f>
        <v>0</v>
      </c>
      <c r="AZ141" s="7">
        <f>SUMPRODUCT(N(Tabela176[Código]=Tabela3[[#This Row],[PAPEL]]),Tabela176[Fechamento])</f>
        <v>0</v>
      </c>
      <c r="BA141" s="7">
        <f>SUMPRODUCT(N(Tabela1768[Código]=Tabela3[[#This Row],[PAPEL]]),Tabela1768[Fechamento])</f>
        <v>7.59</v>
      </c>
      <c r="BB141" s="7">
        <f>SUMPRODUCT(N(Tabela17683[Código]=Tabela3[[#This Row],[PAPEL]]),Tabela17683[Fechamento])</f>
        <v>0</v>
      </c>
    </row>
    <row r="142" spans="1:54" hidden="1">
      <c r="A142" s="3" t="s">
        <v>1196</v>
      </c>
      <c r="B142" s="57" t="s">
        <v>1207</v>
      </c>
      <c r="C142" s="16" t="str">
        <f>LEFT([PAPEL],LEN([PAPEL])-(LEN([PAPEL])-4))</f>
        <v>DIRR</v>
      </c>
      <c r="D142" s="16">
        <v>3</v>
      </c>
      <c r="E142" s="5">
        <v>702982399</v>
      </c>
      <c r="F142" s="56">
        <v>155298749</v>
      </c>
      <c r="G142" s="81">
        <v>0.25</v>
      </c>
      <c r="H142" s="87"/>
      <c r="J142" s="18"/>
      <c r="K142" s="16"/>
      <c r="L142" s="87"/>
      <c r="M142" s="54"/>
      <c r="N142" s="54"/>
      <c r="O142" s="54"/>
      <c r="P142" s="91">
        <v>1478036000</v>
      </c>
      <c r="Q142" s="73">
        <v>177713000</v>
      </c>
      <c r="R142" s="73">
        <f>IF(Tabela3[[#This Row],[Ativo || Passivo]]&gt;0,Tabela3[[#This Row],[Ativo || Passivo]]-Tabela3[[#This Row],[Patrimônio Líquido]],0)</f>
        <v>0</v>
      </c>
      <c r="S142" s="73">
        <f>Tabela3[[#This Row],[Cotação]]*Tabela3[[#This Row],[Total Ações]]</f>
        <v>1518821765.2199998</v>
      </c>
      <c r="T142" s="37">
        <f>IF(Tabela3[[#This Row],[Passivo Circulante]]&gt;0,Tabela3[[#This Row],[Ativo Circulante]]/Tabela3[[#This Row],[Passivo Circulante]],0)</f>
        <v>0</v>
      </c>
      <c r="U142" s="37">
        <f>SUMPRODUCT(N([Liquidez Corrente]&gt;0),N(RIGHT([PAPEL],LEN([PAPEL])-(LEN([PAPEL])-1))="3"),[Liquidez Corrente])/SUMPRODUCT(N([Liquidez Corrente]&gt;0),N(RIGHT([PAPEL],LEN([PAPEL])-(LEN([PAPEL])-1))="3"))</f>
        <v>2.331224473064915</v>
      </c>
      <c r="V142" s="18">
        <f>IF(Tabela3[[#This Row],[Lucro Líquido]]&gt;0,Tabela3[[#This Row],[Lucro Líquido]]/Tabela3[[#This Row],[Patrimônio Líquido]],0)</f>
        <v>0.12023590765042259</v>
      </c>
      <c r="W142" s="18">
        <f>SUMPRODUCT(N([Rentabilidade s/ PL]&gt;0),N(RIGHT([PAPEL],LEN([PAPEL])-(LEN([PAPEL])-1))="3"),[Rentabilidade s/ PL])/SUMPRODUCT(N([Rentabilidade s/ PL]&gt;0),N(RIGHT([PAPEL],LEN([PAPEL])-(LEN([PAPEL])-1))="3"))</f>
        <v>0.1261051308670782</v>
      </c>
      <c r="X142" s="18">
        <f>IF(Tabela3[[#This Row],[Dívida]]&gt;0,Tabela3[[#This Row],[Dívida]]/Tabela3[[#This Row],[Patrimônio Líquido]],0)</f>
        <v>0</v>
      </c>
      <c r="Y142" s="18">
        <f>SUMPRODUCT(N([Dívida / PL]&gt;0),N(RIGHT([PAPEL],LEN([PAPEL])-(LEN([PAPEL])-1))="3"),[Dívida / PL])/SUMPRODUCT(N([Dívida / PL]&gt;0),N(RIGHT([PAPEL],LEN([PAPEL])-(LEN([PAPEL])-1))="3"))</f>
        <v>2.1510410379481146</v>
      </c>
      <c r="Z142" s="7">
        <f>Tabela3[[#This Row],[Capital Social]]*20%</f>
        <v>140596479.80000001</v>
      </c>
      <c r="AA142" s="47">
        <f>IF(([Lucro Líquido]*5%)&gt;[Teto R. Legal],[Teto R. Legal],[Lucro Líquido]*5%)</f>
        <v>8885650</v>
      </c>
      <c r="AB142" s="47">
        <f>IF([Lucro Líquido]&lt;0,0,[Lucro Líquido]-[Reserva Legal])</f>
        <v>168827350</v>
      </c>
      <c r="AC142" s="47">
        <f>Tabela3[[#This Row],[Lucro Distribuir]]*[%Div]</f>
        <v>42206837.5</v>
      </c>
      <c r="AD142" s="56">
        <f>SUMPRODUCT(N([Nome]=Tabela3[[#This Row],[Nome]]),[Ações])</f>
        <v>155298749</v>
      </c>
      <c r="AE142" s="85">
        <f>[Capital Social]/[Total Ações]</f>
        <v>4.5266456009893554</v>
      </c>
      <c r="AF142" s="85">
        <f>Tabela3[[#This Row],[Lucro Líquido]]/Tabela3[[#This Row],[Total Ações]]</f>
        <v>1.1443298876799066</v>
      </c>
      <c r="AG142" s="85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0.27177834832397779</v>
      </c>
      <c r="AH142" s="85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142" s="77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142" s="85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0.27177834832397779</v>
      </c>
      <c r="AK142" s="7">
        <f>[Div Base]*[Ações]</f>
        <v>42206837.5</v>
      </c>
      <c r="AL142" s="120">
        <f>SUMPRODUCT(N([Nome]=Tabela3[[#This Row],[Nome]]),[Div Base]*[Ações])</f>
        <v>42206837.5</v>
      </c>
      <c r="AM142" s="5">
        <f>[Patrimônio Líquido]/[Total Ações]</f>
        <v>9.5173722230048359</v>
      </c>
      <c r="AN142" s="52">
        <f>MAX(Tabela3[[#This Row],[Cotação 1]:[Cotação 5]])</f>
        <v>9.7799999999999994</v>
      </c>
      <c r="AO142" s="53">
        <f>[Cotação]/[VPA]</f>
        <v>1.0275945682107877</v>
      </c>
      <c r="AP142" s="37">
        <f>IF(Tabela3[[#This Row],[Lucro/Ação]]&gt;0,Tabela3[[#This Row],[Cotação]]/(Tabela3[[#This Row],[Lucro/Ação]]/[Ref]*4),0)</f>
        <v>6.4098649165508421</v>
      </c>
      <c r="AQ142" s="85">
        <f>[Lucro Distribuir]/[Total Ações]</f>
        <v>1.0871133932959112</v>
      </c>
      <c r="AR142" s="85">
        <f>IF([Unit ON]&gt;0,SUMPRODUCT(N([Nome]=Tabela3[[#This Row],[Nome]]),N(RIGHT([PAPEL],1)="3"),[Div Base])*[Unit ON]+SUMPRODUCT(N([Nome]=Tabela3[[#This Row],[Nome]]),N(RIGHT([PAPEL],1)="4"),[Div Base])*[Unit PN],[Div Base])</f>
        <v>0.27177834832397779</v>
      </c>
      <c r="AS142" s="10" t="str">
        <f>IF(AND([% A.A.]&gt;=6%,SUMPRODUCT(N([Nome]=Tabela3[[#This Row],[Nome]]),[PL])&gt;0,[Rentabilidade s/ PL]&gt;=[Rentabilidade s/ PL Média]),"Sim","Não")</f>
        <v>Não</v>
      </c>
      <c r="AT142" s="22">
        <f>IF([Cotação]&gt;0,Tabela3[[#This Row],[Lucro]]/Tabela3[[#This Row],[Cotação]],0)</f>
        <v>2.7789197170140879E-2</v>
      </c>
      <c r="AU142" s="22">
        <f>((1+Tabela3[[#This Row],[% Yield]])^(1/(3*Tabela3[[#This Row],[Ref]])))^(12)-1</f>
        <v>3.722282400964172E-2</v>
      </c>
      <c r="AV142" s="10">
        <f>IF([Cotação]&gt;0,($BH$1/Tabela3[[#This Row],[Cotação]]-MOD($BH$1/Tabela3[[#This Row],[Cotação]],100)),)</f>
        <v>0</v>
      </c>
      <c r="AW142" s="7">
        <f>Tabela3[[#This Row],[Ativos]]*[Lucro]</f>
        <v>0</v>
      </c>
      <c r="AX142" s="7">
        <f>SUMPRODUCT(N(Tabela1[Código]=Tabela3[[#This Row],[PAPEL]]),Tabela1[Fechamento])</f>
        <v>0</v>
      </c>
      <c r="AY142" s="7">
        <f>SUMPRODUCT(N(Tabela17[Código]=Tabela3[[#This Row],[PAPEL]]),Tabela17[Fechamento])</f>
        <v>0</v>
      </c>
      <c r="AZ142" s="7">
        <f>SUMPRODUCT(N(Tabela176[Código]=Tabela3[[#This Row],[PAPEL]]),Tabela176[Fechamento])</f>
        <v>0</v>
      </c>
      <c r="BA142" s="7">
        <f>SUMPRODUCT(N(Tabela1768[Código]=Tabela3[[#This Row],[PAPEL]]),Tabela1768[Fechamento])</f>
        <v>9.7799999999999994</v>
      </c>
      <c r="BB142" s="7">
        <f>SUMPRODUCT(N(Tabela17683[Código]=Tabela3[[#This Row],[PAPEL]]),Tabela17683[Fechamento])</f>
        <v>0</v>
      </c>
    </row>
    <row r="143" spans="1:54" hidden="1">
      <c r="A143" s="4" t="s">
        <v>243</v>
      </c>
      <c r="B143" s="57" t="s">
        <v>244</v>
      </c>
      <c r="C143" s="82" t="str">
        <f>LEFT([PAPEL],LEN([PAPEL])-(LEN([PAPEL])-4))</f>
        <v>QGEP</v>
      </c>
      <c r="D143" s="15">
        <v>3</v>
      </c>
      <c r="E143" s="6">
        <v>2135496103.8199999</v>
      </c>
      <c r="F143" s="8">
        <v>265806905</v>
      </c>
      <c r="G143" s="86">
        <v>1.0000000000000001E-5</v>
      </c>
      <c r="H143" s="9"/>
      <c r="I143" s="9"/>
      <c r="J143" s="19"/>
      <c r="K143" s="88"/>
      <c r="L143" s="88"/>
      <c r="M143" s="55"/>
      <c r="N143" s="55"/>
      <c r="O143" s="55"/>
      <c r="P143" s="6">
        <v>2384232000</v>
      </c>
      <c r="Q143" s="6">
        <v>171061000</v>
      </c>
      <c r="R143" s="6">
        <f>IF(Tabela3[[#This Row],[Ativo || Passivo]]&gt;0,Tabela3[[#This Row],[Ativo || Passivo]]-Tabela3[[#This Row],[Patrimônio Líquido]],0)</f>
        <v>0</v>
      </c>
      <c r="S143" s="6">
        <f>Tabela3[[#This Row],[Cotação]]*Tabela3[[#This Row],[Total Ações]]</f>
        <v>2171642413.8499999</v>
      </c>
      <c r="T143" s="132">
        <f>IF(Tabela3[[#This Row],[Passivo Circulante]]&gt;0,Tabela3[[#This Row],[Ativo Circulante]]/Tabela3[[#This Row],[Passivo Circulante]],0)</f>
        <v>0</v>
      </c>
      <c r="U143" s="132">
        <f>SUMPRODUCT(N([Liquidez Corrente]&gt;0),N(RIGHT([PAPEL],LEN([PAPEL])-(LEN([PAPEL])-1))="3"),[Liquidez Corrente])/SUMPRODUCT(N([Liquidez Corrente]&gt;0),N(RIGHT([PAPEL],LEN([PAPEL])-(LEN([PAPEL])-1))="3"))</f>
        <v>2.331224473064915</v>
      </c>
      <c r="V143" s="19">
        <f>IF(Tabela3[[#This Row],[Lucro Líquido]]&gt;0,Tabela3[[#This Row],[Lucro Líquido]]/Tabela3[[#This Row],[Patrimônio Líquido]],0)</f>
        <v>7.1746793097316033E-2</v>
      </c>
      <c r="W143" s="19">
        <f>SUMPRODUCT(N([Rentabilidade s/ PL]&gt;0),N(RIGHT([PAPEL],LEN([PAPEL])-(LEN([PAPEL])-1))="3"),[Rentabilidade s/ PL])/SUMPRODUCT(N([Rentabilidade s/ PL]&gt;0),N(RIGHT([PAPEL],LEN([PAPEL])-(LEN([PAPEL])-1))="3"))</f>
        <v>0.1261051308670782</v>
      </c>
      <c r="X143" s="19">
        <f>IF(Tabela3[[#This Row],[Dívida]]&gt;0,Tabela3[[#This Row],[Dívida]]/Tabela3[[#This Row],[Patrimônio Líquido]],0)</f>
        <v>0</v>
      </c>
      <c r="Y143" s="19">
        <f>SUMPRODUCT(N([Dívida / PL]&gt;0),N(RIGHT([PAPEL],LEN([PAPEL])-(LEN([PAPEL])-1))="3"),[Dívida / PL])/SUMPRODUCT(N([Dívida / PL]&gt;0),N(RIGHT([PAPEL],LEN([PAPEL])-(LEN([PAPEL])-1))="3"))</f>
        <v>2.1510410379481146</v>
      </c>
      <c r="Z143" s="6">
        <f>Tabela3[[#This Row],[Capital Social]]*20%</f>
        <v>427099220.764</v>
      </c>
      <c r="AA143" s="6">
        <f>IF(([Lucro Líquido]*5%)&gt;[Teto R. Legal],[Teto R. Legal],[Lucro Líquido]*5%)</f>
        <v>8553050</v>
      </c>
      <c r="AB143" s="6">
        <f>IF([Lucro Líquido]&lt;0,0,[Lucro Líquido]-[Reserva Legal])</f>
        <v>162507950</v>
      </c>
      <c r="AC143" s="6">
        <f>Tabela3[[#This Row],[Lucro Distribuir]]*[%Div]</f>
        <v>1625.0795000000001</v>
      </c>
      <c r="AD143" s="56">
        <f>SUMPRODUCT(N([Nome]=Tabela3[[#This Row],[Nome]]),[Ações])</f>
        <v>265806905</v>
      </c>
      <c r="AE143" s="6">
        <f>[Capital Social]/[Total Ações]</f>
        <v>8.034012900530179</v>
      </c>
      <c r="AF143" s="78">
        <f>Tabela3[[#This Row],[Lucro Líquido]]/Tabela3[[#This Row],[Total Ações]]</f>
        <v>0.64355363529777376</v>
      </c>
      <c r="AG143" s="78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6.1137595353288513E-6</v>
      </c>
      <c r="AH143" s="78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143" s="78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143" s="78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6.1137595353288513E-6</v>
      </c>
      <c r="AK143" s="6">
        <f>[Div Base]*[Ações]</f>
        <v>1625.0795000000001</v>
      </c>
      <c r="AL143" s="6">
        <f>SUMPRODUCT(N([Nome]=Tabela3[[#This Row],[Nome]]),[Div Base]*[Ações])</f>
        <v>1625.0795000000001</v>
      </c>
      <c r="AM143" s="6">
        <f>[Patrimônio Líquido]/[Total Ações]</f>
        <v>8.9697895545640538</v>
      </c>
      <c r="AN143" s="48">
        <f>MAX(Tabela3[[#This Row],[Cotação 1]:[Cotação 5]])</f>
        <v>8.17</v>
      </c>
      <c r="AO143" s="44">
        <f>[Cotação]/[VPA]</f>
        <v>0.91083519298876958</v>
      </c>
      <c r="AP143" s="40">
        <f>IF(Tabela3[[#This Row],[Lucro/Ação]]&gt;0,Tabela3[[#This Row],[Cotação]]/(Tabela3[[#This Row],[Lucro/Ação]]/[Ref]*4),0)</f>
        <v>9.5213509238663399</v>
      </c>
      <c r="AQ143" s="78">
        <f>[Lucro Distribuir]/[Total Ações]</f>
        <v>0.6113759535328851</v>
      </c>
      <c r="AR143" s="78">
        <f>IF([Unit ON]&gt;0,SUMPRODUCT(N([Nome]=Tabela3[[#This Row],[Nome]]),N(RIGHT([PAPEL],1)="3"),[Div Base])*[Unit ON]+SUMPRODUCT(N([Nome]=Tabela3[[#This Row],[Nome]]),N(RIGHT([PAPEL],1)="4"),[Div Base])*[Unit PN],[Div Base])</f>
        <v>6.1137595353288513E-6</v>
      </c>
      <c r="AS143" s="15" t="str">
        <f>IF(AND([% A.A.]&gt;=6%,SUMPRODUCT(N([Nome]=Tabela3[[#This Row],[Nome]]),[PL])&gt;0,[Rentabilidade s/ PL]&gt;=[Rentabilidade s/ PL Média]),"Sim","Não")</f>
        <v>Não</v>
      </c>
      <c r="AT143" s="42">
        <f>IF([Cotação]&gt;0,Tabela3[[#This Row],[Lucro]]/Tabela3[[#This Row],[Cotação]],0)</f>
        <v>7.4831818057880682E-7</v>
      </c>
      <c r="AU143" s="19">
        <f>((1+Tabela3[[#This Row],[% Yield]])^(1/(3*Tabela3[[#This Row],[Ref]])))^(12)-1</f>
        <v>9.9775769846210949E-7</v>
      </c>
      <c r="AV143" s="14">
        <f>IF([Cotação]&gt;0,($BH$1/Tabela3[[#This Row],[Cotação]]-MOD($BH$1/Tabela3[[#This Row],[Cotação]],100)),)</f>
        <v>0</v>
      </c>
      <c r="AW143" s="17">
        <f>Tabela3[[#This Row],[Ativos]]*[Lucro]</f>
        <v>0</v>
      </c>
      <c r="AX143" s="13">
        <f>SUMPRODUCT(N(Tabela1[Código]=Tabela3[[#This Row],[PAPEL]]),Tabela1[Fechamento])</f>
        <v>0</v>
      </c>
      <c r="AY143" s="13">
        <f>SUMPRODUCT(N(Tabela17[Código]=Tabela3[[#This Row],[PAPEL]]),Tabela17[Fechamento])</f>
        <v>8.17</v>
      </c>
      <c r="AZ143" s="7">
        <f>SUMPRODUCT(N(Tabela176[Código]=Tabela3[[#This Row],[PAPEL]]),Tabela176[Fechamento])</f>
        <v>0</v>
      </c>
      <c r="BA143" s="7">
        <f>SUMPRODUCT(N(Tabela1768[Código]=Tabela3[[#This Row],[PAPEL]]),Tabela1768[Fechamento])</f>
        <v>0</v>
      </c>
      <c r="BB143" s="7">
        <f>SUMPRODUCT(N(Tabela17683[Código]=Tabela3[[#This Row],[PAPEL]]),Tabela17683[Fechamento])</f>
        <v>0</v>
      </c>
    </row>
    <row r="144" spans="1:54" hidden="1">
      <c r="A144" s="3" t="s">
        <v>1448</v>
      </c>
      <c r="B144" s="58" t="s">
        <v>1449</v>
      </c>
      <c r="C144" s="16" t="str">
        <f>LEFT([PAPEL],LEN([PAPEL])-(LEN([PAPEL])-4))</f>
        <v>EMBR</v>
      </c>
      <c r="D144" s="16">
        <v>3</v>
      </c>
      <c r="E144" s="5">
        <v>4789617052.4200001</v>
      </c>
      <c r="F144" s="56">
        <v>740465044</v>
      </c>
      <c r="G144" s="81">
        <v>0.25</v>
      </c>
      <c r="H144" s="87"/>
      <c r="J144" s="18"/>
      <c r="K144" s="16"/>
      <c r="L144" s="87"/>
      <c r="M144" s="54"/>
      <c r="N144" s="54"/>
      <c r="O144" s="54"/>
      <c r="P144" s="91">
        <v>7930492000</v>
      </c>
      <c r="Q144" s="73">
        <v>170425000</v>
      </c>
      <c r="R144" s="73">
        <f>IF(Tabela3[[#This Row],[Ativo || Passivo]]&gt;0,Tabela3[[#This Row],[Ativo || Passivo]]-Tabela3[[#This Row],[Patrimônio Líquido]],0)</f>
        <v>0</v>
      </c>
      <c r="S144" s="73">
        <f>Tabela3[[#This Row],[Cotação]]*Tabela3[[#This Row],[Total Ações]]</f>
        <v>14653803220.76</v>
      </c>
      <c r="T144" s="37">
        <f>IF(Tabela3[[#This Row],[Passivo Circulante]]&gt;0,Tabela3[[#This Row],[Ativo Circulante]]/Tabela3[[#This Row],[Passivo Circulante]],0)</f>
        <v>0</v>
      </c>
      <c r="U144" s="37">
        <f>SUMPRODUCT(N([Liquidez Corrente]&gt;0),N(RIGHT([PAPEL],LEN([PAPEL])-(LEN([PAPEL])-1))="3"),[Liquidez Corrente])/SUMPRODUCT(N([Liquidez Corrente]&gt;0),N(RIGHT([PAPEL],LEN([PAPEL])-(LEN([PAPEL])-1))="3"))</f>
        <v>2.331224473064915</v>
      </c>
      <c r="V144" s="18">
        <f>IF(Tabela3[[#This Row],[Lucro Líquido]]&gt;0,Tabela3[[#This Row],[Lucro Líquido]]/Tabela3[[#This Row],[Patrimônio Líquido]],0)</f>
        <v>2.1489839470237155E-2</v>
      </c>
      <c r="W144" s="18">
        <f>SUMPRODUCT(N([Rentabilidade s/ PL]&gt;0),N(RIGHT([PAPEL],LEN([PAPEL])-(LEN([PAPEL])-1))="3"),[Rentabilidade s/ PL])/SUMPRODUCT(N([Rentabilidade s/ PL]&gt;0),N(RIGHT([PAPEL],LEN([PAPEL])-(LEN([PAPEL])-1))="3"))</f>
        <v>0.1261051308670782</v>
      </c>
      <c r="X144" s="18">
        <f>IF(Tabela3[[#This Row],[Dívida]]&gt;0,Tabela3[[#This Row],[Dívida]]/Tabela3[[#This Row],[Patrimônio Líquido]],0)</f>
        <v>0</v>
      </c>
      <c r="Y144" s="18">
        <f>SUMPRODUCT(N([Dívida / PL]&gt;0),N(RIGHT([PAPEL],LEN([PAPEL])-(LEN([PAPEL])-1))="3"),[Dívida / PL])/SUMPRODUCT(N([Dívida / PL]&gt;0),N(RIGHT([PAPEL],LEN([PAPEL])-(LEN([PAPEL])-1))="3"))</f>
        <v>2.1510410379481146</v>
      </c>
      <c r="Z144" s="7">
        <f>Tabela3[[#This Row],[Capital Social]]*20%</f>
        <v>957923410.48400009</v>
      </c>
      <c r="AA144" s="47">
        <f>IF(([Lucro Líquido]*5%)&gt;[Teto R. Legal],[Teto R. Legal],[Lucro Líquido]*5%)</f>
        <v>8521250</v>
      </c>
      <c r="AB144" s="47">
        <f>IF([Lucro Líquido]&lt;0,0,[Lucro Líquido]-[Reserva Legal])</f>
        <v>161903750</v>
      </c>
      <c r="AC144" s="47">
        <f>Tabela3[[#This Row],[Lucro Distribuir]]*[%Div]</f>
        <v>40475937.5</v>
      </c>
      <c r="AD144" s="56">
        <f>SUMPRODUCT(N([Nome]=Tabela3[[#This Row],[Nome]]),[Ações])</f>
        <v>740465044</v>
      </c>
      <c r="AE144" s="85">
        <f>[Capital Social]/[Total Ações]</f>
        <v>6.468390494906334</v>
      </c>
      <c r="AF144" s="85">
        <f>Tabela3[[#This Row],[Lucro Líquido]]/Tabela3[[#This Row],[Total Ações]]</f>
        <v>0.23015941317008343</v>
      </c>
      <c r="AG144" s="85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5.4662860627894813E-2</v>
      </c>
      <c r="AH144" s="85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144" s="77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144" s="85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5.4662860627894813E-2</v>
      </c>
      <c r="AK144" s="7">
        <f>[Div Base]*[Ações]</f>
        <v>40475937.5</v>
      </c>
      <c r="AL144" s="120">
        <f>SUMPRODUCT(N([Nome]=Tabela3[[#This Row],[Nome]]),[Div Base]*[Ações])</f>
        <v>40475937.5</v>
      </c>
      <c r="AM144" s="5">
        <f>[Patrimônio Líquido]/[Total Ações]</f>
        <v>10.710150417309908</v>
      </c>
      <c r="AN144" s="52">
        <f>MAX(Tabela3[[#This Row],[Cotação 1]:[Cotação 5]])</f>
        <v>19.79</v>
      </c>
      <c r="AO144" s="53">
        <f>[Cotação]/[VPA]</f>
        <v>1.8477798377149868</v>
      </c>
      <c r="AP144" s="37">
        <f>IF(Tabela3[[#This Row],[Lucro/Ação]]&gt;0,Tabela3[[#This Row],[Cotação]]/(Tabela3[[#This Row],[Lucro/Ação]]/[Ref]*4),0)</f>
        <v>64.487912076103854</v>
      </c>
      <c r="AQ144" s="85">
        <f>[Lucro Distribuir]/[Total Ações]</f>
        <v>0.21865144251157925</v>
      </c>
      <c r="AR144" s="85">
        <f>IF([Unit ON]&gt;0,SUMPRODUCT(N([Nome]=Tabela3[[#This Row],[Nome]]),N(RIGHT([PAPEL],1)="3"),[Div Base])*[Unit ON]+SUMPRODUCT(N([Nome]=Tabela3[[#This Row],[Nome]]),N(RIGHT([PAPEL],1)="4"),[Div Base])*[Unit PN],[Div Base])</f>
        <v>5.4662860627894813E-2</v>
      </c>
      <c r="AS144" s="10" t="str">
        <f>IF(AND([% A.A.]&gt;=6%,SUMPRODUCT(N([Nome]=Tabela3[[#This Row],[Nome]]),[PL])&gt;0,[Rentabilidade s/ PL]&gt;=[Rentabilidade s/ PL Média]),"Sim","Não")</f>
        <v>Não</v>
      </c>
      <c r="AT144" s="22">
        <f>IF([Cotação]&gt;0,Tabela3[[#This Row],[Lucro]]/Tabela3[[#This Row],[Cotação]],0)</f>
        <v>2.7621455597723506E-3</v>
      </c>
      <c r="AU144" s="22">
        <f>((1+Tabela3[[#This Row],[% Yield]])^(1/(3*Tabela3[[#This Row],[Ref]])))^(12)-1</f>
        <v>3.6845551397939325E-3</v>
      </c>
      <c r="AV144" s="10">
        <f>IF([Cotação]&gt;0,($BH$1/Tabela3[[#This Row],[Cotação]]-MOD($BH$1/Tabela3[[#This Row],[Cotação]],100)),)</f>
        <v>0</v>
      </c>
      <c r="AW144" s="7">
        <f>Tabela3[[#This Row],[Ativos]]*[Lucro]</f>
        <v>0</v>
      </c>
      <c r="AX144" s="7">
        <f>SUMPRODUCT(N(Tabela1[Código]=Tabela3[[#This Row],[PAPEL]]),Tabela1[Fechamento])</f>
        <v>0</v>
      </c>
      <c r="AY144" s="7">
        <f>SUMPRODUCT(N(Tabela17[Código]=Tabela3[[#This Row],[PAPEL]]),Tabela17[Fechamento])</f>
        <v>0</v>
      </c>
      <c r="AZ144" s="7">
        <f>SUMPRODUCT(N(Tabela176[Código]=Tabela3[[#This Row],[PAPEL]]),Tabela176[Fechamento])</f>
        <v>0</v>
      </c>
      <c r="BA144" s="7">
        <f>SUMPRODUCT(N(Tabela1768[Código]=Tabela3[[#This Row],[PAPEL]]),Tabela1768[Fechamento])</f>
        <v>0</v>
      </c>
      <c r="BB144" s="7">
        <f>SUMPRODUCT(N(Tabela17683[Código]=Tabela3[[#This Row],[PAPEL]]),Tabela17683[Fechamento])</f>
        <v>19.79</v>
      </c>
    </row>
    <row r="145" spans="1:54" hidden="1">
      <c r="A145" s="3" t="s">
        <v>1497</v>
      </c>
      <c r="B145" s="57" t="s">
        <v>1463</v>
      </c>
      <c r="C145" s="16" t="str">
        <f>LEFT([PAPEL],LEN([PAPEL])-(LEN([PAPEL])-4))</f>
        <v>LEVE</v>
      </c>
      <c r="D145" s="16">
        <v>3</v>
      </c>
      <c r="E145" s="5">
        <v>966254684</v>
      </c>
      <c r="F145" s="56">
        <v>128308500</v>
      </c>
      <c r="G145" s="81">
        <v>0.25</v>
      </c>
      <c r="H145" s="87"/>
      <c r="J145" s="18"/>
      <c r="K145" s="16"/>
      <c r="L145" s="87"/>
      <c r="M145" s="54"/>
      <c r="N145" s="54"/>
      <c r="O145" s="54"/>
      <c r="P145" s="91">
        <v>1437472000</v>
      </c>
      <c r="Q145" s="73">
        <v>170191000</v>
      </c>
      <c r="R145" s="73">
        <f>IF(Tabela3[[#This Row],[Ativo || Passivo]]&gt;0,Tabela3[[#This Row],[Ativo || Passivo]]-Tabela3[[#This Row],[Patrimônio Líquido]],0)</f>
        <v>0</v>
      </c>
      <c r="S145" s="73">
        <f>Tabela3[[#This Row],[Cotação]]*Tabela3[[#This Row],[Total Ações]]</f>
        <v>3013966665</v>
      </c>
      <c r="T145" s="37">
        <f>IF(Tabela3[[#This Row],[Passivo Circulante]]&gt;0,Tabela3[[#This Row],[Ativo Circulante]]/Tabela3[[#This Row],[Passivo Circulante]],0)</f>
        <v>0</v>
      </c>
      <c r="U145" s="37">
        <f>SUMPRODUCT(N([Liquidez Corrente]&gt;0),N(RIGHT([PAPEL],LEN([PAPEL])-(LEN([PAPEL])-1))="3"),[Liquidez Corrente])/SUMPRODUCT(N([Liquidez Corrente]&gt;0),N(RIGHT([PAPEL],LEN([PAPEL])-(LEN([PAPEL])-1))="3"))</f>
        <v>2.331224473064915</v>
      </c>
      <c r="V145" s="18">
        <f>IF(Tabela3[[#This Row],[Lucro Líquido]]&gt;0,Tabela3[[#This Row],[Lucro Líquido]]/Tabela3[[#This Row],[Patrimônio Líquido]],0)</f>
        <v>0.11839604527949066</v>
      </c>
      <c r="W145" s="18">
        <f>SUMPRODUCT(N([Rentabilidade s/ PL]&gt;0),N(RIGHT([PAPEL],LEN([PAPEL])-(LEN([PAPEL])-1))="3"),[Rentabilidade s/ PL])/SUMPRODUCT(N([Rentabilidade s/ PL]&gt;0),N(RIGHT([PAPEL],LEN([PAPEL])-(LEN([PAPEL])-1))="3"))</f>
        <v>0.1261051308670782</v>
      </c>
      <c r="X145" s="18">
        <f>IF(Tabela3[[#This Row],[Dívida]]&gt;0,Tabela3[[#This Row],[Dívida]]/Tabela3[[#This Row],[Patrimônio Líquido]],0)</f>
        <v>0</v>
      </c>
      <c r="Y145" s="18">
        <f>SUMPRODUCT(N([Dívida / PL]&gt;0),N(RIGHT([PAPEL],LEN([PAPEL])-(LEN([PAPEL])-1))="3"),[Dívida / PL])/SUMPRODUCT(N([Dívida / PL]&gt;0),N(RIGHT([PAPEL],LEN([PAPEL])-(LEN([PAPEL])-1))="3"))</f>
        <v>2.1510410379481146</v>
      </c>
      <c r="Z145" s="7">
        <f>Tabela3[[#This Row],[Capital Social]]*20%</f>
        <v>193250936.80000001</v>
      </c>
      <c r="AA145" s="47">
        <f>IF(([Lucro Líquido]*5%)&gt;[Teto R. Legal],[Teto R. Legal],[Lucro Líquido]*5%)</f>
        <v>8509550</v>
      </c>
      <c r="AB145" s="47">
        <f>IF([Lucro Líquido]&lt;0,0,[Lucro Líquido]-[Reserva Legal])</f>
        <v>161681450</v>
      </c>
      <c r="AC145" s="47">
        <f>Tabela3[[#This Row],[Lucro Distribuir]]*[%Div]</f>
        <v>40420362.5</v>
      </c>
      <c r="AD145" s="56">
        <f>SUMPRODUCT(N([Nome]=Tabela3[[#This Row],[Nome]]),[Ações])</f>
        <v>128308500</v>
      </c>
      <c r="AE145" s="85">
        <f>[Capital Social]/[Total Ações]</f>
        <v>7.5307145200824577</v>
      </c>
      <c r="AF145" s="85">
        <f>Tabela3[[#This Row],[Lucro Líquido]]/Tabela3[[#This Row],[Total Ações]]</f>
        <v>1.3264203073062191</v>
      </c>
      <c r="AG145" s="85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0.31502482298522699</v>
      </c>
      <c r="AH145" s="85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145" s="77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145" s="85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0.31502482298522699</v>
      </c>
      <c r="AK145" s="7">
        <f>[Div Base]*[Ações]</f>
        <v>40420362.5</v>
      </c>
      <c r="AL145" s="120">
        <f>SUMPRODUCT(N([Nome]=Tabela3[[#This Row],[Nome]]),[Div Base]*[Ações])</f>
        <v>40420362.5</v>
      </c>
      <c r="AM145" s="5">
        <f>[Patrimônio Líquido]/[Total Ações]</f>
        <v>11.20324842079831</v>
      </c>
      <c r="AN145" s="52">
        <f>MAX(Tabela3[[#This Row],[Cotação 1]:[Cotação 5]])</f>
        <v>23.49</v>
      </c>
      <c r="AO145" s="53">
        <f>[Cotação]/[VPA]</f>
        <v>2.096713302937379</v>
      </c>
      <c r="AP145" s="37">
        <f>IF(Tabela3[[#This Row],[Lucro/Ação]]&gt;0,Tabela3[[#This Row],[Cotação]]/(Tabela3[[#This Row],[Lucro/Ação]]/[Ref]*4),0)</f>
        <v>13.281989052006274</v>
      </c>
      <c r="AQ145" s="85">
        <f>[Lucro Distribuir]/[Total Ações]</f>
        <v>1.260099291940908</v>
      </c>
      <c r="AR145" s="85">
        <f>IF([Unit ON]&gt;0,SUMPRODUCT(N([Nome]=Tabela3[[#This Row],[Nome]]),N(RIGHT([PAPEL],1)="3"),[Div Base])*[Unit ON]+SUMPRODUCT(N([Nome]=Tabela3[[#This Row],[Nome]]),N(RIGHT([PAPEL],1)="4"),[Div Base])*[Unit PN],[Div Base])</f>
        <v>0.31502482298522699</v>
      </c>
      <c r="AS145" s="10" t="str">
        <f>IF(AND([% A.A.]&gt;=6%,SUMPRODUCT(N([Nome]=Tabela3[[#This Row],[Nome]]),[PL])&gt;0,[Rentabilidade s/ PL]&gt;=[Rentabilidade s/ PL Média]),"Sim","Não")</f>
        <v>Não</v>
      </c>
      <c r="AT145" s="22">
        <f>IF([Cotação]&gt;0,Tabela3[[#This Row],[Lucro]]/Tabela3[[#This Row],[Cotação]],0)</f>
        <v>1.3411018432747E-2</v>
      </c>
      <c r="AU145" s="22">
        <f>((1+Tabela3[[#This Row],[% Yield]])^(1/(3*Tabela3[[#This Row],[Ref]])))^(12)-1</f>
        <v>1.7921207327994848E-2</v>
      </c>
      <c r="AV145" s="10">
        <f>IF([Cotação]&gt;0,($BH$1/Tabela3[[#This Row],[Cotação]]-MOD($BH$1/Tabela3[[#This Row],[Cotação]],100)),)</f>
        <v>0</v>
      </c>
      <c r="AW145" s="7">
        <f>Tabela3[[#This Row],[Ativos]]*[Lucro]</f>
        <v>0</v>
      </c>
      <c r="AX145" s="7">
        <f>SUMPRODUCT(N(Tabela1[Código]=Tabela3[[#This Row],[PAPEL]]),Tabela1[Fechamento])</f>
        <v>0</v>
      </c>
      <c r="AY145" s="7">
        <f>SUMPRODUCT(N(Tabela17[Código]=Tabela3[[#This Row],[PAPEL]]),Tabela17[Fechamento])</f>
        <v>0</v>
      </c>
      <c r="AZ145" s="7">
        <f>SUMPRODUCT(N(Tabela176[Código]=Tabela3[[#This Row],[PAPEL]]),Tabela176[Fechamento])</f>
        <v>0</v>
      </c>
      <c r="BA145" s="7">
        <f>SUMPRODUCT(N(Tabela1768[Código]=Tabela3[[#This Row],[PAPEL]]),Tabela1768[Fechamento])</f>
        <v>0</v>
      </c>
      <c r="BB145" s="7">
        <f>SUMPRODUCT(N(Tabela17683[Código]=Tabela3[[#This Row],[PAPEL]]),Tabela17683[Fechamento])</f>
        <v>23.49</v>
      </c>
    </row>
    <row r="146" spans="1:54" hidden="1">
      <c r="A146" s="4" t="s">
        <v>14</v>
      </c>
      <c r="B146" s="57" t="s">
        <v>549</v>
      </c>
      <c r="C146" s="82" t="str">
        <f>LEFT([PAPEL],LEN([PAPEL])-(LEN([PAPEL])-4))</f>
        <v>DAYC</v>
      </c>
      <c r="D146" s="15">
        <v>3</v>
      </c>
      <c r="E146" s="6">
        <v>1868862897.47</v>
      </c>
      <c r="F146" s="8">
        <v>160869792</v>
      </c>
      <c r="G146" s="81">
        <v>0.25</v>
      </c>
      <c r="H146" s="15"/>
      <c r="I146" s="19"/>
      <c r="J146" s="19"/>
      <c r="K146" s="88"/>
      <c r="L146" s="88"/>
      <c r="M146" s="55"/>
      <c r="N146" s="55"/>
      <c r="O146" s="55"/>
      <c r="P146" s="6">
        <v>2365276000</v>
      </c>
      <c r="Q146" s="6">
        <v>168016000</v>
      </c>
      <c r="R146" s="6">
        <f>IF(Tabela3[[#This Row],[Ativo || Passivo]]&gt;0,Tabela3[[#This Row],[Ativo || Passivo]]-Tabela3[[#This Row],[Patrimônio Líquido]],0)</f>
        <v>0</v>
      </c>
      <c r="S146" s="6">
        <f>Tabela3[[#This Row],[Cotação]]*Tabela3[[#This Row],[Total Ações]]</f>
        <v>0</v>
      </c>
      <c r="T146" s="132">
        <f>IF(Tabela3[[#This Row],[Passivo Circulante]]&gt;0,Tabela3[[#This Row],[Ativo Circulante]]/Tabela3[[#This Row],[Passivo Circulante]],0)</f>
        <v>0</v>
      </c>
      <c r="U146" s="132">
        <f>SUMPRODUCT(N([Liquidez Corrente]&gt;0),N(RIGHT([PAPEL],LEN([PAPEL])-(LEN([PAPEL])-1))="3"),[Liquidez Corrente])/SUMPRODUCT(N([Liquidez Corrente]&gt;0),N(RIGHT([PAPEL],LEN([PAPEL])-(LEN([PAPEL])-1))="3"))</f>
        <v>2.331224473064915</v>
      </c>
      <c r="V146" s="19">
        <f>IF(Tabela3[[#This Row],[Lucro Líquido]]&gt;0,Tabela3[[#This Row],[Lucro Líquido]]/Tabela3[[#This Row],[Patrimônio Líquido]],0)</f>
        <v>7.1034416279537785E-2</v>
      </c>
      <c r="W146" s="19">
        <f>SUMPRODUCT(N([Rentabilidade s/ PL]&gt;0),N(RIGHT([PAPEL],LEN([PAPEL])-(LEN([PAPEL])-1))="3"),[Rentabilidade s/ PL])/SUMPRODUCT(N([Rentabilidade s/ PL]&gt;0),N(RIGHT([PAPEL],LEN([PAPEL])-(LEN([PAPEL])-1))="3"))</f>
        <v>0.1261051308670782</v>
      </c>
      <c r="X146" s="19">
        <f>IF(Tabela3[[#This Row],[Dívida]]&gt;0,Tabela3[[#This Row],[Dívida]]/Tabela3[[#This Row],[Patrimônio Líquido]],0)</f>
        <v>0</v>
      </c>
      <c r="Y146" s="19">
        <f>SUMPRODUCT(N([Dívida / PL]&gt;0),N(RIGHT([PAPEL],LEN([PAPEL])-(LEN([PAPEL])-1))="3"),[Dívida / PL])/SUMPRODUCT(N([Dívida / PL]&gt;0),N(RIGHT([PAPEL],LEN([PAPEL])-(LEN([PAPEL])-1))="3"))</f>
        <v>2.1510410379481146</v>
      </c>
      <c r="Z146" s="6">
        <f>Tabela3[[#This Row],[Capital Social]]*20%</f>
        <v>373772579.49400002</v>
      </c>
      <c r="AA146" s="6">
        <f>IF(([Lucro Líquido]*5%)&gt;[Teto R. Legal],[Teto R. Legal],[Lucro Líquido]*5%)</f>
        <v>8400800</v>
      </c>
      <c r="AB146" s="6">
        <f>IF([Lucro Líquido]&lt;0,0,[Lucro Líquido]-[Reserva Legal])</f>
        <v>159615200</v>
      </c>
      <c r="AC146" s="6">
        <f>Tabela3[[#This Row],[Lucro Distribuir]]*[%Div]</f>
        <v>39903800</v>
      </c>
      <c r="AD146" s="21">
        <f>SUMPRODUCT(N([Nome]=Tabela3[[#This Row],[Nome]]),[Ações])</f>
        <v>252239937</v>
      </c>
      <c r="AE146" s="6">
        <f>[Capital Social]/[Total Ações]</f>
        <v>7.4090682058408541</v>
      </c>
      <c r="AF146" s="78">
        <f>Tabela3[[#This Row],[Lucro Líquido]]/Tabela3[[#This Row],[Total Ações]]</f>
        <v>0.66609594816065942</v>
      </c>
      <c r="AG146" s="78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0.15819778768815662</v>
      </c>
      <c r="AH146" s="78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146" s="78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146" s="78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0.15819778768815662</v>
      </c>
      <c r="AK146" s="6">
        <f>[Div Base]*[Ações]</f>
        <v>25449245.200253915</v>
      </c>
      <c r="AL146" s="6">
        <f>SUMPRODUCT(N([Nome]=Tabela3[[#This Row],[Nome]]),[Div Base]*[Ações])</f>
        <v>39903800</v>
      </c>
      <c r="AM146" s="6">
        <f>[Patrimônio Líquido]/[Total Ações]</f>
        <v>9.3770876576138686</v>
      </c>
      <c r="AN146" s="48">
        <f>MAX(Tabela3[[#This Row],[Cotação 1]:[Cotação 5]])</f>
        <v>0</v>
      </c>
      <c r="AO146" s="44">
        <f>[Cotação]/[VPA]</f>
        <v>0</v>
      </c>
      <c r="AP146" s="40">
        <f>IF(Tabela3[[#This Row],[Lucro/Ação]]&gt;0,Tabela3[[#This Row],[Cotação]]/(Tabela3[[#This Row],[Lucro/Ação]]/[Ref]*4),0)</f>
        <v>0</v>
      </c>
      <c r="AQ146" s="78">
        <f>[Lucro Distribuir]/[Total Ações]</f>
        <v>0.63279115075262649</v>
      </c>
      <c r="AR146" s="78">
        <f>IF([Unit ON]&gt;0,SUMPRODUCT(N([Nome]=Tabela3[[#This Row],[Nome]]),N(RIGHT([PAPEL],1)="3"),[Div Base])*[Unit ON]+SUMPRODUCT(N([Nome]=Tabela3[[#This Row],[Nome]]),N(RIGHT([PAPEL],1)="4"),[Div Base])*[Unit PN],[Div Base])</f>
        <v>0.15819778768815662</v>
      </c>
      <c r="AS146" s="15" t="str">
        <f>IF(AND([% A.A.]&gt;=6%,SUMPRODUCT(N([Nome]=Tabela3[[#This Row],[Nome]]),[PL])&gt;0,[Rentabilidade s/ PL]&gt;=[Rentabilidade s/ PL Média]),"Sim","Não")</f>
        <v>Não</v>
      </c>
      <c r="AT146" s="42">
        <f>IF([Cotação]&gt;0,Tabela3[[#This Row],[Lucro]]/Tabela3[[#This Row],[Cotação]],0)</f>
        <v>0</v>
      </c>
      <c r="AU146" s="19">
        <f>((1+Tabela3[[#This Row],[% Yield]])^(1/(3*Tabela3[[#This Row],[Ref]])))^(12)-1</f>
        <v>0</v>
      </c>
      <c r="AV146" s="14">
        <f>IF([Cotação]&gt;0,($BH$1/Tabela3[[#This Row],[Cotação]]-MOD($BH$1/Tabela3[[#This Row],[Cotação]],100)),)</f>
        <v>0</v>
      </c>
      <c r="AW146" s="17">
        <f>Tabela3[[#This Row],[Ativos]]*[Lucro]</f>
        <v>0</v>
      </c>
      <c r="AX146" s="13">
        <f>SUMPRODUCT(N(Tabela1[Código]=Tabela3[[#This Row],[PAPEL]]),Tabela1[Fechamento])</f>
        <v>0</v>
      </c>
      <c r="AY146" s="55">
        <f>SUMPRODUCT(N(Tabela17[Código]=Tabela3[[#This Row],[PAPEL]]),Tabela17[Fechamento])</f>
        <v>0</v>
      </c>
      <c r="AZ146" s="7">
        <f>SUMPRODUCT(N(Tabela176[Código]=Tabela3[[#This Row],[PAPEL]]),Tabela176[Fechamento])</f>
        <v>0</v>
      </c>
      <c r="BA146" s="7">
        <f>SUMPRODUCT(N(Tabela1768[Código]=Tabela3[[#This Row],[PAPEL]]),Tabela1768[Fechamento])</f>
        <v>0</v>
      </c>
      <c r="BB146" s="7">
        <f>SUMPRODUCT(N(Tabela17683[Código]=Tabela3[[#This Row],[PAPEL]]),Tabela17683[Fechamento])</f>
        <v>0</v>
      </c>
    </row>
    <row r="147" spans="1:54" hidden="1">
      <c r="A147" s="4" t="s">
        <v>14</v>
      </c>
      <c r="B147" s="57" t="s">
        <v>15</v>
      </c>
      <c r="C147" s="14" t="str">
        <f>LEFT([PAPEL],LEN([PAPEL])-(LEN([PAPEL])-4))</f>
        <v>DAYC</v>
      </c>
      <c r="D147" s="15">
        <v>3</v>
      </c>
      <c r="E147" s="6">
        <v>1868862897.47</v>
      </c>
      <c r="F147" s="8">
        <v>91370145</v>
      </c>
      <c r="G147" s="81">
        <v>0.25</v>
      </c>
      <c r="H147" s="15"/>
      <c r="I147" s="19"/>
      <c r="J147" s="19"/>
      <c r="K147" s="88"/>
      <c r="L147" s="88"/>
      <c r="M147" s="55"/>
      <c r="N147" s="55"/>
      <c r="O147" s="55"/>
      <c r="P147" s="6">
        <v>2365276000</v>
      </c>
      <c r="Q147" s="6">
        <v>168016000</v>
      </c>
      <c r="R147" s="6">
        <f>IF(Tabela3[[#This Row],[Ativo || Passivo]]&gt;0,Tabela3[[#This Row],[Ativo || Passivo]]-Tabela3[[#This Row],[Patrimônio Líquido]],0)</f>
        <v>0</v>
      </c>
      <c r="S147" s="6">
        <f>Tabela3[[#This Row],[Cotação]]*Tabela3[[#This Row],[Total Ações]]</f>
        <v>2033053892.22</v>
      </c>
      <c r="T147" s="132">
        <f>IF(Tabela3[[#This Row],[Passivo Circulante]]&gt;0,Tabela3[[#This Row],[Ativo Circulante]]/Tabela3[[#This Row],[Passivo Circulante]],0)</f>
        <v>0</v>
      </c>
      <c r="U147" s="132">
        <f>SUMPRODUCT(N([Liquidez Corrente]&gt;0),N(RIGHT([PAPEL],LEN([PAPEL])-(LEN([PAPEL])-1))="3"),[Liquidez Corrente])/SUMPRODUCT(N([Liquidez Corrente]&gt;0),N(RIGHT([PAPEL],LEN([PAPEL])-(LEN([PAPEL])-1))="3"))</f>
        <v>2.331224473064915</v>
      </c>
      <c r="V147" s="19">
        <f>IF(Tabela3[[#This Row],[Lucro Líquido]]&gt;0,Tabela3[[#This Row],[Lucro Líquido]]/Tabela3[[#This Row],[Patrimônio Líquido]],0)</f>
        <v>7.1034416279537785E-2</v>
      </c>
      <c r="W147" s="19">
        <f>SUMPRODUCT(N([Rentabilidade s/ PL]&gt;0),N(RIGHT([PAPEL],LEN([PAPEL])-(LEN([PAPEL])-1))="3"),[Rentabilidade s/ PL])/SUMPRODUCT(N([Rentabilidade s/ PL]&gt;0),N(RIGHT([PAPEL],LEN([PAPEL])-(LEN([PAPEL])-1))="3"))</f>
        <v>0.1261051308670782</v>
      </c>
      <c r="X147" s="19">
        <f>IF(Tabela3[[#This Row],[Dívida]]&gt;0,Tabela3[[#This Row],[Dívida]]/Tabela3[[#This Row],[Patrimônio Líquido]],0)</f>
        <v>0</v>
      </c>
      <c r="Y147" s="19">
        <f>SUMPRODUCT(N([Dívida / PL]&gt;0),N(RIGHT([PAPEL],LEN([PAPEL])-(LEN([PAPEL])-1))="3"),[Dívida / PL])/SUMPRODUCT(N([Dívida / PL]&gt;0),N(RIGHT([PAPEL],LEN([PAPEL])-(LEN([PAPEL])-1))="3"))</f>
        <v>2.1510410379481146</v>
      </c>
      <c r="Z147" s="6">
        <f>Tabela3[[#This Row],[Capital Social]]*20%</f>
        <v>373772579.49400002</v>
      </c>
      <c r="AA147" s="6">
        <f>IF(([Lucro Líquido]*5%)&gt;[Teto R. Legal],[Teto R. Legal],[Lucro Líquido]*5%)</f>
        <v>8400800</v>
      </c>
      <c r="AB147" s="6">
        <f>IF([Lucro Líquido]&lt;0,0,[Lucro Líquido]-[Reserva Legal])</f>
        <v>159615200</v>
      </c>
      <c r="AC147" s="6">
        <f>Tabela3[[#This Row],[Lucro Distribuir]]*[%Div]</f>
        <v>39903800</v>
      </c>
      <c r="AD147" s="21">
        <f>SUMPRODUCT(N([Nome]=Tabela3[[#This Row],[Nome]]),[Ações])</f>
        <v>252239937</v>
      </c>
      <c r="AE147" s="6">
        <f>[Capital Social]/[Total Ações]</f>
        <v>7.4090682058408541</v>
      </c>
      <c r="AF147" s="78">
        <f>Tabela3[[#This Row],[Lucro Líquido]]/Tabela3[[#This Row],[Total Ações]]</f>
        <v>0.66609594816065942</v>
      </c>
      <c r="AG147" s="78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0.15819778768815662</v>
      </c>
      <c r="AH147" s="78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147" s="78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147" s="78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0.15819778768815662</v>
      </c>
      <c r="AK147" s="6">
        <f>[Div Base]*[Ações]</f>
        <v>14454554.799746085</v>
      </c>
      <c r="AL147" s="6">
        <f>SUMPRODUCT(N([Nome]=Tabela3[[#This Row],[Nome]]),[Div Base]*[Ações])</f>
        <v>39903800</v>
      </c>
      <c r="AM147" s="6">
        <f>[Patrimônio Líquido]/[Total Ações]</f>
        <v>9.3770876576138686</v>
      </c>
      <c r="AN147" s="48">
        <f>MAX(Tabela3[[#This Row],[Cotação 1]:[Cotação 5]])</f>
        <v>8.06</v>
      </c>
      <c r="AO147" s="44">
        <f>[Cotação]/[VPA]</f>
        <v>0.85954192754672198</v>
      </c>
      <c r="AP147" s="40">
        <f>IF(Tabela3[[#This Row],[Lucro/Ação]]&gt;0,Tabela3[[#This Row],[Cotação]]/(Tabela3[[#This Row],[Lucro/Ação]]/[Ref]*4),0)</f>
        <v>9.0752691360644224</v>
      </c>
      <c r="AQ147" s="78">
        <f>[Lucro Distribuir]/[Total Ações]</f>
        <v>0.63279115075262649</v>
      </c>
      <c r="AR147" s="78">
        <f>IF([Unit ON]&gt;0,SUMPRODUCT(N([Nome]=Tabela3[[#This Row],[Nome]]),N(RIGHT([PAPEL],1)="3"),[Div Base])*[Unit ON]+SUMPRODUCT(N([Nome]=Tabela3[[#This Row],[Nome]]),N(RIGHT([PAPEL],1)="4"),[Div Base])*[Unit PN],[Div Base])</f>
        <v>0.15819778768815662</v>
      </c>
      <c r="AS147" s="15" t="str">
        <f>IF(AND([% A.A.]&gt;=6%,SUMPRODUCT(N([Nome]=Tabela3[[#This Row],[Nome]]),[PL])&gt;0,[Rentabilidade s/ PL]&gt;=[Rentabilidade s/ PL Média]),"Sim","Não")</f>
        <v>Não</v>
      </c>
      <c r="AT147" s="42">
        <f>IF([Cotação]&gt;0,Tabela3[[#This Row],[Lucro]]/Tabela3[[#This Row],[Cotação]],0)</f>
        <v>1.9627517082897842E-2</v>
      </c>
      <c r="AU147" s="19">
        <f>((1+Tabela3[[#This Row],[% Yield]])^(1/(3*Tabela3[[#This Row],[Ref]])))^(12)-1</f>
        <v>2.6255261163613763E-2</v>
      </c>
      <c r="AV147" s="14">
        <f>IF([Cotação]&gt;0,($BH$1/Tabela3[[#This Row],[Cotação]]-MOD($BH$1/Tabela3[[#This Row],[Cotação]],100)),)</f>
        <v>0</v>
      </c>
      <c r="AW147" s="17">
        <f>Tabela3[[#This Row],[Ativos]]*[Lucro]</f>
        <v>0</v>
      </c>
      <c r="AX147" s="5">
        <f>SUMPRODUCT(N(Tabela1[Código]=Tabela3[[#This Row],[PAPEL]]),Tabela1[Fechamento])</f>
        <v>8.06</v>
      </c>
      <c r="AY147" s="5">
        <f>SUMPRODUCT(N(Tabela17[Código]=Tabela3[[#This Row],[PAPEL]]),Tabela17[Fechamento])</f>
        <v>0</v>
      </c>
      <c r="AZ147" s="7">
        <f>SUMPRODUCT(N(Tabela176[Código]=Tabela3[[#This Row],[PAPEL]]),Tabela176[Fechamento])</f>
        <v>0</v>
      </c>
      <c r="BA147" s="7">
        <f>SUMPRODUCT(N(Tabela1768[Código]=Tabela3[[#This Row],[PAPEL]]),Tabela1768[Fechamento])</f>
        <v>0</v>
      </c>
      <c r="BB147" s="7">
        <f>SUMPRODUCT(N(Tabela17683[Código]=Tabela3[[#This Row],[PAPEL]]),Tabela17683[Fechamento])</f>
        <v>0</v>
      </c>
    </row>
    <row r="148" spans="1:54">
      <c r="A148" s="4" t="s">
        <v>14</v>
      </c>
      <c r="B148" s="57" t="s">
        <v>434</v>
      </c>
      <c r="C148" s="14" t="str">
        <f>LEFT([PAPEL],LEN([PAPEL])-(LEN([PAPEL])-4))</f>
        <v>PINE</v>
      </c>
      <c r="D148" s="15">
        <v>4</v>
      </c>
      <c r="E148" s="6">
        <v>1112258700.96</v>
      </c>
      <c r="F148" s="8">
        <v>65178483</v>
      </c>
      <c r="G148" s="86">
        <v>0.25</v>
      </c>
      <c r="H148" s="15"/>
      <c r="I148" s="19"/>
      <c r="J148" s="19"/>
      <c r="K148" s="88"/>
      <c r="L148" s="88"/>
      <c r="M148" s="55"/>
      <c r="N148" s="55"/>
      <c r="O148" s="55"/>
      <c r="P148" s="6">
        <v>1272408000</v>
      </c>
      <c r="Q148" s="6">
        <v>161596000</v>
      </c>
      <c r="R148" s="6">
        <f>IF(Tabela3[[#This Row],[Ativo || Passivo]]&gt;0,Tabela3[[#This Row],[Ativo || Passivo]]-Tabela3[[#This Row],[Patrimônio Líquido]],0)</f>
        <v>0</v>
      </c>
      <c r="S148" s="6">
        <f>Tabela3[[#This Row],[Cotação]]*Tabela3[[#This Row],[Total Ações]]</f>
        <v>0</v>
      </c>
      <c r="T148" s="132">
        <f>IF(Tabela3[[#This Row],[Passivo Circulante]]&gt;0,Tabela3[[#This Row],[Ativo Circulante]]/Tabela3[[#This Row],[Passivo Circulante]],0)</f>
        <v>0</v>
      </c>
      <c r="U148" s="132">
        <f>SUMPRODUCT(N([Liquidez Corrente]&gt;0),N(RIGHT([PAPEL],LEN([PAPEL])-(LEN([PAPEL])-1))="3"),[Liquidez Corrente])/SUMPRODUCT(N([Liquidez Corrente]&gt;0),N(RIGHT([PAPEL],LEN([PAPEL])-(LEN([PAPEL])-1))="3"))</f>
        <v>2.331224473064915</v>
      </c>
      <c r="V148" s="19">
        <f>IF(Tabela3[[#This Row],[Lucro Líquido]]&gt;0,Tabela3[[#This Row],[Lucro Líquido]]/Tabela3[[#This Row],[Patrimônio Líquido]],0)</f>
        <v>0.12700014460770445</v>
      </c>
      <c r="W148" s="19">
        <f>SUMPRODUCT(N([Rentabilidade s/ PL]&gt;0),N(RIGHT([PAPEL],LEN([PAPEL])-(LEN([PAPEL])-1))="3"),[Rentabilidade s/ PL])/SUMPRODUCT(N([Rentabilidade s/ PL]&gt;0),N(RIGHT([PAPEL],LEN([PAPEL])-(LEN([PAPEL])-1))="3"))</f>
        <v>0.1261051308670782</v>
      </c>
      <c r="X148" s="19">
        <f>IF(Tabela3[[#This Row],[Dívida]]&gt;0,Tabela3[[#This Row],[Dívida]]/Tabela3[[#This Row],[Patrimônio Líquido]],0)</f>
        <v>0</v>
      </c>
      <c r="Y148" s="19">
        <f>SUMPRODUCT(N([Dívida / PL]&gt;0),N(RIGHT([PAPEL],LEN([PAPEL])-(LEN([PAPEL])-1))="3"),[Dívida / PL])/SUMPRODUCT(N([Dívida / PL]&gt;0),N(RIGHT([PAPEL],LEN([PAPEL])-(LEN([PAPEL])-1))="3"))</f>
        <v>2.1510410379481146</v>
      </c>
      <c r="Z148" s="6">
        <f>Tabela3[[#This Row],[Capital Social]]*20%</f>
        <v>222451740.19200003</v>
      </c>
      <c r="AA148" s="6">
        <f>IF(([Lucro Líquido]*5%)&gt;[Teto R. Legal],[Teto R. Legal],[Lucro Líquido]*5%)</f>
        <v>8079800</v>
      </c>
      <c r="AB148" s="6">
        <f>IF([Lucro Líquido]&lt;0,0,[Lucro Líquido]-[Reserva Legal])</f>
        <v>153516200</v>
      </c>
      <c r="AC148" s="6">
        <f>Tabela3[[#This Row],[Lucro Distribuir]]*[%Div]</f>
        <v>38379050</v>
      </c>
      <c r="AD148" s="21">
        <f>SUMPRODUCT(N([Nome]=Tabela3[[#This Row],[Nome]]),[Ações])</f>
        <v>123612756</v>
      </c>
      <c r="AE148" s="6">
        <f>[Capital Social]/[Total Ações]</f>
        <v>8.9979281827516253</v>
      </c>
      <c r="AF148" s="78">
        <f>Tabela3[[#This Row],[Lucro Líquido]]/Tabela3[[#This Row],[Total Ações]]</f>
        <v>1.3072760872672395</v>
      </c>
      <c r="AG148" s="78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0.31047807072596939</v>
      </c>
      <c r="AH148" s="78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148" s="78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148" s="78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0.31047807072596939</v>
      </c>
      <c r="AK148" s="6">
        <f>[Div Base]*[Ações]</f>
        <v>20236489.654685393</v>
      </c>
      <c r="AL148" s="6">
        <f>SUMPRODUCT(N([Nome]=Tabela3[[#This Row],[Nome]]),[Div Base]*[Ações])</f>
        <v>38379050</v>
      </c>
      <c r="AM148" s="6">
        <f>[Patrimônio Líquido]/[Total Ações]</f>
        <v>10.293500777541114</v>
      </c>
      <c r="AN148" s="48">
        <f>MAX(Tabela3[[#This Row],[Cotação 1]:[Cotação 5]])</f>
        <v>0</v>
      </c>
      <c r="AO148" s="44">
        <f>[Cotação]/[VPA]</f>
        <v>0</v>
      </c>
      <c r="AP148" s="40">
        <f>IF(Tabela3[[#This Row],[Lucro/Ação]]&gt;0,Tabela3[[#This Row],[Cotação]]/(Tabela3[[#This Row],[Lucro/Ação]]/[Ref]*4),0)</f>
        <v>0</v>
      </c>
      <c r="AQ148" s="78">
        <f>[Lucro Distribuir]/[Total Ações]</f>
        <v>1.2419122829038776</v>
      </c>
      <c r="AR148" s="78">
        <f>IF([Unit ON]&gt;0,SUMPRODUCT(N([Nome]=Tabela3[[#This Row],[Nome]]),N(RIGHT([PAPEL],1)="3"),[Div Base])*[Unit ON]+SUMPRODUCT(N([Nome]=Tabela3[[#This Row],[Nome]]),N(RIGHT([PAPEL],1)="4"),[Div Base])*[Unit PN],[Div Base])</f>
        <v>0.31047807072596939</v>
      </c>
      <c r="AS148" s="15" t="str">
        <f>IF(AND([% A.A.]&gt;=6%,SUMPRODUCT(N([Nome]=Tabela3[[#This Row],[Nome]]),[PL])&gt;0,[Rentabilidade s/ PL]&gt;=[Rentabilidade s/ PL Média]),"Sim","Não")</f>
        <v>Não</v>
      </c>
      <c r="AT148" s="42">
        <f>IF([Cotação]&gt;0,Tabela3[[#This Row],[Lucro]]/Tabela3[[#This Row],[Cotação]],0)</f>
        <v>0</v>
      </c>
      <c r="AU148" s="19">
        <f>((1+Tabela3[[#This Row],[% Yield]])^(1/(3*Tabela3[[#This Row],[Ref]])))^(12)-1</f>
        <v>0</v>
      </c>
      <c r="AV148" s="14">
        <f>IF([Cotação]&gt;0,($BH$1/Tabela3[[#This Row],[Cotação]]-MOD($BH$1/Tabela3[[#This Row],[Cotação]],100)),)</f>
        <v>0</v>
      </c>
      <c r="AW148" s="17">
        <f>Tabela3[[#This Row],[Ativos]]*[Lucro]</f>
        <v>0</v>
      </c>
      <c r="AX148" s="13">
        <f>SUMPRODUCT(N(Tabela1[Código]=Tabela3[[#This Row],[PAPEL]]),Tabela1[Fechamento])</f>
        <v>0</v>
      </c>
      <c r="AY148" s="13">
        <f>SUMPRODUCT(N(Tabela17[Código]=Tabela3[[#This Row],[PAPEL]]),Tabela17[Fechamento])</f>
        <v>0</v>
      </c>
      <c r="AZ148" s="7">
        <f>SUMPRODUCT(N(Tabela176[Código]=Tabela3[[#This Row],[PAPEL]]),Tabela176[Fechamento])</f>
        <v>0</v>
      </c>
      <c r="BA148" s="7">
        <f>SUMPRODUCT(N(Tabela1768[Código]=Tabela3[[#This Row],[PAPEL]]),Tabela1768[Fechamento])</f>
        <v>0</v>
      </c>
      <c r="BB148" s="7">
        <f>SUMPRODUCT(N(Tabela17683[Código]=Tabela3[[#This Row],[PAPEL]]),Tabela17683[Fechamento])</f>
        <v>0</v>
      </c>
    </row>
    <row r="149" spans="1:54">
      <c r="A149" s="4" t="s">
        <v>14</v>
      </c>
      <c r="B149" s="57" t="s">
        <v>74</v>
      </c>
      <c r="C149" s="14" t="str">
        <f>LEFT([PAPEL],LEN([PAPEL])-(LEN([PAPEL])-4))</f>
        <v>PINE</v>
      </c>
      <c r="D149" s="15">
        <v>4</v>
      </c>
      <c r="E149" s="6">
        <v>1112258700.96</v>
      </c>
      <c r="F149" s="8">
        <v>58434273</v>
      </c>
      <c r="G149" s="81">
        <v>0.25</v>
      </c>
      <c r="H149" s="19"/>
      <c r="I149" s="19"/>
      <c r="J149" s="19"/>
      <c r="K149" s="88"/>
      <c r="L149" s="88"/>
      <c r="M149" s="55"/>
      <c r="N149" s="55"/>
      <c r="O149" s="55"/>
      <c r="P149" s="6">
        <v>1272408000</v>
      </c>
      <c r="Q149" s="6">
        <v>161596000</v>
      </c>
      <c r="R149" s="6">
        <f>IF(Tabela3[[#This Row],[Ativo || Passivo]]&gt;0,Tabela3[[#This Row],[Ativo || Passivo]]-Tabela3[[#This Row],[Patrimônio Líquido]],0)</f>
        <v>0</v>
      </c>
      <c r="S149" s="6">
        <f>Tabela3[[#This Row],[Cotação]]*Tabela3[[#This Row],[Total Ações]]</f>
        <v>904845373.92000008</v>
      </c>
      <c r="T149" s="132">
        <f>IF(Tabela3[[#This Row],[Passivo Circulante]]&gt;0,Tabela3[[#This Row],[Ativo Circulante]]/Tabela3[[#This Row],[Passivo Circulante]],0)</f>
        <v>0</v>
      </c>
      <c r="U149" s="132">
        <f>SUMPRODUCT(N([Liquidez Corrente]&gt;0),N(RIGHT([PAPEL],LEN([PAPEL])-(LEN([PAPEL])-1))="3"),[Liquidez Corrente])/SUMPRODUCT(N([Liquidez Corrente]&gt;0),N(RIGHT([PAPEL],LEN([PAPEL])-(LEN([PAPEL])-1))="3"))</f>
        <v>2.331224473064915</v>
      </c>
      <c r="V149" s="19">
        <f>IF(Tabela3[[#This Row],[Lucro Líquido]]&gt;0,Tabela3[[#This Row],[Lucro Líquido]]/Tabela3[[#This Row],[Patrimônio Líquido]],0)</f>
        <v>0.12700014460770445</v>
      </c>
      <c r="W149" s="19">
        <f>SUMPRODUCT(N([Rentabilidade s/ PL]&gt;0),N(RIGHT([PAPEL],LEN([PAPEL])-(LEN([PAPEL])-1))="3"),[Rentabilidade s/ PL])/SUMPRODUCT(N([Rentabilidade s/ PL]&gt;0),N(RIGHT([PAPEL],LEN([PAPEL])-(LEN([PAPEL])-1))="3"))</f>
        <v>0.1261051308670782</v>
      </c>
      <c r="X149" s="19">
        <f>IF(Tabela3[[#This Row],[Dívida]]&gt;0,Tabela3[[#This Row],[Dívida]]/Tabela3[[#This Row],[Patrimônio Líquido]],0)</f>
        <v>0</v>
      </c>
      <c r="Y149" s="19">
        <f>SUMPRODUCT(N([Dívida / PL]&gt;0),N(RIGHT([PAPEL],LEN([PAPEL])-(LEN([PAPEL])-1))="3"),[Dívida / PL])/SUMPRODUCT(N([Dívida / PL]&gt;0),N(RIGHT([PAPEL],LEN([PAPEL])-(LEN([PAPEL])-1))="3"))</f>
        <v>2.1510410379481146</v>
      </c>
      <c r="Z149" s="6">
        <f>Tabela3[[#This Row],[Capital Social]]*20%</f>
        <v>222451740.19200003</v>
      </c>
      <c r="AA149" s="6">
        <f>IF(([Lucro Líquido]*5%)&gt;[Teto R. Legal],[Teto R. Legal],[Lucro Líquido]*5%)</f>
        <v>8079800</v>
      </c>
      <c r="AB149" s="6">
        <f>IF([Lucro Líquido]&lt;0,0,[Lucro Líquido]-[Reserva Legal])</f>
        <v>153516200</v>
      </c>
      <c r="AC149" s="6">
        <f>Tabela3[[#This Row],[Lucro Distribuir]]*[%Div]</f>
        <v>38379050</v>
      </c>
      <c r="AD149" s="21">
        <f>SUMPRODUCT(N([Nome]=Tabela3[[#This Row],[Nome]]),[Ações])</f>
        <v>123612756</v>
      </c>
      <c r="AE149" s="6">
        <f>[Capital Social]/[Total Ações]</f>
        <v>8.9979281827516253</v>
      </c>
      <c r="AF149" s="78">
        <f>Tabela3[[#This Row],[Lucro Líquido]]/Tabela3[[#This Row],[Total Ações]]</f>
        <v>1.3072760872672395</v>
      </c>
      <c r="AG149" s="78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0.31047807072596939</v>
      </c>
      <c r="AH149" s="78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149" s="78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149" s="78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0.31047807072596939</v>
      </c>
      <c r="AK149" s="6">
        <f>[Div Base]*[Ações]</f>
        <v>18142560.345314603</v>
      </c>
      <c r="AL149" s="6">
        <f>SUMPRODUCT(N([Nome]=Tabela3[[#This Row],[Nome]]),[Div Base]*[Ações])</f>
        <v>38379050</v>
      </c>
      <c r="AM149" s="6">
        <f>[Patrimônio Líquido]/[Total Ações]</f>
        <v>10.293500777541114</v>
      </c>
      <c r="AN149" s="48">
        <f>MAX(Tabela3[[#This Row],[Cotação 1]:[Cotação 5]])</f>
        <v>7.32</v>
      </c>
      <c r="AO149" s="44">
        <f>[Cotação]/[VPA]</f>
        <v>0.71112832827206374</v>
      </c>
      <c r="AP149" s="40">
        <f>IF(Tabela3[[#This Row],[Lucro/Ação]]&gt;0,Tabela3[[#This Row],[Cotação]]/(Tabela3[[#This Row],[Lucro/Ação]]/[Ref]*4),0)</f>
        <v>5.5994292799326724</v>
      </c>
      <c r="AQ149" s="78">
        <f>[Lucro Distribuir]/[Total Ações]</f>
        <v>1.2419122829038776</v>
      </c>
      <c r="AR149" s="78">
        <f>IF([Unit ON]&gt;0,SUMPRODUCT(N([Nome]=Tabela3[[#This Row],[Nome]]),N(RIGHT([PAPEL],1)="3"),[Div Base])*[Unit ON]+SUMPRODUCT(N([Nome]=Tabela3[[#This Row],[Nome]]),N(RIGHT([PAPEL],1)="4"),[Div Base])*[Unit PN],[Div Base])</f>
        <v>0.31047807072596939</v>
      </c>
      <c r="AS149" s="15" t="str">
        <f>IF(AND([% A.A.]&gt;=6%,SUMPRODUCT(N([Nome]=Tabela3[[#This Row],[Nome]]),[PL])&gt;0,[Rentabilidade s/ PL]&gt;=[Rentabilidade s/ PL Média]),"Sim","Não")</f>
        <v>Não</v>
      </c>
      <c r="AT149" s="42">
        <f>IF([Cotação]&gt;0,Tabela3[[#This Row],[Lucro]]/Tabela3[[#This Row],[Cotação]],0)</f>
        <v>4.2415036984422047E-2</v>
      </c>
      <c r="AU149" s="19">
        <f>((1+Tabela3[[#This Row],[% Yield]])^(1/(3*Tabela3[[#This Row],[Ref]])))^(12)-1</f>
        <v>4.2415036984421395E-2</v>
      </c>
      <c r="AV149" s="14">
        <f>IF([Cotação]&gt;0,($BH$1/Tabela3[[#This Row],[Cotação]]-MOD($BH$1/Tabela3[[#This Row],[Cotação]],100)),)</f>
        <v>0</v>
      </c>
      <c r="AW149" s="17">
        <f>Tabela3[[#This Row],[Ativos]]*[Lucro]</f>
        <v>0</v>
      </c>
      <c r="AX149" s="5">
        <f>SUMPRODUCT(N(Tabela1[Código]=Tabela3[[#This Row],[PAPEL]]),Tabela1[Fechamento])</f>
        <v>7.32</v>
      </c>
      <c r="AY149" s="5">
        <f>SUMPRODUCT(N(Tabela17[Código]=Tabela3[[#This Row],[PAPEL]]),Tabela17[Fechamento])</f>
        <v>0</v>
      </c>
      <c r="AZ149" s="7">
        <f>SUMPRODUCT(N(Tabela176[Código]=Tabela3[[#This Row],[PAPEL]]),Tabela176[Fechamento])</f>
        <v>0</v>
      </c>
      <c r="BA149" s="7">
        <f>SUMPRODUCT(N(Tabela1768[Código]=Tabela3[[#This Row],[PAPEL]]),Tabela1768[Fechamento])</f>
        <v>0</v>
      </c>
      <c r="BB149" s="7">
        <f>SUMPRODUCT(N(Tabela17683[Código]=Tabela3[[#This Row],[PAPEL]]),Tabela17683[Fechamento])</f>
        <v>0</v>
      </c>
    </row>
    <row r="150" spans="1:54">
      <c r="A150" s="4" t="s">
        <v>12</v>
      </c>
      <c r="B150" s="57" t="s">
        <v>93</v>
      </c>
      <c r="C150" s="14" t="str">
        <f>LEFT([PAPEL],LEN([PAPEL])-(LEN([PAPEL])-4))</f>
        <v>COCE</v>
      </c>
      <c r="D150" s="15">
        <v>4</v>
      </c>
      <c r="E150" s="6">
        <v>442946885.76999998</v>
      </c>
      <c r="F150" s="8">
        <v>48067937</v>
      </c>
      <c r="G150" s="81">
        <v>0.25</v>
      </c>
      <c r="H150" s="15"/>
      <c r="I150" s="19"/>
      <c r="J150" s="19"/>
      <c r="K150" s="88"/>
      <c r="L150" s="88"/>
      <c r="M150" s="55"/>
      <c r="N150" s="55"/>
      <c r="O150" s="55"/>
      <c r="P150" s="72">
        <v>1566323000</v>
      </c>
      <c r="Q150" s="89">
        <v>156556000</v>
      </c>
      <c r="R150" s="89">
        <f>IF(Tabela3[[#This Row],[Ativo || Passivo]]&gt;0,Tabela3[[#This Row],[Ativo || Passivo]]-Tabela3[[#This Row],[Patrimônio Líquido]],0)</f>
        <v>0</v>
      </c>
      <c r="S150" s="89">
        <f>Tabela3[[#This Row],[Cotação]]*Tabela3[[#This Row],[Total Ações]]</f>
        <v>3783767531.4000001</v>
      </c>
      <c r="T150" s="132">
        <f>IF(Tabela3[[#This Row],[Passivo Circulante]]&gt;0,Tabela3[[#This Row],[Ativo Circulante]]/Tabela3[[#This Row],[Passivo Circulante]],0)</f>
        <v>0</v>
      </c>
      <c r="U150" s="132">
        <f>SUMPRODUCT(N([Liquidez Corrente]&gt;0),N(RIGHT([PAPEL],LEN([PAPEL])-(LEN([PAPEL])-1))="3"),[Liquidez Corrente])/SUMPRODUCT(N([Liquidez Corrente]&gt;0),N(RIGHT([PAPEL],LEN([PAPEL])-(LEN([PAPEL])-1))="3"))</f>
        <v>2.331224473064915</v>
      </c>
      <c r="V150" s="19">
        <f>IF(Tabela3[[#This Row],[Lucro Líquido]]&gt;0,Tabela3[[#This Row],[Lucro Líquido]]/Tabela3[[#This Row],[Patrimônio Líquido]],0)</f>
        <v>9.9951287186614765E-2</v>
      </c>
      <c r="W150" s="19">
        <f>SUMPRODUCT(N([Rentabilidade s/ PL]&gt;0),N(RIGHT([PAPEL],LEN([PAPEL])-(LEN([PAPEL])-1))="3"),[Rentabilidade s/ PL])/SUMPRODUCT(N([Rentabilidade s/ PL]&gt;0),N(RIGHT([PAPEL],LEN([PAPEL])-(LEN([PAPEL])-1))="3"))</f>
        <v>0.1261051308670782</v>
      </c>
      <c r="X150" s="19">
        <f>IF(Tabela3[[#This Row],[Dívida]]&gt;0,Tabela3[[#This Row],[Dívida]]/Tabela3[[#This Row],[Patrimônio Líquido]],0)</f>
        <v>0</v>
      </c>
      <c r="Y150" s="19">
        <f>SUMPRODUCT(N([Dívida / PL]&gt;0),N(RIGHT([PAPEL],LEN([PAPEL])-(LEN([PAPEL])-1))="3"),[Dívida / PL])/SUMPRODUCT(N([Dívida / PL]&gt;0),N(RIGHT([PAPEL],LEN([PAPEL])-(LEN([PAPEL])-1))="3"))</f>
        <v>2.1510410379481146</v>
      </c>
      <c r="Z150" s="5">
        <f>Tabela3[[#This Row],[Capital Social]]*20%</f>
        <v>88589377.153999999</v>
      </c>
      <c r="AA150" s="5">
        <f>IF(([Lucro Líquido]*5%)&gt;[Teto R. Legal],[Teto R. Legal],[Lucro Líquido]*5%)</f>
        <v>7827800</v>
      </c>
      <c r="AB150" s="72">
        <f>IF([Lucro Líquido]&lt;0,0,[Lucro Líquido]-[Reserva Legal])</f>
        <v>148728200</v>
      </c>
      <c r="AC150" s="72">
        <f>Tabela3[[#This Row],[Lucro Distribuir]]*[%Div]</f>
        <v>37182050</v>
      </c>
      <c r="AD150" s="56">
        <f>SUMPRODUCT(N([Nome]=Tabela3[[#This Row],[Nome]]),[Ações])</f>
        <v>77855299</v>
      </c>
      <c r="AE150" s="5">
        <f>[Capital Social]/[Total Ações]</f>
        <v>5.6893607944399518</v>
      </c>
      <c r="AF150" s="78">
        <f>Tabela3[[#This Row],[Lucro Líquido]]/Tabela3[[#This Row],[Total Ações]]</f>
        <v>2.0108586314722134</v>
      </c>
      <c r="AG150" s="78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0.47757892497465071</v>
      </c>
      <c r="AH150" s="77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150" s="77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0.55430842392191571</v>
      </c>
      <c r="AJ150" s="77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0.47757892497465071</v>
      </c>
      <c r="AK150" s="5">
        <f>[Div Base]*[Ações]</f>
        <v>22956233.678209238</v>
      </c>
      <c r="AL150" s="5">
        <f>SUMPRODUCT(N([Nome]=Tabela3[[#This Row],[Nome]]),[Div Base]*[Ações])</f>
        <v>37182050</v>
      </c>
      <c r="AM150" s="6">
        <f>[Patrimônio Líquido]/[Total Ações]</f>
        <v>20.118386546816808</v>
      </c>
      <c r="AN150" s="48">
        <f>MAX(Tabela3[[#This Row],[Cotação 1]:[Cotação 5]])</f>
        <v>48.6</v>
      </c>
      <c r="AO150" s="44">
        <f>[Cotação]/[VPA]</f>
        <v>2.4157006769357277</v>
      </c>
      <c r="AP150" s="40">
        <f>IF(Tabela3[[#This Row],[Lucro/Ação]]&gt;0,Tabela3[[#This Row],[Cotação]]/(Tabela3[[#This Row],[Lucro/Ação]]/[Ref]*4),0)</f>
        <v>24.168780062086412</v>
      </c>
      <c r="AQ150" s="78">
        <f>[Lucro Distribuir]/[Total Ações]</f>
        <v>1.9103156998986028</v>
      </c>
      <c r="AR150" s="78">
        <f>IF([Unit ON]&gt;0,SUMPRODUCT(N([Nome]=Tabela3[[#This Row],[Nome]]),N(RIGHT([PAPEL],1)="3"),[Div Base])*[Unit ON]+SUMPRODUCT(N([Nome]=Tabela3[[#This Row],[Nome]]),N(RIGHT([PAPEL],1)="4"),[Div Base])*[Unit PN],[Div Base])</f>
        <v>0.47757892497465071</v>
      </c>
      <c r="AS150" s="15" t="str">
        <f>IF(AND([% A.A.]&gt;=6%,SUMPRODUCT(N([Nome]=Tabela3[[#This Row],[Nome]]),[PL])&gt;0,[Rentabilidade s/ PL]&gt;=[Rentabilidade s/ PL Média]),"Sim","Não")</f>
        <v>Não</v>
      </c>
      <c r="AT150" s="42">
        <f>IF([Cotação]&gt;0,Tabela3[[#This Row],[Lucro]]/Tabela3[[#This Row],[Cotação]],0)</f>
        <v>9.8267268513302607E-3</v>
      </c>
      <c r="AU150" s="19">
        <f>((1+Tabela3[[#This Row],[% Yield]])^(1/(3*Tabela3[[#This Row],[Ref]])))^(12)-1</f>
        <v>9.8267268513292372E-3</v>
      </c>
      <c r="AV150" s="14">
        <f>IF([Cotação]&gt;0,($BH$1/Tabela3[[#This Row],[Cotação]]-MOD($BH$1/Tabela3[[#This Row],[Cotação]],100)),)</f>
        <v>0</v>
      </c>
      <c r="AW150" s="17">
        <f>Tabela3[[#This Row],[Ativos]]*[Lucro]</f>
        <v>0</v>
      </c>
      <c r="AX150" s="5">
        <f>SUMPRODUCT(N(Tabela1[Código]=Tabela3[[#This Row],[PAPEL]]),Tabela1[Fechamento])</f>
        <v>48.6</v>
      </c>
      <c r="AY150" s="5">
        <f>SUMPRODUCT(N(Tabela17[Código]=Tabela3[[#This Row],[PAPEL]]),Tabela17[Fechamento])</f>
        <v>0</v>
      </c>
      <c r="AZ150" s="7">
        <f>SUMPRODUCT(N(Tabela176[Código]=Tabela3[[#This Row],[PAPEL]]),Tabela176[Fechamento])</f>
        <v>0</v>
      </c>
      <c r="BA150" s="7">
        <f>SUMPRODUCT(N(Tabela1768[Código]=Tabela3[[#This Row],[PAPEL]]),Tabela1768[Fechamento])</f>
        <v>0</v>
      </c>
      <c r="BB150" s="7">
        <f>SUMPRODUCT(N(Tabela17683[Código]=Tabela3[[#This Row],[PAPEL]]),Tabela17683[Fechamento])</f>
        <v>0</v>
      </c>
    </row>
    <row r="151" spans="1:54">
      <c r="A151" s="3" t="s">
        <v>12</v>
      </c>
      <c r="B151" s="58" t="s">
        <v>81</v>
      </c>
      <c r="C151" s="10" t="str">
        <f>LEFT([PAPEL],LEN([PAPEL])-(LEN([PAPEL])-4))</f>
        <v>COCE</v>
      </c>
      <c r="D151" s="16">
        <v>4</v>
      </c>
      <c r="E151" s="6">
        <v>442946885.76999998</v>
      </c>
      <c r="F151" s="56">
        <v>28164488</v>
      </c>
      <c r="G151" s="86">
        <v>0.25</v>
      </c>
      <c r="H151" s="16"/>
      <c r="I151" s="18">
        <v>0.06</v>
      </c>
      <c r="J151" s="18"/>
      <c r="K151" s="87"/>
      <c r="L151" s="87"/>
      <c r="M151" s="54"/>
      <c r="N151" s="54"/>
      <c r="O151" s="54"/>
      <c r="P151" s="72">
        <v>1566323000</v>
      </c>
      <c r="Q151" s="89">
        <v>156556000</v>
      </c>
      <c r="R151" s="89">
        <f>IF(Tabela3[[#This Row],[Ativo || Passivo]]&gt;0,Tabela3[[#This Row],[Ativo || Passivo]]-Tabela3[[#This Row],[Patrimônio Líquido]],0)</f>
        <v>0</v>
      </c>
      <c r="S151" s="89">
        <f>Tabela3[[#This Row],[Cotação]]*Tabela3[[#This Row],[Total Ações]]</f>
        <v>3078398522.46</v>
      </c>
      <c r="T151" s="132">
        <f>IF(Tabela3[[#This Row],[Passivo Circulante]]&gt;0,Tabela3[[#This Row],[Ativo Circulante]]/Tabela3[[#This Row],[Passivo Circulante]],0)</f>
        <v>0</v>
      </c>
      <c r="U151" s="132">
        <f>SUMPRODUCT(N([Liquidez Corrente]&gt;0),N(RIGHT([PAPEL],LEN([PAPEL])-(LEN([PAPEL])-1))="3"),[Liquidez Corrente])/SUMPRODUCT(N([Liquidez Corrente]&gt;0),N(RIGHT([PAPEL],LEN([PAPEL])-(LEN([PAPEL])-1))="3"))</f>
        <v>2.331224473064915</v>
      </c>
      <c r="V151" s="19">
        <f>IF(Tabela3[[#This Row],[Lucro Líquido]]&gt;0,Tabela3[[#This Row],[Lucro Líquido]]/Tabela3[[#This Row],[Patrimônio Líquido]],0)</f>
        <v>9.9951287186614765E-2</v>
      </c>
      <c r="W151" s="19">
        <f>SUMPRODUCT(N([Rentabilidade s/ PL]&gt;0),N(RIGHT([PAPEL],LEN([PAPEL])-(LEN([PAPEL])-1))="3"),[Rentabilidade s/ PL])/SUMPRODUCT(N([Rentabilidade s/ PL]&gt;0),N(RIGHT([PAPEL],LEN([PAPEL])-(LEN([PAPEL])-1))="3"))</f>
        <v>0.1261051308670782</v>
      </c>
      <c r="X151" s="19">
        <f>IF(Tabela3[[#This Row],[Dívida]]&gt;0,Tabela3[[#This Row],[Dívida]]/Tabela3[[#This Row],[Patrimônio Líquido]],0)</f>
        <v>0</v>
      </c>
      <c r="Y151" s="19">
        <f>SUMPRODUCT(N([Dívida / PL]&gt;0),N(RIGHT([PAPEL],LEN([PAPEL])-(LEN([PAPEL])-1))="3"),[Dívida / PL])/SUMPRODUCT(N([Dívida / PL]&gt;0),N(RIGHT([PAPEL],LEN([PAPEL])-(LEN([PAPEL])-1))="3"))</f>
        <v>2.1510410379481146</v>
      </c>
      <c r="Z151" s="5">
        <f>Tabela3[[#This Row],[Capital Social]]*20%</f>
        <v>88589377.153999999</v>
      </c>
      <c r="AA151" s="5">
        <f>IF(([Lucro Líquido]*5%)&gt;[Teto R. Legal],[Teto R. Legal],[Lucro Líquido]*5%)</f>
        <v>7827800</v>
      </c>
      <c r="AB151" s="72">
        <f>IF([Lucro Líquido]&lt;0,0,[Lucro Líquido]-[Reserva Legal])</f>
        <v>148728200</v>
      </c>
      <c r="AC151" s="72">
        <f>Tabela3[[#This Row],[Lucro Distribuir]]*[%Div]</f>
        <v>37182050</v>
      </c>
      <c r="AD151" s="56">
        <f>SUMPRODUCT(N([Nome]=Tabela3[[#This Row],[Nome]]),[Ações])</f>
        <v>77855299</v>
      </c>
      <c r="AE151" s="5">
        <f>[Capital Social]/[Total Ações]</f>
        <v>5.6893607944399518</v>
      </c>
      <c r="AF151" s="77">
        <f>Tabela3[[#This Row],[Lucro Líquido]]/Tabela3[[#This Row],[Total Ações]]</f>
        <v>2.0108586314722134</v>
      </c>
      <c r="AG151" s="77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0.47757892497465071</v>
      </c>
      <c r="AH151" s="77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151" s="77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0.34136164766639709</v>
      </c>
      <c r="AJ151" s="77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0.47757892497465071</v>
      </c>
      <c r="AK151" s="5">
        <f>[Div Base]*[Ações]</f>
        <v>13450765.901501451</v>
      </c>
      <c r="AL151" s="5">
        <f>SUMPRODUCT(N([Nome]=Tabela3[[#This Row],[Nome]]),[Div Base]*[Ações])</f>
        <v>37182050</v>
      </c>
      <c r="AM151" s="5">
        <f>[Patrimônio Líquido]/[Total Ações]</f>
        <v>20.118386546816808</v>
      </c>
      <c r="AN151" s="52">
        <f>MAX(Tabela3[[#This Row],[Cotação 1]:[Cotação 5]])</f>
        <v>39.54</v>
      </c>
      <c r="AO151" s="53">
        <f>[Cotação]/[VPA]</f>
        <v>1.9653663532106722</v>
      </c>
      <c r="AP151" s="37">
        <f>IF(Tabela3[[#This Row],[Lucro/Ação]]&gt;0,Tabela3[[#This Row],[Cotação]]/(Tabela3[[#This Row],[Lucro/Ação]]/[Ref]*4),0)</f>
        <v>19.663242050512277</v>
      </c>
      <c r="AQ151" s="77">
        <f>[Lucro Distribuir]/[Total Ações]</f>
        <v>1.9103156998986028</v>
      </c>
      <c r="AR151" s="77">
        <f>IF([Unit ON]&gt;0,SUMPRODUCT(N([Nome]=Tabela3[[#This Row],[Nome]]),N(RIGHT([PAPEL],1)="3"),[Div Base])*[Unit ON]+SUMPRODUCT(N([Nome]=Tabela3[[#This Row],[Nome]]),N(RIGHT([PAPEL],1)="4"),[Div Base])*[Unit PN],[Div Base])</f>
        <v>0.47757892497465071</v>
      </c>
      <c r="AS151" s="10" t="str">
        <f>IF(AND([% A.A.]&gt;=6%,SUMPRODUCT(N([Nome]=Tabela3[[#This Row],[Nome]]),[PL])&gt;0,[Rentabilidade s/ PL]&gt;=[Rentabilidade s/ PL Média]),"Sim","Não")</f>
        <v>Não</v>
      </c>
      <c r="AT151" s="22">
        <f>IF([Cotação]&gt;0,Tabela3[[#This Row],[Lucro]]/Tabela3[[#This Row],[Cotação]],0)</f>
        <v>1.2078374430314889E-2</v>
      </c>
      <c r="AU151" s="18">
        <f>((1+Tabela3[[#This Row],[% Yield]])^(1/(3*Tabela3[[#This Row],[Ref]])))^(12)-1</f>
        <v>1.2078374430314787E-2</v>
      </c>
      <c r="AV151" s="10">
        <f>IF([Cotação]&gt;0,($BH$1/Tabela3[[#This Row],[Cotação]]-MOD($BH$1/Tabela3[[#This Row],[Cotação]],100)),)</f>
        <v>0</v>
      </c>
      <c r="AW151" s="7">
        <f>Tabela3[[#This Row],[Ativos]]*[Lucro]</f>
        <v>0</v>
      </c>
      <c r="AX151" s="5">
        <f>SUMPRODUCT(N(Tabela1[Código]=Tabela3[[#This Row],[PAPEL]]),Tabela1[Fechamento])</f>
        <v>39.54</v>
      </c>
      <c r="AY151" s="5">
        <f>SUMPRODUCT(N(Tabela17[Código]=Tabela3[[#This Row],[PAPEL]]),Tabela17[Fechamento])</f>
        <v>0</v>
      </c>
      <c r="AZ151" s="7">
        <f>SUMPRODUCT(N(Tabela176[Código]=Tabela3[[#This Row],[PAPEL]]),Tabela176[Fechamento])</f>
        <v>0</v>
      </c>
      <c r="BA151" s="7">
        <f>SUMPRODUCT(N(Tabela1768[Código]=Tabela3[[#This Row],[PAPEL]]),Tabela1768[Fechamento])</f>
        <v>0</v>
      </c>
      <c r="BB151" s="7">
        <f>SUMPRODUCT(N(Tabela17683[Código]=Tabela3[[#This Row],[PAPEL]]),Tabela17683[Fechamento])</f>
        <v>0</v>
      </c>
    </row>
    <row r="152" spans="1:54">
      <c r="A152" s="3" t="s">
        <v>12</v>
      </c>
      <c r="B152" s="58" t="s">
        <v>488</v>
      </c>
      <c r="C152" s="10" t="str">
        <f>LEFT([PAPEL],LEN([PAPEL])-(LEN([PAPEL])-4))</f>
        <v>COCE</v>
      </c>
      <c r="D152" s="16">
        <v>4</v>
      </c>
      <c r="E152" s="6">
        <v>442946885.76999998</v>
      </c>
      <c r="F152" s="56">
        <v>1622874</v>
      </c>
      <c r="G152" s="86">
        <v>0.25</v>
      </c>
      <c r="H152" s="16"/>
      <c r="I152" s="18">
        <v>0.1</v>
      </c>
      <c r="J152" s="18"/>
      <c r="K152" s="87"/>
      <c r="L152" s="87"/>
      <c r="M152" s="54"/>
      <c r="N152" s="54"/>
      <c r="O152" s="54"/>
      <c r="P152" s="72">
        <v>1566323000</v>
      </c>
      <c r="Q152" s="89">
        <v>156556000</v>
      </c>
      <c r="R152" s="89">
        <f>IF(Tabela3[[#This Row],[Ativo || Passivo]]&gt;0,Tabela3[[#This Row],[Ativo || Passivo]]-Tabela3[[#This Row],[Patrimônio Líquido]],0)</f>
        <v>0</v>
      </c>
      <c r="S152" s="89">
        <f>Tabela3[[#This Row],[Cotação]]*Tabela3[[#This Row],[Total Ações]]</f>
        <v>2724935465</v>
      </c>
      <c r="T152" s="132">
        <f>IF(Tabela3[[#This Row],[Passivo Circulante]]&gt;0,Tabela3[[#This Row],[Ativo Circulante]]/Tabela3[[#This Row],[Passivo Circulante]],0)</f>
        <v>0</v>
      </c>
      <c r="U152" s="132">
        <f>SUMPRODUCT(N([Liquidez Corrente]&gt;0),N(RIGHT([PAPEL],LEN([PAPEL])-(LEN([PAPEL])-1))="3"),[Liquidez Corrente])/SUMPRODUCT(N([Liquidez Corrente]&gt;0),N(RIGHT([PAPEL],LEN([PAPEL])-(LEN([PAPEL])-1))="3"))</f>
        <v>2.331224473064915</v>
      </c>
      <c r="V152" s="19">
        <f>IF(Tabela3[[#This Row],[Lucro Líquido]]&gt;0,Tabela3[[#This Row],[Lucro Líquido]]/Tabela3[[#This Row],[Patrimônio Líquido]],0)</f>
        <v>9.9951287186614765E-2</v>
      </c>
      <c r="W152" s="19">
        <f>SUMPRODUCT(N([Rentabilidade s/ PL]&gt;0),N(RIGHT([PAPEL],LEN([PAPEL])-(LEN([PAPEL])-1))="3"),[Rentabilidade s/ PL])/SUMPRODUCT(N([Rentabilidade s/ PL]&gt;0),N(RIGHT([PAPEL],LEN([PAPEL])-(LEN([PAPEL])-1))="3"))</f>
        <v>0.1261051308670782</v>
      </c>
      <c r="X152" s="19">
        <f>IF(Tabela3[[#This Row],[Dívida]]&gt;0,Tabela3[[#This Row],[Dívida]]/Tabela3[[#This Row],[Patrimônio Líquido]],0)</f>
        <v>0</v>
      </c>
      <c r="Y152" s="19">
        <f>SUMPRODUCT(N([Dívida / PL]&gt;0),N(RIGHT([PAPEL],LEN([PAPEL])-(LEN([PAPEL])-1))="3"),[Dívida / PL])/SUMPRODUCT(N([Dívida / PL]&gt;0),N(RIGHT([PAPEL],LEN([PAPEL])-(LEN([PAPEL])-1))="3"))</f>
        <v>2.1510410379481146</v>
      </c>
      <c r="Z152" s="5">
        <f>Tabela3[[#This Row],[Capital Social]]*20%</f>
        <v>88589377.153999999</v>
      </c>
      <c r="AA152" s="5">
        <f>IF(([Lucro Líquido]*5%)&gt;[Teto R. Legal],[Teto R. Legal],[Lucro Líquido]*5%)</f>
        <v>7827800</v>
      </c>
      <c r="AB152" s="72">
        <f>IF([Lucro Líquido]&lt;0,0,[Lucro Líquido]-[Reserva Legal])</f>
        <v>148728200</v>
      </c>
      <c r="AC152" s="72">
        <f>Tabela3[[#This Row],[Lucro Distribuir]]*[%Div]</f>
        <v>37182050</v>
      </c>
      <c r="AD152" s="56">
        <f>SUMPRODUCT(N([Nome]=Tabela3[[#This Row],[Nome]]),[Ações])</f>
        <v>77855299</v>
      </c>
      <c r="AE152" s="5">
        <f>[Capital Social]/[Total Ações]</f>
        <v>5.6893607944399518</v>
      </c>
      <c r="AF152" s="77">
        <f>Tabela3[[#This Row],[Lucro Líquido]]/Tabela3[[#This Row],[Total Ações]]</f>
        <v>2.0108586314722134</v>
      </c>
      <c r="AG152" s="77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0.47757892497465071</v>
      </c>
      <c r="AH152" s="77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152" s="77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0.56893607944399516</v>
      </c>
      <c r="AJ152" s="77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0.47757892497465071</v>
      </c>
      <c r="AK152" s="5">
        <f>[Div Base]*[Ações]</f>
        <v>775050.42028931133</v>
      </c>
      <c r="AL152" s="5">
        <f>SUMPRODUCT(N([Nome]=Tabela3[[#This Row],[Nome]]),[Div Base]*[Ações])</f>
        <v>37182050</v>
      </c>
      <c r="AM152" s="5">
        <f>[Patrimônio Líquido]/[Total Ações]</f>
        <v>20.118386546816808</v>
      </c>
      <c r="AN152" s="52">
        <f>MAX(Tabela3[[#This Row],[Cotação 1]:[Cotação 5]])</f>
        <v>35</v>
      </c>
      <c r="AO152" s="53">
        <f>[Cotação]/[VPA]</f>
        <v>1.7397021335956886</v>
      </c>
      <c r="AP152" s="37">
        <f>IF(Tabela3[[#This Row],[Lucro/Ação]]&gt;0,Tabela3[[#This Row],[Cotação]]/(Tabela3[[#This Row],[Lucro/Ação]]/[Ref]*4),0)</f>
        <v>17.405500044712436</v>
      </c>
      <c r="AQ152" s="77">
        <f>[Lucro Distribuir]/[Total Ações]</f>
        <v>1.9103156998986028</v>
      </c>
      <c r="AR152" s="77">
        <f>IF([Unit ON]&gt;0,SUMPRODUCT(N([Nome]=Tabela3[[#This Row],[Nome]]),N(RIGHT([PAPEL],1)="3"),[Div Base])*[Unit ON]+SUMPRODUCT(N([Nome]=Tabela3[[#This Row],[Nome]]),N(RIGHT([PAPEL],1)="4"),[Div Base])*[Unit PN],[Div Base])</f>
        <v>0.47757892497465071</v>
      </c>
      <c r="AS152" s="10" t="str">
        <f>IF(AND([% A.A.]&gt;=6%,SUMPRODUCT(N([Nome]=Tabela3[[#This Row],[Nome]]),[PL])&gt;0,[Rentabilidade s/ PL]&gt;=[Rentabilidade s/ PL Média]),"Sim","Não")</f>
        <v>Não</v>
      </c>
      <c r="AT152" s="22">
        <f>IF([Cotação]&gt;0,Tabela3[[#This Row],[Lucro]]/Tabela3[[#This Row],[Cotação]],0)</f>
        <v>1.3645112142132878E-2</v>
      </c>
      <c r="AU152" s="18">
        <f>((1+Tabela3[[#This Row],[% Yield]])^(1/(3*Tabela3[[#This Row],[Ref]])))^(12)-1</f>
        <v>1.364511214213171E-2</v>
      </c>
      <c r="AV152" s="10">
        <f>IF([Cotação]&gt;0,($BH$1/Tabela3[[#This Row],[Cotação]]-MOD($BH$1/Tabela3[[#This Row],[Cotação]],100)),)</f>
        <v>0</v>
      </c>
      <c r="AW152" s="7">
        <f>Tabela3[[#This Row],[Ativos]]*[Lucro]</f>
        <v>0</v>
      </c>
      <c r="AX152" s="5">
        <f>SUMPRODUCT(N(Tabela1[Código]=Tabela3[[#This Row],[PAPEL]]),Tabela1[Fechamento])</f>
        <v>0</v>
      </c>
      <c r="AY152" s="5">
        <f>SUMPRODUCT(N(Tabela17[Código]=Tabela3[[#This Row],[PAPEL]]),Tabela17[Fechamento])</f>
        <v>35</v>
      </c>
      <c r="AZ152" s="7">
        <f>SUMPRODUCT(N(Tabela176[Código]=Tabela3[[#This Row],[PAPEL]]),Tabela176[Fechamento])</f>
        <v>0</v>
      </c>
      <c r="BA152" s="7">
        <f>SUMPRODUCT(N(Tabela1768[Código]=Tabela3[[#This Row],[PAPEL]]),Tabela1768[Fechamento])</f>
        <v>0</v>
      </c>
      <c r="BB152" s="7">
        <f>SUMPRODUCT(N(Tabela17683[Código]=Tabela3[[#This Row],[PAPEL]]),Tabela17683[Fechamento])</f>
        <v>0</v>
      </c>
    </row>
    <row r="153" spans="1:54" hidden="1">
      <c r="A153" s="4" t="s">
        <v>12</v>
      </c>
      <c r="B153" s="57" t="s">
        <v>94</v>
      </c>
      <c r="C153" s="14" t="str">
        <f>LEFT([PAPEL],LEN([PAPEL])-(LEN([PAPEL])-4))</f>
        <v>ENMA</v>
      </c>
      <c r="D153" s="15">
        <v>3</v>
      </c>
      <c r="E153" s="6">
        <v>618549815.79999995</v>
      </c>
      <c r="F153" s="8">
        <v>161318939</v>
      </c>
      <c r="G153" s="81">
        <v>0.25</v>
      </c>
      <c r="H153" s="15"/>
      <c r="I153" s="19"/>
      <c r="J153" s="19"/>
      <c r="K153" s="88"/>
      <c r="L153" s="88"/>
      <c r="M153" s="55"/>
      <c r="N153" s="55"/>
      <c r="O153" s="55"/>
      <c r="P153" s="89">
        <v>1380983000</v>
      </c>
      <c r="Q153" s="89">
        <v>154788000</v>
      </c>
      <c r="R153" s="89">
        <f>IF(Tabela3[[#This Row],[Ativo || Passivo]]&gt;0,Tabela3[[#This Row],[Ativo || Passivo]]-Tabela3[[#This Row],[Patrimônio Líquido]],0)</f>
        <v>0</v>
      </c>
      <c r="S153" s="89">
        <f>Tabela3[[#This Row],[Cotação]]*Tabela3[[#This Row],[Total Ações]]</f>
        <v>2536641239.5499997</v>
      </c>
      <c r="T153" s="132">
        <f>IF(Tabela3[[#This Row],[Passivo Circulante]]&gt;0,Tabela3[[#This Row],[Ativo Circulante]]/Tabela3[[#This Row],[Passivo Circulante]],0)</f>
        <v>0</v>
      </c>
      <c r="U153" s="132">
        <f>SUMPRODUCT(N([Liquidez Corrente]&gt;0),N(RIGHT([PAPEL],LEN([PAPEL])-(LEN([PAPEL])-1))="3"),[Liquidez Corrente])/SUMPRODUCT(N([Liquidez Corrente]&gt;0),N(RIGHT([PAPEL],LEN([PAPEL])-(LEN([PAPEL])-1))="3"))</f>
        <v>2.331224473064915</v>
      </c>
      <c r="V153" s="19">
        <f>IF(Tabela3[[#This Row],[Lucro Líquido]]&gt;0,Tabela3[[#This Row],[Lucro Líquido]]/Tabela3[[#This Row],[Patrimônio Líquido]],0)</f>
        <v>0.1120853768656095</v>
      </c>
      <c r="W153" s="19">
        <f>SUMPRODUCT(N([Rentabilidade s/ PL]&gt;0),N(RIGHT([PAPEL],LEN([PAPEL])-(LEN([PAPEL])-1))="3"),[Rentabilidade s/ PL])/SUMPRODUCT(N([Rentabilidade s/ PL]&gt;0),N(RIGHT([PAPEL],LEN([PAPEL])-(LEN([PAPEL])-1))="3"))</f>
        <v>0.1261051308670782</v>
      </c>
      <c r="X153" s="19">
        <f>IF(Tabela3[[#This Row],[Dívida]]&gt;0,Tabela3[[#This Row],[Dívida]]/Tabela3[[#This Row],[Patrimônio Líquido]],0)</f>
        <v>0</v>
      </c>
      <c r="Y153" s="19">
        <f>SUMPRODUCT(N([Dívida / PL]&gt;0),N(RIGHT([PAPEL],LEN([PAPEL])-(LEN([PAPEL])-1))="3"),[Dívida / PL])/SUMPRODUCT(N([Dívida / PL]&gt;0),N(RIGHT([PAPEL],LEN([PAPEL])-(LEN([PAPEL])-1))="3"))</f>
        <v>2.1510410379481146</v>
      </c>
      <c r="Z153" s="6">
        <f>Tabela3[[#This Row],[Capital Social]]*20%</f>
        <v>123709963.16</v>
      </c>
      <c r="AA153" s="6">
        <f>IF(([Lucro Líquido]*5%)&gt;[Teto R. Legal],[Teto R. Legal],[Lucro Líquido]*5%)</f>
        <v>7739400</v>
      </c>
      <c r="AB153" s="89">
        <f>IF([Lucro Líquido]&lt;0,0,[Lucro Líquido]-[Reserva Legal])</f>
        <v>147048600</v>
      </c>
      <c r="AC153" s="89">
        <f>Tabela3[[#This Row],[Lucro Distribuir]]*[%Div]</f>
        <v>36762150</v>
      </c>
      <c r="AD153" s="56">
        <f>SUMPRODUCT(N([Nome]=Tabela3[[#This Row],[Nome]]),[Ações])</f>
        <v>164183899</v>
      </c>
      <c r="AE153" s="6">
        <f>[Capital Social]/[Total Ações]</f>
        <v>3.7674206762503548</v>
      </c>
      <c r="AF153" s="78">
        <f>Tabela3[[#This Row],[Lucro Líquido]]/Tabela3[[#This Row],[Total Ações]]</f>
        <v>0.94277210458986604</v>
      </c>
      <c r="AG153" s="78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0.22390837484009318</v>
      </c>
      <c r="AH153" s="78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153" s="78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0.22235174275240552</v>
      </c>
      <c r="AJ153" s="78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0.22235174275240552</v>
      </c>
      <c r="AK153" s="6">
        <f>[Div Base]*[Ações]</f>
        <v>35869547.225618996</v>
      </c>
      <c r="AL153" s="6">
        <f>SUMPRODUCT(N([Nome]=Tabela3[[#This Row],[Nome]]),[Div Base]*[Ações])</f>
        <v>36762150</v>
      </c>
      <c r="AM153" s="6">
        <f>[Patrimônio Líquido]/[Total Ações]</f>
        <v>8.4111962769260344</v>
      </c>
      <c r="AN153" s="48">
        <f>MAX(Tabela3[[#This Row],[Cotação 1]:[Cotação 5]])</f>
        <v>15.45</v>
      </c>
      <c r="AO153" s="44">
        <f>[Cotação]/[VPA]</f>
        <v>1.8368374118653161</v>
      </c>
      <c r="AP153" s="40">
        <f>IF(Tabela3[[#This Row],[Lucro/Ação]]&gt;0,Tabela3[[#This Row],[Cotação]]/(Tabela3[[#This Row],[Lucro/Ação]]/[Ref]*4),0)</f>
        <v>12.290881267685478</v>
      </c>
      <c r="AQ153" s="78">
        <f>[Lucro Distribuir]/[Total Ações]</f>
        <v>0.89563349936037273</v>
      </c>
      <c r="AR153" s="78">
        <f>IF([Unit ON]&gt;0,SUMPRODUCT(N([Nome]=Tabela3[[#This Row],[Nome]]),N(RIGHT([PAPEL],1)="3"),[Div Base])*[Unit ON]+SUMPRODUCT(N([Nome]=Tabela3[[#This Row],[Nome]]),N(RIGHT([PAPEL],1)="4"),[Div Base])*[Unit PN],[Div Base])</f>
        <v>0.22235174275240552</v>
      </c>
      <c r="AS153" s="15" t="str">
        <f>IF(AND([% A.A.]&gt;=6%,SUMPRODUCT(N([Nome]=Tabela3[[#This Row],[Nome]]),[PL])&gt;0,[Rentabilidade s/ PL]&gt;=[Rentabilidade s/ PL Média]),"Sim","Não")</f>
        <v>Não</v>
      </c>
      <c r="AT153" s="42">
        <f>IF([Cotação]&gt;0,Tabela3[[#This Row],[Lucro]]/Tabela3[[#This Row],[Cotação]],0)</f>
        <v>1.4391698560026247E-2</v>
      </c>
      <c r="AU153" s="19">
        <f>((1+Tabela3[[#This Row],[% Yield]])^(1/(3*Tabela3[[#This Row],[Ref]])))^(12)-1</f>
        <v>1.9234811974321975E-2</v>
      </c>
      <c r="AV153" s="14">
        <f>IF([Cotação]&gt;0,($BH$1/Tabela3[[#This Row],[Cotação]]-MOD($BH$1/Tabela3[[#This Row],[Cotação]],100)),)</f>
        <v>0</v>
      </c>
      <c r="AW153" s="17">
        <f>Tabela3[[#This Row],[Ativos]]*[Lucro]</f>
        <v>0</v>
      </c>
      <c r="AX153" s="5">
        <f>SUMPRODUCT(N(Tabela1[Código]=Tabela3[[#This Row],[PAPEL]]),Tabela1[Fechamento])</f>
        <v>15.45</v>
      </c>
      <c r="AY153" s="5">
        <f>SUMPRODUCT(N(Tabela17[Código]=Tabela3[[#This Row],[PAPEL]]),Tabela17[Fechamento])</f>
        <v>0</v>
      </c>
      <c r="AZ153" s="7">
        <f>SUMPRODUCT(N(Tabela176[Código]=Tabela3[[#This Row],[PAPEL]]),Tabela176[Fechamento])</f>
        <v>0</v>
      </c>
      <c r="BA153" s="7">
        <f>SUMPRODUCT(N(Tabela1768[Código]=Tabela3[[#This Row],[PAPEL]]),Tabela1768[Fechamento])</f>
        <v>0</v>
      </c>
      <c r="BB153" s="7">
        <f>SUMPRODUCT(N(Tabela17683[Código]=Tabela3[[#This Row],[PAPEL]]),Tabela17683[Fechamento])</f>
        <v>0</v>
      </c>
    </row>
    <row r="154" spans="1:54" hidden="1">
      <c r="A154" s="4" t="s">
        <v>12</v>
      </c>
      <c r="B154" s="57" t="s">
        <v>491</v>
      </c>
      <c r="C154" s="82" t="str">
        <f>LEFT([PAPEL],LEN([PAPEL])-(LEN([PAPEL])-4))</f>
        <v>ENMA</v>
      </c>
      <c r="D154" s="15">
        <v>3</v>
      </c>
      <c r="E154" s="6">
        <v>618549815.79999995</v>
      </c>
      <c r="F154" s="8">
        <v>1239231</v>
      </c>
      <c r="G154" s="81">
        <v>0.25</v>
      </c>
      <c r="H154" s="15"/>
      <c r="I154" s="19">
        <v>0.06</v>
      </c>
      <c r="J154" s="19"/>
      <c r="K154" s="88"/>
      <c r="L154" s="88"/>
      <c r="M154" s="55"/>
      <c r="N154" s="55"/>
      <c r="O154" s="55"/>
      <c r="P154" s="89">
        <v>1380983000</v>
      </c>
      <c r="Q154" s="89">
        <v>154788000</v>
      </c>
      <c r="R154" s="89">
        <f>IF(Tabela3[[#This Row],[Ativo || Passivo]]&gt;0,Tabela3[[#This Row],[Ativo || Passivo]]-Tabela3[[#This Row],[Patrimônio Líquido]],0)</f>
        <v>0</v>
      </c>
      <c r="S154" s="89">
        <f>Tabela3[[#This Row],[Cotação]]*Tabela3[[#This Row],[Total Ações]]</f>
        <v>0</v>
      </c>
      <c r="T154" s="132">
        <f>IF(Tabela3[[#This Row],[Passivo Circulante]]&gt;0,Tabela3[[#This Row],[Ativo Circulante]]/Tabela3[[#This Row],[Passivo Circulante]],0)</f>
        <v>0</v>
      </c>
      <c r="U154" s="132">
        <f>SUMPRODUCT(N([Liquidez Corrente]&gt;0),N(RIGHT([PAPEL],LEN([PAPEL])-(LEN([PAPEL])-1))="3"),[Liquidez Corrente])/SUMPRODUCT(N([Liquidez Corrente]&gt;0),N(RIGHT([PAPEL],LEN([PAPEL])-(LEN([PAPEL])-1))="3"))</f>
        <v>2.331224473064915</v>
      </c>
      <c r="V154" s="19">
        <f>IF(Tabela3[[#This Row],[Lucro Líquido]]&gt;0,Tabela3[[#This Row],[Lucro Líquido]]/Tabela3[[#This Row],[Patrimônio Líquido]],0)</f>
        <v>0.1120853768656095</v>
      </c>
      <c r="W154" s="19">
        <f>SUMPRODUCT(N([Rentabilidade s/ PL]&gt;0),N(RIGHT([PAPEL],LEN([PAPEL])-(LEN([PAPEL])-1))="3"),[Rentabilidade s/ PL])/SUMPRODUCT(N([Rentabilidade s/ PL]&gt;0),N(RIGHT([PAPEL],LEN([PAPEL])-(LEN([PAPEL])-1))="3"))</f>
        <v>0.1261051308670782</v>
      </c>
      <c r="X154" s="19">
        <f>IF(Tabela3[[#This Row],[Dívida]]&gt;0,Tabela3[[#This Row],[Dívida]]/Tabela3[[#This Row],[Patrimônio Líquido]],0)</f>
        <v>0</v>
      </c>
      <c r="Y154" s="19">
        <f>SUMPRODUCT(N([Dívida / PL]&gt;0),N(RIGHT([PAPEL],LEN([PAPEL])-(LEN([PAPEL])-1))="3"),[Dívida / PL])/SUMPRODUCT(N([Dívida / PL]&gt;0),N(RIGHT([PAPEL],LEN([PAPEL])-(LEN([PAPEL])-1))="3"))</f>
        <v>2.1510410379481146</v>
      </c>
      <c r="Z154" s="6">
        <f>Tabela3[[#This Row],[Capital Social]]*20%</f>
        <v>123709963.16</v>
      </c>
      <c r="AA154" s="6">
        <f>IF(([Lucro Líquido]*5%)&gt;[Teto R. Legal],[Teto R. Legal],[Lucro Líquido]*5%)</f>
        <v>7739400</v>
      </c>
      <c r="AB154" s="6">
        <f>IF([Lucro Líquido]&lt;0,0,[Lucro Líquido]-[Reserva Legal])</f>
        <v>147048600</v>
      </c>
      <c r="AC154" s="6">
        <f>Tabela3[[#This Row],[Lucro Distribuir]]*[%Div]</f>
        <v>36762150</v>
      </c>
      <c r="AD154" s="56">
        <f>SUMPRODUCT(N([Nome]=Tabela3[[#This Row],[Nome]]),[Ações])</f>
        <v>164183899</v>
      </c>
      <c r="AE154" s="6">
        <f>[Capital Social]/[Total Ações]</f>
        <v>3.7674206762503548</v>
      </c>
      <c r="AF154" s="78">
        <f>Tabela3[[#This Row],[Lucro Líquido]]/Tabela3[[#This Row],[Total Ações]]</f>
        <v>0.94277210458986604</v>
      </c>
      <c r="AG154" s="78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0.22390837484009318</v>
      </c>
      <c r="AH154" s="78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154" s="78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0.22604524057502129</v>
      </c>
      <c r="AJ154" s="78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0.22604524057502129</v>
      </c>
      <c r="AK154" s="6">
        <f>[Div Base]*[Ações]</f>
        <v>280122.26952302421</v>
      </c>
      <c r="AL154" s="6">
        <f>SUMPRODUCT(N([Nome]=Tabela3[[#This Row],[Nome]]),[Div Base]*[Ações])</f>
        <v>36762150</v>
      </c>
      <c r="AM154" s="6">
        <f>[Patrimônio Líquido]/[Total Ações]</f>
        <v>8.4111962769260344</v>
      </c>
      <c r="AN154" s="48">
        <f>MAX(Tabela3[[#This Row],[Cotação 1]:[Cotação 5]])</f>
        <v>0</v>
      </c>
      <c r="AO154" s="44">
        <f>[Cotação]/[VPA]</f>
        <v>0</v>
      </c>
      <c r="AP154" s="40">
        <f>IF(Tabela3[[#This Row],[Lucro/Ação]]&gt;0,Tabela3[[#This Row],[Cotação]]/(Tabela3[[#This Row],[Lucro/Ação]]/[Ref]*4),0)</f>
        <v>0</v>
      </c>
      <c r="AQ154" s="78">
        <f>[Lucro Distribuir]/[Total Ações]</f>
        <v>0.89563349936037273</v>
      </c>
      <c r="AR154" s="78">
        <f>IF([Unit ON]&gt;0,SUMPRODUCT(N([Nome]=Tabela3[[#This Row],[Nome]]),N(RIGHT([PAPEL],1)="3"),[Div Base])*[Unit ON]+SUMPRODUCT(N([Nome]=Tabela3[[#This Row],[Nome]]),N(RIGHT([PAPEL],1)="4"),[Div Base])*[Unit PN],[Div Base])</f>
        <v>0.22604524057502129</v>
      </c>
      <c r="AS154" s="15" t="str">
        <f>IF(AND([% A.A.]&gt;=6%,SUMPRODUCT(N([Nome]=Tabela3[[#This Row],[Nome]]),[PL])&gt;0,[Rentabilidade s/ PL]&gt;=[Rentabilidade s/ PL Média]),"Sim","Não")</f>
        <v>Não</v>
      </c>
      <c r="AT154" s="42">
        <f>IF([Cotação]&gt;0,Tabela3[[#This Row],[Lucro]]/Tabela3[[#This Row],[Cotação]],0)</f>
        <v>0</v>
      </c>
      <c r="AU154" s="19">
        <f>((1+Tabela3[[#This Row],[% Yield]])^(1/(3*Tabela3[[#This Row],[Ref]])))^(12)-1</f>
        <v>0</v>
      </c>
      <c r="AV154" s="14">
        <f>IF([Cotação]&gt;0,($BH$1/Tabela3[[#This Row],[Cotação]]-MOD($BH$1/Tabela3[[#This Row],[Cotação]],100)),)</f>
        <v>0</v>
      </c>
      <c r="AW154" s="17">
        <f>Tabela3[[#This Row],[Ativos]]*[Lucro]</f>
        <v>0</v>
      </c>
      <c r="AX154" s="13">
        <f>SUMPRODUCT(N(Tabela1[Código]=Tabela3[[#This Row],[PAPEL]]),Tabela1[Fechamento])</f>
        <v>0</v>
      </c>
      <c r="AY154" s="55">
        <f>SUMPRODUCT(N(Tabela17[Código]=Tabela3[[#This Row],[PAPEL]]),Tabela17[Fechamento])</f>
        <v>0</v>
      </c>
      <c r="AZ154" s="7">
        <f>SUMPRODUCT(N(Tabela176[Código]=Tabela3[[#This Row],[PAPEL]]),Tabela176[Fechamento])</f>
        <v>0</v>
      </c>
      <c r="BA154" s="7">
        <f>SUMPRODUCT(N(Tabela1768[Código]=Tabela3[[#This Row],[PAPEL]]),Tabela1768[Fechamento])</f>
        <v>0</v>
      </c>
      <c r="BB154" s="7">
        <f>SUMPRODUCT(N(Tabela17683[Código]=Tabela3[[#This Row],[PAPEL]]),Tabela17683[Fechamento])</f>
        <v>0</v>
      </c>
    </row>
    <row r="155" spans="1:54" hidden="1">
      <c r="A155" s="4" t="s">
        <v>12</v>
      </c>
      <c r="B155" s="57" t="s">
        <v>492</v>
      </c>
      <c r="C155" s="82" t="str">
        <f>LEFT([PAPEL],LEN([PAPEL])-(LEN([PAPEL])-4))</f>
        <v>ENMA</v>
      </c>
      <c r="D155" s="15">
        <v>3</v>
      </c>
      <c r="E155" s="6">
        <v>618549815.79999995</v>
      </c>
      <c r="F155" s="8">
        <v>1625729</v>
      </c>
      <c r="G155" s="81">
        <v>0.25</v>
      </c>
      <c r="H155" s="15"/>
      <c r="I155" s="19">
        <v>0.1</v>
      </c>
      <c r="J155" s="19"/>
      <c r="K155" s="88"/>
      <c r="L155" s="88"/>
      <c r="M155" s="55"/>
      <c r="N155" s="55"/>
      <c r="O155" s="55"/>
      <c r="P155" s="89">
        <v>1380983000</v>
      </c>
      <c r="Q155" s="89">
        <v>154788000</v>
      </c>
      <c r="R155" s="89">
        <f>IF(Tabela3[[#This Row],[Ativo || Passivo]]&gt;0,Tabela3[[#This Row],[Ativo || Passivo]]-Tabela3[[#This Row],[Patrimônio Líquido]],0)</f>
        <v>0</v>
      </c>
      <c r="S155" s="89">
        <f>Tabela3[[#This Row],[Cotação]]*Tabela3[[#This Row],[Total Ações]]</f>
        <v>0</v>
      </c>
      <c r="T155" s="132">
        <f>IF(Tabela3[[#This Row],[Passivo Circulante]]&gt;0,Tabela3[[#This Row],[Ativo Circulante]]/Tabela3[[#This Row],[Passivo Circulante]],0)</f>
        <v>0</v>
      </c>
      <c r="U155" s="132">
        <f>SUMPRODUCT(N([Liquidez Corrente]&gt;0),N(RIGHT([PAPEL],LEN([PAPEL])-(LEN([PAPEL])-1))="3"),[Liquidez Corrente])/SUMPRODUCT(N([Liquidez Corrente]&gt;0),N(RIGHT([PAPEL],LEN([PAPEL])-(LEN([PAPEL])-1))="3"))</f>
        <v>2.331224473064915</v>
      </c>
      <c r="V155" s="19">
        <f>IF(Tabela3[[#This Row],[Lucro Líquido]]&gt;0,Tabela3[[#This Row],[Lucro Líquido]]/Tabela3[[#This Row],[Patrimônio Líquido]],0)</f>
        <v>0.1120853768656095</v>
      </c>
      <c r="W155" s="19">
        <f>SUMPRODUCT(N([Rentabilidade s/ PL]&gt;0),N(RIGHT([PAPEL],LEN([PAPEL])-(LEN([PAPEL])-1))="3"),[Rentabilidade s/ PL])/SUMPRODUCT(N([Rentabilidade s/ PL]&gt;0),N(RIGHT([PAPEL],LEN([PAPEL])-(LEN([PAPEL])-1))="3"))</f>
        <v>0.1261051308670782</v>
      </c>
      <c r="X155" s="19">
        <f>IF(Tabela3[[#This Row],[Dívida]]&gt;0,Tabela3[[#This Row],[Dívida]]/Tabela3[[#This Row],[Patrimônio Líquido]],0)</f>
        <v>0</v>
      </c>
      <c r="Y155" s="19">
        <f>SUMPRODUCT(N([Dívida / PL]&gt;0),N(RIGHT([PAPEL],LEN([PAPEL])-(LEN([PAPEL])-1))="3"),[Dívida / PL])/SUMPRODUCT(N([Dívida / PL]&gt;0),N(RIGHT([PAPEL],LEN([PAPEL])-(LEN([PAPEL])-1))="3"))</f>
        <v>2.1510410379481146</v>
      </c>
      <c r="Z155" s="6">
        <f>Tabela3[[#This Row],[Capital Social]]*20%</f>
        <v>123709963.16</v>
      </c>
      <c r="AA155" s="6">
        <f>IF(([Lucro Líquido]*5%)&gt;[Teto R. Legal],[Teto R. Legal],[Lucro Líquido]*5%)</f>
        <v>7739400</v>
      </c>
      <c r="AB155" s="6">
        <f>IF([Lucro Líquido]&lt;0,0,[Lucro Líquido]-[Reserva Legal])</f>
        <v>147048600</v>
      </c>
      <c r="AC155" s="6">
        <f>Tabela3[[#This Row],[Lucro Distribuir]]*[%Div]</f>
        <v>36762150</v>
      </c>
      <c r="AD155" s="56">
        <f>SUMPRODUCT(N([Nome]=Tabela3[[#This Row],[Nome]]),[Ações])</f>
        <v>164183899</v>
      </c>
      <c r="AE155" s="6">
        <f>[Capital Social]/[Total Ações]</f>
        <v>3.7674206762503548</v>
      </c>
      <c r="AF155" s="78">
        <f>Tabela3[[#This Row],[Lucro Líquido]]/Tabela3[[#This Row],[Total Ações]]</f>
        <v>0.94277210458986604</v>
      </c>
      <c r="AG155" s="78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0.22390837484009318</v>
      </c>
      <c r="AH155" s="78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155" s="78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0.37674206762503548</v>
      </c>
      <c r="AJ155" s="78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0.37674206762503548</v>
      </c>
      <c r="AK155" s="6">
        <f>[Div Base]*[Ações]</f>
        <v>612480.50485798134</v>
      </c>
      <c r="AL155" s="6">
        <f>SUMPRODUCT(N([Nome]=Tabela3[[#This Row],[Nome]]),[Div Base]*[Ações])</f>
        <v>36762150</v>
      </c>
      <c r="AM155" s="6">
        <f>[Patrimônio Líquido]/[Total Ações]</f>
        <v>8.4111962769260344</v>
      </c>
      <c r="AN155" s="48">
        <f>MAX(Tabela3[[#This Row],[Cotação 1]:[Cotação 5]])</f>
        <v>0</v>
      </c>
      <c r="AO155" s="44">
        <f>[Cotação]/[VPA]</f>
        <v>0</v>
      </c>
      <c r="AP155" s="40">
        <f>IF(Tabela3[[#This Row],[Lucro/Ação]]&gt;0,Tabela3[[#This Row],[Cotação]]/(Tabela3[[#This Row],[Lucro/Ação]]/[Ref]*4),0)</f>
        <v>0</v>
      </c>
      <c r="AQ155" s="78">
        <f>[Lucro Distribuir]/[Total Ações]</f>
        <v>0.89563349936037273</v>
      </c>
      <c r="AR155" s="78">
        <f>IF([Unit ON]&gt;0,SUMPRODUCT(N([Nome]=Tabela3[[#This Row],[Nome]]),N(RIGHT([PAPEL],1)="3"),[Div Base])*[Unit ON]+SUMPRODUCT(N([Nome]=Tabela3[[#This Row],[Nome]]),N(RIGHT([PAPEL],1)="4"),[Div Base])*[Unit PN],[Div Base])</f>
        <v>0.37674206762503548</v>
      </c>
      <c r="AS155" s="15" t="str">
        <f>IF(AND([% A.A.]&gt;=6%,SUMPRODUCT(N([Nome]=Tabela3[[#This Row],[Nome]]),[PL])&gt;0,[Rentabilidade s/ PL]&gt;=[Rentabilidade s/ PL Média]),"Sim","Não")</f>
        <v>Não</v>
      </c>
      <c r="AT155" s="42">
        <f>IF([Cotação]&gt;0,Tabela3[[#This Row],[Lucro]]/Tabela3[[#This Row],[Cotação]],0)</f>
        <v>0</v>
      </c>
      <c r="AU155" s="19">
        <f>((1+Tabela3[[#This Row],[% Yield]])^(1/(3*Tabela3[[#This Row],[Ref]])))^(12)-1</f>
        <v>0</v>
      </c>
      <c r="AV155" s="14">
        <f>IF([Cotação]&gt;0,($BH$1/Tabela3[[#This Row],[Cotação]]-MOD($BH$1/Tabela3[[#This Row],[Cotação]],100)),)</f>
        <v>0</v>
      </c>
      <c r="AW155" s="17">
        <f>Tabela3[[#This Row],[Ativos]]*[Lucro]</f>
        <v>0</v>
      </c>
      <c r="AX155" s="13">
        <f>SUMPRODUCT(N(Tabela1[Código]=Tabela3[[#This Row],[PAPEL]]),Tabela1[Fechamento])</f>
        <v>0</v>
      </c>
      <c r="AY155" s="55">
        <f>SUMPRODUCT(N(Tabela17[Código]=Tabela3[[#This Row],[PAPEL]]),Tabela17[Fechamento])</f>
        <v>0</v>
      </c>
      <c r="AZ155" s="7">
        <f>SUMPRODUCT(N(Tabela176[Código]=Tabela3[[#This Row],[PAPEL]]),Tabela176[Fechamento])</f>
        <v>0</v>
      </c>
      <c r="BA155" s="7">
        <f>SUMPRODUCT(N(Tabela1768[Código]=Tabela3[[#This Row],[PAPEL]]),Tabela1768[Fechamento])</f>
        <v>0</v>
      </c>
      <c r="BB155" s="7">
        <f>SUMPRODUCT(N(Tabela17683[Código]=Tabela3[[#This Row],[PAPEL]]),Tabela17683[Fechamento])</f>
        <v>0</v>
      </c>
    </row>
    <row r="156" spans="1:54" hidden="1">
      <c r="A156" s="4" t="s">
        <v>12</v>
      </c>
      <c r="B156" s="57" t="s">
        <v>95</v>
      </c>
      <c r="C156" s="14" t="str">
        <f>LEFT([PAPEL],LEN([PAPEL])-(LEN([PAPEL])-4))</f>
        <v>CSRN</v>
      </c>
      <c r="D156" s="15">
        <v>3</v>
      </c>
      <c r="E156" s="6">
        <v>179787268.58000001</v>
      </c>
      <c r="F156" s="8">
        <v>129746219</v>
      </c>
      <c r="G156" s="81">
        <v>0.25</v>
      </c>
      <c r="H156" s="15"/>
      <c r="I156" s="19"/>
      <c r="J156" s="19"/>
      <c r="K156" s="88"/>
      <c r="L156" s="88"/>
      <c r="M156" s="55">
        <v>1674792000</v>
      </c>
      <c r="N156" s="55">
        <v>447172000</v>
      </c>
      <c r="O156" s="55">
        <v>502260000</v>
      </c>
      <c r="P156" s="89">
        <v>884793000</v>
      </c>
      <c r="Q156" s="89">
        <v>154604000</v>
      </c>
      <c r="R156" s="89">
        <f>IF(Tabela3[[#This Row],[Ativo || Passivo]]&gt;0,Tabela3[[#This Row],[Ativo || Passivo]]-Tabela3[[#This Row],[Patrimônio Líquido]],0)</f>
        <v>789999000</v>
      </c>
      <c r="S156" s="89">
        <f>Tabela3[[#This Row],[Cotação]]*Tabela3[[#This Row],[Total Ações]]</f>
        <v>1596703266</v>
      </c>
      <c r="T156" s="132">
        <f>IF(Tabela3[[#This Row],[Passivo Circulante]]&gt;0,Tabela3[[#This Row],[Ativo Circulante]]/Tabela3[[#This Row],[Passivo Circulante]],0)</f>
        <v>0.8903197547087166</v>
      </c>
      <c r="U156" s="132">
        <f>SUMPRODUCT(N([Liquidez Corrente]&gt;0),N(RIGHT([PAPEL],LEN([PAPEL])-(LEN([PAPEL])-1))="3"),[Liquidez Corrente])/SUMPRODUCT(N([Liquidez Corrente]&gt;0),N(RIGHT([PAPEL],LEN([PAPEL])-(LEN([PAPEL])-1))="3"))</f>
        <v>2.331224473064915</v>
      </c>
      <c r="V156" s="19">
        <f>IF(Tabela3[[#This Row],[Lucro Líquido]]&gt;0,Tabela3[[#This Row],[Lucro Líquido]]/Tabela3[[#This Row],[Patrimônio Líquido]],0)</f>
        <v>0.17473465545048389</v>
      </c>
      <c r="W156" s="19">
        <f>SUMPRODUCT(N([Rentabilidade s/ PL]&gt;0),N(RIGHT([PAPEL],LEN([PAPEL])-(LEN([PAPEL])-1))="3"),[Rentabilidade s/ PL])/SUMPRODUCT(N([Rentabilidade s/ PL]&gt;0),N(RIGHT([PAPEL],LEN([PAPEL])-(LEN([PAPEL])-1))="3"))</f>
        <v>0.1261051308670782</v>
      </c>
      <c r="X156" s="19">
        <f>IF(Tabela3[[#This Row],[Dívida]]&gt;0,Tabela3[[#This Row],[Dívida]]/Tabela3[[#This Row],[Patrimônio Líquido]],0)</f>
        <v>0.89286307644838958</v>
      </c>
      <c r="Y156" s="19">
        <f>SUMPRODUCT(N([Dívida / PL]&gt;0),N(RIGHT([PAPEL],LEN([PAPEL])-(LEN([PAPEL])-1))="3"),[Dívida / PL])/SUMPRODUCT(N([Dívida / PL]&gt;0),N(RIGHT([PAPEL],LEN([PAPEL])-(LEN([PAPEL])-1))="3"))</f>
        <v>2.1510410379481146</v>
      </c>
      <c r="Z156" s="6">
        <f>Tabela3[[#This Row],[Capital Social]]*20%</f>
        <v>35957453.716000006</v>
      </c>
      <c r="AA156" s="6">
        <f>IF(([Lucro Líquido]*5%)&gt;[Teto R. Legal],[Teto R. Legal],[Lucro Líquido]*5%)</f>
        <v>7730200</v>
      </c>
      <c r="AB156" s="89">
        <f>IF([Lucro Líquido]&lt;0,0,[Lucro Líquido]-[Reserva Legal])</f>
        <v>146873800</v>
      </c>
      <c r="AC156" s="89">
        <f>Tabela3[[#This Row],[Lucro Distribuir]]*[%Div]</f>
        <v>36718450</v>
      </c>
      <c r="AD156" s="56">
        <f>SUMPRODUCT(N([Nome]=Tabela3[[#This Row],[Nome]]),[Ações])</f>
        <v>168074028</v>
      </c>
      <c r="AE156" s="6">
        <f>[Capital Social]/[Total Ações]</f>
        <v>1.0696909612947458</v>
      </c>
      <c r="AF156" s="78">
        <f>Tabela3[[#This Row],[Lucro Líquido]]/Tabela3[[#This Row],[Total Ações]]</f>
        <v>0.91985657653186015</v>
      </c>
      <c r="AG156" s="78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0.21166863088996732</v>
      </c>
      <c r="AH156" s="78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156" s="78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156" s="78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0.21166863088996732</v>
      </c>
      <c r="AK156" s="6">
        <f>[Div Base]*[Ações]</f>
        <v>27463204.538879864</v>
      </c>
      <c r="AL156" s="6">
        <f>SUMPRODUCT(N([Nome]=Tabela3[[#This Row],[Nome]]),[Div Base]*[Ações])</f>
        <v>36387278.892751291</v>
      </c>
      <c r="AM156" s="6">
        <f>[Patrimônio Líquido]/[Total Ações]</f>
        <v>5.2643053214622784</v>
      </c>
      <c r="AN156" s="48">
        <f>MAX(Tabela3[[#This Row],[Cotação 1]:[Cotação 5]])</f>
        <v>9.5</v>
      </c>
      <c r="AO156" s="44">
        <f>[Cotação]/[VPA]</f>
        <v>1.8046065757753509</v>
      </c>
      <c r="AP156" s="40">
        <f>IF(Tabela3[[#This Row],[Lucro/Ação]]&gt;0,Tabela3[[#This Row],[Cotação]]/(Tabela3[[#This Row],[Lucro/Ação]]/[Ref]*4),0)</f>
        <v>7.745772745207109</v>
      </c>
      <c r="AQ156" s="78">
        <f>[Lucro Distribuir]/[Total Ações]</f>
        <v>0.87386374770526709</v>
      </c>
      <c r="AR156" s="78">
        <f>IF([Unit ON]&gt;0,SUMPRODUCT(N([Nome]=Tabela3[[#This Row],[Nome]]),N(RIGHT([PAPEL],1)="3"),[Div Base])*[Unit ON]+SUMPRODUCT(N([Nome]=Tabela3[[#This Row],[Nome]]),N(RIGHT([PAPEL],1)="4"),[Div Base])*[Unit PN],[Div Base])</f>
        <v>0.21166863088996732</v>
      </c>
      <c r="AS156" s="15" t="str">
        <f>IF(AND([% A.A.]&gt;=6%,SUMPRODUCT(N([Nome]=Tabela3[[#This Row],[Nome]]),[PL])&gt;0,[Rentabilidade s/ PL]&gt;=[Rentabilidade s/ PL Média]),"Sim","Não")</f>
        <v>Não</v>
      </c>
      <c r="AT156" s="42">
        <f>IF([Cotação]&gt;0,Tabela3[[#This Row],[Lucro]]/Tabela3[[#This Row],[Cotação]],0)</f>
        <v>2.22809085147334E-2</v>
      </c>
      <c r="AU156" s="19">
        <f>((1+Tabela3[[#This Row],[% Yield]])^(1/(3*Tabela3[[#This Row],[Ref]])))^(12)-1</f>
        <v>2.9817656555644501E-2</v>
      </c>
      <c r="AV156" s="14">
        <f>IF([Cotação]&gt;0,($BH$1/Tabela3[[#This Row],[Cotação]]-MOD($BH$1/Tabela3[[#This Row],[Cotação]],100)),)</f>
        <v>0</v>
      </c>
      <c r="AW156" s="17">
        <f>Tabela3[[#This Row],[Ativos]]*[Lucro]</f>
        <v>0</v>
      </c>
      <c r="AX156" s="5">
        <f>SUMPRODUCT(N(Tabela1[Código]=Tabela3[[#This Row],[PAPEL]]),Tabela1[Fechamento])</f>
        <v>9.5</v>
      </c>
      <c r="AY156" s="5">
        <f>SUMPRODUCT(N(Tabela17[Código]=Tabela3[[#This Row],[PAPEL]]),Tabela17[Fechamento])</f>
        <v>0</v>
      </c>
      <c r="AZ156" s="7">
        <f>SUMPRODUCT(N(Tabela176[Código]=Tabela3[[#This Row],[PAPEL]]),Tabela176[Fechamento])</f>
        <v>0</v>
      </c>
      <c r="BA156" s="7">
        <f>SUMPRODUCT(N(Tabela1768[Código]=Tabela3[[#This Row],[PAPEL]]),Tabela1768[Fechamento])</f>
        <v>0</v>
      </c>
      <c r="BB156" s="7">
        <f>SUMPRODUCT(N(Tabela17683[Código]=Tabela3[[#This Row],[PAPEL]]),Tabela17683[Fechamento])</f>
        <v>0</v>
      </c>
    </row>
    <row r="157" spans="1:54" hidden="1">
      <c r="A157" s="4" t="s">
        <v>12</v>
      </c>
      <c r="B157" s="57" t="s">
        <v>96</v>
      </c>
      <c r="C157" s="14" t="str">
        <f>LEFT([PAPEL],LEN([PAPEL])-(LEN([PAPEL])-4))</f>
        <v>CSRN</v>
      </c>
      <c r="D157" s="15">
        <v>3</v>
      </c>
      <c r="E157" s="6">
        <v>179787268.58000001</v>
      </c>
      <c r="F157" s="8">
        <v>20606128</v>
      </c>
      <c r="G157" s="86">
        <v>0.25</v>
      </c>
      <c r="H157" s="15"/>
      <c r="I157" s="19"/>
      <c r="J157" s="19">
        <v>0.1</v>
      </c>
      <c r="K157" s="88"/>
      <c r="L157" s="88"/>
      <c r="M157" s="55">
        <v>1674792000</v>
      </c>
      <c r="N157" s="55">
        <v>447172000</v>
      </c>
      <c r="O157" s="55">
        <v>502260000</v>
      </c>
      <c r="P157" s="89">
        <v>884793000</v>
      </c>
      <c r="Q157" s="89">
        <v>154604000</v>
      </c>
      <c r="R157" s="89">
        <f>IF(Tabela3[[#This Row],[Ativo || Passivo]]&gt;0,Tabela3[[#This Row],[Ativo || Passivo]]-Tabela3[[#This Row],[Patrimônio Líquido]],0)</f>
        <v>789999000</v>
      </c>
      <c r="S157" s="89">
        <f>Tabela3[[#This Row],[Cotação]]*Tabela3[[#This Row],[Total Ações]]</f>
        <v>1700909163.3599999</v>
      </c>
      <c r="T157" s="132">
        <f>IF(Tabela3[[#This Row],[Passivo Circulante]]&gt;0,Tabela3[[#This Row],[Ativo Circulante]]/Tabela3[[#This Row],[Passivo Circulante]],0)</f>
        <v>0.8903197547087166</v>
      </c>
      <c r="U157" s="132">
        <f>SUMPRODUCT(N([Liquidez Corrente]&gt;0),N(RIGHT([PAPEL],LEN([PAPEL])-(LEN([PAPEL])-1))="3"),[Liquidez Corrente])/SUMPRODUCT(N([Liquidez Corrente]&gt;0),N(RIGHT([PAPEL],LEN([PAPEL])-(LEN([PAPEL])-1))="3"))</f>
        <v>2.331224473064915</v>
      </c>
      <c r="V157" s="19">
        <f>IF(Tabela3[[#This Row],[Lucro Líquido]]&gt;0,Tabela3[[#This Row],[Lucro Líquido]]/Tabela3[[#This Row],[Patrimônio Líquido]],0)</f>
        <v>0.17473465545048389</v>
      </c>
      <c r="W157" s="19">
        <f>SUMPRODUCT(N([Rentabilidade s/ PL]&gt;0),N(RIGHT([PAPEL],LEN([PAPEL])-(LEN([PAPEL])-1))="3"),[Rentabilidade s/ PL])/SUMPRODUCT(N([Rentabilidade s/ PL]&gt;0),N(RIGHT([PAPEL],LEN([PAPEL])-(LEN([PAPEL])-1))="3"))</f>
        <v>0.1261051308670782</v>
      </c>
      <c r="X157" s="19">
        <f>IF(Tabela3[[#This Row],[Dívida]]&gt;0,Tabela3[[#This Row],[Dívida]]/Tabela3[[#This Row],[Patrimônio Líquido]],0)</f>
        <v>0.89286307644838958</v>
      </c>
      <c r="Y157" s="19">
        <f>SUMPRODUCT(N([Dívida / PL]&gt;0),N(RIGHT([PAPEL],LEN([PAPEL])-(LEN([PAPEL])-1))="3"),[Dívida / PL])/SUMPRODUCT(N([Dívida / PL]&gt;0),N(RIGHT([PAPEL],LEN([PAPEL])-(LEN([PAPEL])-1))="3"))</f>
        <v>2.1510410379481146</v>
      </c>
      <c r="Z157" s="6">
        <f>Tabela3[[#This Row],[Capital Social]]*20%</f>
        <v>35957453.716000006</v>
      </c>
      <c r="AA157" s="6">
        <f>IF(([Lucro Líquido]*5%)&gt;[Teto R. Legal],[Teto R. Legal],[Lucro Líquido]*5%)</f>
        <v>7730200</v>
      </c>
      <c r="AB157" s="89">
        <f>IF([Lucro Líquido]&lt;0,0,[Lucro Líquido]-[Reserva Legal])</f>
        <v>146873800</v>
      </c>
      <c r="AC157" s="89">
        <f>Tabela3[[#This Row],[Lucro Distribuir]]*[%Div]</f>
        <v>36718450</v>
      </c>
      <c r="AD157" s="56">
        <f>SUMPRODUCT(N([Nome]=Tabela3[[#This Row],[Nome]]),[Ações])</f>
        <v>168074028</v>
      </c>
      <c r="AE157" s="6">
        <f>[Capital Social]/[Total Ações]</f>
        <v>1.0696909612947458</v>
      </c>
      <c r="AF157" s="78">
        <f>Tabela3[[#This Row],[Lucro Líquido]]/Tabela3[[#This Row],[Total Ações]]</f>
        <v>0.91985657653186015</v>
      </c>
      <c r="AG157" s="78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0.2328354942979243</v>
      </c>
      <c r="AH157" s="78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157" s="78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157" s="78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0.2328354942979243</v>
      </c>
      <c r="AK157" s="6">
        <f>[Div Base]*[Ações]</f>
        <v>4797837.9984462978</v>
      </c>
      <c r="AL157" s="6">
        <f>SUMPRODUCT(N([Nome]=Tabela3[[#This Row],[Nome]]),[Div Base]*[Ações])</f>
        <v>36387278.892751291</v>
      </c>
      <c r="AM157" s="6">
        <f>[Patrimônio Líquido]/[Total Ações]</f>
        <v>5.2643053214622784</v>
      </c>
      <c r="AN157" s="48">
        <f>MAX(Tabela3[[#This Row],[Cotação 1]:[Cotação 5]])</f>
        <v>10.119999999999999</v>
      </c>
      <c r="AO157" s="44">
        <f>[Cotação]/[VPA]</f>
        <v>1.9223808996680578</v>
      </c>
      <c r="AP157" s="40">
        <f>IF(Tabela3[[#This Row],[Lucro/Ação]]&gt;0,Tabela3[[#This Row],[Cotação]]/(Tabela3[[#This Row],[Lucro/Ação]]/[Ref]*4),0)</f>
        <v>8.25128633489431</v>
      </c>
      <c r="AQ157" s="78">
        <f>[Lucro Distribuir]/[Total Ações]</f>
        <v>0.87386374770526709</v>
      </c>
      <c r="AR157" s="78">
        <f>IF([Unit ON]&gt;0,SUMPRODUCT(N([Nome]=Tabela3[[#This Row],[Nome]]),N(RIGHT([PAPEL],1)="3"),[Div Base])*[Unit ON]+SUMPRODUCT(N([Nome]=Tabela3[[#This Row],[Nome]]),N(RIGHT([PAPEL],1)="4"),[Div Base])*[Unit PN],[Div Base])</f>
        <v>0.2328354942979243</v>
      </c>
      <c r="AS157" s="15" t="str">
        <f>IF(AND([% A.A.]&gt;=6%,SUMPRODUCT(N([Nome]=Tabela3[[#This Row],[Nome]]),[PL])&gt;0,[Rentabilidade s/ PL]&gt;=[Rentabilidade s/ PL Média]),"Sim","Não")</f>
        <v>Não</v>
      </c>
      <c r="AT157" s="42">
        <f>IF([Cotação]&gt;0,Tabela3[[#This Row],[Lucro]]/Tabela3[[#This Row],[Cotação]],0)</f>
        <v>2.3007459910862088E-2</v>
      </c>
      <c r="AU157" s="19">
        <f>((1+Tabela3[[#This Row],[% Yield]])^(1/(3*Tabela3[[#This Row],[Ref]])))^(12)-1</f>
        <v>3.0793649310691951E-2</v>
      </c>
      <c r="AV157" s="14">
        <f>IF([Cotação]&gt;0,($BH$1/Tabela3[[#This Row],[Cotação]]-MOD($BH$1/Tabela3[[#This Row],[Cotação]],100)),)</f>
        <v>0</v>
      </c>
      <c r="AW157" s="17">
        <f>Tabela3[[#This Row],[Ativos]]*[Lucro]</f>
        <v>0</v>
      </c>
      <c r="AX157" s="5">
        <f>SUMPRODUCT(N(Tabela1[Código]=Tabela3[[#This Row],[PAPEL]]),Tabela1[Fechamento])</f>
        <v>10.119999999999999</v>
      </c>
      <c r="AY157" s="5">
        <f>SUMPRODUCT(N(Tabela17[Código]=Tabela3[[#This Row],[PAPEL]]),Tabela17[Fechamento])</f>
        <v>0</v>
      </c>
      <c r="AZ157" s="7">
        <f>SUMPRODUCT(N(Tabela176[Código]=Tabela3[[#This Row],[PAPEL]]),Tabela176[Fechamento])</f>
        <v>0</v>
      </c>
      <c r="BA157" s="7">
        <f>SUMPRODUCT(N(Tabela1768[Código]=Tabela3[[#This Row],[PAPEL]]),Tabela1768[Fechamento])</f>
        <v>0</v>
      </c>
      <c r="BB157" s="7">
        <f>SUMPRODUCT(N(Tabela17683[Código]=Tabela3[[#This Row],[PAPEL]]),Tabela17683[Fechamento])</f>
        <v>0</v>
      </c>
    </row>
    <row r="158" spans="1:54" hidden="1">
      <c r="A158" s="4" t="s">
        <v>12</v>
      </c>
      <c r="B158" s="57" t="s">
        <v>68</v>
      </c>
      <c r="C158" s="14" t="str">
        <f>LEFT([PAPEL],LEN([PAPEL])-(LEN([PAPEL])-4))</f>
        <v>CSRN</v>
      </c>
      <c r="D158" s="15">
        <v>3</v>
      </c>
      <c r="E158" s="6">
        <v>179787268.58000001</v>
      </c>
      <c r="F158" s="8">
        <v>17721681</v>
      </c>
      <c r="G158" s="81">
        <v>0.25</v>
      </c>
      <c r="H158" s="15"/>
      <c r="I158" s="19"/>
      <c r="J158" s="19">
        <v>0.1</v>
      </c>
      <c r="K158" s="88"/>
      <c r="L158" s="88"/>
      <c r="M158" s="55">
        <v>1674792000</v>
      </c>
      <c r="N158" s="55">
        <v>447172000</v>
      </c>
      <c r="O158" s="55">
        <v>502260000</v>
      </c>
      <c r="P158" s="89">
        <v>884793000</v>
      </c>
      <c r="Q158" s="89">
        <v>154604000</v>
      </c>
      <c r="R158" s="89">
        <f>IF(Tabela3[[#This Row],[Ativo || Passivo]]&gt;0,Tabela3[[#This Row],[Ativo || Passivo]]-Tabela3[[#This Row],[Patrimônio Líquido]],0)</f>
        <v>789999000</v>
      </c>
      <c r="S158" s="89">
        <f>Tabela3[[#This Row],[Cotação]]*Tabela3[[#This Row],[Total Ações]]</f>
        <v>1512666252</v>
      </c>
      <c r="T158" s="132">
        <f>IF(Tabela3[[#This Row],[Passivo Circulante]]&gt;0,Tabela3[[#This Row],[Ativo Circulante]]/Tabela3[[#This Row],[Passivo Circulante]],0)</f>
        <v>0.8903197547087166</v>
      </c>
      <c r="U158" s="132">
        <f>SUMPRODUCT(N([Liquidez Corrente]&gt;0),N(RIGHT([PAPEL],LEN([PAPEL])-(LEN([PAPEL])-1))="3"),[Liquidez Corrente])/SUMPRODUCT(N([Liquidez Corrente]&gt;0),N(RIGHT([PAPEL],LEN([PAPEL])-(LEN([PAPEL])-1))="3"))</f>
        <v>2.331224473064915</v>
      </c>
      <c r="V158" s="19">
        <f>IF(Tabela3[[#This Row],[Lucro Líquido]]&gt;0,Tabela3[[#This Row],[Lucro Líquido]]/Tabela3[[#This Row],[Patrimônio Líquido]],0)</f>
        <v>0.17473465545048389</v>
      </c>
      <c r="W158" s="19">
        <f>SUMPRODUCT(N([Rentabilidade s/ PL]&gt;0),N(RIGHT([PAPEL],LEN([PAPEL])-(LEN([PAPEL])-1))="3"),[Rentabilidade s/ PL])/SUMPRODUCT(N([Rentabilidade s/ PL]&gt;0),N(RIGHT([PAPEL],LEN([PAPEL])-(LEN([PAPEL])-1))="3"))</f>
        <v>0.1261051308670782</v>
      </c>
      <c r="X158" s="19">
        <f>IF(Tabela3[[#This Row],[Dívida]]&gt;0,Tabela3[[#This Row],[Dívida]]/Tabela3[[#This Row],[Patrimônio Líquido]],0)</f>
        <v>0.89286307644838958</v>
      </c>
      <c r="Y158" s="19">
        <f>SUMPRODUCT(N([Dívida / PL]&gt;0),N(RIGHT([PAPEL],LEN([PAPEL])-(LEN([PAPEL])-1))="3"),[Dívida / PL])/SUMPRODUCT(N([Dívida / PL]&gt;0),N(RIGHT([PAPEL],LEN([PAPEL])-(LEN([PAPEL])-1))="3"))</f>
        <v>2.1510410379481146</v>
      </c>
      <c r="Z158" s="6">
        <f>Tabela3[[#This Row],[Capital Social]]*20%</f>
        <v>35957453.716000006</v>
      </c>
      <c r="AA158" s="6">
        <f>IF(([Lucro Líquido]*5%)&gt;[Teto R. Legal],[Teto R. Legal],[Lucro Líquido]*5%)</f>
        <v>7730200</v>
      </c>
      <c r="AB158" s="89">
        <f>IF([Lucro Líquido]&lt;0,0,[Lucro Líquido]-[Reserva Legal])</f>
        <v>146873800</v>
      </c>
      <c r="AC158" s="89">
        <f>Tabela3[[#This Row],[Lucro Distribuir]]*[%Div]</f>
        <v>36718450</v>
      </c>
      <c r="AD158" s="56">
        <f>SUMPRODUCT(N([Nome]=Tabela3[[#This Row],[Nome]]),[Ações])</f>
        <v>168074028</v>
      </c>
      <c r="AE158" s="6">
        <f>[Capital Social]/[Total Ações]</f>
        <v>1.0696909612947458</v>
      </c>
      <c r="AF158" s="78">
        <f>Tabela3[[#This Row],[Lucro Líquido]]/Tabela3[[#This Row],[Total Ações]]</f>
        <v>0.91985657653186015</v>
      </c>
      <c r="AG158" s="78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0.2328354942979243</v>
      </c>
      <c r="AH158" s="78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158" s="78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158" s="78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0.2328354942979243</v>
      </c>
      <c r="AK158" s="6">
        <f>[Div Base]*[Ações]</f>
        <v>4126236.3554251334</v>
      </c>
      <c r="AL158" s="6">
        <f>SUMPRODUCT(N([Nome]=Tabela3[[#This Row],[Nome]]),[Div Base]*[Ações])</f>
        <v>36387278.892751291</v>
      </c>
      <c r="AM158" s="6">
        <f>[Patrimônio Líquido]/[Total Ações]</f>
        <v>5.2643053214622784</v>
      </c>
      <c r="AN158" s="48">
        <f>MAX(Tabela3[[#This Row],[Cotação 1]:[Cotação 5]])</f>
        <v>9</v>
      </c>
      <c r="AO158" s="44">
        <f>[Cotação]/[VPA]</f>
        <v>1.7096272823134904</v>
      </c>
      <c r="AP158" s="40">
        <f>IF(Tabela3[[#This Row],[Lucro/Ação]]&gt;0,Tabela3[[#This Row],[Cotação]]/(Tabela3[[#This Row],[Lucro/Ação]]/[Ref]*4),0)</f>
        <v>7.3381004954593667</v>
      </c>
      <c r="AQ158" s="78">
        <f>[Lucro Distribuir]/[Total Ações]</f>
        <v>0.87386374770526709</v>
      </c>
      <c r="AR158" s="78">
        <f>IF([Unit ON]&gt;0,SUMPRODUCT(N([Nome]=Tabela3[[#This Row],[Nome]]),N(RIGHT([PAPEL],1)="3"),[Div Base])*[Unit ON]+SUMPRODUCT(N([Nome]=Tabela3[[#This Row],[Nome]]),N(RIGHT([PAPEL],1)="4"),[Div Base])*[Unit PN],[Div Base])</f>
        <v>0.2328354942979243</v>
      </c>
      <c r="AS158" s="14" t="str">
        <f>IF(AND([% A.A.]&gt;=6%,SUMPRODUCT(N([Nome]=Tabela3[[#This Row],[Nome]]),[PL])&gt;0,[Rentabilidade s/ PL]&gt;=[Rentabilidade s/ PL Média]),"Sim","Não")</f>
        <v>Não</v>
      </c>
      <c r="AT158" s="42">
        <f>IF([Cotação]&gt;0,Tabela3[[#This Row],[Lucro]]/Tabela3[[#This Row],[Cotação]],0)</f>
        <v>2.5870610477547143E-2</v>
      </c>
      <c r="AU158" s="19">
        <f>((1+Tabela3[[#This Row],[% Yield]])^(1/(3*Tabela3[[#This Row],[Ref]])))^(12)-1</f>
        <v>3.4642032113114229E-2</v>
      </c>
      <c r="AV158" s="14">
        <f>IF([Cotação]&gt;0,($BH$1/Tabela3[[#This Row],[Cotação]]-MOD($BH$1/Tabela3[[#This Row],[Cotação]],100)),)</f>
        <v>0</v>
      </c>
      <c r="AW158" s="17">
        <f>Tabela3[[#This Row],[Ativos]]*[Lucro]</f>
        <v>0</v>
      </c>
      <c r="AX158" s="5">
        <f>SUMPRODUCT(N(Tabela1[Código]=Tabela3[[#This Row],[PAPEL]]),Tabela1[Fechamento])</f>
        <v>9</v>
      </c>
      <c r="AY158" s="5">
        <f>SUMPRODUCT(N(Tabela17[Código]=Tabela3[[#This Row],[PAPEL]]),Tabela17[Fechamento])</f>
        <v>0</v>
      </c>
      <c r="AZ158" s="7">
        <f>SUMPRODUCT(N(Tabela176[Código]=Tabela3[[#This Row],[PAPEL]]),Tabela176[Fechamento])</f>
        <v>0</v>
      </c>
      <c r="BA158" s="7">
        <f>SUMPRODUCT(N(Tabela1768[Código]=Tabela3[[#This Row],[PAPEL]]),Tabela1768[Fechamento])</f>
        <v>0</v>
      </c>
      <c r="BB158" s="7">
        <f>SUMPRODUCT(N(Tabela17683[Código]=Tabela3[[#This Row],[PAPEL]]),Tabela17683[Fechamento])</f>
        <v>0</v>
      </c>
    </row>
    <row r="159" spans="1:54" hidden="1">
      <c r="A159" s="3" t="s">
        <v>343</v>
      </c>
      <c r="B159" s="57" t="s">
        <v>356</v>
      </c>
      <c r="C159" s="82" t="str">
        <f>LEFT([PAPEL],LEN([PAPEL])-(LEN([PAPEL])-4))</f>
        <v>SSBR</v>
      </c>
      <c r="D159" s="16">
        <v>3</v>
      </c>
      <c r="E159" s="5">
        <v>997865823</v>
      </c>
      <c r="F159" s="56">
        <v>76423831</v>
      </c>
      <c r="G159" s="81">
        <v>0.25</v>
      </c>
      <c r="H159" s="16"/>
      <c r="J159" s="18"/>
      <c r="K159" s="87"/>
      <c r="L159" s="87"/>
      <c r="M159" s="54"/>
      <c r="N159" s="54"/>
      <c r="O159" s="54"/>
      <c r="P159" s="5">
        <v>2243051000</v>
      </c>
      <c r="Q159" s="5">
        <v>151349000</v>
      </c>
      <c r="R159" s="5">
        <f>IF(Tabela3[[#This Row],[Ativo || Passivo]]&gt;0,Tabela3[[#This Row],[Ativo || Passivo]]-Tabela3[[#This Row],[Patrimônio Líquido]],0)</f>
        <v>0</v>
      </c>
      <c r="S159" s="5">
        <f>Tabela3[[#This Row],[Cotação]]*Tabela3[[#This Row],[Total Ações]]</f>
        <v>1264814403.05</v>
      </c>
      <c r="T159" s="130">
        <f>IF(Tabela3[[#This Row],[Passivo Circulante]]&gt;0,Tabela3[[#This Row],[Ativo Circulante]]/Tabela3[[#This Row],[Passivo Circulante]],0)</f>
        <v>0</v>
      </c>
      <c r="U159" s="130">
        <f>SUMPRODUCT(N([Liquidez Corrente]&gt;0),N(RIGHT([PAPEL],LEN([PAPEL])-(LEN([PAPEL])-1))="3"),[Liquidez Corrente])/SUMPRODUCT(N([Liquidez Corrente]&gt;0),N(RIGHT([PAPEL],LEN([PAPEL])-(LEN([PAPEL])-1))="3"))</f>
        <v>2.331224473064915</v>
      </c>
      <c r="V159" s="18">
        <f>IF(Tabela3[[#This Row],[Lucro Líquido]]&gt;0,Tabela3[[#This Row],[Lucro Líquido]]/Tabela3[[#This Row],[Patrimônio Líquido]],0)</f>
        <v>6.7474613818410731E-2</v>
      </c>
      <c r="W159" s="18">
        <f>SUMPRODUCT(N([Rentabilidade s/ PL]&gt;0),N(RIGHT([PAPEL],LEN([PAPEL])-(LEN([PAPEL])-1))="3"),[Rentabilidade s/ PL])/SUMPRODUCT(N([Rentabilidade s/ PL]&gt;0),N(RIGHT([PAPEL],LEN([PAPEL])-(LEN([PAPEL])-1))="3"))</f>
        <v>0.1261051308670782</v>
      </c>
      <c r="X159" s="18">
        <f>IF(Tabela3[[#This Row],[Dívida]]&gt;0,Tabela3[[#This Row],[Dívida]]/Tabela3[[#This Row],[Patrimônio Líquido]],0)</f>
        <v>0</v>
      </c>
      <c r="Y159" s="18">
        <f>SUMPRODUCT(N([Dívida / PL]&gt;0),N(RIGHT([PAPEL],LEN([PAPEL])-(LEN([PAPEL])-1))="3"),[Dívida / PL])/SUMPRODUCT(N([Dívida / PL]&gt;0),N(RIGHT([PAPEL],LEN([PAPEL])-(LEN([PAPEL])-1))="3"))</f>
        <v>2.1510410379481146</v>
      </c>
      <c r="Z159" s="5">
        <f>Tabela3[[#This Row],[Capital Social]]*20%</f>
        <v>199573164.60000002</v>
      </c>
      <c r="AA159" s="5">
        <f>IF(([Lucro Líquido]*5%)&gt;[Teto R. Legal],[Teto R. Legal],[Lucro Líquido]*5%)</f>
        <v>7567450</v>
      </c>
      <c r="AB159" s="5">
        <f>IF([Lucro Líquido]&lt;0,0,[Lucro Líquido]-[Reserva Legal])</f>
        <v>143781550</v>
      </c>
      <c r="AC159" s="5">
        <f>Tabela3[[#This Row],[Lucro Distribuir]]*[%Div]</f>
        <v>35945387.5</v>
      </c>
      <c r="AD159" s="21">
        <f>SUMPRODUCT(N([Nome]=Tabela3[[#This Row],[Nome]]),[Ações])</f>
        <v>76423831</v>
      </c>
      <c r="AE159" s="5">
        <f>[Capital Social]/[Total Ações]</f>
        <v>13.056998189478358</v>
      </c>
      <c r="AF159" s="77">
        <f>Tabela3[[#This Row],[Lucro Líquido]]/Tabela3[[#This Row],[Total Ações]]</f>
        <v>1.9803901220288211</v>
      </c>
      <c r="AG159" s="77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0.47034265398184499</v>
      </c>
      <c r="AH159" s="77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159" s="77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159" s="77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0.47034265398184499</v>
      </c>
      <c r="AK159" s="5">
        <f>[Div Base]*[Ações]</f>
        <v>35945387.5</v>
      </c>
      <c r="AL159" s="5">
        <f>SUMPRODUCT(N([Nome]=Tabela3[[#This Row],[Nome]]),[Div Base]*[Ações])</f>
        <v>35945387.5</v>
      </c>
      <c r="AM159" s="5">
        <f>[Patrimônio Líquido]/[Total Ações]</f>
        <v>29.350151263681088</v>
      </c>
      <c r="AN159" s="52">
        <f>MAX(Tabela3[[#This Row],[Cotação 1]:[Cotação 5]])</f>
        <v>16.55</v>
      </c>
      <c r="AO159" s="53">
        <f>[Cotação]/[VPA]</f>
        <v>0.56388125060464522</v>
      </c>
      <c r="AP159" s="37">
        <f>IF(Tabela3[[#This Row],[Lucro/Ação]]&gt;0,Tabela3[[#This Row],[Cotação]]/(Tabela3[[#This Row],[Lucro/Ação]]/[Ref]*4),0)</f>
        <v>6.267704459808126</v>
      </c>
      <c r="AQ159" s="77">
        <f>[Lucro Distribuir]/[Total Ações]</f>
        <v>1.88137061592738</v>
      </c>
      <c r="AR159" s="77">
        <f>IF([Unit ON]&gt;0,SUMPRODUCT(N([Nome]=Tabela3[[#This Row],[Nome]]),N(RIGHT([PAPEL],1)="3"),[Div Base])*[Unit ON]+SUMPRODUCT(N([Nome]=Tabela3[[#This Row],[Nome]]),N(RIGHT([PAPEL],1)="4"),[Div Base])*[Unit PN],[Div Base])</f>
        <v>0.47034265398184499</v>
      </c>
      <c r="AS159" s="16" t="str">
        <f>IF(AND([% A.A.]&gt;=6%,SUMPRODUCT(N([Nome]=Tabela3[[#This Row],[Nome]]),[PL])&gt;0,[Rentabilidade s/ PL]&gt;=[Rentabilidade s/ PL Média]),"Sim","Não")</f>
        <v>Não</v>
      </c>
      <c r="AT159" s="22">
        <f>IF([Cotação]&gt;0,Tabela3[[#This Row],[Lucro]]/Tabela3[[#This Row],[Cotação]],0)</f>
        <v>2.8419495708872807E-2</v>
      </c>
      <c r="AU159" s="18">
        <f>((1+Tabela3[[#This Row],[% Yield]])^(1/(3*Tabela3[[#This Row],[Ref]])))^(12)-1</f>
        <v>3.8071022380089969E-2</v>
      </c>
      <c r="AV159" s="10">
        <f>IF([Cotação]&gt;0,($BH$1/Tabela3[[#This Row],[Cotação]]-MOD($BH$1/Tabela3[[#This Row],[Cotação]],100)),)</f>
        <v>0</v>
      </c>
      <c r="AW159" s="7">
        <f>Tabela3[[#This Row],[Ativos]]*[Lucro]</f>
        <v>0</v>
      </c>
      <c r="AX159" s="47">
        <f>SUMPRODUCT(N(Tabela1[Código]=Tabela3[[#This Row],[PAPEL]]),Tabela1[Fechamento])</f>
        <v>0</v>
      </c>
      <c r="AY159" s="54">
        <f>SUMPRODUCT(N(Tabela17[Código]=Tabela3[[#This Row],[PAPEL]]),Tabela17[Fechamento])</f>
        <v>16.55</v>
      </c>
      <c r="AZ159" s="7">
        <f>SUMPRODUCT(N(Tabela176[Código]=Tabela3[[#This Row],[PAPEL]]),Tabela176[Fechamento])</f>
        <v>0</v>
      </c>
      <c r="BA159" s="7">
        <f>SUMPRODUCT(N(Tabela1768[Código]=Tabela3[[#This Row],[PAPEL]]),Tabela1768[Fechamento])</f>
        <v>0</v>
      </c>
      <c r="BB159" s="7">
        <f>SUMPRODUCT(N(Tabela17683[Código]=Tabela3[[#This Row],[PAPEL]]),Tabela17683[Fechamento])</f>
        <v>0</v>
      </c>
    </row>
    <row r="160" spans="1:54" hidden="1">
      <c r="A160" s="4" t="s">
        <v>12</v>
      </c>
      <c r="B160" s="57" t="s">
        <v>469</v>
      </c>
      <c r="C160" s="14" t="str">
        <f>LEFT([PAPEL],LEN([PAPEL])-(LEN([PAPEL])-4))</f>
        <v>CLSC</v>
      </c>
      <c r="D160" s="15">
        <v>3</v>
      </c>
      <c r="E160" s="6">
        <v>1017700000</v>
      </c>
      <c r="F160" s="8">
        <v>15527137</v>
      </c>
      <c r="G160" s="86">
        <v>0.25</v>
      </c>
      <c r="H160" s="19"/>
      <c r="I160" s="19"/>
      <c r="J160" s="19"/>
      <c r="K160" s="88"/>
      <c r="L160" s="88"/>
      <c r="M160" s="13">
        <v>1938606000</v>
      </c>
      <c r="N160" s="13">
        <v>36406000</v>
      </c>
      <c r="O160" s="13">
        <v>3468000</v>
      </c>
      <c r="P160" s="89">
        <v>1927248000</v>
      </c>
      <c r="Q160" s="89">
        <v>149553000</v>
      </c>
      <c r="R160" s="89">
        <f>IF(Tabela3[[#This Row],[Ativo || Passivo]]&gt;0,Tabela3[[#This Row],[Ativo || Passivo]]-Tabela3[[#This Row],[Patrimônio Líquido]],0)</f>
        <v>11358000</v>
      </c>
      <c r="S160" s="89">
        <f>Tabela3[[#This Row],[Cotação]]*Tabela3[[#This Row],[Total Ações]]</f>
        <v>1542863640</v>
      </c>
      <c r="T160" s="132">
        <f>IF(Tabela3[[#This Row],[Passivo Circulante]]&gt;0,Tabela3[[#This Row],[Ativo Circulante]]/Tabela3[[#This Row],[Passivo Circulante]],0)</f>
        <v>10.497693194925029</v>
      </c>
      <c r="U160" s="132">
        <f>SUMPRODUCT(N([Liquidez Corrente]&gt;0),N(RIGHT([PAPEL],LEN([PAPEL])-(LEN([PAPEL])-1))="3"),[Liquidez Corrente])/SUMPRODUCT(N([Liquidez Corrente]&gt;0),N(RIGHT([PAPEL],LEN([PAPEL])-(LEN([PAPEL])-1))="3"))</f>
        <v>2.331224473064915</v>
      </c>
      <c r="V160" s="19">
        <f>IF(Tabela3[[#This Row],[Lucro Líquido]]&gt;0,Tabela3[[#This Row],[Lucro Líquido]]/Tabela3[[#This Row],[Patrimônio Líquido]],0)</f>
        <v>7.7599250330004241E-2</v>
      </c>
      <c r="W160" s="19">
        <f>SUMPRODUCT(N([Rentabilidade s/ PL]&gt;0),N(RIGHT([PAPEL],LEN([PAPEL])-(LEN([PAPEL])-1))="3"),[Rentabilidade s/ PL])/SUMPRODUCT(N([Rentabilidade s/ PL]&gt;0),N(RIGHT([PAPEL],LEN([PAPEL])-(LEN([PAPEL])-1))="3"))</f>
        <v>0.1261051308670782</v>
      </c>
      <c r="X160" s="19">
        <f>IF(Tabela3[[#This Row],[Dívida]]&gt;0,Tabela3[[#This Row],[Dívida]]/Tabela3[[#This Row],[Patrimônio Líquido]],0)</f>
        <v>5.8933774999377353E-3</v>
      </c>
      <c r="Y160" s="19">
        <f>SUMPRODUCT(N([Dívida / PL]&gt;0),N(RIGHT([PAPEL],LEN([PAPEL])-(LEN([PAPEL])-1))="3"),[Dívida / PL])/SUMPRODUCT(N([Dívida / PL]&gt;0),N(RIGHT([PAPEL],LEN([PAPEL])-(LEN([PAPEL])-1))="3"))</f>
        <v>2.1510410379481146</v>
      </c>
      <c r="Z160" s="6">
        <f>Tabela3[[#This Row],[Capital Social]]*20%</f>
        <v>203540000</v>
      </c>
      <c r="AA160" s="6">
        <f>IF(([Lucro Líquido]*5%)&gt;[Teto R. Legal],[Teto R. Legal],[Lucro Líquido]*5%)</f>
        <v>7477650</v>
      </c>
      <c r="AB160" s="89">
        <f>IF([Lucro Líquido]&lt;0,0,[Lucro Líquido]-[Reserva Legal])</f>
        <v>142075350</v>
      </c>
      <c r="AC160" s="89">
        <f>Tabela3[[#This Row],[Lucro Distribuir]]*[%Div]</f>
        <v>35518837.5</v>
      </c>
      <c r="AD160" s="56">
        <f>SUMPRODUCT(N([Nome]=Tabela3[[#This Row],[Nome]]),[Ações])</f>
        <v>38571591</v>
      </c>
      <c r="AE160" s="6">
        <f>[Capital Social]/[Total Ações]</f>
        <v>26.384703705895877</v>
      </c>
      <c r="AF160" s="78">
        <f>Tabela3[[#This Row],[Lucro Líquido]]/Tabela3[[#This Row],[Total Ações]]</f>
        <v>3.8772836723276467</v>
      </c>
      <c r="AG160" s="78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0.92085487217781603</v>
      </c>
      <c r="AH160" s="78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160" s="78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160" s="78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0.92085487217781603</v>
      </c>
      <c r="AK160" s="6">
        <f>[Div Base]*[Ações]</f>
        <v>14298239.757422438</v>
      </c>
      <c r="AL160" s="6">
        <f>SUMPRODUCT(N([Nome]=Tabela3[[#This Row],[Nome]]),[Div Base]*[Ações])</f>
        <v>35518837.5</v>
      </c>
      <c r="AM160" s="6">
        <f>[Patrimônio Líquido]/[Total Ações]</f>
        <v>49.965478478707297</v>
      </c>
      <c r="AN160" s="48">
        <f>MAX(Tabela3[[#This Row],[Cotação 1]:[Cotação 5]])</f>
        <v>40</v>
      </c>
      <c r="AO160" s="44">
        <f>[Cotação]/[VPA]</f>
        <v>0.80055272595950289</v>
      </c>
      <c r="AP160" s="40">
        <f>IF(Tabela3[[#This Row],[Lucro/Ação]]&gt;0,Tabela3[[#This Row],[Cotação]]/(Tabela3[[#This Row],[Lucro/Ação]]/[Ref]*4),0)</f>
        <v>7.7373755792260939</v>
      </c>
      <c r="AQ160" s="78">
        <f>[Lucro Distribuir]/[Total Ações]</f>
        <v>3.6834194887112641</v>
      </c>
      <c r="AR160" s="78">
        <f>IF([Unit ON]&gt;0,SUMPRODUCT(N([Nome]=Tabela3[[#This Row],[Nome]]),N(RIGHT([PAPEL],1)="3"),[Div Base])*[Unit ON]+SUMPRODUCT(N([Nome]=Tabela3[[#This Row],[Nome]]),N(RIGHT([PAPEL],1)="4"),[Div Base])*[Unit PN],[Div Base])</f>
        <v>0.92085487217781603</v>
      </c>
      <c r="AS160" s="15" t="str">
        <f>IF(AND([% A.A.]&gt;=6%,SUMPRODUCT(N([Nome]=Tabela3[[#This Row],[Nome]]),[PL])&gt;0,[Rentabilidade s/ PL]&gt;=[Rentabilidade s/ PL Média]),"Sim","Não")</f>
        <v>Não</v>
      </c>
      <c r="AT160" s="42">
        <f>IF([Cotação]&gt;0,Tabela3[[#This Row],[Lucro]]/Tabela3[[#This Row],[Cotação]],0)</f>
        <v>2.3021371804445401E-2</v>
      </c>
      <c r="AU160" s="19">
        <f>((1+Tabela3[[#This Row],[% Yield]])^(1/(3*Tabela3[[#This Row],[Ref]])))^(12)-1</f>
        <v>3.0812339723838456E-2</v>
      </c>
      <c r="AV160" s="14">
        <f>IF([Cotação]&gt;0,($BH$1/Tabela3[[#This Row],[Cotação]]-MOD($BH$1/Tabela3[[#This Row],[Cotação]],100)),)</f>
        <v>0</v>
      </c>
      <c r="AW160" s="17">
        <f>Tabela3[[#This Row],[Ativos]]*[Lucro]</f>
        <v>0</v>
      </c>
      <c r="AX160" s="5">
        <f>SUMPRODUCT(N(Tabela1[Código]=Tabela3[[#This Row],[PAPEL]]),Tabela1[Fechamento])</f>
        <v>0</v>
      </c>
      <c r="AY160" s="5">
        <f>SUMPRODUCT(N(Tabela17[Código]=Tabela3[[#This Row],[PAPEL]]),Tabela17[Fechamento])</f>
        <v>40</v>
      </c>
      <c r="AZ160" s="7">
        <f>SUMPRODUCT(N(Tabela176[Código]=Tabela3[[#This Row],[PAPEL]]),Tabela176[Fechamento])</f>
        <v>0</v>
      </c>
      <c r="BA160" s="7">
        <f>SUMPRODUCT(N(Tabela1768[Código]=Tabela3[[#This Row],[PAPEL]]),Tabela1768[Fechamento])</f>
        <v>0</v>
      </c>
      <c r="BB160" s="7">
        <f>SUMPRODUCT(N(Tabela17683[Código]=Tabela3[[#This Row],[PAPEL]]),Tabela17683[Fechamento])</f>
        <v>0</v>
      </c>
    </row>
    <row r="161" spans="1:54" hidden="1">
      <c r="A161" s="4" t="s">
        <v>12</v>
      </c>
      <c r="B161" s="57" t="s">
        <v>71</v>
      </c>
      <c r="C161" s="14" t="str">
        <f>LEFT([PAPEL],LEN([PAPEL])-(LEN([PAPEL])-4))</f>
        <v>CLSC</v>
      </c>
      <c r="D161" s="15">
        <v>3</v>
      </c>
      <c r="E161" s="6">
        <v>1017700000</v>
      </c>
      <c r="F161" s="8">
        <v>23044454</v>
      </c>
      <c r="G161" s="86">
        <v>0.25</v>
      </c>
      <c r="H161" s="15"/>
      <c r="I161" s="19"/>
      <c r="J161" s="19"/>
      <c r="K161" s="88"/>
      <c r="L161" s="88"/>
      <c r="M161" s="13">
        <v>1938606000</v>
      </c>
      <c r="N161" s="13">
        <v>36406000</v>
      </c>
      <c r="O161" s="13">
        <v>3468000</v>
      </c>
      <c r="P161" s="89">
        <v>1927248000</v>
      </c>
      <c r="Q161" s="89">
        <v>149553000</v>
      </c>
      <c r="R161" s="89">
        <f>IF(Tabela3[[#This Row],[Ativo || Passivo]]&gt;0,Tabela3[[#This Row],[Ativo || Passivo]]-Tabela3[[#This Row],[Patrimônio Líquido]],0)</f>
        <v>11358000</v>
      </c>
      <c r="S161" s="13">
        <f>Tabela3[[#This Row],[Cotação]]*Tabela3[[#This Row],[Total Ações]]</f>
        <v>605573978.69999993</v>
      </c>
      <c r="T161" s="132">
        <f>IF(Tabela3[[#This Row],[Passivo Circulante]]&gt;0,Tabela3[[#This Row],[Ativo Circulante]]/Tabela3[[#This Row],[Passivo Circulante]],0)</f>
        <v>10.497693194925029</v>
      </c>
      <c r="U161" s="132">
        <f>SUMPRODUCT(N([Liquidez Corrente]&gt;0),N(RIGHT([PAPEL],LEN([PAPEL])-(LEN([PAPEL])-1))="3"),[Liquidez Corrente])/SUMPRODUCT(N([Liquidez Corrente]&gt;0),N(RIGHT([PAPEL],LEN([PAPEL])-(LEN([PAPEL])-1))="3"))</f>
        <v>2.331224473064915</v>
      </c>
      <c r="V161" s="19">
        <f>IF(Tabela3[[#This Row],[Lucro Líquido]]&gt;0,Tabela3[[#This Row],[Lucro Líquido]]/Tabela3[[#This Row],[Patrimônio Líquido]],0)</f>
        <v>7.7599250330004241E-2</v>
      </c>
      <c r="W161" s="19">
        <f>SUMPRODUCT(N([Rentabilidade s/ PL]&gt;0),N(RIGHT([PAPEL],LEN([PAPEL])-(LEN([PAPEL])-1))="3"),[Rentabilidade s/ PL])/SUMPRODUCT(N([Rentabilidade s/ PL]&gt;0),N(RIGHT([PAPEL],LEN([PAPEL])-(LEN([PAPEL])-1))="3"))</f>
        <v>0.1261051308670782</v>
      </c>
      <c r="X161" s="19">
        <f>IF(Tabela3[[#This Row],[Dívida]]&gt;0,Tabela3[[#This Row],[Dívida]]/Tabela3[[#This Row],[Patrimônio Líquido]],0)</f>
        <v>5.8933774999377353E-3</v>
      </c>
      <c r="Y161" s="19">
        <f>SUMPRODUCT(N([Dívida / PL]&gt;0),N(RIGHT([PAPEL],LEN([PAPEL])-(LEN([PAPEL])-1))="3"),[Dívida / PL])/SUMPRODUCT(N([Dívida / PL]&gt;0),N(RIGHT([PAPEL],LEN([PAPEL])-(LEN([PAPEL])-1))="3"))</f>
        <v>2.1510410379481146</v>
      </c>
      <c r="Z161" s="6">
        <f>Tabela3[[#This Row],[Capital Social]]*20%</f>
        <v>203540000</v>
      </c>
      <c r="AA161" s="6">
        <f>IF(([Lucro Líquido]*5%)&gt;[Teto R. Legal],[Teto R. Legal],[Lucro Líquido]*5%)</f>
        <v>7477650</v>
      </c>
      <c r="AB161" s="89">
        <f>IF([Lucro Líquido]&lt;0,0,[Lucro Líquido]-[Reserva Legal])</f>
        <v>142075350</v>
      </c>
      <c r="AC161" s="89">
        <f>Tabela3[[#This Row],[Lucro Distribuir]]*[%Div]</f>
        <v>35518837.5</v>
      </c>
      <c r="AD161" s="56">
        <f>SUMPRODUCT(N([Nome]=Tabela3[[#This Row],[Nome]]),[Ações])</f>
        <v>38571591</v>
      </c>
      <c r="AE161" s="6">
        <f>[Capital Social]/[Total Ações]</f>
        <v>26.384703705895877</v>
      </c>
      <c r="AF161" s="78">
        <f>Tabela3[[#This Row],[Lucro Líquido]]/Tabela3[[#This Row],[Total Ações]]</f>
        <v>3.8772836723276467</v>
      </c>
      <c r="AG161" s="78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0.92085487217781603</v>
      </c>
      <c r="AH161" s="78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161" s="78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161" s="78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0.92085487217781603</v>
      </c>
      <c r="AK161" s="6">
        <f>[Div Base]*[Ações]</f>
        <v>21220597.74257756</v>
      </c>
      <c r="AL161" s="6">
        <f>SUMPRODUCT(N([Nome]=Tabela3[[#This Row],[Nome]]),[Div Base]*[Ações])</f>
        <v>35518837.5</v>
      </c>
      <c r="AM161" s="6">
        <f>[Patrimônio Líquido]/[Total Ações]</f>
        <v>49.965478478707297</v>
      </c>
      <c r="AN161" s="48">
        <f>MAX(Tabela3[[#This Row],[Cotação 1]:[Cotação 5]])</f>
        <v>15.7</v>
      </c>
      <c r="AO161" s="44">
        <f>[Cotação]/[VPA]</f>
        <v>0.31421694493910485</v>
      </c>
      <c r="AP161" s="40">
        <f>IF(Tabela3[[#This Row],[Lucro/Ação]]&gt;0,Tabela3[[#This Row],[Cotação]]/(Tabela3[[#This Row],[Lucro/Ação]]/[Ref]*4),0)</f>
        <v>3.0369199148462416</v>
      </c>
      <c r="AQ161" s="78">
        <f>[Lucro Distribuir]/[Total Ações]</f>
        <v>3.6834194887112641</v>
      </c>
      <c r="AR161" s="78">
        <f>IF([Unit ON]&gt;0,SUMPRODUCT(N([Nome]=Tabela3[[#This Row],[Nome]]),N(RIGHT([PAPEL],1)="3"),[Div Base])*[Unit ON]+SUMPRODUCT(N([Nome]=Tabela3[[#This Row],[Nome]]),N(RIGHT([PAPEL],1)="4"),[Div Base])*[Unit PN],[Div Base])</f>
        <v>0.92085487217781603</v>
      </c>
      <c r="AS161" s="14" t="str">
        <f>IF(AND([% A.A.]&gt;=6%,SUMPRODUCT(N([Nome]=Tabela3[[#This Row],[Nome]]),[PL])&gt;0,[Rentabilidade s/ PL]&gt;=[Rentabilidade s/ PL Média]),"Sim","Não")</f>
        <v>Não</v>
      </c>
      <c r="AT161" s="42">
        <f>IF([Cotação]&gt;0,Tabela3[[#This Row],[Lucro]]/Tabela3[[#This Row],[Cotação]],0)</f>
        <v>5.8653176571835421E-2</v>
      </c>
      <c r="AU161" s="19">
        <f>((1+Tabela3[[#This Row],[% Yield]])^(1/(3*Tabela3[[#This Row],[Ref]])))^(12)-1</f>
        <v>7.8958995032442747E-2</v>
      </c>
      <c r="AV161" s="14">
        <f>IF([Cotação]&gt;0,($BH$1/Tabela3[[#This Row],[Cotação]]-MOD($BH$1/Tabela3[[#This Row],[Cotação]],100)),)</f>
        <v>0</v>
      </c>
      <c r="AW161" s="17">
        <f>Tabela3[[#This Row],[Ativos]]*[Lucro]</f>
        <v>0</v>
      </c>
      <c r="AX161" s="5">
        <f>SUMPRODUCT(N(Tabela1[Código]=Tabela3[[#This Row],[PAPEL]]),Tabela1[Fechamento])</f>
        <v>15.7</v>
      </c>
      <c r="AY161" s="5">
        <f>SUMPRODUCT(N(Tabela17[Código]=Tabela3[[#This Row],[PAPEL]]),Tabela17[Fechamento])</f>
        <v>0</v>
      </c>
      <c r="AZ161" s="7">
        <f>SUMPRODUCT(N(Tabela176[Código]=Tabela3[[#This Row],[PAPEL]]),Tabela176[Fechamento])</f>
        <v>0</v>
      </c>
      <c r="BA161" s="7">
        <f>SUMPRODUCT(N(Tabela1768[Código]=Tabela3[[#This Row],[PAPEL]]),Tabela1768[Fechamento])</f>
        <v>0</v>
      </c>
      <c r="BB161" s="7">
        <f>SUMPRODUCT(N(Tabela17683[Código]=Tabela3[[#This Row],[PAPEL]]),Tabela17683[Fechamento])</f>
        <v>0</v>
      </c>
    </row>
    <row r="162" spans="1:54" hidden="1">
      <c r="A162" s="4" t="s">
        <v>14</v>
      </c>
      <c r="B162" s="57" t="s">
        <v>216</v>
      </c>
      <c r="C162" s="15" t="str">
        <f>LEFT([PAPEL],LEN([PAPEL])-(LEN([PAPEL])-4))</f>
        <v>BSLI</v>
      </c>
      <c r="D162" s="16">
        <v>3</v>
      </c>
      <c r="E162" s="5">
        <v>500000000</v>
      </c>
      <c r="F162" s="56">
        <v>28014650</v>
      </c>
      <c r="G162" s="86">
        <v>0.25</v>
      </c>
      <c r="H162" s="16"/>
      <c r="J162" s="18"/>
      <c r="K162" s="87"/>
      <c r="L162" s="87"/>
      <c r="M162" s="54"/>
      <c r="N162" s="54"/>
      <c r="O162" s="54"/>
      <c r="P162" s="5">
        <v>1002748000</v>
      </c>
      <c r="Q162" s="6">
        <v>143437000</v>
      </c>
      <c r="R162" s="5">
        <f>IF(Tabela3[[#This Row],[Ativo || Passivo]]&gt;0,Tabela3[[#This Row],[Ativo || Passivo]]-Tabela3[[#This Row],[Patrimônio Líquido]],0)</f>
        <v>0</v>
      </c>
      <c r="S162" s="5">
        <f>Tabela3[[#This Row],[Cotação]]*Tabela3[[#This Row],[Total Ações]]</f>
        <v>971149387.5</v>
      </c>
      <c r="T162" s="130">
        <f>IF(Tabela3[[#This Row],[Passivo Circulante]]&gt;0,Tabela3[[#This Row],[Ativo Circulante]]/Tabela3[[#This Row],[Passivo Circulante]],0)</f>
        <v>0</v>
      </c>
      <c r="U162" s="130">
        <f>SUMPRODUCT(N([Liquidez Corrente]&gt;0),N(RIGHT([PAPEL],LEN([PAPEL])-(LEN([PAPEL])-1))="3"),[Liquidez Corrente])/SUMPRODUCT(N([Liquidez Corrente]&gt;0),N(RIGHT([PAPEL],LEN([PAPEL])-(LEN([PAPEL])-1))="3"))</f>
        <v>2.331224473064915</v>
      </c>
      <c r="V162" s="18">
        <f>IF(Tabela3[[#This Row],[Lucro Líquido]]&gt;0,Tabela3[[#This Row],[Lucro Líquido]]/Tabela3[[#This Row],[Patrimônio Líquido]],0)</f>
        <v>0.14304391532069871</v>
      </c>
      <c r="W162" s="18">
        <f>SUMPRODUCT(N([Rentabilidade s/ PL]&gt;0),N(RIGHT([PAPEL],LEN([PAPEL])-(LEN([PAPEL])-1))="3"),[Rentabilidade s/ PL])/SUMPRODUCT(N([Rentabilidade s/ PL]&gt;0),N(RIGHT([PAPEL],LEN([PAPEL])-(LEN([PAPEL])-1))="3"))</f>
        <v>0.1261051308670782</v>
      </c>
      <c r="X162" s="18">
        <f>IF(Tabela3[[#This Row],[Dívida]]&gt;0,Tabela3[[#This Row],[Dívida]]/Tabela3[[#This Row],[Patrimônio Líquido]],0)</f>
        <v>0</v>
      </c>
      <c r="Y162" s="18">
        <f>SUMPRODUCT(N([Dívida / PL]&gt;0),N(RIGHT([PAPEL],LEN([PAPEL])-(LEN([PAPEL])-1))="3"),[Dívida / PL])/SUMPRODUCT(N([Dívida / PL]&gt;0),N(RIGHT([PAPEL],LEN([PAPEL])-(LEN([PAPEL])-1))="3"))</f>
        <v>2.1510410379481146</v>
      </c>
      <c r="Z162" s="5">
        <f>Tabela3[[#This Row],[Capital Social]]*20%</f>
        <v>100000000</v>
      </c>
      <c r="AA162" s="5">
        <f>IF(([Lucro Líquido]*5%)&gt;[Teto R. Legal],[Teto R. Legal],[Lucro Líquido]*5%)</f>
        <v>7171850</v>
      </c>
      <c r="AB162" s="5">
        <f>IF([Lucro Líquido]&lt;0,0,[Lucro Líquido]-[Reserva Legal])</f>
        <v>136265150</v>
      </c>
      <c r="AC162" s="5">
        <f>Tabela3[[#This Row],[Lucro Distribuir]]*[%Div]</f>
        <v>34066287.5</v>
      </c>
      <c r="AD162" s="21">
        <f>SUMPRODUCT(N([Nome]=Tabela3[[#This Row],[Nome]]),[Ações])</f>
        <v>36304650</v>
      </c>
      <c r="AE162" s="5">
        <f>[Capital Social]/[Total Ações]</f>
        <v>13.772340457765052</v>
      </c>
      <c r="AF162" s="77">
        <f>Tabela3[[#This Row],[Lucro Líquido]]/Tabela3[[#This Row],[Total Ações]]</f>
        <v>3.9509263964808916</v>
      </c>
      <c r="AG162" s="77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0.90914953746724325</v>
      </c>
      <c r="AH162" s="77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162" s="77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162" s="77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0.90914953746724325</v>
      </c>
      <c r="AK162" s="5">
        <f>[Div Base]*[Ações]</f>
        <v>25469506.089806706</v>
      </c>
      <c r="AL162" s="5">
        <f>SUMPRODUCT(N([Nome]=Tabela3[[#This Row],[Nome]]),[Div Base]*[Ações])</f>
        <v>33760040.733327664</v>
      </c>
      <c r="AM162" s="5">
        <f>[Patrimônio Líquido]/[Total Ações]</f>
        <v>27.620373698685981</v>
      </c>
      <c r="AN162" s="52">
        <f>MAX(Tabela3[[#This Row],[Cotação 1]:[Cotação 5]])</f>
        <v>26.75</v>
      </c>
      <c r="AO162" s="53">
        <f>[Cotação]/[VPA]</f>
        <v>0.96848798252402402</v>
      </c>
      <c r="AP162" s="37">
        <f>IF(Tabela3[[#This Row],[Lucro/Ação]]&gt;0,Tabela3[[#This Row],[Cotação]]/(Tabela3[[#This Row],[Lucro/Ação]]/[Ref]*4),0)</f>
        <v>5.077922994938544</v>
      </c>
      <c r="AQ162" s="77">
        <f>[Lucro Distribuir]/[Total Ações]</f>
        <v>3.753380076656847</v>
      </c>
      <c r="AR162" s="77">
        <f>IF([Unit ON]&gt;0,SUMPRODUCT(N([Nome]=Tabela3[[#This Row],[Nome]]),N(RIGHT([PAPEL],1)="3"),[Div Base])*[Unit ON]+SUMPRODUCT(N([Nome]=Tabela3[[#This Row],[Nome]]),N(RIGHT([PAPEL],1)="4"),[Div Base])*[Unit PN],[Div Base])</f>
        <v>0.90914953746724325</v>
      </c>
      <c r="AS162" s="16" t="str">
        <f>IF(AND([% A.A.]&gt;=6%,SUMPRODUCT(N([Nome]=Tabela3[[#This Row],[Nome]]),[PL])&gt;0,[Rentabilidade s/ PL]&gt;=[Rentabilidade s/ PL Média]),"Sim","Não")</f>
        <v>Não</v>
      </c>
      <c r="AT162" s="22">
        <f>IF([Cotação]&gt;0,Tabela3[[#This Row],[Lucro]]/Tabela3[[#This Row],[Cotação]],0)</f>
        <v>3.398689859690629E-2</v>
      </c>
      <c r="AU162" s="18">
        <f>((1+Tabela3[[#This Row],[% Yield]])^(1/(3*Tabela3[[#This Row],[Ref]])))^(12)-1</f>
        <v>4.5570644017481232E-2</v>
      </c>
      <c r="AV162" s="10">
        <f>IF([Cotação]&gt;0,($BH$1/Tabela3[[#This Row],[Cotação]]-MOD($BH$1/Tabela3[[#This Row],[Cotação]],100)),)</f>
        <v>0</v>
      </c>
      <c r="AW162" s="7">
        <f>Tabela3[[#This Row],[Ativos]]*[Lucro]</f>
        <v>0</v>
      </c>
      <c r="AX162" s="5">
        <f>SUMPRODUCT(N(Tabela1[Código]=Tabela3[[#This Row],[PAPEL]]),Tabela1[Fechamento])</f>
        <v>26.75</v>
      </c>
      <c r="AY162" s="5">
        <f>SUMPRODUCT(N(Tabela17[Código]=Tabela3[[#This Row],[PAPEL]]),Tabela17[Fechamento])</f>
        <v>0</v>
      </c>
      <c r="AZ162" s="7">
        <f>SUMPRODUCT(N(Tabela176[Código]=Tabela3[[#This Row],[PAPEL]]),Tabela176[Fechamento])</f>
        <v>0</v>
      </c>
      <c r="BA162" s="7">
        <f>SUMPRODUCT(N(Tabela1768[Código]=Tabela3[[#This Row],[PAPEL]]),Tabela1768[Fechamento])</f>
        <v>0</v>
      </c>
      <c r="BB162" s="7">
        <f>SUMPRODUCT(N(Tabela17683[Código]=Tabela3[[#This Row],[PAPEL]]),Tabela17683[Fechamento])</f>
        <v>0</v>
      </c>
    </row>
    <row r="163" spans="1:54" hidden="1">
      <c r="A163" s="4" t="s">
        <v>14</v>
      </c>
      <c r="B163" s="57" t="s">
        <v>217</v>
      </c>
      <c r="C163" s="14" t="str">
        <f>LEFT([PAPEL],LEN([PAPEL])-(LEN([PAPEL])-4))</f>
        <v>BSLI</v>
      </c>
      <c r="D163" s="15">
        <v>3</v>
      </c>
      <c r="E163" s="5">
        <v>500000000</v>
      </c>
      <c r="F163" s="8">
        <v>8290000</v>
      </c>
      <c r="G163" s="81">
        <v>0.25</v>
      </c>
      <c r="H163" s="15"/>
      <c r="I163" s="19"/>
      <c r="J163" s="19">
        <v>0.1</v>
      </c>
      <c r="K163" s="88"/>
      <c r="L163" s="88"/>
      <c r="M163" s="55"/>
      <c r="N163" s="55"/>
      <c r="O163" s="55"/>
      <c r="P163" s="5">
        <v>1002748000</v>
      </c>
      <c r="Q163" s="6">
        <v>143437000</v>
      </c>
      <c r="R163" s="5">
        <f>IF(Tabela3[[#This Row],[Ativo || Passivo]]&gt;0,Tabela3[[#This Row],[Ativo || Passivo]]-Tabela3[[#This Row],[Patrimônio Líquido]],0)</f>
        <v>0</v>
      </c>
      <c r="S163" s="5">
        <f>Tabela3[[#This Row],[Cotação]]*Tabela3[[#This Row],[Total Ações]]</f>
        <v>1016530200</v>
      </c>
      <c r="T163" s="130">
        <f>IF(Tabela3[[#This Row],[Passivo Circulante]]&gt;0,Tabela3[[#This Row],[Ativo Circulante]]/Tabela3[[#This Row],[Passivo Circulante]],0)</f>
        <v>0</v>
      </c>
      <c r="U163" s="130">
        <f>SUMPRODUCT(N([Liquidez Corrente]&gt;0),N(RIGHT([PAPEL],LEN([PAPEL])-(LEN([PAPEL])-1))="3"),[Liquidez Corrente])/SUMPRODUCT(N([Liquidez Corrente]&gt;0),N(RIGHT([PAPEL],LEN([PAPEL])-(LEN([PAPEL])-1))="3"))</f>
        <v>2.331224473064915</v>
      </c>
      <c r="V163" s="18">
        <f>IF(Tabela3[[#This Row],[Lucro Líquido]]&gt;0,Tabela3[[#This Row],[Lucro Líquido]]/Tabela3[[#This Row],[Patrimônio Líquido]],0)</f>
        <v>0.14304391532069871</v>
      </c>
      <c r="W163" s="18">
        <f>SUMPRODUCT(N([Rentabilidade s/ PL]&gt;0),N(RIGHT([PAPEL],LEN([PAPEL])-(LEN([PAPEL])-1))="3"),[Rentabilidade s/ PL])/SUMPRODUCT(N([Rentabilidade s/ PL]&gt;0),N(RIGHT([PAPEL],LEN([PAPEL])-(LEN([PAPEL])-1))="3"))</f>
        <v>0.1261051308670782</v>
      </c>
      <c r="X163" s="18">
        <f>IF(Tabela3[[#This Row],[Dívida]]&gt;0,Tabela3[[#This Row],[Dívida]]/Tabela3[[#This Row],[Patrimônio Líquido]],0)</f>
        <v>0</v>
      </c>
      <c r="Y163" s="18">
        <f>SUMPRODUCT(N([Dívida / PL]&gt;0),N(RIGHT([PAPEL],LEN([PAPEL])-(LEN([PAPEL])-1))="3"),[Dívida / PL])/SUMPRODUCT(N([Dívida / PL]&gt;0),N(RIGHT([PAPEL],LEN([PAPEL])-(LEN([PAPEL])-1))="3"))</f>
        <v>2.1510410379481146</v>
      </c>
      <c r="Z163" s="5">
        <f>Tabela3[[#This Row],[Capital Social]]*20%</f>
        <v>100000000</v>
      </c>
      <c r="AA163" s="5">
        <f>IF(([Lucro Líquido]*5%)&gt;[Teto R. Legal],[Teto R. Legal],[Lucro Líquido]*5%)</f>
        <v>7171850</v>
      </c>
      <c r="AB163" s="5">
        <f>IF([Lucro Líquido]&lt;0,0,[Lucro Líquido]-[Reserva Legal])</f>
        <v>136265150</v>
      </c>
      <c r="AC163" s="5">
        <f>Tabela3[[#This Row],[Lucro Distribuir]]*[%Div]</f>
        <v>34066287.5</v>
      </c>
      <c r="AD163" s="21">
        <f>SUMPRODUCT(N([Nome]=Tabela3[[#This Row],[Nome]]),[Ações])</f>
        <v>36304650</v>
      </c>
      <c r="AE163" s="5">
        <f>[Capital Social]/[Total Ações]</f>
        <v>13.772340457765052</v>
      </c>
      <c r="AF163" s="78">
        <f>Tabela3[[#This Row],[Lucro Líquido]]/Tabela3[[#This Row],[Total Ações]]</f>
        <v>3.9509263964808916</v>
      </c>
      <c r="AG163" s="78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1.0000644925839512</v>
      </c>
      <c r="AH163" s="77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163" s="77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163" s="77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1.0000644925839512</v>
      </c>
      <c r="AK163" s="5">
        <f>[Div Base]*[Ações]</f>
        <v>8290534.6435209559</v>
      </c>
      <c r="AL163" s="5">
        <f>SUMPRODUCT(N([Nome]=Tabela3[[#This Row],[Nome]]),[Div Base]*[Ações])</f>
        <v>33760040.733327664</v>
      </c>
      <c r="AM163" s="6">
        <f>[Patrimônio Líquido]/[Total Ações]</f>
        <v>27.620373698685981</v>
      </c>
      <c r="AN163" s="48">
        <f>MAX(Tabela3[[#This Row],[Cotação 1]:[Cotação 5]])</f>
        <v>28</v>
      </c>
      <c r="AO163" s="44">
        <f>[Cotação]/[VPA]</f>
        <v>1.0137444303055205</v>
      </c>
      <c r="AP163" s="40">
        <f>IF(Tabela3[[#This Row],[Lucro/Ação]]&gt;0,Tabela3[[#This Row],[Cotação]]/(Tabela3[[#This Row],[Lucro/Ação]]/[Ref]*4),0)</f>
        <v>5.3152091161973551</v>
      </c>
      <c r="AQ163" s="78">
        <f>[Lucro Distribuir]/[Total Ações]</f>
        <v>3.753380076656847</v>
      </c>
      <c r="AR163" s="78">
        <f>IF([Unit ON]&gt;0,SUMPRODUCT(N([Nome]=Tabela3[[#This Row],[Nome]]),N(RIGHT([PAPEL],1)="3"),[Div Base])*[Unit ON]+SUMPRODUCT(N([Nome]=Tabela3[[#This Row],[Nome]]),N(RIGHT([PAPEL],1)="4"),[Div Base])*[Unit PN],[Div Base])</f>
        <v>1.0000644925839512</v>
      </c>
      <c r="AS163" s="15" t="str">
        <f>IF(AND([% A.A.]&gt;=6%,SUMPRODUCT(N([Nome]=Tabela3[[#This Row],[Nome]]),[PL])&gt;0,[Rentabilidade s/ PL]&gt;=[Rentabilidade s/ PL Média]),"Sim","Não")</f>
        <v>Não</v>
      </c>
      <c r="AT163" s="42">
        <f>IF([Cotação]&gt;0,Tabela3[[#This Row],[Lucro]]/Tabela3[[#This Row],[Cotação]],0)</f>
        <v>3.5716589020855401E-2</v>
      </c>
      <c r="AU163" s="19">
        <f>((1+Tabela3[[#This Row],[% Yield]])^(1/(3*Tabela3[[#This Row],[Ref]])))^(12)-1</f>
        <v>4.7903384815986216E-2</v>
      </c>
      <c r="AV163" s="14">
        <f>IF([Cotação]&gt;0,($BH$1/Tabela3[[#This Row],[Cotação]]-MOD($BH$1/Tabela3[[#This Row],[Cotação]],100)),)</f>
        <v>0</v>
      </c>
      <c r="AW163" s="17">
        <f>Tabela3[[#This Row],[Ativos]]*[Lucro]</f>
        <v>0</v>
      </c>
      <c r="AX163" s="5">
        <f>SUMPRODUCT(N(Tabela1[Código]=Tabela3[[#This Row],[PAPEL]]),Tabela1[Fechamento])</f>
        <v>28</v>
      </c>
      <c r="AY163" s="5">
        <f>SUMPRODUCT(N(Tabela17[Código]=Tabela3[[#This Row],[PAPEL]]),Tabela17[Fechamento])</f>
        <v>0</v>
      </c>
      <c r="AZ163" s="7">
        <f>SUMPRODUCT(N(Tabela176[Código]=Tabela3[[#This Row],[PAPEL]]),Tabela176[Fechamento])</f>
        <v>0</v>
      </c>
      <c r="BA163" s="7">
        <f>SUMPRODUCT(N(Tabela1768[Código]=Tabela3[[#This Row],[PAPEL]]),Tabela1768[Fechamento])</f>
        <v>0</v>
      </c>
      <c r="BB163" s="7">
        <f>SUMPRODUCT(N(Tabela17683[Código]=Tabela3[[#This Row],[PAPEL]]),Tabela17683[Fechamento])</f>
        <v>0</v>
      </c>
    </row>
    <row r="164" spans="1:54" hidden="1">
      <c r="A164" s="4" t="s">
        <v>753</v>
      </c>
      <c r="B164" s="57" t="s">
        <v>759</v>
      </c>
      <c r="C164" s="15" t="str">
        <f>LEFT([PAPEL],LEN([PAPEL])-(LEN([PAPEL])-4))</f>
        <v>ODPV</v>
      </c>
      <c r="D164" s="15">
        <v>3</v>
      </c>
      <c r="E164" s="6">
        <v>506557472.69999999</v>
      </c>
      <c r="F164" s="8">
        <v>531294792</v>
      </c>
      <c r="G164" s="86">
        <v>0.5</v>
      </c>
      <c r="H164" s="15"/>
      <c r="I164" s="19"/>
      <c r="J164" s="19"/>
      <c r="K164" s="88"/>
      <c r="L164" s="88"/>
      <c r="M164" s="55"/>
      <c r="N164" s="55"/>
      <c r="O164" s="55"/>
      <c r="P164" s="92">
        <v>696873000</v>
      </c>
      <c r="Q164" s="93">
        <v>140959000</v>
      </c>
      <c r="R164" s="93">
        <f>IF(Tabela3[[#This Row],[Ativo || Passivo]]&gt;0,Tabela3[[#This Row],[Ativo || Passivo]]-Tabela3[[#This Row],[Patrimônio Líquido]],0)</f>
        <v>0</v>
      </c>
      <c r="S164" s="93">
        <f>Tabela3[[#This Row],[Cotação]]*Tabela3[[#This Row],[Total Ações]]</f>
        <v>4563822263.2799997</v>
      </c>
      <c r="T164" s="40">
        <f>IF(Tabela3[[#This Row],[Passivo Circulante]]&gt;0,Tabela3[[#This Row],[Ativo Circulante]]/Tabela3[[#This Row],[Passivo Circulante]],0)</f>
        <v>0</v>
      </c>
      <c r="U164" s="40">
        <f>SUMPRODUCT(N([Liquidez Corrente]&gt;0),N(RIGHT([PAPEL],LEN([PAPEL])-(LEN([PAPEL])-1))="3"),[Liquidez Corrente])/SUMPRODUCT(N([Liquidez Corrente]&gt;0),N(RIGHT([PAPEL],LEN([PAPEL])-(LEN([PAPEL])-1))="3"))</f>
        <v>2.331224473064915</v>
      </c>
      <c r="V164" s="19">
        <f>IF(Tabela3[[#This Row],[Lucro Líquido]]&gt;0,Tabela3[[#This Row],[Lucro Líquido]]/Tabela3[[#This Row],[Patrimônio Líquido]],0)</f>
        <v>0.20227358500042331</v>
      </c>
      <c r="W164" s="19">
        <f>SUMPRODUCT(N([Rentabilidade s/ PL]&gt;0),N(RIGHT([PAPEL],LEN([PAPEL])-(LEN([PAPEL])-1))="3"),[Rentabilidade s/ PL])/SUMPRODUCT(N([Rentabilidade s/ PL]&gt;0),N(RIGHT([PAPEL],LEN([PAPEL])-(LEN([PAPEL])-1))="3"))</f>
        <v>0.1261051308670782</v>
      </c>
      <c r="X164" s="19">
        <f>IF(Tabela3[[#This Row],[Dívida]]&gt;0,Tabela3[[#This Row],[Dívida]]/Tabela3[[#This Row],[Patrimônio Líquido]],0)</f>
        <v>0</v>
      </c>
      <c r="Y164" s="19">
        <f>SUMPRODUCT(N([Dívida / PL]&gt;0),N(RIGHT([PAPEL],LEN([PAPEL])-(LEN([PAPEL])-1))="3"),[Dívida / PL])/SUMPRODUCT(N([Dívida / PL]&gt;0),N(RIGHT([PAPEL],LEN([PAPEL])-(LEN([PAPEL])-1))="3"))</f>
        <v>2.1510410379481146</v>
      </c>
      <c r="Z164" s="13">
        <f>Tabela3[[#This Row],[Capital Social]]*20%</f>
        <v>101311494.54000001</v>
      </c>
      <c r="AA164" s="13">
        <f>IF(([Lucro Líquido]*5%)&gt;[Teto R. Legal],[Teto R. Legal],[Lucro Líquido]*5%)</f>
        <v>7047950</v>
      </c>
      <c r="AB164" s="13">
        <f>IF([Lucro Líquido]&lt;0,0,[Lucro Líquido]-[Reserva Legal])</f>
        <v>133911050</v>
      </c>
      <c r="AC164" s="13">
        <f>Tabela3[[#This Row],[Lucro Distribuir]]*[%Div]</f>
        <v>66955525</v>
      </c>
      <c r="AD164" s="56">
        <f>SUMPRODUCT(N([Nome]=Tabela3[[#This Row],[Nome]]),[Ações])</f>
        <v>531294792</v>
      </c>
      <c r="AE164" s="6">
        <f>[Capital Social]/[Total Ações]</f>
        <v>0.95343955997219709</v>
      </c>
      <c r="AF164" s="78">
        <f>Tabela3[[#This Row],[Lucro Líquido]]/Tabela3[[#This Row],[Total Ações]]</f>
        <v>0.26531221860725485</v>
      </c>
      <c r="AG164" s="78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0.12602330383844607</v>
      </c>
      <c r="AH164" s="78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164" s="78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164" s="78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0.12602330383844607</v>
      </c>
      <c r="AK164" s="13">
        <f>[Div Base]*[Ações]</f>
        <v>66955525.000000007</v>
      </c>
      <c r="AL164" s="13">
        <f>SUMPRODUCT(N([Nome]=Tabela3[[#This Row],[Nome]]),[Div Base]*[Ações])</f>
        <v>66955525.000000007</v>
      </c>
      <c r="AM164" s="6">
        <f>[Patrimônio Líquido]/[Total Ações]</f>
        <v>1.3116503502259063</v>
      </c>
      <c r="AN164" s="48">
        <f>MAX(Tabela3[[#This Row],[Cotação 1]:[Cotação 5]])</f>
        <v>8.59</v>
      </c>
      <c r="AO164" s="44">
        <f>[Cotação]/[VPA]</f>
        <v>6.5490014152937475</v>
      </c>
      <c r="AP164" s="40">
        <f>IF(Tabela3[[#This Row],[Lucro/Ação]]&gt;0,Tabela3[[#This Row],[Cotação]]/(Tabela3[[#This Row],[Lucro/Ação]]/[Ref]*4),0)</f>
        <v>24.282711266822268</v>
      </c>
      <c r="AQ164" s="78">
        <f>[Lucro Distribuir]/[Total Ações]</f>
        <v>0.25204660767689213</v>
      </c>
      <c r="AR164" s="78">
        <f>IF([Unit ON]&gt;0,SUMPRODUCT(N([Nome]=Tabela3[[#This Row],[Nome]]),N(RIGHT([PAPEL],1)="3"),[Div Base])*[Unit ON]+SUMPRODUCT(N([Nome]=Tabela3[[#This Row],[Nome]]),N(RIGHT([PAPEL],1)="4"),[Div Base])*[Unit PN],[Div Base])</f>
        <v>0.12602330383844607</v>
      </c>
      <c r="AS164" s="14" t="str">
        <f>IF(AND([% A.A.]&gt;=6%,SUMPRODUCT(N([Nome]=Tabela3[[#This Row],[Nome]]),[PL])&gt;0,[Rentabilidade s/ PL]&gt;=[Rentabilidade s/ PL Média]),"Sim","Não")</f>
        <v>Não</v>
      </c>
      <c r="AT164" s="42">
        <f>IF([Cotação]&gt;0,Tabela3[[#This Row],[Lucro]]/Tabela3[[#This Row],[Cotação]],0)</f>
        <v>1.4670931762333651E-2</v>
      </c>
      <c r="AU164" s="42">
        <f>((1+Tabela3[[#This Row],[% Yield]])^(1/(3*Tabela3[[#This Row],[Ref]])))^(12)-1</f>
        <v>1.9608917634291512E-2</v>
      </c>
      <c r="AV164" s="14">
        <f>IF([Cotação]&gt;0,($BH$1/Tabela3[[#This Row],[Cotação]]-MOD($BH$1/Tabela3[[#This Row],[Cotação]],100)),)</f>
        <v>0</v>
      </c>
      <c r="AW164" s="17">
        <f>Tabela3[[#This Row],[Ativos]]*[Lucro]</f>
        <v>0</v>
      </c>
      <c r="AX164" s="17">
        <f>SUMPRODUCT(N(Tabela1[Código]=Tabela3[[#This Row],[PAPEL]]),Tabela1[Fechamento])</f>
        <v>0</v>
      </c>
      <c r="AY164" s="17">
        <f>SUMPRODUCT(N(Tabela17[Código]=Tabela3[[#This Row],[PAPEL]]),Tabela17[Fechamento])</f>
        <v>0</v>
      </c>
      <c r="AZ164" s="17">
        <f>SUMPRODUCT(N(Tabela176[Código]=Tabela3[[#This Row],[PAPEL]]),Tabela176[Fechamento])</f>
        <v>8.59</v>
      </c>
      <c r="BA164" s="17">
        <f>SUMPRODUCT(N(Tabela1768[Código]=Tabela3[[#This Row],[PAPEL]]),Tabela1768[Fechamento])</f>
        <v>0</v>
      </c>
      <c r="BB164" s="7">
        <f>SUMPRODUCT(N(Tabela17683[Código]=Tabela3[[#This Row],[PAPEL]]),Tabela17683[Fechamento])</f>
        <v>0</v>
      </c>
    </row>
    <row r="165" spans="1:54" hidden="1">
      <c r="A165" s="24" t="s">
        <v>12</v>
      </c>
      <c r="B165" s="60" t="s">
        <v>35</v>
      </c>
      <c r="C165" s="15" t="str">
        <f>LEFT([PAPEL],LEN([PAPEL])-(LEN([PAPEL])-4))</f>
        <v>EQTL</v>
      </c>
      <c r="D165" s="16">
        <v>3</v>
      </c>
      <c r="E165" s="5">
        <v>2011701957.72</v>
      </c>
      <c r="F165" s="56">
        <v>198447352</v>
      </c>
      <c r="G165" s="86">
        <v>0.25</v>
      </c>
      <c r="H165" s="16"/>
      <c r="J165" s="18"/>
      <c r="K165" s="87"/>
      <c r="L165" s="87"/>
      <c r="M165" s="54"/>
      <c r="N165" s="54"/>
      <c r="O165" s="54"/>
      <c r="P165" s="90">
        <v>2881205000</v>
      </c>
      <c r="Q165" s="90">
        <v>130778000</v>
      </c>
      <c r="R165" s="90">
        <f>IF(Tabela3[[#This Row],[Ativo || Passivo]]&gt;0,Tabela3[[#This Row],[Ativo || Passivo]]-Tabela3[[#This Row],[Patrimônio Líquido]],0)</f>
        <v>0</v>
      </c>
      <c r="S165" s="90">
        <f>Tabela3[[#This Row],[Cotação]]*Tabela3[[#This Row],[Total Ações]]</f>
        <v>4044357033.7599998</v>
      </c>
      <c r="T165" s="131">
        <f>IF(Tabela3[[#This Row],[Passivo Circulante]]&gt;0,Tabela3[[#This Row],[Ativo Circulante]]/Tabela3[[#This Row],[Passivo Circulante]],0)</f>
        <v>0</v>
      </c>
      <c r="U165" s="131">
        <f>SUMPRODUCT(N([Liquidez Corrente]&gt;0),N(RIGHT([PAPEL],LEN([PAPEL])-(LEN([PAPEL])-1))="3"),[Liquidez Corrente])/SUMPRODUCT(N([Liquidez Corrente]&gt;0),N(RIGHT([PAPEL],LEN([PAPEL])-(LEN([PAPEL])-1))="3"))</f>
        <v>2.331224473064915</v>
      </c>
      <c r="V165" s="49">
        <f>IF(Tabela3[[#This Row],[Lucro Líquido]]&gt;0,Tabela3[[#This Row],[Lucro Líquido]]/Tabela3[[#This Row],[Patrimônio Líquido]],0)</f>
        <v>4.5390036460439293E-2</v>
      </c>
      <c r="W165" s="49">
        <f>SUMPRODUCT(N([Rentabilidade s/ PL]&gt;0),N(RIGHT([PAPEL],LEN([PAPEL])-(LEN([PAPEL])-1))="3"),[Rentabilidade s/ PL])/SUMPRODUCT(N([Rentabilidade s/ PL]&gt;0),N(RIGHT([PAPEL],LEN([PAPEL])-(LEN([PAPEL])-1))="3"))</f>
        <v>0.1261051308670782</v>
      </c>
      <c r="X165" s="49">
        <f>IF(Tabela3[[#This Row],[Dívida]]&gt;0,Tabela3[[#This Row],[Dívida]]/Tabela3[[#This Row],[Patrimônio Líquido]],0)</f>
        <v>0</v>
      </c>
      <c r="Y165" s="49">
        <f>SUMPRODUCT(N([Dívida / PL]&gt;0),N(RIGHT([PAPEL],LEN([PAPEL])-(LEN([PAPEL])-1))="3"),[Dívida / PL])/SUMPRODUCT(N([Dívida / PL]&gt;0),N(RIGHT([PAPEL],LEN([PAPEL])-(LEN([PAPEL])-1))="3"))</f>
        <v>2.1510410379481146</v>
      </c>
      <c r="Z165" s="28">
        <f>Tabela3[[#This Row],[Capital Social]]*20%</f>
        <v>402340391.54400003</v>
      </c>
      <c r="AA165" s="28">
        <f>IF(([Lucro Líquido]*5%)&gt;[Teto R. Legal],[Teto R. Legal],[Lucro Líquido]*5%)</f>
        <v>6538900</v>
      </c>
      <c r="AB165" s="90">
        <f>IF([Lucro Líquido]&lt;0,0,[Lucro Líquido]-[Reserva Legal])</f>
        <v>124239100</v>
      </c>
      <c r="AC165" s="90">
        <f>Tabela3[[#This Row],[Lucro Distribuir]]*[%Div]</f>
        <v>31059775</v>
      </c>
      <c r="AD165" s="56">
        <f>SUMPRODUCT(N([Nome]=Tabela3[[#This Row],[Nome]]),[Ações])</f>
        <v>198447352</v>
      </c>
      <c r="AE165" s="28">
        <f>[Capital Social]/[Total Ações]</f>
        <v>10.137207362283171</v>
      </c>
      <c r="AF165" s="79">
        <f>Tabela3[[#This Row],[Lucro Líquido]]/Tabela3[[#This Row],[Total Ações]]</f>
        <v>0.65900602190952895</v>
      </c>
      <c r="AG165" s="79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0.15651393020351312</v>
      </c>
      <c r="AH165" s="79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165" s="79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165" s="79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0.15651393020351312</v>
      </c>
      <c r="AK165" s="28">
        <f>[Div Base]*[Ações]</f>
        <v>31059775</v>
      </c>
      <c r="AL165" s="28">
        <f>SUMPRODUCT(N([Nome]=Tabela3[[#This Row],[Nome]]),[Div Base]*[Ações])</f>
        <v>31059775</v>
      </c>
      <c r="AM165" s="28">
        <f>[Patrimônio Líquido]/[Total Ações]</f>
        <v>14.518737443269083</v>
      </c>
      <c r="AN165" s="29">
        <f>MAX(Tabela3[[#This Row],[Cotação 1]:[Cotação 5]])</f>
        <v>20.38</v>
      </c>
      <c r="AO165" s="30">
        <f>[Cotação]/[VPA]</f>
        <v>1.4037033233525555</v>
      </c>
      <c r="AP165" s="35">
        <f>IF(Tabela3[[#This Row],[Lucro/Ação]]&gt;0,Tabela3[[#This Row],[Cotação]]/(Tabela3[[#This Row],[Lucro/Ação]]/[Ref]*4),0)</f>
        <v>23.194021741577327</v>
      </c>
      <c r="AQ165" s="78">
        <f>[Lucro Distribuir]/[Total Ações]</f>
        <v>0.62605572081405247</v>
      </c>
      <c r="AR165" s="78">
        <f>IF([Unit ON]&gt;0,SUMPRODUCT(N([Nome]=Tabela3[[#This Row],[Nome]]),N(RIGHT([PAPEL],1)="3"),[Div Base])*[Unit ON]+SUMPRODUCT(N([Nome]=Tabela3[[#This Row],[Nome]]),N(RIGHT([PAPEL],1)="4"),[Div Base])*[Unit PN],[Div Base])</f>
        <v>0.15651393020351312</v>
      </c>
      <c r="AS165" s="25" t="str">
        <f>IF(AND([% A.A.]&gt;=6%,SUMPRODUCT(N([Nome]=Tabela3[[#This Row],[Nome]]),[PL])&gt;0,[Rentabilidade s/ PL]&gt;=[Rentabilidade s/ PL Média]),"Sim","Não")</f>
        <v>Não</v>
      </c>
      <c r="AT165" s="27">
        <f>IF([Cotação]&gt;0,Tabela3[[#This Row],[Lucro]]/Tabela3[[#This Row],[Cotação]],0)</f>
        <v>7.6797806773068267E-3</v>
      </c>
      <c r="AU165" s="49">
        <f>((1+Tabela3[[#This Row],[% Yield]])^(1/(3*Tabela3[[#This Row],[Ref]])))^(12)-1</f>
        <v>1.025279172470861E-2</v>
      </c>
      <c r="AV165" s="10">
        <f>IF([Cotação]&gt;0,($BH$1/Tabela3[[#This Row],[Cotação]]-MOD($BH$1/Tabela3[[#This Row],[Cotação]],100)),)</f>
        <v>0</v>
      </c>
      <c r="AW165" s="7">
        <f>Tabela3[[#This Row],[Ativos]]*[Lucro]</f>
        <v>0</v>
      </c>
      <c r="AX165" s="5">
        <f>SUMPRODUCT(N(Tabela1[Código]=Tabela3[[#This Row],[PAPEL]]),Tabela1[Fechamento])</f>
        <v>20.38</v>
      </c>
      <c r="AY165" s="5">
        <f>SUMPRODUCT(N(Tabela17[Código]=Tabela3[[#This Row],[PAPEL]]),Tabela17[Fechamento])</f>
        <v>0</v>
      </c>
      <c r="AZ165" s="7">
        <f>SUMPRODUCT(N(Tabela176[Código]=Tabela3[[#This Row],[PAPEL]]),Tabela176[Fechamento])</f>
        <v>0</v>
      </c>
      <c r="BA165" s="7">
        <f>SUMPRODUCT(N(Tabela1768[Código]=Tabela3[[#This Row],[PAPEL]]),Tabela1768[Fechamento])</f>
        <v>0</v>
      </c>
      <c r="BB165" s="7">
        <f>SUMPRODUCT(N(Tabela17683[Código]=Tabela3[[#This Row],[PAPEL]]),Tabela17683[Fechamento])</f>
        <v>0</v>
      </c>
    </row>
    <row r="166" spans="1:54" hidden="1">
      <c r="A166" s="3" t="s">
        <v>343</v>
      </c>
      <c r="B166" s="58" t="s">
        <v>352</v>
      </c>
      <c r="C166" s="83" t="str">
        <f>LEFT([PAPEL],LEN([PAPEL])-(LEN([PAPEL])-4))</f>
        <v>IGTA</v>
      </c>
      <c r="D166" s="16">
        <v>3</v>
      </c>
      <c r="E166" s="5">
        <v>1261727567.1199999</v>
      </c>
      <c r="F166" s="21">
        <v>176611578</v>
      </c>
      <c r="G166" s="86">
        <v>0.25</v>
      </c>
      <c r="H166" s="16"/>
      <c r="J166" s="18"/>
      <c r="K166" s="87"/>
      <c r="L166" s="87"/>
      <c r="M166" s="54"/>
      <c r="N166" s="54"/>
      <c r="O166" s="54"/>
      <c r="P166" s="5">
        <v>2302519000</v>
      </c>
      <c r="Q166" s="5">
        <v>128087000</v>
      </c>
      <c r="R166" s="5">
        <f>IF(Tabela3[[#This Row],[Ativo || Passivo]]&gt;0,Tabela3[[#This Row],[Ativo || Passivo]]-Tabela3[[#This Row],[Patrimônio Líquido]],0)</f>
        <v>0</v>
      </c>
      <c r="S166" s="5">
        <f>Tabela3[[#This Row],[Cotação]]*Tabela3[[#This Row],[Total Ações]]</f>
        <v>3624069580.5599999</v>
      </c>
      <c r="T166" s="130">
        <f>IF(Tabela3[[#This Row],[Passivo Circulante]]&gt;0,Tabela3[[#This Row],[Ativo Circulante]]/Tabela3[[#This Row],[Passivo Circulante]],0)</f>
        <v>0</v>
      </c>
      <c r="U166" s="130">
        <f>SUMPRODUCT(N([Liquidez Corrente]&gt;0),N(RIGHT([PAPEL],LEN([PAPEL])-(LEN([PAPEL])-1))="3"),[Liquidez Corrente])/SUMPRODUCT(N([Liquidez Corrente]&gt;0),N(RIGHT([PAPEL],LEN([PAPEL])-(LEN([PAPEL])-1))="3"))</f>
        <v>2.331224473064915</v>
      </c>
      <c r="V166" s="18">
        <f>IF(Tabela3[[#This Row],[Lucro Líquido]]&gt;0,Tabela3[[#This Row],[Lucro Líquido]]/Tabela3[[#This Row],[Patrimônio Líquido]],0)</f>
        <v>5.5629074070615701E-2</v>
      </c>
      <c r="W166" s="18">
        <f>SUMPRODUCT(N([Rentabilidade s/ PL]&gt;0),N(RIGHT([PAPEL],LEN([PAPEL])-(LEN([PAPEL])-1))="3"),[Rentabilidade s/ PL])/SUMPRODUCT(N([Rentabilidade s/ PL]&gt;0),N(RIGHT([PAPEL],LEN([PAPEL])-(LEN([PAPEL])-1))="3"))</f>
        <v>0.1261051308670782</v>
      </c>
      <c r="X166" s="18">
        <f>IF(Tabela3[[#This Row],[Dívida]]&gt;0,Tabela3[[#This Row],[Dívida]]/Tabela3[[#This Row],[Patrimônio Líquido]],0)</f>
        <v>0</v>
      </c>
      <c r="Y166" s="18">
        <f>SUMPRODUCT(N([Dívida / PL]&gt;0),N(RIGHT([PAPEL],LEN([PAPEL])-(LEN([PAPEL])-1))="3"),[Dívida / PL])/SUMPRODUCT(N([Dívida / PL]&gt;0),N(RIGHT([PAPEL],LEN([PAPEL])-(LEN([PAPEL])-1))="3"))</f>
        <v>2.1510410379481146</v>
      </c>
      <c r="Z166" s="5">
        <f>Tabela3[[#This Row],[Capital Social]]*20%</f>
        <v>252345513.42399999</v>
      </c>
      <c r="AA166" s="5">
        <f>IF(([Lucro Líquido]*5%)&gt;[Teto R. Legal],[Teto R. Legal],[Lucro Líquido]*5%)</f>
        <v>6404350</v>
      </c>
      <c r="AB166" s="5">
        <f>IF([Lucro Líquido]&lt;0,0,[Lucro Líquido]-[Reserva Legal])</f>
        <v>121682650</v>
      </c>
      <c r="AC166" s="5">
        <f>Tabela3[[#This Row],[Lucro Distribuir]]*[%Div]</f>
        <v>30420662.5</v>
      </c>
      <c r="AD166" s="56">
        <f>SUMPRODUCT(N([Nome]=Tabela3[[#This Row],[Nome]]),[Ações])</f>
        <v>176611578</v>
      </c>
      <c r="AE166" s="5">
        <f>[Capital Social]/[Total Ações]</f>
        <v>7.1440818399799353</v>
      </c>
      <c r="AF166" s="77">
        <f>Tabela3[[#This Row],[Lucro Líquido]]/Tabela3[[#This Row],[Total Ações]]</f>
        <v>0.72524690312205919</v>
      </c>
      <c r="AG166" s="77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0.17224613949148906</v>
      </c>
      <c r="AH166" s="77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166" s="77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166" s="77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0.17224613949148906</v>
      </c>
      <c r="AK166" s="5">
        <f>[Div Base]*[Ações]</f>
        <v>30420662.5</v>
      </c>
      <c r="AL166" s="5">
        <f>SUMPRODUCT(N([Nome]=Tabela3[[#This Row],[Nome]]),[Div Base]*[Ações])</f>
        <v>30420662.5</v>
      </c>
      <c r="AM166" s="5">
        <f>[Patrimônio Líquido]/[Total Ações]</f>
        <v>13.037191706650173</v>
      </c>
      <c r="AN166" s="52">
        <f>MAX(Tabela3[[#This Row],[Cotação 1]:[Cotação 5]])</f>
        <v>20.52</v>
      </c>
      <c r="AO166" s="53">
        <f>[Cotação]/[VPA]</f>
        <v>1.5739585994990701</v>
      </c>
      <c r="AP166" s="37">
        <f>IF(Tabela3[[#This Row],[Lucro/Ação]]&gt;0,Tabela3[[#This Row],[Cotação]]/(Tabela3[[#This Row],[Lucro/Ação]]/[Ref]*4),0)</f>
        <v>21.220359485505945</v>
      </c>
      <c r="AQ166" s="77">
        <f>[Lucro Distribuir]/[Total Ações]</f>
        <v>0.68898455796595626</v>
      </c>
      <c r="AR166" s="77">
        <f>IF([Unit ON]&gt;0,SUMPRODUCT(N([Nome]=Tabela3[[#This Row],[Nome]]),N(RIGHT([PAPEL],1)="3"),[Div Base])*[Unit ON]+SUMPRODUCT(N([Nome]=Tabela3[[#This Row],[Nome]]),N(RIGHT([PAPEL],1)="4"),[Div Base])*[Unit PN],[Div Base])</f>
        <v>0.17224613949148906</v>
      </c>
      <c r="AS166" s="16" t="str">
        <f>IF(AND([% A.A.]&gt;=6%,SUMPRODUCT(N([Nome]=Tabela3[[#This Row],[Nome]]),[PL])&gt;0,[Rentabilidade s/ PL]&gt;=[Rentabilidade s/ PL Média]),"Sim","Não")</f>
        <v>Não</v>
      </c>
      <c r="AT166" s="22">
        <f>IF([Cotação]&gt;0,Tabela3[[#This Row],[Lucro]]/Tabela3[[#This Row],[Cotação]],0)</f>
        <v>8.3940613787275367E-3</v>
      </c>
      <c r="AU166" s="18">
        <f>((1+Tabela3[[#This Row],[% Yield]])^(1/(3*Tabela3[[#This Row],[Ref]])))^(12)-1</f>
        <v>1.1207710569686613E-2</v>
      </c>
      <c r="AV166" s="10">
        <f>IF([Cotação]&gt;0,($BH$1/Tabela3[[#This Row],[Cotação]]-MOD($BH$1/Tabela3[[#This Row],[Cotação]],100)),)</f>
        <v>0</v>
      </c>
      <c r="AW166" s="7">
        <f>Tabela3[[#This Row],[Ativos]]*[Lucro]</f>
        <v>0</v>
      </c>
      <c r="AX166" s="47">
        <f>SUMPRODUCT(N(Tabela1[Código]=Tabela3[[#This Row],[PAPEL]]),Tabela1[Fechamento])</f>
        <v>0</v>
      </c>
      <c r="AY166" s="54">
        <f>SUMPRODUCT(N(Tabela17[Código]=Tabela3[[#This Row],[PAPEL]]),Tabela17[Fechamento])</f>
        <v>20.52</v>
      </c>
      <c r="AZ166" s="7">
        <f>SUMPRODUCT(N(Tabela176[Código]=Tabela3[[#This Row],[PAPEL]]),Tabela176[Fechamento])</f>
        <v>0</v>
      </c>
      <c r="BA166" s="7">
        <f>SUMPRODUCT(N(Tabela1768[Código]=Tabela3[[#This Row],[PAPEL]]),Tabela1768[Fechamento])</f>
        <v>0</v>
      </c>
      <c r="BB166" s="7">
        <f>SUMPRODUCT(N(Tabela17683[Código]=Tabela3[[#This Row],[PAPEL]]),Tabela17683[Fechamento])</f>
        <v>0</v>
      </c>
    </row>
    <row r="167" spans="1:54" hidden="1">
      <c r="A167" s="3" t="s">
        <v>1320</v>
      </c>
      <c r="B167" s="57" t="s">
        <v>1309</v>
      </c>
      <c r="C167" s="16" t="str">
        <f>LEFT([PAPEL],LEN([PAPEL])-(LEN([PAPEL])-4))</f>
        <v>MILS</v>
      </c>
      <c r="D167" s="16">
        <v>3</v>
      </c>
      <c r="E167" s="5">
        <v>527989915.31</v>
      </c>
      <c r="F167" s="56">
        <v>127490508</v>
      </c>
      <c r="G167" s="81">
        <v>0.25</v>
      </c>
      <c r="H167" s="18"/>
      <c r="J167" s="18"/>
      <c r="K167" s="16"/>
      <c r="L167" s="87"/>
      <c r="M167" s="54"/>
      <c r="N167" s="54"/>
      <c r="O167" s="54"/>
      <c r="P167" s="91">
        <v>984909000</v>
      </c>
      <c r="Q167" s="73">
        <v>126979000</v>
      </c>
      <c r="R167" s="73">
        <f>IF(Tabela3[[#This Row],[Ativo || Passivo]]&gt;0,Tabela3[[#This Row],[Ativo || Passivo]]-Tabela3[[#This Row],[Patrimônio Líquido]],0)</f>
        <v>0</v>
      </c>
      <c r="S167" s="73">
        <f>Tabela3[[#This Row],[Cotação]]*Tabela3[[#This Row],[Total Ações]]</f>
        <v>3230609472.7199998</v>
      </c>
      <c r="T167" s="37">
        <f>IF(Tabela3[[#This Row],[Passivo Circulante]]&gt;0,Tabela3[[#This Row],[Ativo Circulante]]/Tabela3[[#This Row],[Passivo Circulante]],0)</f>
        <v>0</v>
      </c>
      <c r="U167" s="37">
        <f>SUMPRODUCT(N([Liquidez Corrente]&gt;0),N(RIGHT([PAPEL],LEN([PAPEL])-(LEN([PAPEL])-1))="3"),[Liquidez Corrente])/SUMPRODUCT(N([Liquidez Corrente]&gt;0),N(RIGHT([PAPEL],LEN([PAPEL])-(LEN([PAPEL])-1))="3"))</f>
        <v>2.331224473064915</v>
      </c>
      <c r="V167" s="18">
        <f>IF(Tabela3[[#This Row],[Lucro Líquido]]&gt;0,Tabela3[[#This Row],[Lucro Líquido]]/Tabela3[[#This Row],[Patrimônio Líquido]],0)</f>
        <v>0.1289246011560459</v>
      </c>
      <c r="W167" s="18">
        <f>SUMPRODUCT(N([Rentabilidade s/ PL]&gt;0),N(RIGHT([PAPEL],LEN([PAPEL])-(LEN([PAPEL])-1))="3"),[Rentabilidade s/ PL])/SUMPRODUCT(N([Rentabilidade s/ PL]&gt;0),N(RIGHT([PAPEL],LEN([PAPEL])-(LEN([PAPEL])-1))="3"))</f>
        <v>0.1261051308670782</v>
      </c>
      <c r="X167" s="18">
        <f>IF(Tabela3[[#This Row],[Dívida]]&gt;0,Tabela3[[#This Row],[Dívida]]/Tabela3[[#This Row],[Patrimônio Líquido]],0)</f>
        <v>0</v>
      </c>
      <c r="Y167" s="18">
        <f>SUMPRODUCT(N([Dívida / PL]&gt;0),N(RIGHT([PAPEL],LEN([PAPEL])-(LEN([PAPEL])-1))="3"),[Dívida / PL])/SUMPRODUCT(N([Dívida / PL]&gt;0),N(RIGHT([PAPEL],LEN([PAPEL])-(LEN([PAPEL])-1))="3"))</f>
        <v>2.1510410379481146</v>
      </c>
      <c r="Z167" s="7">
        <f>Tabela3[[#This Row],[Capital Social]]*20%</f>
        <v>105597983.06200001</v>
      </c>
      <c r="AA167" s="47">
        <f>IF(([Lucro Líquido]*5%)&gt;[Teto R. Legal],[Teto R. Legal],[Lucro Líquido]*5%)</f>
        <v>6348950</v>
      </c>
      <c r="AB167" s="47">
        <f>IF([Lucro Líquido]&lt;0,0,[Lucro Líquido]-[Reserva Legal])</f>
        <v>120630050</v>
      </c>
      <c r="AC167" s="47">
        <f>Tabela3[[#This Row],[Lucro Distribuir]]*[%Div]</f>
        <v>30157512.5</v>
      </c>
      <c r="AD167" s="56">
        <f>SUMPRODUCT(N([Nome]=Tabela3[[#This Row],[Nome]]),[Ações])</f>
        <v>127490508</v>
      </c>
      <c r="AE167" s="85">
        <f>[Capital Social]/[Total Ações]</f>
        <v>4.1414056904534418</v>
      </c>
      <c r="AF167" s="85">
        <f>Tabela3[[#This Row],[Lucro Líquido]]/Tabela3[[#This Row],[Total Ações]]</f>
        <v>0.99598787385802867</v>
      </c>
      <c r="AG167" s="85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0.23654712004128181</v>
      </c>
      <c r="AH167" s="85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167" s="77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167" s="85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0.23654712004128181</v>
      </c>
      <c r="AK167" s="7">
        <f>[Div Base]*[Ações]</f>
        <v>30157512.5</v>
      </c>
      <c r="AL167" s="120">
        <f>SUMPRODUCT(N([Nome]=Tabela3[[#This Row],[Nome]]),[Div Base]*[Ações])</f>
        <v>30157512.5</v>
      </c>
      <c r="AM167" s="5">
        <f>[Patrimônio Líquido]/[Total Ações]</f>
        <v>7.725351600293255</v>
      </c>
      <c r="AN167" s="52">
        <f>MAX(Tabela3[[#This Row],[Cotação 1]:[Cotação 5]])</f>
        <v>25.34</v>
      </c>
      <c r="AO167" s="53">
        <f>[Cotação]/[VPA]</f>
        <v>3.2801096067961608</v>
      </c>
      <c r="AP167" s="37">
        <f>IF(Tabela3[[#This Row],[Lucro/Ação]]&gt;0,Tabela3[[#This Row],[Cotação]]/(Tabela3[[#This Row],[Lucro/Ação]]/[Ref]*4),0)</f>
        <v>19.081557616141254</v>
      </c>
      <c r="AQ167" s="85">
        <f>[Lucro Distribuir]/[Total Ações]</f>
        <v>0.94618848016512724</v>
      </c>
      <c r="AR167" s="85">
        <f>IF([Unit ON]&gt;0,SUMPRODUCT(N([Nome]=Tabela3[[#This Row],[Nome]]),N(RIGHT([PAPEL],1)="3"),[Div Base])*[Unit ON]+SUMPRODUCT(N([Nome]=Tabela3[[#This Row],[Nome]]),N(RIGHT([PAPEL],1)="4"),[Div Base])*[Unit PN],[Div Base])</f>
        <v>0.23654712004128181</v>
      </c>
      <c r="AS167" s="10" t="str">
        <f>IF(AND([% A.A.]&gt;=6%,SUMPRODUCT(N([Nome]=Tabela3[[#This Row],[Nome]]),[PL])&gt;0,[Rentabilidade s/ PL]&gt;=[Rentabilidade s/ PL Média]),"Sim","Não")</f>
        <v>Não</v>
      </c>
      <c r="AT167" s="22">
        <f>IF([Cotação]&gt;0,Tabela3[[#This Row],[Lucro]]/Tabela3[[#This Row],[Cotação]],0)</f>
        <v>9.334929756956661E-3</v>
      </c>
      <c r="AU167" s="22">
        <f>((1+Tabela3[[#This Row],[% Yield]])^(1/(3*Tabela3[[#This Row],[Ref]])))^(12)-1</f>
        <v>1.2465897641625201E-2</v>
      </c>
      <c r="AV167" s="10">
        <f>IF([Cotação]&gt;0,($BH$1/Tabela3[[#This Row],[Cotação]]-MOD($BH$1/Tabela3[[#This Row],[Cotação]],100)),)</f>
        <v>0</v>
      </c>
      <c r="AW167" s="7">
        <f>Tabela3[[#This Row],[Ativos]]*[Lucro]</f>
        <v>0</v>
      </c>
      <c r="AX167" s="7">
        <f>SUMPRODUCT(N(Tabela1[Código]=Tabela3[[#This Row],[PAPEL]]),Tabela1[Fechamento])</f>
        <v>0</v>
      </c>
      <c r="AY167" s="7">
        <f>SUMPRODUCT(N(Tabela17[Código]=Tabela3[[#This Row],[PAPEL]]),Tabela17[Fechamento])</f>
        <v>0</v>
      </c>
      <c r="AZ167" s="7">
        <f>SUMPRODUCT(N(Tabela176[Código]=Tabela3[[#This Row],[PAPEL]]),Tabela176[Fechamento])</f>
        <v>0</v>
      </c>
      <c r="BA167" s="7">
        <f>SUMPRODUCT(N(Tabela1768[Código]=Tabela3[[#This Row],[PAPEL]]),Tabela1768[Fechamento])</f>
        <v>0</v>
      </c>
      <c r="BB167" s="7">
        <f>SUMPRODUCT(N(Tabela17683[Código]=Tabela3[[#This Row],[PAPEL]]),Tabela17683[Fechamento])</f>
        <v>25.34</v>
      </c>
    </row>
    <row r="168" spans="1:54" hidden="1">
      <c r="A168" s="3" t="s">
        <v>343</v>
      </c>
      <c r="B168" s="58" t="s">
        <v>350</v>
      </c>
      <c r="C168" s="83" t="str">
        <f>LEFT([PAPEL],LEN([PAPEL])-(LEN([PAPEL])-4))</f>
        <v>CCPR</v>
      </c>
      <c r="D168" s="16">
        <v>3</v>
      </c>
      <c r="E168" s="5">
        <v>330695395.88999999</v>
      </c>
      <c r="F168" s="56">
        <v>83000000</v>
      </c>
      <c r="G168" s="86">
        <v>0.25</v>
      </c>
      <c r="H168" s="16"/>
      <c r="J168" s="18"/>
      <c r="K168" s="87"/>
      <c r="L168" s="87"/>
      <c r="M168" s="54"/>
      <c r="N168" s="54"/>
      <c r="O168" s="54"/>
      <c r="P168" s="5">
        <v>709804000</v>
      </c>
      <c r="Q168" s="5">
        <v>124200000</v>
      </c>
      <c r="R168" s="5">
        <f>IF(Tabela3[[#This Row],[Ativo || Passivo]]&gt;0,Tabela3[[#This Row],[Ativo || Passivo]]-Tabela3[[#This Row],[Patrimônio Líquido]],0)</f>
        <v>0</v>
      </c>
      <c r="S168" s="5">
        <f>Tabela3[[#This Row],[Cotação]]*Tabela3[[#This Row],[Total Ações]]</f>
        <v>1622650000</v>
      </c>
      <c r="T168" s="130">
        <f>IF(Tabela3[[#This Row],[Passivo Circulante]]&gt;0,Tabela3[[#This Row],[Ativo Circulante]]/Tabela3[[#This Row],[Passivo Circulante]],0)</f>
        <v>0</v>
      </c>
      <c r="U168" s="130">
        <f>SUMPRODUCT(N([Liquidez Corrente]&gt;0),N(RIGHT([PAPEL],LEN([PAPEL])-(LEN([PAPEL])-1))="3"),[Liquidez Corrente])/SUMPRODUCT(N([Liquidez Corrente]&gt;0),N(RIGHT([PAPEL],LEN([PAPEL])-(LEN([PAPEL])-1))="3"))</f>
        <v>2.331224473064915</v>
      </c>
      <c r="V168" s="18">
        <f>IF(Tabela3[[#This Row],[Lucro Líquido]]&gt;0,Tabela3[[#This Row],[Lucro Líquido]]/Tabela3[[#This Row],[Patrimônio Líquido]],0)</f>
        <v>0.17497788121791369</v>
      </c>
      <c r="W168" s="18">
        <f>SUMPRODUCT(N([Rentabilidade s/ PL]&gt;0),N(RIGHT([PAPEL],LEN([PAPEL])-(LEN([PAPEL])-1))="3"),[Rentabilidade s/ PL])/SUMPRODUCT(N([Rentabilidade s/ PL]&gt;0),N(RIGHT([PAPEL],LEN([PAPEL])-(LEN([PAPEL])-1))="3"))</f>
        <v>0.1261051308670782</v>
      </c>
      <c r="X168" s="18">
        <f>IF(Tabela3[[#This Row],[Dívida]]&gt;0,Tabela3[[#This Row],[Dívida]]/Tabela3[[#This Row],[Patrimônio Líquido]],0)</f>
        <v>0</v>
      </c>
      <c r="Y168" s="18">
        <f>SUMPRODUCT(N([Dívida / PL]&gt;0),N(RIGHT([PAPEL],LEN([PAPEL])-(LEN([PAPEL])-1))="3"),[Dívida / PL])/SUMPRODUCT(N([Dívida / PL]&gt;0),N(RIGHT([PAPEL],LEN([PAPEL])-(LEN([PAPEL])-1))="3"))</f>
        <v>2.1510410379481146</v>
      </c>
      <c r="Z168" s="5">
        <f>Tabela3[[#This Row],[Capital Social]]*20%</f>
        <v>66139079.178000003</v>
      </c>
      <c r="AA168" s="5">
        <f>IF(([Lucro Líquido]*5%)&gt;[Teto R. Legal],[Teto R. Legal],[Lucro Líquido]*5%)</f>
        <v>6210000</v>
      </c>
      <c r="AB168" s="5">
        <f>IF([Lucro Líquido]&lt;0,0,[Lucro Líquido]-[Reserva Legal])</f>
        <v>117990000</v>
      </c>
      <c r="AC168" s="5">
        <f>Tabela3[[#This Row],[Lucro Distribuir]]*[%Div]</f>
        <v>29497500</v>
      </c>
      <c r="AD168" s="56">
        <f>SUMPRODUCT(N([Nome]=Tabela3[[#This Row],[Nome]]),[Ações])</f>
        <v>83000000</v>
      </c>
      <c r="AE168" s="5">
        <f>[Capital Social]/[Total Ações]</f>
        <v>3.9842818781927711</v>
      </c>
      <c r="AF168" s="77">
        <f>Tabela3[[#This Row],[Lucro Líquido]]/Tabela3[[#This Row],[Total Ações]]</f>
        <v>1.4963855421686747</v>
      </c>
      <c r="AG168" s="77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0.35539156626506024</v>
      </c>
      <c r="AH168" s="77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168" s="77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168" s="77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0.35539156626506024</v>
      </c>
      <c r="AK168" s="5">
        <f>[Div Base]*[Ações]</f>
        <v>29497500</v>
      </c>
      <c r="AL168" s="5">
        <f>SUMPRODUCT(N([Nome]=Tabela3[[#This Row],[Nome]]),[Div Base]*[Ações])</f>
        <v>29497500</v>
      </c>
      <c r="AM168" s="5">
        <f>[Patrimônio Líquido]/[Total Ações]</f>
        <v>8.5518554216867475</v>
      </c>
      <c r="AN168" s="52">
        <f>MAX(Tabela3[[#This Row],[Cotação 1]:[Cotação 5]])</f>
        <v>19.55</v>
      </c>
      <c r="AO168" s="53">
        <f>[Cotação]/[VPA]</f>
        <v>2.2860536148007053</v>
      </c>
      <c r="AP168" s="37">
        <f>IF(Tabela3[[#This Row],[Lucro/Ação]]&gt;0,Tabela3[[#This Row],[Cotação]]/(Tabela3[[#This Row],[Lucro/Ação]]/[Ref]*4),0)</f>
        <v>9.7986111111111107</v>
      </c>
      <c r="AQ168" s="77">
        <f>[Lucro Distribuir]/[Total Ações]</f>
        <v>1.421566265060241</v>
      </c>
      <c r="AR168" s="77">
        <f>IF([Unit ON]&gt;0,SUMPRODUCT(N([Nome]=Tabela3[[#This Row],[Nome]]),N(RIGHT([PAPEL],1)="3"),[Div Base])*[Unit ON]+SUMPRODUCT(N([Nome]=Tabela3[[#This Row],[Nome]]),N(RIGHT([PAPEL],1)="4"),[Div Base])*[Unit PN],[Div Base])</f>
        <v>0.35539156626506024</v>
      </c>
      <c r="AS168" s="16" t="str">
        <f>IF(AND([% A.A.]&gt;=6%,SUMPRODUCT(N([Nome]=Tabela3[[#This Row],[Nome]]),[PL])&gt;0,[Rentabilidade s/ PL]&gt;=[Rentabilidade s/ PL Média]),"Sim","Não")</f>
        <v>Não</v>
      </c>
      <c r="AT168" s="22">
        <f>IF([Cotação]&gt;0,Tabela3[[#This Row],[Lucro]]/Tabela3[[#This Row],[Cotação]],0)</f>
        <v>1.8178596739900778E-2</v>
      </c>
      <c r="AU168" s="18">
        <f>((1+Tabela3[[#This Row],[% Yield]])^(1/(3*Tabela3[[#This Row],[Ref]])))^(12)-1</f>
        <v>2.4311270416111919E-2</v>
      </c>
      <c r="AV168" s="10">
        <f>IF([Cotação]&gt;0,($BH$1/Tabela3[[#This Row],[Cotação]]-MOD($BH$1/Tabela3[[#This Row],[Cotação]],100)),)</f>
        <v>0</v>
      </c>
      <c r="AW168" s="7">
        <f>Tabela3[[#This Row],[Ativos]]*[Lucro]</f>
        <v>0</v>
      </c>
      <c r="AX168" s="47">
        <f>SUMPRODUCT(N(Tabela1[Código]=Tabela3[[#This Row],[PAPEL]]),Tabela1[Fechamento])</f>
        <v>0</v>
      </c>
      <c r="AY168" s="54">
        <f>SUMPRODUCT(N(Tabela17[Código]=Tabela3[[#This Row],[PAPEL]]),Tabela17[Fechamento])</f>
        <v>19.55</v>
      </c>
      <c r="AZ168" s="7">
        <f>SUMPRODUCT(N(Tabela176[Código]=Tabela3[[#This Row],[PAPEL]]),Tabela176[Fechamento])</f>
        <v>0</v>
      </c>
      <c r="BA168" s="7">
        <f>SUMPRODUCT(N(Tabela1768[Código]=Tabela3[[#This Row],[PAPEL]]),Tabela1768[Fechamento])</f>
        <v>0</v>
      </c>
      <c r="BB168" s="7">
        <f>SUMPRODUCT(N(Tabela17683[Código]=Tabela3[[#This Row],[PAPEL]]),Tabela17683[Fechamento])</f>
        <v>0</v>
      </c>
    </row>
    <row r="169" spans="1:54" hidden="1">
      <c r="A169" s="3" t="s">
        <v>1497</v>
      </c>
      <c r="B169" s="57" t="s">
        <v>1459</v>
      </c>
      <c r="C169" s="16" t="str">
        <f>LEFT([PAPEL],LEN([PAPEL])-(LEN([PAPEL])-4))</f>
        <v>AUTM</v>
      </c>
      <c r="D169" s="16">
        <v>3</v>
      </c>
      <c r="E169" s="5">
        <v>921993251.75</v>
      </c>
      <c r="F169" s="56">
        <v>125907641</v>
      </c>
      <c r="G169" s="81">
        <v>0.25</v>
      </c>
      <c r="H169" s="87"/>
      <c r="J169" s="18"/>
      <c r="K169" s="16"/>
      <c r="L169" s="87"/>
      <c r="M169" s="54"/>
      <c r="N169" s="54"/>
      <c r="O169" s="54"/>
      <c r="P169" s="91">
        <v>1247789000</v>
      </c>
      <c r="Q169" s="73">
        <v>119687000</v>
      </c>
      <c r="R169" s="73">
        <f>IF(Tabela3[[#This Row],[Ativo || Passivo]]&gt;0,Tabela3[[#This Row],[Ativo || Passivo]]-Tabela3[[#This Row],[Patrimônio Líquido]],0)</f>
        <v>0</v>
      </c>
      <c r="S169" s="73">
        <f>Tabela3[[#This Row],[Cotação]]*Tabela3[[#This Row],[Total Ações]]</f>
        <v>1947791206.27</v>
      </c>
      <c r="T169" s="37">
        <f>IF(Tabela3[[#This Row],[Passivo Circulante]]&gt;0,Tabela3[[#This Row],[Ativo Circulante]]/Tabela3[[#This Row],[Passivo Circulante]],0)</f>
        <v>0</v>
      </c>
      <c r="U169" s="37">
        <f>SUMPRODUCT(N([Liquidez Corrente]&gt;0),N(RIGHT([PAPEL],LEN([PAPEL])-(LEN([PAPEL])-1))="3"),[Liquidez Corrente])/SUMPRODUCT(N([Liquidez Corrente]&gt;0),N(RIGHT([PAPEL],LEN([PAPEL])-(LEN([PAPEL])-1))="3"))</f>
        <v>2.331224473064915</v>
      </c>
      <c r="V169" s="18">
        <f>IF(Tabela3[[#This Row],[Lucro Líquido]]&gt;0,Tabela3[[#This Row],[Lucro Líquido]]/Tabela3[[#This Row],[Patrimônio Líquido]],0)</f>
        <v>9.5919261990608989E-2</v>
      </c>
      <c r="W169" s="18">
        <f>SUMPRODUCT(N([Rentabilidade s/ PL]&gt;0),N(RIGHT([PAPEL],LEN([PAPEL])-(LEN([PAPEL])-1))="3"),[Rentabilidade s/ PL])/SUMPRODUCT(N([Rentabilidade s/ PL]&gt;0),N(RIGHT([PAPEL],LEN([PAPEL])-(LEN([PAPEL])-1))="3"))</f>
        <v>0.1261051308670782</v>
      </c>
      <c r="X169" s="18">
        <f>IF(Tabela3[[#This Row],[Dívida]]&gt;0,Tabela3[[#This Row],[Dívida]]/Tabela3[[#This Row],[Patrimônio Líquido]],0)</f>
        <v>0</v>
      </c>
      <c r="Y169" s="18">
        <f>SUMPRODUCT(N([Dívida / PL]&gt;0),N(RIGHT([PAPEL],LEN([PAPEL])-(LEN([PAPEL])-1))="3"),[Dívida / PL])/SUMPRODUCT(N([Dívida / PL]&gt;0),N(RIGHT([PAPEL],LEN([PAPEL])-(LEN([PAPEL])-1))="3"))</f>
        <v>2.1510410379481146</v>
      </c>
      <c r="Z169" s="7">
        <f>Tabela3[[#This Row],[Capital Social]]*20%</f>
        <v>184398650.35000002</v>
      </c>
      <c r="AA169" s="47">
        <f>IF(([Lucro Líquido]*5%)&gt;[Teto R. Legal],[Teto R. Legal],[Lucro Líquido]*5%)</f>
        <v>5984350</v>
      </c>
      <c r="AB169" s="47">
        <f>IF([Lucro Líquido]&lt;0,0,[Lucro Líquido]-[Reserva Legal])</f>
        <v>113702650</v>
      </c>
      <c r="AC169" s="47">
        <f>Tabela3[[#This Row],[Lucro Distribuir]]*[%Div]</f>
        <v>28425662.5</v>
      </c>
      <c r="AD169" s="56">
        <f>SUMPRODUCT(N([Nome]=Tabela3[[#This Row],[Nome]]),[Ações])</f>
        <v>125907641</v>
      </c>
      <c r="AE169" s="85">
        <f>[Capital Social]/[Total Ações]</f>
        <v>7.3227744116816549</v>
      </c>
      <c r="AF169" s="85">
        <f>Tabela3[[#This Row],[Lucro Líquido]]/Tabela3[[#This Row],[Total Ações]]</f>
        <v>0.95059361806325959</v>
      </c>
      <c r="AG169" s="85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0.22576598429002415</v>
      </c>
      <c r="AH169" s="85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169" s="77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169" s="85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0.22576598429002415</v>
      </c>
      <c r="AK169" s="7">
        <f>[Div Base]*[Ações]</f>
        <v>28425662.5</v>
      </c>
      <c r="AL169" s="120">
        <f>SUMPRODUCT(N([Nome]=Tabela3[[#This Row],[Nome]]),[Div Base]*[Ações])</f>
        <v>28425662.5</v>
      </c>
      <c r="AM169" s="5">
        <f>[Patrimônio Líquido]/[Total Ações]</f>
        <v>9.9103516680135399</v>
      </c>
      <c r="AN169" s="52">
        <f>MAX(Tabela3[[#This Row],[Cotação 1]:[Cotação 5]])</f>
        <v>15.47</v>
      </c>
      <c r="AO169" s="53">
        <f>[Cotação]/[VPA]</f>
        <v>1.5609940512939289</v>
      </c>
      <c r="AP169" s="37">
        <f>IF(Tabela3[[#This Row],[Lucro/Ação]]&gt;0,Tabela3[[#This Row],[Cotação]]/(Tabela3[[#This Row],[Lucro/Ação]]/[Ref]*4),0)</f>
        <v>12.20553113289246</v>
      </c>
      <c r="AQ169" s="85">
        <f>[Lucro Distribuir]/[Total Ações]</f>
        <v>0.90306393716009659</v>
      </c>
      <c r="AR169" s="85">
        <f>IF([Unit ON]&gt;0,SUMPRODUCT(N([Nome]=Tabela3[[#This Row],[Nome]]),N(RIGHT([PAPEL],1)="3"),[Div Base])*[Unit ON]+SUMPRODUCT(N([Nome]=Tabela3[[#This Row],[Nome]]),N(RIGHT([PAPEL],1)="4"),[Div Base])*[Unit PN],[Div Base])</f>
        <v>0.22576598429002415</v>
      </c>
      <c r="AS169" s="10" t="str">
        <f>IF(AND([% A.A.]&gt;=6%,SUMPRODUCT(N([Nome]=Tabela3[[#This Row],[Nome]]),[PL])&gt;0,[Rentabilidade s/ PL]&gt;=[Rentabilidade s/ PL Média]),"Sim","Não")</f>
        <v>Não</v>
      </c>
      <c r="AT169" s="22">
        <f>IF([Cotação]&gt;0,Tabela3[[#This Row],[Lucro]]/Tabela3[[#This Row],[Cotação]],0)</f>
        <v>1.4593793425340926E-2</v>
      </c>
      <c r="AU169" s="22">
        <f>((1+Tabela3[[#This Row],[% Yield]])^(1/(3*Tabela3[[#This Row],[Ref]])))^(12)-1</f>
        <v>1.9505567293784942E-2</v>
      </c>
      <c r="AV169" s="10">
        <f>IF([Cotação]&gt;0,($BH$1/Tabela3[[#This Row],[Cotação]]-MOD($BH$1/Tabela3[[#This Row],[Cotação]],100)),)</f>
        <v>0</v>
      </c>
      <c r="AW169" s="7">
        <f>Tabela3[[#This Row],[Ativos]]*[Lucro]</f>
        <v>0</v>
      </c>
      <c r="AX169" s="7">
        <f>SUMPRODUCT(N(Tabela1[Código]=Tabela3[[#This Row],[PAPEL]]),Tabela1[Fechamento])</f>
        <v>0</v>
      </c>
      <c r="AY169" s="7">
        <f>SUMPRODUCT(N(Tabela17[Código]=Tabela3[[#This Row],[PAPEL]]),Tabela17[Fechamento])</f>
        <v>0</v>
      </c>
      <c r="AZ169" s="7">
        <f>SUMPRODUCT(N(Tabela176[Código]=Tabela3[[#This Row],[PAPEL]]),Tabela176[Fechamento])</f>
        <v>0</v>
      </c>
      <c r="BA169" s="7">
        <f>SUMPRODUCT(N(Tabela1768[Código]=Tabela3[[#This Row],[PAPEL]]),Tabela1768[Fechamento])</f>
        <v>0</v>
      </c>
      <c r="BB169" s="7">
        <f>SUMPRODUCT(N(Tabela17683[Código]=Tabela3[[#This Row],[PAPEL]]),Tabela17683[Fechamento])</f>
        <v>15.47</v>
      </c>
    </row>
    <row r="170" spans="1:54">
      <c r="A170" s="3" t="s">
        <v>887</v>
      </c>
      <c r="B170" s="58" t="s">
        <v>888</v>
      </c>
      <c r="C170" s="16" t="str">
        <f>LEFT([PAPEL],LEN([PAPEL])-(LEN([PAPEL])-4))</f>
        <v>CVCB</v>
      </c>
      <c r="D170" s="16">
        <v>4</v>
      </c>
      <c r="E170" s="5">
        <v>82728124.230000004</v>
      </c>
      <c r="F170" s="56">
        <v>129729000</v>
      </c>
      <c r="G170" s="81">
        <v>0.25</v>
      </c>
      <c r="H170" s="87"/>
      <c r="J170" s="18"/>
      <c r="K170" s="16"/>
      <c r="L170" s="87"/>
      <c r="M170" s="54">
        <v>2066845000</v>
      </c>
      <c r="N170" s="54">
        <v>1733400000</v>
      </c>
      <c r="O170" s="54">
        <v>1633696000</v>
      </c>
      <c r="P170" s="91">
        <v>316281000</v>
      </c>
      <c r="Q170" s="73">
        <v>111682000</v>
      </c>
      <c r="R170" s="73">
        <f>IF(Tabela3[[#This Row],[Ativo || Passivo]]&gt;0,Tabela3[[#This Row],[Ativo || Passivo]]-Tabela3[[#This Row],[Patrimônio Líquido]],0)</f>
        <v>1750564000</v>
      </c>
      <c r="S170" s="73">
        <f>Tabela3[[#This Row],[Cotação]]*Tabela3[[#This Row],[Total Ações]]</f>
        <v>1591774830</v>
      </c>
      <c r="T170" s="37">
        <f>IF(Tabela3[[#This Row],[Passivo Circulante]]&gt;0,Tabela3[[#This Row],[Ativo Circulante]]/Tabela3[[#This Row],[Passivo Circulante]],0)</f>
        <v>1.0610297142185572</v>
      </c>
      <c r="U170" s="37">
        <f>SUMPRODUCT(N([Liquidez Corrente]&gt;0),N(RIGHT([PAPEL],LEN([PAPEL])-(LEN([PAPEL])-1))="3"),[Liquidez Corrente])/SUMPRODUCT(N([Liquidez Corrente]&gt;0),N(RIGHT([PAPEL],LEN([PAPEL])-(LEN([PAPEL])-1))="3"))</f>
        <v>2.331224473064915</v>
      </c>
      <c r="V170" s="18">
        <f>IF(Tabela3[[#This Row],[Lucro Líquido]]&gt;0,Tabela3[[#This Row],[Lucro Líquido]]/Tabela3[[#This Row],[Patrimônio Líquido]],0)</f>
        <v>0.35311005087248365</v>
      </c>
      <c r="W170" s="18">
        <f>SUMPRODUCT(N([Rentabilidade s/ PL]&gt;0),N(RIGHT([PAPEL],LEN([PAPEL])-(LEN([PAPEL])-1))="3"),[Rentabilidade s/ PL])/SUMPRODUCT(N([Rentabilidade s/ PL]&gt;0),N(RIGHT([PAPEL],LEN([PAPEL])-(LEN([PAPEL])-1))="3"))</f>
        <v>0.1261051308670782</v>
      </c>
      <c r="X170" s="18">
        <f>IF(Tabela3[[#This Row],[Dívida]]&gt;0,Tabela3[[#This Row],[Dívida]]/Tabela3[[#This Row],[Patrimônio Líquido]],0)</f>
        <v>5.5348376917993809</v>
      </c>
      <c r="Y170" s="18">
        <f>SUMPRODUCT(N([Dívida / PL]&gt;0),N(RIGHT([PAPEL],LEN([PAPEL])-(LEN([PAPEL])-1))="3"),[Dívida / PL])/SUMPRODUCT(N([Dívida / PL]&gt;0),N(RIGHT([PAPEL],LEN([PAPEL])-(LEN([PAPEL])-1))="3"))</f>
        <v>2.1510410379481146</v>
      </c>
      <c r="Z170" s="7">
        <f>Tabela3[[#This Row],[Capital Social]]*20%</f>
        <v>16545624.846000001</v>
      </c>
      <c r="AA170" s="47">
        <f>IF(([Lucro Líquido]*5%)&gt;[Teto R. Legal],[Teto R. Legal],[Lucro Líquido]*5%)</f>
        <v>5584100</v>
      </c>
      <c r="AB170" s="47">
        <f>IF([Lucro Líquido]&lt;0,0,[Lucro Líquido]-[Reserva Legal])</f>
        <v>106097900</v>
      </c>
      <c r="AC170" s="47">
        <f>Tabela3[[#This Row],[Lucro Distribuir]]*[%Div]</f>
        <v>26524475</v>
      </c>
      <c r="AD170" s="56">
        <f>SUMPRODUCT(N([Nome]=Tabela3[[#This Row],[Nome]]),[Ações])</f>
        <v>129729000</v>
      </c>
      <c r="AE170" s="85">
        <f>[Capital Social]/[Total Ações]</f>
        <v>0.63769954466618883</v>
      </c>
      <c r="AF170" s="85">
        <f>Tabela3[[#This Row],[Lucro Líquido]]/Tabela3[[#This Row],[Total Ações]]</f>
        <v>0.86088692582229109</v>
      </c>
      <c r="AG170" s="85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0.20446064488279414</v>
      </c>
      <c r="AH170" s="85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170" s="77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170" s="85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0.20446064488279414</v>
      </c>
      <c r="AK170" s="7">
        <f>[Div Base]*[Ações]</f>
        <v>26524475</v>
      </c>
      <c r="AL170" s="7">
        <f>SUMPRODUCT(N([Nome]=Tabela3[[#This Row],[Nome]]),[Div Base]*[Ações])</f>
        <v>26524475</v>
      </c>
      <c r="AM170" s="5">
        <f>[Patrimônio Líquido]/[Total Ações]</f>
        <v>2.4380130888236247</v>
      </c>
      <c r="AN170" s="52">
        <f>MAX(Tabela3[[#This Row],[Cotação 1]:[Cotação 5]])</f>
        <v>12.27</v>
      </c>
      <c r="AO170" s="53">
        <f>[Cotação]/[VPA]</f>
        <v>5.0327867624043172</v>
      </c>
      <c r="AP170" s="37">
        <f>IF(Tabela3[[#This Row],[Lucro/Ação]]&gt;0,Tabela3[[#This Row],[Cotação]]/(Tabela3[[#This Row],[Lucro/Ação]]/[Ref]*4),0)</f>
        <v>14.252742877097473</v>
      </c>
      <c r="AQ170" s="85">
        <f>[Lucro Distribuir]/[Total Ações]</f>
        <v>0.81784257953117656</v>
      </c>
      <c r="AR170" s="85">
        <f>IF([Unit ON]&gt;0,SUMPRODUCT(N([Nome]=Tabela3[[#This Row],[Nome]]),N(RIGHT([PAPEL],1)="3"),[Div Base])*[Unit ON]+SUMPRODUCT(N([Nome]=Tabela3[[#This Row],[Nome]]),N(RIGHT([PAPEL],1)="4"),[Div Base])*[Unit PN],[Div Base])</f>
        <v>0.20446064488279414</v>
      </c>
      <c r="AS170" s="10" t="str">
        <f>IF(AND([% A.A.]&gt;=6%,SUMPRODUCT(N([Nome]=Tabela3[[#This Row],[Nome]]),[PL])&gt;0,[Rentabilidade s/ PL]&gt;=[Rentabilidade s/ PL Média]),"Sim","Não")</f>
        <v>Não</v>
      </c>
      <c r="AT170" s="22">
        <f>IF([Cotação]&gt;0,Tabela3[[#This Row],[Lucro]]/Tabela3[[#This Row],[Cotação]],0)</f>
        <v>1.6663459240651518E-2</v>
      </c>
      <c r="AU170" s="22">
        <f>((1+Tabela3[[#This Row],[% Yield]])^(1/(3*Tabela3[[#This Row],[Ref]])))^(12)-1</f>
        <v>1.6663459240652045E-2</v>
      </c>
      <c r="AV170" s="10">
        <f>IF([Cotação]&gt;0,($BH$1/Tabela3[[#This Row],[Cotação]]-MOD($BH$1/Tabela3[[#This Row],[Cotação]],100)),)</f>
        <v>0</v>
      </c>
      <c r="AW170" s="7">
        <f>Tabela3[[#This Row],[Ativos]]*[Lucro]</f>
        <v>0</v>
      </c>
      <c r="AX170" s="7">
        <f>SUMPRODUCT(N(Tabela1[Código]=Tabela3[[#This Row],[PAPEL]]),Tabela1[Fechamento])</f>
        <v>0</v>
      </c>
      <c r="AY170" s="7">
        <f>SUMPRODUCT(N(Tabela17[Código]=Tabela3[[#This Row],[PAPEL]]),Tabela17[Fechamento])</f>
        <v>0</v>
      </c>
      <c r="AZ170" s="7">
        <f>SUMPRODUCT(N(Tabela176[Código]=Tabela3[[#This Row],[PAPEL]]),Tabela176[Fechamento])</f>
        <v>0</v>
      </c>
      <c r="BA170" s="7">
        <f>SUMPRODUCT(N(Tabela1768[Código]=Tabela3[[#This Row],[PAPEL]]),Tabela1768[Fechamento])</f>
        <v>12.27</v>
      </c>
      <c r="BB170" s="7">
        <f>SUMPRODUCT(N(Tabela17683[Código]=Tabela3[[#This Row],[PAPEL]]),Tabela17683[Fechamento])</f>
        <v>0</v>
      </c>
    </row>
    <row r="171" spans="1:54" hidden="1">
      <c r="A171" s="3" t="s">
        <v>283</v>
      </c>
      <c r="B171" s="58" t="s">
        <v>281</v>
      </c>
      <c r="C171" s="16" t="str">
        <f>LEFT([PAPEL],LEN([PAPEL])-(LEN([PAPEL])-4))</f>
        <v>VIGR</v>
      </c>
      <c r="D171" s="16">
        <v>3</v>
      </c>
      <c r="E171" s="5">
        <v>1191378411.71</v>
      </c>
      <c r="F171" s="56">
        <v>149714346</v>
      </c>
      <c r="G171" s="81">
        <v>0.25</v>
      </c>
      <c r="H171" s="87"/>
      <c r="J171" s="18"/>
      <c r="K171" s="16"/>
      <c r="L171" s="87"/>
      <c r="M171" s="54"/>
      <c r="N171" s="54"/>
      <c r="O171" s="54"/>
      <c r="P171" s="91">
        <v>1326579000</v>
      </c>
      <c r="Q171" s="73">
        <v>106731000</v>
      </c>
      <c r="R171" s="73">
        <f>IF(Tabela3[[#This Row],[Ativo || Passivo]]&gt;0,Tabela3[[#This Row],[Ativo || Passivo]]-Tabela3[[#This Row],[Patrimônio Líquido]],0)</f>
        <v>0</v>
      </c>
      <c r="S171" s="73">
        <f>Tabela3[[#This Row],[Cotação]]*Tabela3[[#This Row],[Total Ações]]</f>
        <v>1048000422</v>
      </c>
      <c r="T171" s="37">
        <f>IF(Tabela3[[#This Row],[Passivo Circulante]]&gt;0,Tabela3[[#This Row],[Ativo Circulante]]/Tabela3[[#This Row],[Passivo Circulante]],0)</f>
        <v>0</v>
      </c>
      <c r="U171" s="37">
        <f>SUMPRODUCT(N([Liquidez Corrente]&gt;0),N(RIGHT([PAPEL],LEN([PAPEL])-(LEN([PAPEL])-1))="3"),[Liquidez Corrente])/SUMPRODUCT(N([Liquidez Corrente]&gt;0),N(RIGHT([PAPEL],LEN([PAPEL])-(LEN([PAPEL])-1))="3"))</f>
        <v>2.331224473064915</v>
      </c>
      <c r="V171" s="18">
        <f>IF(Tabela3[[#This Row],[Lucro Líquido]]&gt;0,Tabela3[[#This Row],[Lucro Líquido]]/Tabela3[[#This Row],[Patrimônio Líquido]],0)</f>
        <v>8.04558190654307E-2</v>
      </c>
      <c r="W171" s="18">
        <f>SUMPRODUCT(N([Rentabilidade s/ PL]&gt;0),N(RIGHT([PAPEL],LEN([PAPEL])-(LEN([PAPEL])-1))="3"),[Rentabilidade s/ PL])/SUMPRODUCT(N([Rentabilidade s/ PL]&gt;0),N(RIGHT([PAPEL],LEN([PAPEL])-(LEN([PAPEL])-1))="3"))</f>
        <v>0.1261051308670782</v>
      </c>
      <c r="X171" s="18">
        <f>IF(Tabela3[[#This Row],[Dívida]]&gt;0,Tabela3[[#This Row],[Dívida]]/Tabela3[[#This Row],[Patrimônio Líquido]],0)</f>
        <v>0</v>
      </c>
      <c r="Y171" s="18">
        <f>SUMPRODUCT(N([Dívida / PL]&gt;0),N(RIGHT([PAPEL],LEN([PAPEL])-(LEN([PAPEL])-1))="3"),[Dívida / PL])/SUMPRODUCT(N([Dívida / PL]&gt;0),N(RIGHT([PAPEL],LEN([PAPEL])-(LEN([PAPEL])-1))="3"))</f>
        <v>2.1510410379481146</v>
      </c>
      <c r="Z171" s="7">
        <f>Tabela3[[#This Row],[Capital Social]]*20%</f>
        <v>238275682.34200001</v>
      </c>
      <c r="AA171" s="47">
        <f>IF(([Lucro Líquido]*5%)&gt;[Teto R. Legal],[Teto R. Legal],[Lucro Líquido]*5%)</f>
        <v>5336550</v>
      </c>
      <c r="AB171" s="47">
        <f>IF([Lucro Líquido]&lt;0,0,[Lucro Líquido]-[Reserva Legal])</f>
        <v>101394450</v>
      </c>
      <c r="AC171" s="47">
        <f>Tabela3[[#This Row],[Lucro Distribuir]]*[%Div]</f>
        <v>25348612.5</v>
      </c>
      <c r="AD171" s="56">
        <f>SUMPRODUCT(N([Nome]=Tabela3[[#This Row],[Nome]]),[Ações])</f>
        <v>149714346</v>
      </c>
      <c r="AE171" s="85">
        <f>[Capital Social]/[Total Ações]</f>
        <v>7.9576770265556247</v>
      </c>
      <c r="AF171" s="85">
        <f>Tabela3[[#This Row],[Lucro Líquido]]/Tabela3[[#This Row],[Total Ações]]</f>
        <v>0.71289761369962501</v>
      </c>
      <c r="AG171" s="85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0.16931318325366093</v>
      </c>
      <c r="AH171" s="85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171" s="77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171" s="85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0.16931318325366093</v>
      </c>
      <c r="AK171" s="7">
        <f>[Div Base]*[Ações]</f>
        <v>25348612.5</v>
      </c>
      <c r="AL171" s="7">
        <f>SUMPRODUCT(N([Nome]=Tabela3[[#This Row],[Nome]]),[Div Base]*[Ações])</f>
        <v>25348612.5</v>
      </c>
      <c r="AM171" s="5">
        <f>[Patrimônio Líquido]/[Total Ações]</f>
        <v>8.8607340274525193</v>
      </c>
      <c r="AN171" s="52">
        <f>MAX(Tabela3[[#This Row],[Cotação 1]:[Cotação 5]])</f>
        <v>7</v>
      </c>
      <c r="AO171" s="53">
        <f>[Cotação]/[VPA]</f>
        <v>0.7900022705017945</v>
      </c>
      <c r="AP171" s="37">
        <f>IF(Tabela3[[#This Row],[Lucro/Ação]]&gt;0,Tabela3[[#This Row],[Cotação]]/(Tabela3[[#This Row],[Lucro/Ação]]/[Ref]*4),0)</f>
        <v>7.3643113668943414</v>
      </c>
      <c r="AQ171" s="85">
        <f>[Lucro Distribuir]/[Total Ações]</f>
        <v>0.67725273301464373</v>
      </c>
      <c r="AR171" s="85">
        <f>IF([Unit ON]&gt;0,SUMPRODUCT(N([Nome]=Tabela3[[#This Row],[Nome]]),N(RIGHT([PAPEL],1)="3"),[Div Base])*[Unit ON]+SUMPRODUCT(N([Nome]=Tabela3[[#This Row],[Nome]]),N(RIGHT([PAPEL],1)="4"),[Div Base])*[Unit PN],[Div Base])</f>
        <v>0.16931318325366093</v>
      </c>
      <c r="AS171" s="10" t="str">
        <f>IF(AND([% A.A.]&gt;=6%,SUMPRODUCT(N([Nome]=Tabela3[[#This Row],[Nome]]),[PL])&gt;0,[Rentabilidade s/ PL]&gt;=[Rentabilidade s/ PL Média]),"Sim","Não")</f>
        <v>Não</v>
      </c>
      <c r="AT171" s="22">
        <f>IF([Cotação]&gt;0,Tabela3[[#This Row],[Lucro]]/Tabela3[[#This Row],[Cotação]],0)</f>
        <v>2.4187597607665846E-2</v>
      </c>
      <c r="AU171" s="22">
        <f>((1+Tabela3[[#This Row],[% Yield]])^(1/(3*Tabela3[[#This Row],[Ref]])))^(12)-1</f>
        <v>3.2379447157985464E-2</v>
      </c>
      <c r="AV171" s="10">
        <f>IF([Cotação]&gt;0,($BH$1/Tabela3[[#This Row],[Cotação]]-MOD($BH$1/Tabela3[[#This Row],[Cotação]],100)),)</f>
        <v>0</v>
      </c>
      <c r="AW171" s="7">
        <f>Tabela3[[#This Row],[Ativos]]*[Lucro]</f>
        <v>0</v>
      </c>
      <c r="AX171" s="7">
        <f>SUMPRODUCT(N(Tabela1[Código]=Tabela3[[#This Row],[PAPEL]]),Tabela1[Fechamento])</f>
        <v>0</v>
      </c>
      <c r="AY171" s="7">
        <f>SUMPRODUCT(N(Tabela17[Código]=Tabela3[[#This Row],[PAPEL]]),Tabela17[Fechamento])</f>
        <v>7</v>
      </c>
      <c r="AZ171" s="7">
        <f>SUMPRODUCT(N(Tabela176[Código]=Tabela3[[#This Row],[PAPEL]]),Tabela176[Fechamento])</f>
        <v>7</v>
      </c>
      <c r="BA171" s="7">
        <f>SUMPRODUCT(N(Tabela1768[Código]=Tabela3[[#This Row],[PAPEL]]),Tabela1768[Fechamento])</f>
        <v>0</v>
      </c>
      <c r="BB171" s="7">
        <f>SUMPRODUCT(N(Tabela17683[Código]=Tabela3[[#This Row],[PAPEL]]),Tabela17683[Fechamento])</f>
        <v>0</v>
      </c>
    </row>
    <row r="172" spans="1:54" hidden="1">
      <c r="A172" s="4" t="s">
        <v>14</v>
      </c>
      <c r="B172" s="57" t="s">
        <v>576</v>
      </c>
      <c r="C172" s="14" t="str">
        <f>LEFT([PAPEL],LEN([PAPEL])-(LEN([PAPEL])-4))</f>
        <v>PRBC</v>
      </c>
      <c r="D172" s="15">
        <v>3</v>
      </c>
      <c r="E172" s="6">
        <v>763866648</v>
      </c>
      <c r="F172" s="8">
        <v>56724976</v>
      </c>
      <c r="G172" s="86">
        <v>0.25</v>
      </c>
      <c r="H172" s="19"/>
      <c r="I172" s="19"/>
      <c r="J172" s="19"/>
      <c r="K172" s="88"/>
      <c r="L172" s="88"/>
      <c r="M172" s="55"/>
      <c r="N172" s="55"/>
      <c r="O172" s="55"/>
      <c r="P172" s="6">
        <v>1279731000</v>
      </c>
      <c r="Q172" s="6">
        <v>103137000</v>
      </c>
      <c r="R172" s="6">
        <f>IF(Tabela3[[#This Row],[Ativo || Passivo]]&gt;0,Tabela3[[#This Row],[Ativo || Passivo]]-Tabela3[[#This Row],[Patrimônio Líquido]],0)</f>
        <v>0</v>
      </c>
      <c r="S172" s="6">
        <f>Tabela3[[#This Row],[Cotação]]*Tabela3[[#This Row],[Total Ações]]</f>
        <v>0</v>
      </c>
      <c r="T172" s="132">
        <f>IF(Tabela3[[#This Row],[Passivo Circulante]]&gt;0,Tabela3[[#This Row],[Ativo Circulante]]/Tabela3[[#This Row],[Passivo Circulante]],0)</f>
        <v>0</v>
      </c>
      <c r="U172" s="132">
        <f>SUMPRODUCT(N([Liquidez Corrente]&gt;0),N(RIGHT([PAPEL],LEN([PAPEL])-(LEN([PAPEL])-1))="3"),[Liquidez Corrente])/SUMPRODUCT(N([Liquidez Corrente]&gt;0),N(RIGHT([PAPEL],LEN([PAPEL])-(LEN([PAPEL])-1))="3"))</f>
        <v>2.331224473064915</v>
      </c>
      <c r="V172" s="19">
        <f>IF(Tabela3[[#This Row],[Lucro Líquido]]&gt;0,Tabela3[[#This Row],[Lucro Líquido]]/Tabela3[[#This Row],[Patrimônio Líquido]],0)</f>
        <v>8.0592718313458059E-2</v>
      </c>
      <c r="W172" s="19">
        <f>SUMPRODUCT(N([Rentabilidade s/ PL]&gt;0),N(RIGHT([PAPEL],LEN([PAPEL])-(LEN([PAPEL])-1))="3"),[Rentabilidade s/ PL])/SUMPRODUCT(N([Rentabilidade s/ PL]&gt;0),N(RIGHT([PAPEL],LEN([PAPEL])-(LEN([PAPEL])-1))="3"))</f>
        <v>0.1261051308670782</v>
      </c>
      <c r="X172" s="19">
        <f>IF(Tabela3[[#This Row],[Dívida]]&gt;0,Tabela3[[#This Row],[Dívida]]/Tabela3[[#This Row],[Patrimônio Líquido]],0)</f>
        <v>0</v>
      </c>
      <c r="Y172" s="19">
        <f>SUMPRODUCT(N([Dívida / PL]&gt;0),N(RIGHT([PAPEL],LEN([PAPEL])-(LEN([PAPEL])-1))="3"),[Dívida / PL])/SUMPRODUCT(N([Dívida / PL]&gt;0),N(RIGHT([PAPEL],LEN([PAPEL])-(LEN([PAPEL])-1))="3"))</f>
        <v>2.1510410379481146</v>
      </c>
      <c r="Z172" s="6">
        <f>Tabela3[[#This Row],[Capital Social]]*20%</f>
        <v>152773329.59999999</v>
      </c>
      <c r="AA172" s="6">
        <f>IF(([Lucro Líquido]*5%)&gt;[Teto R. Legal],[Teto R. Legal],[Lucro Líquido]*5%)</f>
        <v>5156850</v>
      </c>
      <c r="AB172" s="6">
        <f>IF([Lucro Líquido]&lt;0,0,[Lucro Líquido]-[Reserva Legal])</f>
        <v>97980150</v>
      </c>
      <c r="AC172" s="6">
        <f>Tabela3[[#This Row],[Lucro Distribuir]]*[%Div]</f>
        <v>24495037.5</v>
      </c>
      <c r="AD172" s="21">
        <f>SUMPRODUCT(N([Nome]=Tabela3[[#This Row],[Nome]]),[Ações])</f>
        <v>87289932</v>
      </c>
      <c r="AE172" s="6">
        <f>[Capital Social]/[Total Ações]</f>
        <v>8.7509135417816566</v>
      </c>
      <c r="AF172" s="78">
        <f>Tabela3[[#This Row],[Lucro Líquido]]/Tabela3[[#This Row],[Total Ações]]</f>
        <v>1.181545198133503</v>
      </c>
      <c r="AG172" s="78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0.28061698455670697</v>
      </c>
      <c r="AH172" s="78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172" s="78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172" s="78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0.28061698455670697</v>
      </c>
      <c r="AK172" s="6">
        <f>[Div Base]*[Ações]</f>
        <v>15917991.714171574</v>
      </c>
      <c r="AL172" s="6">
        <f>SUMPRODUCT(N([Nome]=Tabela3[[#This Row],[Nome]]),[Div Base]*[Ações])</f>
        <v>24495037.5</v>
      </c>
      <c r="AM172" s="6">
        <f>[Patrimônio Líquido]/[Total Ações]</f>
        <v>14.660694202396675</v>
      </c>
      <c r="AN172" s="48">
        <f>MAX(Tabela3[[#This Row],[Cotação 1]:[Cotação 5]])</f>
        <v>0</v>
      </c>
      <c r="AO172" s="44">
        <f>[Cotação]/[VPA]</f>
        <v>0</v>
      </c>
      <c r="AP172" s="40">
        <f>IF(Tabela3[[#This Row],[Lucro/Ação]]&gt;0,Tabela3[[#This Row],[Cotação]]/(Tabela3[[#This Row],[Lucro/Ação]]/[Ref]*4),0)</f>
        <v>0</v>
      </c>
      <c r="AQ172" s="78">
        <f>[Lucro Distribuir]/[Total Ações]</f>
        <v>1.1224679382268279</v>
      </c>
      <c r="AR172" s="78">
        <f>IF([Unit ON]&gt;0,SUMPRODUCT(N([Nome]=Tabela3[[#This Row],[Nome]]),N(RIGHT([PAPEL],1)="3"),[Div Base])*[Unit ON]+SUMPRODUCT(N([Nome]=Tabela3[[#This Row],[Nome]]),N(RIGHT([PAPEL],1)="4"),[Div Base])*[Unit PN],[Div Base])</f>
        <v>0.28061698455670697</v>
      </c>
      <c r="AS172" s="15" t="str">
        <f>IF(AND([% A.A.]&gt;=6%,SUMPRODUCT(N([Nome]=Tabela3[[#This Row],[Nome]]),[PL])&gt;0,[Rentabilidade s/ PL]&gt;=[Rentabilidade s/ PL Média]),"Sim","Não")</f>
        <v>Não</v>
      </c>
      <c r="AT172" s="42">
        <f>IF([Cotação]&gt;0,Tabela3[[#This Row],[Lucro]]/Tabela3[[#This Row],[Cotação]],0)</f>
        <v>0</v>
      </c>
      <c r="AU172" s="19">
        <f>((1+Tabela3[[#This Row],[% Yield]])^(1/(3*Tabela3[[#This Row],[Ref]])))^(12)-1</f>
        <v>0</v>
      </c>
      <c r="AV172" s="14">
        <f>IF([Cotação]&gt;0,($BH$1/Tabela3[[#This Row],[Cotação]]-MOD($BH$1/Tabela3[[#This Row],[Cotação]],100)),)</f>
        <v>0</v>
      </c>
      <c r="AW172" s="17">
        <f>Tabela3[[#This Row],[Ativos]]*[Lucro]</f>
        <v>0</v>
      </c>
      <c r="AX172" s="5">
        <f>SUMPRODUCT(N(Tabela1[Código]=Tabela3[[#This Row],[PAPEL]]),Tabela1[Fechamento])</f>
        <v>0</v>
      </c>
      <c r="AY172" s="5">
        <f>SUMPRODUCT(N(Tabela17[Código]=Tabela3[[#This Row],[PAPEL]]),Tabela17[Fechamento])</f>
        <v>0</v>
      </c>
      <c r="AZ172" s="7">
        <f>SUMPRODUCT(N(Tabela176[Código]=Tabela3[[#This Row],[PAPEL]]),Tabela176[Fechamento])</f>
        <v>0</v>
      </c>
      <c r="BA172" s="7">
        <f>SUMPRODUCT(N(Tabela1768[Código]=Tabela3[[#This Row],[PAPEL]]),Tabela1768[Fechamento])</f>
        <v>0</v>
      </c>
      <c r="BB172" s="7">
        <f>SUMPRODUCT(N(Tabela17683[Código]=Tabela3[[#This Row],[PAPEL]]),Tabela17683[Fechamento])</f>
        <v>0</v>
      </c>
    </row>
    <row r="173" spans="1:54" hidden="1">
      <c r="A173" s="4" t="s">
        <v>14</v>
      </c>
      <c r="B173" s="57" t="s">
        <v>82</v>
      </c>
      <c r="C173" s="15" t="str">
        <f>LEFT([PAPEL],LEN([PAPEL])-(LEN([PAPEL])-4))</f>
        <v>PRBC</v>
      </c>
      <c r="D173" s="15">
        <v>3</v>
      </c>
      <c r="E173" s="6">
        <v>763866648</v>
      </c>
      <c r="F173" s="8">
        <v>30564956</v>
      </c>
      <c r="G173" s="86">
        <v>0.25</v>
      </c>
      <c r="H173" s="15"/>
      <c r="I173" s="19"/>
      <c r="J173" s="19"/>
      <c r="K173" s="88"/>
      <c r="L173" s="88"/>
      <c r="M173" s="55"/>
      <c r="N173" s="55"/>
      <c r="O173" s="55"/>
      <c r="P173" s="6">
        <v>1279731000</v>
      </c>
      <c r="Q173" s="6">
        <v>103137000</v>
      </c>
      <c r="R173" s="6">
        <f>IF(Tabela3[[#This Row],[Ativo || Passivo]]&gt;0,Tabela3[[#This Row],[Ativo || Passivo]]-Tabela3[[#This Row],[Patrimônio Líquido]],0)</f>
        <v>0</v>
      </c>
      <c r="S173" s="6">
        <f>Tabela3[[#This Row],[Cotação]]*Tabela3[[#This Row],[Total Ações]]</f>
        <v>927019077.83999991</v>
      </c>
      <c r="T173" s="132">
        <f>IF(Tabela3[[#This Row],[Passivo Circulante]]&gt;0,Tabela3[[#This Row],[Ativo Circulante]]/Tabela3[[#This Row],[Passivo Circulante]],0)</f>
        <v>0</v>
      </c>
      <c r="U173" s="132">
        <f>SUMPRODUCT(N([Liquidez Corrente]&gt;0),N(RIGHT([PAPEL],LEN([PAPEL])-(LEN([PAPEL])-1))="3"),[Liquidez Corrente])/SUMPRODUCT(N([Liquidez Corrente]&gt;0),N(RIGHT([PAPEL],LEN([PAPEL])-(LEN([PAPEL])-1))="3"))</f>
        <v>2.331224473064915</v>
      </c>
      <c r="V173" s="19">
        <f>IF(Tabela3[[#This Row],[Lucro Líquido]]&gt;0,Tabela3[[#This Row],[Lucro Líquido]]/Tabela3[[#This Row],[Patrimônio Líquido]],0)</f>
        <v>8.0592718313458059E-2</v>
      </c>
      <c r="W173" s="19">
        <f>SUMPRODUCT(N([Rentabilidade s/ PL]&gt;0),N(RIGHT([PAPEL],LEN([PAPEL])-(LEN([PAPEL])-1))="3"),[Rentabilidade s/ PL])/SUMPRODUCT(N([Rentabilidade s/ PL]&gt;0),N(RIGHT([PAPEL],LEN([PAPEL])-(LEN([PAPEL])-1))="3"))</f>
        <v>0.1261051308670782</v>
      </c>
      <c r="X173" s="19">
        <f>IF(Tabela3[[#This Row],[Dívida]]&gt;0,Tabela3[[#This Row],[Dívida]]/Tabela3[[#This Row],[Patrimônio Líquido]],0)</f>
        <v>0</v>
      </c>
      <c r="Y173" s="19">
        <f>SUMPRODUCT(N([Dívida / PL]&gt;0),N(RIGHT([PAPEL],LEN([PAPEL])-(LEN([PAPEL])-1))="3"),[Dívida / PL])/SUMPRODUCT(N([Dívida / PL]&gt;0),N(RIGHT([PAPEL],LEN([PAPEL])-(LEN([PAPEL])-1))="3"))</f>
        <v>2.1510410379481146</v>
      </c>
      <c r="Z173" s="6">
        <f>Tabela3[[#This Row],[Capital Social]]*20%</f>
        <v>152773329.59999999</v>
      </c>
      <c r="AA173" s="6">
        <f>IF(([Lucro Líquido]*5%)&gt;[Teto R. Legal],[Teto R. Legal],[Lucro Líquido]*5%)</f>
        <v>5156850</v>
      </c>
      <c r="AB173" s="6">
        <f>IF([Lucro Líquido]&lt;0,0,[Lucro Líquido]-[Reserva Legal])</f>
        <v>97980150</v>
      </c>
      <c r="AC173" s="6">
        <f>Tabela3[[#This Row],[Lucro Distribuir]]*[%Div]</f>
        <v>24495037.5</v>
      </c>
      <c r="AD173" s="21">
        <f>SUMPRODUCT(N([Nome]=Tabela3[[#This Row],[Nome]]),[Ações])</f>
        <v>87289932</v>
      </c>
      <c r="AE173" s="6">
        <f>[Capital Social]/[Total Ações]</f>
        <v>8.7509135417816566</v>
      </c>
      <c r="AF173" s="78">
        <f>Tabela3[[#This Row],[Lucro Líquido]]/Tabela3[[#This Row],[Total Ações]]</f>
        <v>1.181545198133503</v>
      </c>
      <c r="AG173" s="78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0.28061698455670697</v>
      </c>
      <c r="AH173" s="78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173" s="78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173" s="78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0.28061698455670697</v>
      </c>
      <c r="AK173" s="6">
        <f>[Div Base]*[Ações]</f>
        <v>8577045.7858284283</v>
      </c>
      <c r="AL173" s="6">
        <f>SUMPRODUCT(N([Nome]=Tabela3[[#This Row],[Nome]]),[Div Base]*[Ações])</f>
        <v>24495037.5</v>
      </c>
      <c r="AM173" s="6">
        <f>[Patrimônio Líquido]/[Total Ações]</f>
        <v>14.660694202396675</v>
      </c>
      <c r="AN173" s="48">
        <f>MAX(Tabela3[[#This Row],[Cotação 1]:[Cotação 5]])</f>
        <v>10.62</v>
      </c>
      <c r="AO173" s="44">
        <f>[Cotação]/[VPA]</f>
        <v>0.72438588878443977</v>
      </c>
      <c r="AP173" s="40">
        <f>IF(Tabela3[[#This Row],[Lucro/Ação]]&gt;0,Tabela3[[#This Row],[Cotação]]/(Tabela3[[#This Row],[Lucro/Ação]]/[Ref]*4),0)</f>
        <v>6.7411725023997198</v>
      </c>
      <c r="AQ173" s="78">
        <f>[Lucro Distribuir]/[Total Ações]</f>
        <v>1.1224679382268279</v>
      </c>
      <c r="AR173" s="78">
        <f>IF([Unit ON]&gt;0,SUMPRODUCT(N([Nome]=Tabela3[[#This Row],[Nome]]),N(RIGHT([PAPEL],1)="3"),[Div Base])*[Unit ON]+SUMPRODUCT(N([Nome]=Tabela3[[#This Row],[Nome]]),N(RIGHT([PAPEL],1)="4"),[Div Base])*[Unit PN],[Div Base])</f>
        <v>0.28061698455670697</v>
      </c>
      <c r="AS173" s="15" t="str">
        <f>IF(AND([% A.A.]&gt;=6%,SUMPRODUCT(N([Nome]=Tabela3[[#This Row],[Nome]]),[PL])&gt;0,[Rentabilidade s/ PL]&gt;=[Rentabilidade s/ PL Média]),"Sim","Não")</f>
        <v>Não</v>
      </c>
      <c r="AT173" s="42">
        <f>IF([Cotação]&gt;0,Tabela3[[#This Row],[Lucro]]/Tabela3[[#This Row],[Cotação]],0)</f>
        <v>2.6423444873512898E-2</v>
      </c>
      <c r="AU173" s="19">
        <f>((1+Tabela3[[#This Row],[% Yield]])^(1/(3*Tabela3[[#This Row],[Ref]])))^(12)-1</f>
        <v>3.5385513879133024E-2</v>
      </c>
      <c r="AV173" s="14">
        <f>IF([Cotação]&gt;0,($BH$1/Tabela3[[#This Row],[Cotação]]-MOD($BH$1/Tabela3[[#This Row],[Cotação]],100)),)</f>
        <v>0</v>
      </c>
      <c r="AW173" s="17">
        <f>Tabela3[[#This Row],[Ativos]]*[Lucro]</f>
        <v>0</v>
      </c>
      <c r="AX173" s="5">
        <f>SUMPRODUCT(N(Tabela1[Código]=Tabela3[[#This Row],[PAPEL]]),Tabela1[Fechamento])</f>
        <v>10.62</v>
      </c>
      <c r="AY173" s="5">
        <f>SUMPRODUCT(N(Tabela17[Código]=Tabela3[[#This Row],[PAPEL]]),Tabela17[Fechamento])</f>
        <v>0</v>
      </c>
      <c r="AZ173" s="7">
        <f>SUMPRODUCT(N(Tabela176[Código]=Tabela3[[#This Row],[PAPEL]]),Tabela176[Fechamento])</f>
        <v>0</v>
      </c>
      <c r="BA173" s="7">
        <f>SUMPRODUCT(N(Tabela1768[Código]=Tabela3[[#This Row],[PAPEL]]),Tabela1768[Fechamento])</f>
        <v>0</v>
      </c>
      <c r="BB173" s="7">
        <f>SUMPRODUCT(N(Tabela17683[Código]=Tabela3[[#This Row],[PAPEL]]),Tabela17683[Fechamento])</f>
        <v>0</v>
      </c>
    </row>
    <row r="174" spans="1:54">
      <c r="A174" s="3" t="s">
        <v>1320</v>
      </c>
      <c r="B174" s="57" t="s">
        <v>1303</v>
      </c>
      <c r="C174" s="16" t="str">
        <f>LEFT([PAPEL],LEN([PAPEL])-(LEN([PAPEL])-4))</f>
        <v>CTAX</v>
      </c>
      <c r="D174" s="16">
        <v>4</v>
      </c>
      <c r="E174" s="5"/>
      <c r="F174" s="56"/>
      <c r="G174" s="81">
        <v>0.25</v>
      </c>
      <c r="H174" s="18"/>
      <c r="J174" s="18"/>
      <c r="K174" s="16">
        <v>1</v>
      </c>
      <c r="L174" s="87">
        <v>4</v>
      </c>
      <c r="M174" s="54">
        <v>1248136000</v>
      </c>
      <c r="N174" s="54">
        <v>124319000</v>
      </c>
      <c r="O174" s="54">
        <v>129739000</v>
      </c>
      <c r="P174" s="91">
        <v>438248000</v>
      </c>
      <c r="Q174" s="73">
        <v>102257000</v>
      </c>
      <c r="R174" s="73">
        <f>IF(Tabela3[[#This Row],[Ativo || Passivo]]&gt;0,Tabela3[[#This Row],[Ativo || Passivo]]-Tabela3[[#This Row],[Patrimônio Líquido]],0)</f>
        <v>809888000</v>
      </c>
      <c r="S174" s="73">
        <f>Tabela3[[#This Row],[Cotação]]*Tabela3[[#This Row],[Total Ações]]</f>
        <v>7295702057.000001</v>
      </c>
      <c r="T174" s="37">
        <f>IF(Tabela3[[#This Row],[Passivo Circulante]]&gt;0,Tabela3[[#This Row],[Ativo Circulante]]/Tabela3[[#This Row],[Passivo Circulante]],0)</f>
        <v>0.95822381858962991</v>
      </c>
      <c r="U174" s="37">
        <f>SUMPRODUCT(N([Liquidez Corrente]&gt;0),N(RIGHT([PAPEL],LEN([PAPEL])-(LEN([PAPEL])-1))="3"),[Liquidez Corrente])/SUMPRODUCT(N([Liquidez Corrente]&gt;0),N(RIGHT([PAPEL],LEN([PAPEL])-(LEN([PAPEL])-1))="3"))</f>
        <v>2.331224473064915</v>
      </c>
      <c r="V174" s="18">
        <f>IF(Tabela3[[#This Row],[Lucro Líquido]]&gt;0,Tabela3[[#This Row],[Lucro Líquido]]/Tabela3[[#This Row],[Patrimônio Líquido]],0)</f>
        <v>0.23333135576203429</v>
      </c>
      <c r="W174" s="18">
        <f>SUMPRODUCT(N([Rentabilidade s/ PL]&gt;0),N(RIGHT([PAPEL],LEN([PAPEL])-(LEN([PAPEL])-1))="3"),[Rentabilidade s/ PL])/SUMPRODUCT(N([Rentabilidade s/ PL]&gt;0),N(RIGHT([PAPEL],LEN([PAPEL])-(LEN([PAPEL])-1))="3"))</f>
        <v>0.1261051308670782</v>
      </c>
      <c r="X174" s="18">
        <f>IF(Tabela3[[#This Row],[Dívida]]&gt;0,Tabela3[[#This Row],[Dívida]]/Tabela3[[#This Row],[Patrimônio Líquido]],0)</f>
        <v>1.8480129972070609</v>
      </c>
      <c r="Y174" s="18">
        <f>SUMPRODUCT(N([Dívida / PL]&gt;0),N(RIGHT([PAPEL],LEN([PAPEL])-(LEN([PAPEL])-1))="3"),[Dívida / PL])/SUMPRODUCT(N([Dívida / PL]&gt;0),N(RIGHT([PAPEL],LEN([PAPEL])-(LEN([PAPEL])-1))="3"))</f>
        <v>2.1510410379481146</v>
      </c>
      <c r="Z174" s="7">
        <f>Tabela3[[#This Row],[Capital Social]]*20%</f>
        <v>0</v>
      </c>
      <c r="AA174" s="47">
        <f>IF(([Lucro Líquido]*5%)&gt;[Teto R. Legal],[Teto R. Legal],[Lucro Líquido]*5%)</f>
        <v>0</v>
      </c>
      <c r="AB174" s="47">
        <f>IF([Lucro Líquido]&lt;0,0,[Lucro Líquido]-[Reserva Legal])</f>
        <v>102257000</v>
      </c>
      <c r="AC174" s="47">
        <f>Tabela3[[#This Row],[Lucro Distribuir]]*[%Div]</f>
        <v>25564250</v>
      </c>
      <c r="AD174" s="56">
        <f>SUMPRODUCT(N([Nome]=Tabela3[[#This Row],[Nome]]),[Ações])</f>
        <v>345767870</v>
      </c>
      <c r="AE174" s="85">
        <f>[Capital Social]/[Total Ações]</f>
        <v>0</v>
      </c>
      <c r="AF174" s="85">
        <f>Tabela3[[#This Row],[Lucro Líquido]]/Tabela3[[#This Row],[Total Ações]]</f>
        <v>0.29573887244063479</v>
      </c>
      <c r="AG174" s="85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</v>
      </c>
      <c r="AH174" s="85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0.14173436705664999</v>
      </c>
      <c r="AI174" s="77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0.15401558456039149</v>
      </c>
      <c r="AJ174" s="85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</v>
      </c>
      <c r="AK174" s="7">
        <f>[Div Base]*[Ações]</f>
        <v>0</v>
      </c>
      <c r="AL174" s="120">
        <f>SUMPRODUCT(N([Nome]=Tabela3[[#This Row],[Nome]]),[Div Base]*[Ações])</f>
        <v>24286037.5</v>
      </c>
      <c r="AM174" s="5">
        <f>[Patrimônio Líquido]/[Total Ações]</f>
        <v>1.2674630525965296</v>
      </c>
      <c r="AN174" s="52">
        <f>MAX(Tabela3[[#This Row],[Cotação 1]:[Cotação 5]])</f>
        <v>21.1</v>
      </c>
      <c r="AO174" s="53">
        <f>[Cotação]/[VPA]</f>
        <v>16.647428070407624</v>
      </c>
      <c r="AP174" s="37">
        <f>IF(Tabela3[[#This Row],[Lucro/Ação]]&gt;0,Tabela3[[#This Row],[Cotação]]/(Tabela3[[#This Row],[Lucro/Ação]]/[Ref]*4),0)</f>
        <v>71.346724987042464</v>
      </c>
      <c r="AQ174" s="85">
        <f>[Lucro Distribuir]/[Total Ações]</f>
        <v>0.29573887244063479</v>
      </c>
      <c r="AR174" s="85">
        <f>IF([Unit ON]&gt;0,SUMPRODUCT(N([Nome]=Tabela3[[#This Row],[Nome]]),N(RIGHT([PAPEL],1)="3"),[Div Base])*[Unit ON]+SUMPRODUCT(N([Nome]=Tabela3[[#This Row],[Nome]]),N(RIGHT([PAPEL],1)="4"),[Div Base])*[Unit PN],[Div Base])</f>
        <v>0.35118991102325386</v>
      </c>
      <c r="AS174" s="10" t="str">
        <f>IF(AND([% A.A.]&gt;=6%,SUMPRODUCT(N([Nome]=Tabela3[[#This Row],[Nome]]),[PL])&gt;0,[Rentabilidade s/ PL]&gt;=[Rentabilidade s/ PL Média]),"Sim","Não")</f>
        <v>Não</v>
      </c>
      <c r="AT174" s="22">
        <f>IF([Cotação]&gt;0,Tabela3[[#This Row],[Lucro]]/Tabela3[[#This Row],[Cotação]],0)</f>
        <v>1.6644071612476486E-2</v>
      </c>
      <c r="AU174" s="22">
        <f>((1+Tabela3[[#This Row],[% Yield]])^(1/(3*Tabela3[[#This Row],[Ref]])))^(12)-1</f>
        <v>1.6644071612476496E-2</v>
      </c>
      <c r="AV174" s="10">
        <f>IF([Cotação]&gt;0,($BH$1/Tabela3[[#This Row],[Cotação]]-MOD($BH$1/Tabela3[[#This Row],[Cotação]],100)),)</f>
        <v>0</v>
      </c>
      <c r="AW174" s="7">
        <f>Tabela3[[#This Row],[Ativos]]*[Lucro]</f>
        <v>0</v>
      </c>
      <c r="AX174" s="7">
        <f>SUMPRODUCT(N(Tabela1[Código]=Tabela3[[#This Row],[PAPEL]]),Tabela1[Fechamento])</f>
        <v>0</v>
      </c>
      <c r="AY174" s="7">
        <f>SUMPRODUCT(N(Tabela17[Código]=Tabela3[[#This Row],[PAPEL]]),Tabela17[Fechamento])</f>
        <v>0</v>
      </c>
      <c r="AZ174" s="7">
        <f>SUMPRODUCT(N(Tabela176[Código]=Tabela3[[#This Row],[PAPEL]]),Tabela176[Fechamento])</f>
        <v>0</v>
      </c>
      <c r="BA174" s="7">
        <f>SUMPRODUCT(N(Tabela1768[Código]=Tabela3[[#This Row],[PAPEL]]),Tabela1768[Fechamento])</f>
        <v>0</v>
      </c>
      <c r="BB174" s="7">
        <f>SUMPRODUCT(N(Tabela17683[Código]=Tabela3[[#This Row],[PAPEL]]),Tabela17683[Fechamento])</f>
        <v>21.1</v>
      </c>
    </row>
    <row r="175" spans="1:54">
      <c r="A175" s="3" t="s">
        <v>1320</v>
      </c>
      <c r="B175" s="57" t="s">
        <v>1304</v>
      </c>
      <c r="C175" s="16" t="str">
        <f>LEFT([PAPEL],LEN([PAPEL])-(LEN([PAPEL])-4))</f>
        <v>CTAX</v>
      </c>
      <c r="D175" s="16">
        <v>4</v>
      </c>
      <c r="E175" s="5">
        <v>181637683.90000001</v>
      </c>
      <c r="F175" s="56">
        <v>119725707</v>
      </c>
      <c r="G175" s="81">
        <v>0.25</v>
      </c>
      <c r="H175" s="18"/>
      <c r="J175" s="18"/>
      <c r="K175" s="16"/>
      <c r="L175" s="87"/>
      <c r="M175" s="54">
        <v>1248136000</v>
      </c>
      <c r="N175" s="54">
        <v>124319000</v>
      </c>
      <c r="O175" s="54">
        <v>129739000</v>
      </c>
      <c r="P175" s="91">
        <v>438248000</v>
      </c>
      <c r="Q175" s="73">
        <v>102257000</v>
      </c>
      <c r="R175" s="73">
        <f>IF(Tabela3[[#This Row],[Ativo || Passivo]]&gt;0,Tabela3[[#This Row],[Ativo || Passivo]]-Tabela3[[#This Row],[Patrimônio Líquido]],0)</f>
        <v>809888000</v>
      </c>
      <c r="S175" s="73">
        <f>Tabela3[[#This Row],[Cotação]]*Tabela3[[#This Row],[Total Ações]]</f>
        <v>2074607220</v>
      </c>
      <c r="T175" s="37">
        <f>IF(Tabela3[[#This Row],[Passivo Circulante]]&gt;0,Tabela3[[#This Row],[Ativo Circulante]]/Tabela3[[#This Row],[Passivo Circulante]],0)</f>
        <v>0.95822381858962991</v>
      </c>
      <c r="U175" s="37">
        <f>SUMPRODUCT(N([Liquidez Corrente]&gt;0),N(RIGHT([PAPEL],LEN([PAPEL])-(LEN([PAPEL])-1))="3"),[Liquidez Corrente])/SUMPRODUCT(N([Liquidez Corrente]&gt;0),N(RIGHT([PAPEL],LEN([PAPEL])-(LEN([PAPEL])-1))="3"))</f>
        <v>2.331224473064915</v>
      </c>
      <c r="V175" s="18">
        <f>IF(Tabela3[[#This Row],[Lucro Líquido]]&gt;0,Tabela3[[#This Row],[Lucro Líquido]]/Tabela3[[#This Row],[Patrimônio Líquido]],0)</f>
        <v>0.23333135576203429</v>
      </c>
      <c r="W175" s="18">
        <f>SUMPRODUCT(N([Rentabilidade s/ PL]&gt;0),N(RIGHT([PAPEL],LEN([PAPEL])-(LEN([PAPEL])-1))="3"),[Rentabilidade s/ PL])/SUMPRODUCT(N([Rentabilidade s/ PL]&gt;0),N(RIGHT([PAPEL],LEN([PAPEL])-(LEN([PAPEL])-1))="3"))</f>
        <v>0.1261051308670782</v>
      </c>
      <c r="X175" s="18">
        <f>IF(Tabela3[[#This Row],[Dívida]]&gt;0,Tabela3[[#This Row],[Dívida]]/Tabela3[[#This Row],[Patrimônio Líquido]],0)</f>
        <v>1.8480129972070609</v>
      </c>
      <c r="Y175" s="18">
        <f>SUMPRODUCT(N([Dívida / PL]&gt;0),N(RIGHT([PAPEL],LEN([PAPEL])-(LEN([PAPEL])-1))="3"),[Dívida / PL])/SUMPRODUCT(N([Dívida / PL]&gt;0),N(RIGHT([PAPEL],LEN([PAPEL])-(LEN([PAPEL])-1))="3"))</f>
        <v>2.1510410379481146</v>
      </c>
      <c r="Z175" s="7">
        <f>Tabela3[[#This Row],[Capital Social]]*20%</f>
        <v>36327536.780000001</v>
      </c>
      <c r="AA175" s="47">
        <f>IF(([Lucro Líquido]*5%)&gt;[Teto R. Legal],[Teto R. Legal],[Lucro Líquido]*5%)</f>
        <v>5112850</v>
      </c>
      <c r="AB175" s="47">
        <f>IF([Lucro Líquido]&lt;0,0,[Lucro Líquido]-[Reserva Legal])</f>
        <v>97144150</v>
      </c>
      <c r="AC175" s="47">
        <f>Tabela3[[#This Row],[Lucro Distribuir]]*[%Div]</f>
        <v>24286037.5</v>
      </c>
      <c r="AD175" s="56">
        <f>SUMPRODUCT(N([Nome]=Tabela3[[#This Row],[Nome]]),[Ações])</f>
        <v>345767870</v>
      </c>
      <c r="AE175" s="85">
        <f>[Capital Social]/[Total Ações]</f>
        <v>0.52531683727582901</v>
      </c>
      <c r="AF175" s="85">
        <f>Tabela3[[#This Row],[Lucro Líquido]]/Tabela3[[#This Row],[Total Ações]]</f>
        <v>0.29573887244063479</v>
      </c>
      <c r="AG175" s="85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7.0237982204650773E-2</v>
      </c>
      <c r="AH175" s="85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0.1310581928913139</v>
      </c>
      <c r="AI175" s="77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0.14333941039505538</v>
      </c>
      <c r="AJ175" s="85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7.0237982204650773E-2</v>
      </c>
      <c r="AK175" s="7">
        <f>[Div Base]*[Ações]</f>
        <v>8409292.0777052324</v>
      </c>
      <c r="AL175" s="120">
        <f>SUMPRODUCT(N([Nome]=Tabela3[[#This Row],[Nome]]),[Div Base]*[Ações])</f>
        <v>24286037.5</v>
      </c>
      <c r="AM175" s="5">
        <f>[Patrimônio Líquido]/[Total Ações]</f>
        <v>1.2674630525965296</v>
      </c>
      <c r="AN175" s="52">
        <f>MAX(Tabela3[[#This Row],[Cotação 1]:[Cotação 5]])</f>
        <v>6</v>
      </c>
      <c r="AO175" s="53">
        <f>[Cotação]/[VPA]</f>
        <v>4.7338658020116462</v>
      </c>
      <c r="AP175" s="37">
        <f>IF(Tabela3[[#This Row],[Lucro/Ação]]&gt;0,Tabela3[[#This Row],[Cotação]]/(Tabela3[[#This Row],[Lucro/Ação]]/[Ref]*4),0)</f>
        <v>20.288168242760889</v>
      </c>
      <c r="AQ175" s="85">
        <f>[Lucro Distribuir]/[Total Ações]</f>
        <v>0.28095192881860309</v>
      </c>
      <c r="AR175" s="85">
        <f>IF([Unit ON]&gt;0,SUMPRODUCT(N([Nome]=Tabela3[[#This Row],[Nome]]),N(RIGHT([PAPEL],1)="3"),[Div Base])*[Unit ON]+SUMPRODUCT(N([Nome]=Tabela3[[#This Row],[Nome]]),N(RIGHT([PAPEL],1)="4"),[Div Base])*[Unit PN],[Div Base])</f>
        <v>7.0237982204650773E-2</v>
      </c>
      <c r="AS175" s="10" t="str">
        <f>IF(AND([% A.A.]&gt;=6%,SUMPRODUCT(N([Nome]=Tabela3[[#This Row],[Nome]]),[PL])&gt;0,[Rentabilidade s/ PL]&gt;=[Rentabilidade s/ PL Média]),"Sim","Não")</f>
        <v>Não</v>
      </c>
      <c r="AT175" s="22">
        <f>IF([Cotação]&gt;0,Tabela3[[#This Row],[Lucro]]/Tabela3[[#This Row],[Cotação]],0)</f>
        <v>1.1706330367441795E-2</v>
      </c>
      <c r="AU175" s="22">
        <f>((1+Tabela3[[#This Row],[% Yield]])^(1/(3*Tabela3[[#This Row],[Ref]])))^(12)-1</f>
        <v>1.1706330367439843E-2</v>
      </c>
      <c r="AV175" s="10">
        <f>IF([Cotação]&gt;0,($BH$1/Tabela3[[#This Row],[Cotação]]-MOD($BH$1/Tabela3[[#This Row],[Cotação]],100)),)</f>
        <v>0</v>
      </c>
      <c r="AW175" s="7">
        <f>Tabela3[[#This Row],[Ativos]]*[Lucro]</f>
        <v>0</v>
      </c>
      <c r="AX175" s="7">
        <f>SUMPRODUCT(N(Tabela1[Código]=Tabela3[[#This Row],[PAPEL]]),Tabela1[Fechamento])</f>
        <v>0</v>
      </c>
      <c r="AY175" s="7">
        <f>SUMPRODUCT(N(Tabela17[Código]=Tabela3[[#This Row],[PAPEL]]),Tabela17[Fechamento])</f>
        <v>0</v>
      </c>
      <c r="AZ175" s="7">
        <f>SUMPRODUCT(N(Tabela176[Código]=Tabela3[[#This Row],[PAPEL]]),Tabela176[Fechamento])</f>
        <v>0</v>
      </c>
      <c r="BA175" s="7">
        <f>SUMPRODUCT(N(Tabela1768[Código]=Tabela3[[#This Row],[PAPEL]]),Tabela1768[Fechamento])</f>
        <v>0</v>
      </c>
      <c r="BB175" s="7">
        <f>SUMPRODUCT(N(Tabela17683[Código]=Tabela3[[#This Row],[PAPEL]]),Tabela17683[Fechamento])</f>
        <v>6</v>
      </c>
    </row>
    <row r="176" spans="1:54">
      <c r="A176" s="3" t="s">
        <v>1320</v>
      </c>
      <c r="B176" s="57" t="s">
        <v>1305</v>
      </c>
      <c r="C176" s="16" t="str">
        <f>LEFT([PAPEL],LEN([PAPEL])-(LEN([PAPEL])-4))</f>
        <v>CTAX</v>
      </c>
      <c r="D176" s="16">
        <v>4</v>
      </c>
      <c r="E176" s="5">
        <v>181637683.90000001</v>
      </c>
      <c r="F176" s="56">
        <v>226042163</v>
      </c>
      <c r="G176" s="81">
        <v>0.25</v>
      </c>
      <c r="H176" s="18">
        <v>0.03</v>
      </c>
      <c r="I176" s="18">
        <v>0.06</v>
      </c>
      <c r="J176" s="18"/>
      <c r="K176" s="16"/>
      <c r="L176" s="87"/>
      <c r="M176" s="54">
        <v>1248136000</v>
      </c>
      <c r="N176" s="54">
        <v>124319000</v>
      </c>
      <c r="O176" s="54">
        <v>129739000</v>
      </c>
      <c r="P176" s="91">
        <v>438248000</v>
      </c>
      <c r="Q176" s="73">
        <v>102257000</v>
      </c>
      <c r="R176" s="73">
        <f>IF(Tabela3[[#This Row],[Ativo || Passivo]]&gt;0,Tabela3[[#This Row],[Ativo || Passivo]]-Tabela3[[#This Row],[Patrimônio Líquido]],0)</f>
        <v>809888000</v>
      </c>
      <c r="S176" s="73">
        <f>Tabela3[[#This Row],[Cotação]]*Tabela3[[#This Row],[Total Ações]]</f>
        <v>1303544869.9000001</v>
      </c>
      <c r="T176" s="37">
        <f>IF(Tabela3[[#This Row],[Passivo Circulante]]&gt;0,Tabela3[[#This Row],[Ativo Circulante]]/Tabela3[[#This Row],[Passivo Circulante]],0)</f>
        <v>0.95822381858962991</v>
      </c>
      <c r="U176" s="37">
        <f>SUMPRODUCT(N([Liquidez Corrente]&gt;0),N(RIGHT([PAPEL],LEN([PAPEL])-(LEN([PAPEL])-1))="3"),[Liquidez Corrente])/SUMPRODUCT(N([Liquidez Corrente]&gt;0),N(RIGHT([PAPEL],LEN([PAPEL])-(LEN([PAPEL])-1))="3"))</f>
        <v>2.331224473064915</v>
      </c>
      <c r="V176" s="18">
        <f>IF(Tabela3[[#This Row],[Lucro Líquido]]&gt;0,Tabela3[[#This Row],[Lucro Líquido]]/Tabela3[[#This Row],[Patrimônio Líquido]],0)</f>
        <v>0.23333135576203429</v>
      </c>
      <c r="W176" s="18">
        <f>SUMPRODUCT(N([Rentabilidade s/ PL]&gt;0),N(RIGHT([PAPEL],LEN([PAPEL])-(LEN([PAPEL])-1))="3"),[Rentabilidade s/ PL])/SUMPRODUCT(N([Rentabilidade s/ PL]&gt;0),N(RIGHT([PAPEL],LEN([PAPEL])-(LEN([PAPEL])-1))="3"))</f>
        <v>0.1261051308670782</v>
      </c>
      <c r="X176" s="18">
        <f>IF(Tabela3[[#This Row],[Dívida]]&gt;0,Tabela3[[#This Row],[Dívida]]/Tabela3[[#This Row],[Patrimônio Líquido]],0)</f>
        <v>1.8480129972070609</v>
      </c>
      <c r="Y176" s="18">
        <f>SUMPRODUCT(N([Dívida / PL]&gt;0),N(RIGHT([PAPEL],LEN([PAPEL])-(LEN([PAPEL])-1))="3"),[Dívida / PL])/SUMPRODUCT(N([Dívida / PL]&gt;0),N(RIGHT([PAPEL],LEN([PAPEL])-(LEN([PAPEL])-1))="3"))</f>
        <v>2.1510410379481146</v>
      </c>
      <c r="Z176" s="7">
        <f>Tabela3[[#This Row],[Capital Social]]*20%</f>
        <v>36327536.780000001</v>
      </c>
      <c r="AA176" s="47">
        <f>IF(([Lucro Líquido]*5%)&gt;[Teto R. Legal],[Teto R. Legal],[Lucro Líquido]*5%)</f>
        <v>5112850</v>
      </c>
      <c r="AB176" s="47">
        <f>IF([Lucro Líquido]&lt;0,0,[Lucro Líquido]-[Reserva Legal])</f>
        <v>97144150</v>
      </c>
      <c r="AC176" s="47">
        <f>Tabela3[[#This Row],[Lucro Distribuir]]*[%Div]</f>
        <v>24286037.5</v>
      </c>
      <c r="AD176" s="56">
        <f>SUMPRODUCT(N([Nome]=Tabela3[[#This Row],[Nome]]),[Ações])</f>
        <v>345767870</v>
      </c>
      <c r="AE176" s="85">
        <f>[Capital Social]/[Total Ações]</f>
        <v>0.52531683727582901</v>
      </c>
      <c r="AF176" s="85">
        <f>Tabela3[[#This Row],[Lucro Líquido]]/Tabela3[[#This Row],[Total Ações]]</f>
        <v>0.29573887244063479</v>
      </c>
      <c r="AG176" s="85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7.0237982204650773E-2</v>
      </c>
      <c r="AH176" s="85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3.8023891577895888E-2</v>
      </c>
      <c r="AI176" s="77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3.1519010236549738E-2</v>
      </c>
      <c r="AJ176" s="85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7.0237982204650773E-2</v>
      </c>
      <c r="AK176" s="7">
        <f>[Div Base]*[Ações]</f>
        <v>15876745.422294769</v>
      </c>
      <c r="AL176" s="120">
        <f>SUMPRODUCT(N([Nome]=Tabela3[[#This Row],[Nome]]),[Div Base]*[Ações])</f>
        <v>24286037.5</v>
      </c>
      <c r="AM176" s="5">
        <f>[Patrimônio Líquido]/[Total Ações]</f>
        <v>1.2674630525965296</v>
      </c>
      <c r="AN176" s="52">
        <f>MAX(Tabela3[[#This Row],[Cotação 1]:[Cotação 5]])</f>
        <v>3.77</v>
      </c>
      <c r="AO176" s="53">
        <f>[Cotação]/[VPA]</f>
        <v>2.974445678930651</v>
      </c>
      <c r="AP176" s="37">
        <f>IF(Tabela3[[#This Row],[Lucro/Ação]]&gt;0,Tabela3[[#This Row],[Cotação]]/(Tabela3[[#This Row],[Lucro/Ação]]/[Ref]*4),0)</f>
        <v>12.747732379201425</v>
      </c>
      <c r="AQ176" s="85">
        <f>[Lucro Distribuir]/[Total Ações]</f>
        <v>0.28095192881860309</v>
      </c>
      <c r="AR176" s="85">
        <f>IF([Unit ON]&gt;0,SUMPRODUCT(N([Nome]=Tabela3[[#This Row],[Nome]]),N(RIGHT([PAPEL],1)="3"),[Div Base])*[Unit ON]+SUMPRODUCT(N([Nome]=Tabela3[[#This Row],[Nome]]),N(RIGHT([PAPEL],1)="4"),[Div Base])*[Unit PN],[Div Base])</f>
        <v>7.0237982204650773E-2</v>
      </c>
      <c r="AS176" s="10" t="str">
        <f>IF(AND([% A.A.]&gt;=6%,SUMPRODUCT(N([Nome]=Tabela3[[#This Row],[Nome]]),[PL])&gt;0,[Rentabilidade s/ PL]&gt;=[Rentabilidade s/ PL Média]),"Sim","Não")</f>
        <v>Não</v>
      </c>
      <c r="AT176" s="22">
        <f>IF([Cotação]&gt;0,Tabela3[[#This Row],[Lucro]]/Tabela3[[#This Row],[Cotação]],0)</f>
        <v>1.8630764510517445E-2</v>
      </c>
      <c r="AU176" s="22">
        <f>((1+Tabela3[[#This Row],[% Yield]])^(1/(3*Tabela3[[#This Row],[Ref]])))^(12)-1</f>
        <v>1.8630764510517484E-2</v>
      </c>
      <c r="AV176" s="10">
        <f>IF([Cotação]&gt;0,($BH$1/Tabela3[[#This Row],[Cotação]]-MOD($BH$1/Tabela3[[#This Row],[Cotação]],100)),)</f>
        <v>100</v>
      </c>
      <c r="AW176" s="7">
        <f>Tabela3[[#This Row],[Ativos]]*[Lucro]</f>
        <v>7.0237982204650775</v>
      </c>
      <c r="AX176" s="7">
        <f>SUMPRODUCT(N(Tabela1[Código]=Tabela3[[#This Row],[PAPEL]]),Tabela1[Fechamento])</f>
        <v>0</v>
      </c>
      <c r="AY176" s="7">
        <f>SUMPRODUCT(N(Tabela17[Código]=Tabela3[[#This Row],[PAPEL]]),Tabela17[Fechamento])</f>
        <v>0</v>
      </c>
      <c r="AZ176" s="7">
        <f>SUMPRODUCT(N(Tabela176[Código]=Tabela3[[#This Row],[PAPEL]]),Tabela176[Fechamento])</f>
        <v>0</v>
      </c>
      <c r="BA176" s="7">
        <f>SUMPRODUCT(N(Tabela1768[Código]=Tabela3[[#This Row],[PAPEL]]),Tabela1768[Fechamento])</f>
        <v>0</v>
      </c>
      <c r="BB176" s="7">
        <f>SUMPRODUCT(N(Tabela17683[Código]=Tabela3[[#This Row],[PAPEL]]),Tabela17683[Fechamento])</f>
        <v>3.77</v>
      </c>
    </row>
    <row r="177" spans="1:54" hidden="1">
      <c r="A177" s="3" t="s">
        <v>1497</v>
      </c>
      <c r="B177" s="57" t="s">
        <v>1495</v>
      </c>
      <c r="C177" s="16" t="str">
        <f>LEFT([PAPEL],LEN([PAPEL])-(LEN([PAPEL])-4))</f>
        <v>MYPK</v>
      </c>
      <c r="D177" s="16">
        <v>3</v>
      </c>
      <c r="E177" s="5">
        <v>700000000</v>
      </c>
      <c r="F177" s="56">
        <v>94863372</v>
      </c>
      <c r="G177" s="81">
        <v>0.37</v>
      </c>
      <c r="H177" s="87"/>
      <c r="J177" s="18"/>
      <c r="K177" s="16"/>
      <c r="L177" s="87"/>
      <c r="M177" s="54"/>
      <c r="N177" s="54"/>
      <c r="O177" s="54"/>
      <c r="P177" s="91">
        <v>1143158000</v>
      </c>
      <c r="Q177" s="73">
        <v>101351000</v>
      </c>
      <c r="R177" s="73">
        <f>IF(Tabela3[[#This Row],[Ativo || Passivo]]&gt;0,Tabela3[[#This Row],[Ativo || Passivo]]-Tabela3[[#This Row],[Patrimônio Líquido]],0)</f>
        <v>0</v>
      </c>
      <c r="S177" s="73">
        <f>Tabela3[[#This Row],[Cotação]]*Tabela3[[#This Row],[Total Ações]]</f>
        <v>2227391974.5599999</v>
      </c>
      <c r="T177" s="37">
        <f>IF(Tabela3[[#This Row],[Passivo Circulante]]&gt;0,Tabela3[[#This Row],[Ativo Circulante]]/Tabela3[[#This Row],[Passivo Circulante]],0)</f>
        <v>0</v>
      </c>
      <c r="U177" s="37">
        <f>SUMPRODUCT(N([Liquidez Corrente]&gt;0),N(RIGHT([PAPEL],LEN([PAPEL])-(LEN([PAPEL])-1))="3"),[Liquidez Corrente])/SUMPRODUCT(N([Liquidez Corrente]&gt;0),N(RIGHT([PAPEL],LEN([PAPEL])-(LEN([PAPEL])-1))="3"))</f>
        <v>2.331224473064915</v>
      </c>
      <c r="V177" s="18">
        <f>IF(Tabela3[[#This Row],[Lucro Líquido]]&gt;0,Tabela3[[#This Row],[Lucro Líquido]]/Tabela3[[#This Row],[Patrimônio Líquido]],0)</f>
        <v>8.865878557469746E-2</v>
      </c>
      <c r="W177" s="18">
        <f>SUMPRODUCT(N([Rentabilidade s/ PL]&gt;0),N(RIGHT([PAPEL],LEN([PAPEL])-(LEN([PAPEL])-1))="3"),[Rentabilidade s/ PL])/SUMPRODUCT(N([Rentabilidade s/ PL]&gt;0),N(RIGHT([PAPEL],LEN([PAPEL])-(LEN([PAPEL])-1))="3"))</f>
        <v>0.1261051308670782</v>
      </c>
      <c r="X177" s="18">
        <f>IF(Tabela3[[#This Row],[Dívida]]&gt;0,Tabela3[[#This Row],[Dívida]]/Tabela3[[#This Row],[Patrimônio Líquido]],0)</f>
        <v>0</v>
      </c>
      <c r="Y177" s="18">
        <f>SUMPRODUCT(N([Dívida / PL]&gt;0),N(RIGHT([PAPEL],LEN([PAPEL])-(LEN([PAPEL])-1))="3"),[Dívida / PL])/SUMPRODUCT(N([Dívida / PL]&gt;0),N(RIGHT([PAPEL],LEN([PAPEL])-(LEN([PAPEL])-1))="3"))</f>
        <v>2.1510410379481146</v>
      </c>
      <c r="Z177" s="7">
        <f>Tabela3[[#This Row],[Capital Social]]*20%</f>
        <v>140000000</v>
      </c>
      <c r="AA177" s="47">
        <f>IF(([Lucro Líquido]*5%)&gt;[Teto R. Legal],[Teto R. Legal],[Lucro Líquido]*5%)</f>
        <v>5067550</v>
      </c>
      <c r="AB177" s="47">
        <f>IF([Lucro Líquido]&lt;0,0,[Lucro Líquido]-[Reserva Legal])</f>
        <v>96283450</v>
      </c>
      <c r="AC177" s="47">
        <f>Tabela3[[#This Row],[Lucro Distribuir]]*[%Div]</f>
        <v>35624876.5</v>
      </c>
      <c r="AD177" s="56">
        <f>SUMPRODUCT(N([Nome]=Tabela3[[#This Row],[Nome]]),[Ações])</f>
        <v>94863372</v>
      </c>
      <c r="AE177" s="85">
        <f>[Capital Social]/[Total Ações]</f>
        <v>7.3790335009385917</v>
      </c>
      <c r="AF177" s="85">
        <f>Tabela3[[#This Row],[Lucro Líquido]]/Tabela3[[#This Row],[Total Ações]]</f>
        <v>1.068389177648039</v>
      </c>
      <c r="AG177" s="85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0.37553879594328565</v>
      </c>
      <c r="AH177" s="85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177" s="77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177" s="85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0.37553879594328565</v>
      </c>
      <c r="AK177" s="7">
        <f>[Div Base]*[Ações]</f>
        <v>35624876.5</v>
      </c>
      <c r="AL177" s="120">
        <f>SUMPRODUCT(N([Nome]=Tabela3[[#This Row],[Nome]]),[Div Base]*[Ações])</f>
        <v>35624876.5</v>
      </c>
      <c r="AM177" s="5">
        <f>[Patrimônio Líquido]/[Total Ações]</f>
        <v>12.050573112665656</v>
      </c>
      <c r="AN177" s="52">
        <f>MAX(Tabela3[[#This Row],[Cotação 1]:[Cotação 5]])</f>
        <v>23.48</v>
      </c>
      <c r="AO177" s="53">
        <f>[Cotação]/[VPA]</f>
        <v>1.9484550469488906</v>
      </c>
      <c r="AP177" s="37">
        <f>IF(Tabela3[[#This Row],[Lucro/Ação]]&gt;0,Tabela3[[#This Row],[Cotação]]/(Tabela3[[#This Row],[Lucro/Ação]]/[Ref]*4),0)</f>
        <v>16.482757751970873</v>
      </c>
      <c r="AQ177" s="85">
        <f>[Lucro Distribuir]/[Total Ações]</f>
        <v>1.014969718765637</v>
      </c>
      <c r="AR177" s="85">
        <f>IF([Unit ON]&gt;0,SUMPRODUCT(N([Nome]=Tabela3[[#This Row],[Nome]]),N(RIGHT([PAPEL],1)="3"),[Div Base])*[Unit ON]+SUMPRODUCT(N([Nome]=Tabela3[[#This Row],[Nome]]),N(RIGHT([PAPEL],1)="4"),[Div Base])*[Unit PN],[Div Base])</f>
        <v>0.37553879594328565</v>
      </c>
      <c r="AS177" s="10" t="str">
        <f>IF(AND([% A.A.]&gt;=6%,SUMPRODUCT(N([Nome]=Tabela3[[#This Row],[Nome]]),[PL])&gt;0,[Rentabilidade s/ PL]&gt;=[Rentabilidade s/ PL Média]),"Sim","Não")</f>
        <v>Não</v>
      </c>
      <c r="AT177" s="22">
        <f>IF([Cotação]&gt;0,Tabela3[[#This Row],[Lucro]]/Tabela3[[#This Row],[Cotação]],0)</f>
        <v>1.5993986198606713E-2</v>
      </c>
      <c r="AU177" s="22">
        <f>((1+Tabela3[[#This Row],[% Yield]])^(1/(3*Tabela3[[#This Row],[Ref]])))^(12)-1</f>
        <v>2.1381960355055574E-2</v>
      </c>
      <c r="AV177" s="10">
        <f>IF([Cotação]&gt;0,($BH$1/Tabela3[[#This Row],[Cotação]]-MOD($BH$1/Tabela3[[#This Row],[Cotação]],100)),)</f>
        <v>0</v>
      </c>
      <c r="AW177" s="7">
        <f>Tabela3[[#This Row],[Ativos]]*[Lucro]</f>
        <v>0</v>
      </c>
      <c r="AX177" s="7">
        <f>SUMPRODUCT(N(Tabela1[Código]=Tabela3[[#This Row],[PAPEL]]),Tabela1[Fechamento])</f>
        <v>0</v>
      </c>
      <c r="AY177" s="7">
        <f>SUMPRODUCT(N(Tabela17[Código]=Tabela3[[#This Row],[PAPEL]]),Tabela17[Fechamento])</f>
        <v>0</v>
      </c>
      <c r="AZ177" s="7">
        <f>SUMPRODUCT(N(Tabela176[Código]=Tabela3[[#This Row],[PAPEL]]),Tabela176[Fechamento])</f>
        <v>0</v>
      </c>
      <c r="BA177" s="7">
        <f>SUMPRODUCT(N(Tabela1768[Código]=Tabela3[[#This Row],[PAPEL]]),Tabela1768[Fechamento])</f>
        <v>0</v>
      </c>
      <c r="BB177" s="7">
        <f>SUMPRODUCT(N(Tabela17683[Código]=Tabela3[[#This Row],[PAPEL]]),Tabela17683[Fechamento])</f>
        <v>23.48</v>
      </c>
    </row>
    <row r="178" spans="1:54" hidden="1">
      <c r="A178" s="3" t="s">
        <v>881</v>
      </c>
      <c r="B178" s="58" t="s">
        <v>885</v>
      </c>
      <c r="C178" s="16" t="str">
        <f>LEFT([PAPEL],LEN([PAPEL])-(LEN([PAPEL])-4))</f>
        <v>SLCE</v>
      </c>
      <c r="D178" s="16">
        <v>3</v>
      </c>
      <c r="E178" s="5">
        <v>557433909.85000002</v>
      </c>
      <c r="F178" s="56">
        <v>98897500</v>
      </c>
      <c r="G178" s="81">
        <v>0.25</v>
      </c>
      <c r="H178" s="87"/>
      <c r="J178" s="18"/>
      <c r="K178" s="16"/>
      <c r="L178" s="87"/>
      <c r="M178" s="54"/>
      <c r="N178" s="54"/>
      <c r="O178" s="54"/>
      <c r="P178" s="91">
        <v>2020656000</v>
      </c>
      <c r="Q178" s="73">
        <v>97449000</v>
      </c>
      <c r="R178" s="73">
        <f>IF(Tabela3[[#This Row],[Ativo || Passivo]]&gt;0,Tabela3[[#This Row],[Ativo || Passivo]]-Tabela3[[#This Row],[Patrimônio Líquido]],0)</f>
        <v>0</v>
      </c>
      <c r="S178" s="73">
        <f>Tabela3[[#This Row],[Cotação]]*Tabela3[[#This Row],[Total Ações]]</f>
        <v>1744551900</v>
      </c>
      <c r="T178" s="37">
        <f>IF(Tabela3[[#This Row],[Passivo Circulante]]&gt;0,Tabela3[[#This Row],[Ativo Circulante]]/Tabela3[[#This Row],[Passivo Circulante]],0)</f>
        <v>0</v>
      </c>
      <c r="U178" s="37">
        <f>SUMPRODUCT(N([Liquidez Corrente]&gt;0),N(RIGHT([PAPEL],LEN([PAPEL])-(LEN([PAPEL])-1))="3"),[Liquidez Corrente])/SUMPRODUCT(N([Liquidez Corrente]&gt;0),N(RIGHT([PAPEL],LEN([PAPEL])-(LEN([PAPEL])-1))="3"))</f>
        <v>2.331224473064915</v>
      </c>
      <c r="V178" s="18">
        <f>IF(Tabela3[[#This Row],[Lucro Líquido]]&gt;0,Tabela3[[#This Row],[Lucro Líquido]]/Tabela3[[#This Row],[Patrimônio Líquido]],0)</f>
        <v>4.8226417559446039E-2</v>
      </c>
      <c r="W178" s="18">
        <f>SUMPRODUCT(N([Rentabilidade s/ PL]&gt;0),N(RIGHT([PAPEL],LEN([PAPEL])-(LEN([PAPEL])-1))="3"),[Rentabilidade s/ PL])/SUMPRODUCT(N([Rentabilidade s/ PL]&gt;0),N(RIGHT([PAPEL],LEN([PAPEL])-(LEN([PAPEL])-1))="3"))</f>
        <v>0.1261051308670782</v>
      </c>
      <c r="X178" s="18">
        <f>IF(Tabela3[[#This Row],[Dívida]]&gt;0,Tabela3[[#This Row],[Dívida]]/Tabela3[[#This Row],[Patrimônio Líquido]],0)</f>
        <v>0</v>
      </c>
      <c r="Y178" s="18">
        <f>SUMPRODUCT(N([Dívida / PL]&gt;0),N(RIGHT([PAPEL],LEN([PAPEL])-(LEN([PAPEL])-1))="3"),[Dívida / PL])/SUMPRODUCT(N([Dívida / PL]&gt;0),N(RIGHT([PAPEL],LEN([PAPEL])-(LEN([PAPEL])-1))="3"))</f>
        <v>2.1510410379481146</v>
      </c>
      <c r="Z178" s="7">
        <f>Tabela3[[#This Row],[Capital Social]]*20%</f>
        <v>111486781.97000001</v>
      </c>
      <c r="AA178" s="47">
        <f>IF(([Lucro Líquido]*5%)&gt;[Teto R. Legal],[Teto R. Legal],[Lucro Líquido]*5%)</f>
        <v>4872450</v>
      </c>
      <c r="AB178" s="47">
        <f>IF([Lucro Líquido]&lt;0,0,[Lucro Líquido]-[Reserva Legal])</f>
        <v>92576550</v>
      </c>
      <c r="AC178" s="47">
        <f>Tabela3[[#This Row],[Lucro Distribuir]]*[%Div]</f>
        <v>23144137.5</v>
      </c>
      <c r="AD178" s="56">
        <f>SUMPRODUCT(N([Nome]=Tabela3[[#This Row],[Nome]]),[Ações])</f>
        <v>98897500</v>
      </c>
      <c r="AE178" s="85">
        <f>[Capital Social]/[Total Ações]</f>
        <v>5.6364813048863729</v>
      </c>
      <c r="AF178" s="85">
        <f>Tabela3[[#This Row],[Lucro Líquido]]/Tabela3[[#This Row],[Total Ações]]</f>
        <v>0.98535352258651632</v>
      </c>
      <c r="AG178" s="85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0.23402146161429763</v>
      </c>
      <c r="AH178" s="85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178" s="77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178" s="85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0.23402146161429763</v>
      </c>
      <c r="AK178" s="7">
        <f>[Div Base]*[Ações]</f>
        <v>23144137.5</v>
      </c>
      <c r="AL178" s="7">
        <f>SUMPRODUCT(N([Nome]=Tabela3[[#This Row],[Nome]]),[Div Base]*[Ações])</f>
        <v>23144137.5</v>
      </c>
      <c r="AM178" s="5">
        <f>[Patrimônio Líquido]/[Total Ações]</f>
        <v>20.431820824591117</v>
      </c>
      <c r="AN178" s="52">
        <f>MAX(Tabela3[[#This Row],[Cotação 1]:[Cotação 5]])</f>
        <v>17.64</v>
      </c>
      <c r="AO178" s="53">
        <f>[Cotação]/[VPA]</f>
        <v>0.86335917642587356</v>
      </c>
      <c r="AP178" s="37">
        <f>IF(Tabela3[[#This Row],[Lucro/Ação]]&gt;0,Tabela3[[#This Row],[Cotação]]/(Tabela3[[#This Row],[Lucro/Ação]]/[Ref]*4),0)</f>
        <v>13.426653172428654</v>
      </c>
      <c r="AQ178" s="85">
        <f>[Lucro Distribuir]/[Total Ações]</f>
        <v>0.93608584645719051</v>
      </c>
      <c r="AR178" s="85">
        <f>IF([Unit ON]&gt;0,SUMPRODUCT(N([Nome]=Tabela3[[#This Row],[Nome]]),N(RIGHT([PAPEL],1)="3"),[Div Base])*[Unit ON]+SUMPRODUCT(N([Nome]=Tabela3[[#This Row],[Nome]]),N(RIGHT([PAPEL],1)="4"),[Div Base])*[Unit PN],[Div Base])</f>
        <v>0.23402146161429763</v>
      </c>
      <c r="AS178" s="10" t="str">
        <f>IF(AND([% A.A.]&gt;=6%,SUMPRODUCT(N([Nome]=Tabela3[[#This Row],[Nome]]),[PL])&gt;0,[Rentabilidade s/ PL]&gt;=[Rentabilidade s/ PL Média]),"Sim","Não")</f>
        <v>Não</v>
      </c>
      <c r="AT178" s="22">
        <f>IF([Cotação]&gt;0,Tabela3[[#This Row],[Lucro]]/Tabela3[[#This Row],[Cotação]],0)</f>
        <v>1.3266522767250433E-2</v>
      </c>
      <c r="AU178" s="22">
        <f>((1+Tabela3[[#This Row],[% Yield]])^(1/(3*Tabela3[[#This Row],[Ref]])))^(12)-1</f>
        <v>1.772769360168569E-2</v>
      </c>
      <c r="AV178" s="10">
        <f>IF([Cotação]&gt;0,($BH$1/Tabela3[[#This Row],[Cotação]]-MOD($BH$1/Tabela3[[#This Row],[Cotação]],100)),)</f>
        <v>0</v>
      </c>
      <c r="AW178" s="7">
        <f>Tabela3[[#This Row],[Ativos]]*[Lucro]</f>
        <v>0</v>
      </c>
      <c r="AX178" s="7">
        <f>SUMPRODUCT(N(Tabela1[Código]=Tabela3[[#This Row],[PAPEL]]),Tabela1[Fechamento])</f>
        <v>0</v>
      </c>
      <c r="AY178" s="7">
        <f>SUMPRODUCT(N(Tabela17[Código]=Tabela3[[#This Row],[PAPEL]]),Tabela17[Fechamento])</f>
        <v>0</v>
      </c>
      <c r="AZ178" s="7">
        <f>SUMPRODUCT(N(Tabela176[Código]=Tabela3[[#This Row],[PAPEL]]),Tabela176[Fechamento])</f>
        <v>0</v>
      </c>
      <c r="BA178" s="7">
        <f>SUMPRODUCT(N(Tabela1768[Código]=Tabela3[[#This Row],[PAPEL]]),Tabela1768[Fechamento])</f>
        <v>17.64</v>
      </c>
      <c r="BB178" s="7">
        <f>SUMPRODUCT(N(Tabela17683[Código]=Tabela3[[#This Row],[PAPEL]]),Tabela17683[Fechamento])</f>
        <v>0</v>
      </c>
    </row>
    <row r="179" spans="1:54" hidden="1">
      <c r="A179" s="3" t="s">
        <v>1289</v>
      </c>
      <c r="B179" s="57" t="s">
        <v>1285</v>
      </c>
      <c r="C179" s="16" t="str">
        <f>LEFT([PAPEL],LEN([PAPEL])-(LEN([PAPEL])-4))</f>
        <v>LPSB</v>
      </c>
      <c r="D179" s="16">
        <v>3</v>
      </c>
      <c r="E179" s="5">
        <v>264226567.44999999</v>
      </c>
      <c r="F179" s="56">
        <v>114381716</v>
      </c>
      <c r="G179" s="81">
        <v>0.25</v>
      </c>
      <c r="H179" s="87"/>
      <c r="J179" s="18"/>
      <c r="K179" s="16"/>
      <c r="L179" s="87"/>
      <c r="M179" s="54"/>
      <c r="N179" s="54"/>
      <c r="O179" s="54"/>
      <c r="P179" s="91">
        <v>586658000</v>
      </c>
      <c r="Q179" s="73">
        <v>95641000</v>
      </c>
      <c r="R179" s="73">
        <f>IF(Tabela3[[#This Row],[Ativo || Passivo]]&gt;0,Tabela3[[#This Row],[Ativo || Passivo]]-Tabela3[[#This Row],[Patrimônio Líquido]],0)</f>
        <v>0</v>
      </c>
      <c r="S179" s="73">
        <f>Tabela3[[#This Row],[Cotação]]*Tabela3[[#This Row],[Total Ações]]</f>
        <v>1529283542.9199998</v>
      </c>
      <c r="T179" s="37">
        <f>IF(Tabela3[[#This Row],[Passivo Circulante]]&gt;0,Tabela3[[#This Row],[Ativo Circulante]]/Tabela3[[#This Row],[Passivo Circulante]],0)</f>
        <v>0</v>
      </c>
      <c r="U179" s="37">
        <f>SUMPRODUCT(N([Liquidez Corrente]&gt;0),N(RIGHT([PAPEL],LEN([PAPEL])-(LEN([PAPEL])-1))="3"),[Liquidez Corrente])/SUMPRODUCT(N([Liquidez Corrente]&gt;0),N(RIGHT([PAPEL],LEN([PAPEL])-(LEN([PAPEL])-1))="3"))</f>
        <v>2.331224473064915</v>
      </c>
      <c r="V179" s="18">
        <f>IF(Tabela3[[#This Row],[Lucro Líquido]]&gt;0,Tabela3[[#This Row],[Lucro Líquido]]/Tabela3[[#This Row],[Patrimônio Líquido]],0)</f>
        <v>0.16302684016922978</v>
      </c>
      <c r="W179" s="18">
        <f>SUMPRODUCT(N([Rentabilidade s/ PL]&gt;0),N(RIGHT([PAPEL],LEN([PAPEL])-(LEN([PAPEL])-1))="3"),[Rentabilidade s/ PL])/SUMPRODUCT(N([Rentabilidade s/ PL]&gt;0),N(RIGHT([PAPEL],LEN([PAPEL])-(LEN([PAPEL])-1))="3"))</f>
        <v>0.1261051308670782</v>
      </c>
      <c r="X179" s="18">
        <f>IF(Tabela3[[#This Row],[Dívida]]&gt;0,Tabela3[[#This Row],[Dívida]]/Tabela3[[#This Row],[Patrimônio Líquido]],0)</f>
        <v>0</v>
      </c>
      <c r="Y179" s="18">
        <f>SUMPRODUCT(N([Dívida / PL]&gt;0),N(RIGHT([PAPEL],LEN([PAPEL])-(LEN([PAPEL])-1))="3"),[Dívida / PL])/SUMPRODUCT(N([Dívida / PL]&gt;0),N(RIGHT([PAPEL],LEN([PAPEL])-(LEN([PAPEL])-1))="3"))</f>
        <v>2.1510410379481146</v>
      </c>
      <c r="Z179" s="7">
        <f>Tabela3[[#This Row],[Capital Social]]*20%</f>
        <v>52845313.490000002</v>
      </c>
      <c r="AA179" s="47">
        <f>IF(([Lucro Líquido]*5%)&gt;[Teto R. Legal],[Teto R. Legal],[Lucro Líquido]*5%)</f>
        <v>4782050</v>
      </c>
      <c r="AB179" s="47">
        <f>IF([Lucro Líquido]&lt;0,0,[Lucro Líquido]-[Reserva Legal])</f>
        <v>90858950</v>
      </c>
      <c r="AC179" s="47">
        <f>Tabela3[[#This Row],[Lucro Distribuir]]*[%Div]</f>
        <v>22714737.5</v>
      </c>
      <c r="AD179" s="56">
        <f>SUMPRODUCT(N([Nome]=Tabela3[[#This Row],[Nome]]),[Ações])</f>
        <v>114381716</v>
      </c>
      <c r="AE179" s="85">
        <f>[Capital Social]/[Total Ações]</f>
        <v>2.3100419952608506</v>
      </c>
      <c r="AF179" s="85">
        <f>Tabela3[[#This Row],[Lucro Líquido]]/Tabela3[[#This Row],[Total Ações]]</f>
        <v>0.83615636611012201</v>
      </c>
      <c r="AG179" s="85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0.19858713695115399</v>
      </c>
      <c r="AH179" s="85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179" s="77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179" s="85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0.19858713695115399</v>
      </c>
      <c r="AK179" s="7">
        <f>[Div Base]*[Ações]</f>
        <v>22714737.5</v>
      </c>
      <c r="AL179" s="120">
        <f>SUMPRODUCT(N([Nome]=Tabela3[[#This Row],[Nome]]),[Div Base]*[Ações])</f>
        <v>22714737.5</v>
      </c>
      <c r="AM179" s="5">
        <f>[Patrimônio Líquido]/[Total Ações]</f>
        <v>5.1289491058168775</v>
      </c>
      <c r="AN179" s="52">
        <f>MAX(Tabela3[[#This Row],[Cotação 1]:[Cotação 5]])</f>
        <v>13.37</v>
      </c>
      <c r="AO179" s="53">
        <f>[Cotação]/[VPA]</f>
        <v>2.6067718209246271</v>
      </c>
      <c r="AP179" s="37">
        <f>IF(Tabela3[[#This Row],[Lucro/Ação]]&gt;0,Tabela3[[#This Row],[Cotação]]/(Tabela3[[#This Row],[Lucro/Ação]]/[Ref]*4),0)</f>
        <v>11.992374161604332</v>
      </c>
      <c r="AQ179" s="85">
        <f>[Lucro Distribuir]/[Total Ações]</f>
        <v>0.79434854780461595</v>
      </c>
      <c r="AR179" s="85">
        <f>IF([Unit ON]&gt;0,SUMPRODUCT(N([Nome]=Tabela3[[#This Row],[Nome]]),N(RIGHT([PAPEL],1)="3"),[Div Base])*[Unit ON]+SUMPRODUCT(N([Nome]=Tabela3[[#This Row],[Nome]]),N(RIGHT([PAPEL],1)="4"),[Div Base])*[Unit PN],[Div Base])</f>
        <v>0.19858713695115399</v>
      </c>
      <c r="AS179" s="10" t="str">
        <f>IF(AND([% A.A.]&gt;=6%,SUMPRODUCT(N([Nome]=Tabela3[[#This Row],[Nome]]),[PL])&gt;0,[Rentabilidade s/ PL]&gt;=[Rentabilidade s/ PL Média]),"Sim","Não")</f>
        <v>Não</v>
      </c>
      <c r="AT179" s="22">
        <f>IF([Cotação]&gt;0,Tabela3[[#This Row],[Lucro]]/Tabela3[[#This Row],[Cotação]],0)</f>
        <v>1.4853189001582199E-2</v>
      </c>
      <c r="AU179" s="22">
        <f>((1+Tabela3[[#This Row],[% Yield]])^(1/(3*Tabela3[[#This Row],[Ref]])))^(12)-1</f>
        <v>1.985311722469274E-2</v>
      </c>
      <c r="AV179" s="10">
        <f>IF([Cotação]&gt;0,($BH$1/Tabela3[[#This Row],[Cotação]]-MOD($BH$1/Tabela3[[#This Row],[Cotação]],100)),)</f>
        <v>0</v>
      </c>
      <c r="AW179" s="7">
        <f>Tabela3[[#This Row],[Ativos]]*[Lucro]</f>
        <v>0</v>
      </c>
      <c r="AX179" s="7">
        <f>SUMPRODUCT(N(Tabela1[Código]=Tabela3[[#This Row],[PAPEL]]),Tabela1[Fechamento])</f>
        <v>0</v>
      </c>
      <c r="AY179" s="7">
        <f>SUMPRODUCT(N(Tabela17[Código]=Tabela3[[#This Row],[PAPEL]]),Tabela17[Fechamento])</f>
        <v>0</v>
      </c>
      <c r="AZ179" s="7">
        <f>SUMPRODUCT(N(Tabela176[Código]=Tabela3[[#This Row],[PAPEL]]),Tabela176[Fechamento])</f>
        <v>0</v>
      </c>
      <c r="BA179" s="7">
        <f>SUMPRODUCT(N(Tabela1768[Código]=Tabela3[[#This Row],[PAPEL]]),Tabela1768[Fechamento])</f>
        <v>0</v>
      </c>
      <c r="BB179" s="7">
        <f>SUMPRODUCT(N(Tabela17683[Código]=Tabela3[[#This Row],[PAPEL]]),Tabela17683[Fechamento])</f>
        <v>13.37</v>
      </c>
    </row>
    <row r="180" spans="1:54" hidden="1">
      <c r="A180" s="3" t="s">
        <v>267</v>
      </c>
      <c r="B180" s="58" t="s">
        <v>270</v>
      </c>
      <c r="C180" s="83" t="str">
        <f>LEFT([PAPEL],LEN([PAPEL])-(LEN([PAPEL])-4))</f>
        <v>SMTO</v>
      </c>
      <c r="D180" s="16">
        <v>3</v>
      </c>
      <c r="E180" s="5">
        <v>737200000</v>
      </c>
      <c r="F180" s="21">
        <v>113000000</v>
      </c>
      <c r="G180" s="86">
        <v>0.25</v>
      </c>
      <c r="H180" s="16"/>
      <c r="J180" s="18"/>
      <c r="K180" s="87"/>
      <c r="L180" s="87"/>
      <c r="M180" s="54"/>
      <c r="N180" s="54"/>
      <c r="O180" s="54"/>
      <c r="P180" s="5">
        <v>2075419000</v>
      </c>
      <c r="Q180" s="5">
        <v>95615000</v>
      </c>
      <c r="R180" s="5">
        <f>IF(Tabela3[[#This Row],[Ativo || Passivo]]&gt;0,Tabela3[[#This Row],[Ativo || Passivo]]-Tabela3[[#This Row],[Patrimônio Líquido]],0)</f>
        <v>0</v>
      </c>
      <c r="S180" s="5">
        <f>Tabela3[[#This Row],[Cotação]]*Tabela3[[#This Row],[Total Ações]]</f>
        <v>3053260000</v>
      </c>
      <c r="T180" s="130">
        <f>IF(Tabela3[[#This Row],[Passivo Circulante]]&gt;0,Tabela3[[#This Row],[Ativo Circulante]]/Tabela3[[#This Row],[Passivo Circulante]],0)</f>
        <v>0</v>
      </c>
      <c r="U180" s="130">
        <f>SUMPRODUCT(N([Liquidez Corrente]&gt;0),N(RIGHT([PAPEL],LEN([PAPEL])-(LEN([PAPEL])-1))="3"),[Liquidez Corrente])/SUMPRODUCT(N([Liquidez Corrente]&gt;0),N(RIGHT([PAPEL],LEN([PAPEL])-(LEN([PAPEL])-1))="3"))</f>
        <v>2.331224473064915</v>
      </c>
      <c r="V180" s="18">
        <f>IF(Tabela3[[#This Row],[Lucro Líquido]]&gt;0,Tabela3[[#This Row],[Lucro Líquido]]/Tabela3[[#This Row],[Patrimônio Líquido]],0)</f>
        <v>4.6070215219191885E-2</v>
      </c>
      <c r="W180" s="18">
        <f>SUMPRODUCT(N([Rentabilidade s/ PL]&gt;0),N(RIGHT([PAPEL],LEN([PAPEL])-(LEN([PAPEL])-1))="3"),[Rentabilidade s/ PL])/SUMPRODUCT(N([Rentabilidade s/ PL]&gt;0),N(RIGHT([PAPEL],LEN([PAPEL])-(LEN([PAPEL])-1))="3"))</f>
        <v>0.1261051308670782</v>
      </c>
      <c r="X180" s="18">
        <f>IF(Tabela3[[#This Row],[Dívida]]&gt;0,Tabela3[[#This Row],[Dívida]]/Tabela3[[#This Row],[Patrimônio Líquido]],0)</f>
        <v>0</v>
      </c>
      <c r="Y180" s="18">
        <f>SUMPRODUCT(N([Dívida / PL]&gt;0),N(RIGHT([PAPEL],LEN([PAPEL])-(LEN([PAPEL])-1))="3"),[Dívida / PL])/SUMPRODUCT(N([Dívida / PL]&gt;0),N(RIGHT([PAPEL],LEN([PAPEL])-(LEN([PAPEL])-1))="3"))</f>
        <v>2.1510410379481146</v>
      </c>
      <c r="Z180" s="5">
        <f>Tabela3[[#This Row],[Capital Social]]*20%</f>
        <v>147440000</v>
      </c>
      <c r="AA180" s="5">
        <f>IF(([Lucro Líquido]*5%)&gt;[Teto R. Legal],[Teto R. Legal],[Lucro Líquido]*5%)</f>
        <v>4780750</v>
      </c>
      <c r="AB180" s="5">
        <f>IF([Lucro Líquido]&lt;0,0,[Lucro Líquido]-[Reserva Legal])</f>
        <v>90834250</v>
      </c>
      <c r="AC180" s="5">
        <f>Tabela3[[#This Row],[Lucro Distribuir]]*[%Div]</f>
        <v>22708562.5</v>
      </c>
      <c r="AD180" s="56">
        <f>SUMPRODUCT(N([Nome]=Tabela3[[#This Row],[Nome]]),[Ações])</f>
        <v>113000000</v>
      </c>
      <c r="AE180" s="5">
        <f>[Capital Social]/[Total Ações]</f>
        <v>6.5238938053097346</v>
      </c>
      <c r="AF180" s="77">
        <f>Tabela3[[#This Row],[Lucro Líquido]]/Tabela3[[#This Row],[Total Ações]]</f>
        <v>0.84615044247787607</v>
      </c>
      <c r="AG180" s="77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0.20096073008849558</v>
      </c>
      <c r="AH180" s="77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180" s="77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180" s="77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0.20096073008849558</v>
      </c>
      <c r="AK180" s="5">
        <f>[Div Base]*[Ações]</f>
        <v>22708562.5</v>
      </c>
      <c r="AL180" s="5">
        <f>SUMPRODUCT(N([Nome]=Tabela3[[#This Row],[Nome]]),[Div Base]*[Ações])</f>
        <v>22708562.5</v>
      </c>
      <c r="AM180" s="5">
        <f>[Patrimônio Líquido]/[Total Ações]</f>
        <v>18.36653982300885</v>
      </c>
      <c r="AN180" s="52">
        <f>MAX(Tabela3[[#This Row],[Cotação 1]:[Cotação 5]])</f>
        <v>27.02</v>
      </c>
      <c r="AO180" s="53">
        <f>[Cotação]/[VPA]</f>
        <v>1.4711535357438665</v>
      </c>
      <c r="AP180" s="37">
        <f>IF(Tabela3[[#This Row],[Lucro/Ação]]&gt;0,Tabela3[[#This Row],[Cotação]]/(Tabela3[[#This Row],[Lucro/Ação]]/[Ref]*4),0)</f>
        <v>23.949641792605764</v>
      </c>
      <c r="AQ180" s="77">
        <f>[Lucro Distribuir]/[Total Ações]</f>
        <v>0.8038429203539823</v>
      </c>
      <c r="AR180" s="77">
        <f>IF([Unit ON]&gt;0,SUMPRODUCT(N([Nome]=Tabela3[[#This Row],[Nome]]),N(RIGHT([PAPEL],1)="3"),[Div Base])*[Unit ON]+SUMPRODUCT(N([Nome]=Tabela3[[#This Row],[Nome]]),N(RIGHT([PAPEL],1)="4"),[Div Base])*[Unit PN],[Div Base])</f>
        <v>0.20096073008849558</v>
      </c>
      <c r="AS180" s="16" t="str">
        <f>IF(AND([% A.A.]&gt;=6%,SUMPRODUCT(N([Nome]=Tabela3[[#This Row],[Nome]]),[PL])&gt;0,[Rentabilidade s/ PL]&gt;=[Rentabilidade s/ PL Média]),"Sim","Não")</f>
        <v>Não</v>
      </c>
      <c r="AT180" s="22">
        <f>IF([Cotação]&gt;0,Tabela3[[#This Row],[Lucro]]/Tabela3[[#This Row],[Cotação]],0)</f>
        <v>7.4374807582714871E-3</v>
      </c>
      <c r="AU180" s="18">
        <f>((1+Tabela3[[#This Row],[% Yield]])^(1/(3*Tabela3[[#This Row],[Ref]])))^(12)-1</f>
        <v>9.9289132281867865E-3</v>
      </c>
      <c r="AV180" s="10">
        <f>IF([Cotação]&gt;0,($BH$1/Tabela3[[#This Row],[Cotação]]-MOD($BH$1/Tabela3[[#This Row],[Cotação]],100)),)</f>
        <v>0</v>
      </c>
      <c r="AW180" s="7">
        <f>Tabela3[[#This Row],[Ativos]]*[Lucro]</f>
        <v>0</v>
      </c>
      <c r="AX180" s="47">
        <f>SUMPRODUCT(N(Tabela1[Código]=Tabela3[[#This Row],[PAPEL]]),Tabela1[Fechamento])</f>
        <v>0</v>
      </c>
      <c r="AY180" s="54">
        <f>SUMPRODUCT(N(Tabela17[Código]=Tabela3[[#This Row],[PAPEL]]),Tabela17[Fechamento])</f>
        <v>27.02</v>
      </c>
      <c r="AZ180" s="7">
        <f>SUMPRODUCT(N(Tabela176[Código]=Tabela3[[#This Row],[PAPEL]]),Tabela176[Fechamento])</f>
        <v>0</v>
      </c>
      <c r="BA180" s="7">
        <f>SUMPRODUCT(N(Tabela1768[Código]=Tabela3[[#This Row],[PAPEL]]),Tabela1768[Fechamento])</f>
        <v>27.01</v>
      </c>
      <c r="BB180" s="7">
        <f>SUMPRODUCT(N(Tabela17683[Código]=Tabela3[[#This Row],[PAPEL]]),Tabela17683[Fechamento])</f>
        <v>0</v>
      </c>
    </row>
    <row r="181" spans="1:54" hidden="1">
      <c r="A181" s="4" t="s">
        <v>753</v>
      </c>
      <c r="B181" s="57" t="s">
        <v>755</v>
      </c>
      <c r="C181" s="15" t="str">
        <f>LEFT([PAPEL],LEN([PAPEL])-(LEN([PAPEL])-4))</f>
        <v>DASA</v>
      </c>
      <c r="D181" s="15">
        <v>3</v>
      </c>
      <c r="E181" s="6">
        <v>2234134819.75</v>
      </c>
      <c r="F181" s="8">
        <v>311803015</v>
      </c>
      <c r="G181" s="86">
        <v>0.25</v>
      </c>
      <c r="H181" s="15"/>
      <c r="I181" s="19"/>
      <c r="J181" s="19"/>
      <c r="K181" s="88"/>
      <c r="L181" s="88"/>
      <c r="M181" s="55"/>
      <c r="N181" s="55"/>
      <c r="O181" s="55"/>
      <c r="P181" s="92">
        <v>2701798000</v>
      </c>
      <c r="Q181" s="93">
        <v>94591000</v>
      </c>
      <c r="R181" s="93">
        <f>IF(Tabela3[[#This Row],[Ativo || Passivo]]&gt;0,Tabela3[[#This Row],[Ativo || Passivo]]-Tabela3[[#This Row],[Patrimônio Líquido]],0)</f>
        <v>0</v>
      </c>
      <c r="S181" s="93">
        <f>Tabela3[[#This Row],[Cotação]]*Tabela3[[#This Row],[Total Ações]]</f>
        <v>4701989466.1999998</v>
      </c>
      <c r="T181" s="40">
        <f>IF(Tabela3[[#This Row],[Passivo Circulante]]&gt;0,Tabela3[[#This Row],[Ativo Circulante]]/Tabela3[[#This Row],[Passivo Circulante]],0)</f>
        <v>0</v>
      </c>
      <c r="U181" s="40">
        <f>SUMPRODUCT(N([Liquidez Corrente]&gt;0),N(RIGHT([PAPEL],LEN([PAPEL])-(LEN([PAPEL])-1))="3"),[Liquidez Corrente])/SUMPRODUCT(N([Liquidez Corrente]&gt;0),N(RIGHT([PAPEL],LEN([PAPEL])-(LEN([PAPEL])-1))="3"))</f>
        <v>2.331224473064915</v>
      </c>
      <c r="V181" s="19">
        <f>IF(Tabela3[[#This Row],[Lucro Líquido]]&gt;0,Tabela3[[#This Row],[Lucro Líquido]]/Tabela3[[#This Row],[Patrimônio Líquido]],0)</f>
        <v>3.5010389377740307E-2</v>
      </c>
      <c r="W181" s="19">
        <f>SUMPRODUCT(N([Rentabilidade s/ PL]&gt;0),N(RIGHT([PAPEL],LEN([PAPEL])-(LEN([PAPEL])-1))="3"),[Rentabilidade s/ PL])/SUMPRODUCT(N([Rentabilidade s/ PL]&gt;0),N(RIGHT([PAPEL],LEN([PAPEL])-(LEN([PAPEL])-1))="3"))</f>
        <v>0.1261051308670782</v>
      </c>
      <c r="X181" s="19">
        <f>IF(Tabela3[[#This Row],[Dívida]]&gt;0,Tabela3[[#This Row],[Dívida]]/Tabela3[[#This Row],[Patrimônio Líquido]],0)</f>
        <v>0</v>
      </c>
      <c r="Y181" s="19">
        <f>SUMPRODUCT(N([Dívida / PL]&gt;0),N(RIGHT([PAPEL],LEN([PAPEL])-(LEN([PAPEL])-1))="3"),[Dívida / PL])/SUMPRODUCT(N([Dívida / PL]&gt;0),N(RIGHT([PAPEL],LEN([PAPEL])-(LEN([PAPEL])-1))="3"))</f>
        <v>2.1510410379481146</v>
      </c>
      <c r="Z181" s="13">
        <f>Tabela3[[#This Row],[Capital Social]]*20%</f>
        <v>446826963.95000005</v>
      </c>
      <c r="AA181" s="13">
        <f>IF(([Lucro Líquido]*5%)&gt;[Teto R. Legal],[Teto R. Legal],[Lucro Líquido]*5%)</f>
        <v>4729550</v>
      </c>
      <c r="AB181" s="13">
        <f>IF([Lucro Líquido]&lt;0,0,[Lucro Líquido]-[Reserva Legal])</f>
        <v>89861450</v>
      </c>
      <c r="AC181" s="13">
        <f>Tabela3[[#This Row],[Lucro Distribuir]]*[%Div]</f>
        <v>22465362.5</v>
      </c>
      <c r="AD181" s="56">
        <f>SUMPRODUCT(N([Nome]=Tabela3[[#This Row],[Nome]]),[Ações])</f>
        <v>311803015</v>
      </c>
      <c r="AE181" s="6">
        <f>[Capital Social]/[Total Ações]</f>
        <v>7.1652123689374845</v>
      </c>
      <c r="AF181" s="78">
        <f>Tabela3[[#This Row],[Lucro Líquido]]/Tabela3[[#This Row],[Total Ações]]</f>
        <v>0.30336781701742044</v>
      </c>
      <c r="AG181" s="78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7.2049856541637355E-2</v>
      </c>
      <c r="AH181" s="78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181" s="78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181" s="78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7.2049856541637355E-2</v>
      </c>
      <c r="AK181" s="13">
        <f>[Div Base]*[Ações]</f>
        <v>22465362.5</v>
      </c>
      <c r="AL181" s="13">
        <f>SUMPRODUCT(N([Nome]=Tabela3[[#This Row],[Nome]]),[Div Base]*[Ações])</f>
        <v>22465362.5</v>
      </c>
      <c r="AM181" s="6">
        <f>[Patrimônio Líquido]/[Total Ações]</f>
        <v>8.6650797780130517</v>
      </c>
      <c r="AN181" s="48">
        <f>MAX(Tabela3[[#This Row],[Cotação 1]:[Cotação 5]])</f>
        <v>15.08</v>
      </c>
      <c r="AO181" s="44">
        <f>[Cotação]/[VPA]</f>
        <v>1.7403186567611642</v>
      </c>
      <c r="AP181" s="40">
        <f>IF(Tabela3[[#This Row],[Lucro/Ação]]&gt;0,Tabela3[[#This Row],[Cotação]]/(Tabela3[[#This Row],[Lucro/Ação]]/[Ref]*4),0)</f>
        <v>37.281476035246477</v>
      </c>
      <c r="AQ181" s="78">
        <f>[Lucro Distribuir]/[Total Ações]</f>
        <v>0.28819942616654942</v>
      </c>
      <c r="AR181" s="78">
        <f>IF([Unit ON]&gt;0,SUMPRODUCT(N([Nome]=Tabela3[[#This Row],[Nome]]),N(RIGHT([PAPEL],1)="3"),[Div Base])*[Unit ON]+SUMPRODUCT(N([Nome]=Tabela3[[#This Row],[Nome]]),N(RIGHT([PAPEL],1)="4"),[Div Base])*[Unit PN],[Div Base])</f>
        <v>7.2049856541637355E-2</v>
      </c>
      <c r="AS181" s="14" t="str">
        <f>IF(AND([% A.A.]&gt;=6%,SUMPRODUCT(N([Nome]=Tabela3[[#This Row],[Nome]]),[PL])&gt;0,[Rentabilidade s/ PL]&gt;=[Rentabilidade s/ PL Média]),"Sim","Não")</f>
        <v>Não</v>
      </c>
      <c r="AT181" s="42">
        <f>IF([Cotação]&gt;0,Tabela3[[#This Row],[Lucro]]/Tabela3[[#This Row],[Cotação]],0)</f>
        <v>4.7778419457319204E-3</v>
      </c>
      <c r="AU181" s="42">
        <f>((1+Tabela3[[#This Row],[% Yield]])^(1/(3*Tabela3[[#This Row],[Ref]])))^(12)-1</f>
        <v>6.3755233908791009E-3</v>
      </c>
      <c r="AV181" s="14">
        <f>IF([Cotação]&gt;0,($BH$1/Tabela3[[#This Row],[Cotação]]-MOD($BH$1/Tabela3[[#This Row],[Cotação]],100)),)</f>
        <v>0</v>
      </c>
      <c r="AW181" s="17">
        <f>Tabela3[[#This Row],[Ativos]]*[Lucro]</f>
        <v>0</v>
      </c>
      <c r="AX181" s="17">
        <f>SUMPRODUCT(N(Tabela1[Código]=Tabela3[[#This Row],[PAPEL]]),Tabela1[Fechamento])</f>
        <v>0</v>
      </c>
      <c r="AY181" s="17">
        <f>SUMPRODUCT(N(Tabela17[Código]=Tabela3[[#This Row],[PAPEL]]),Tabela17[Fechamento])</f>
        <v>0</v>
      </c>
      <c r="AZ181" s="17">
        <f>SUMPRODUCT(N(Tabela176[Código]=Tabela3[[#This Row],[PAPEL]]),Tabela176[Fechamento])</f>
        <v>15.08</v>
      </c>
      <c r="BA181" s="17">
        <f>SUMPRODUCT(N(Tabela1768[Código]=Tabela3[[#This Row],[PAPEL]]),Tabela1768[Fechamento])</f>
        <v>0</v>
      </c>
      <c r="BB181" s="7">
        <f>SUMPRODUCT(N(Tabela17683[Código]=Tabela3[[#This Row],[PAPEL]]),Tabela17683[Fechamento])</f>
        <v>0</v>
      </c>
    </row>
    <row r="182" spans="1:54" hidden="1">
      <c r="A182" s="3" t="s">
        <v>343</v>
      </c>
      <c r="B182" s="57" t="s">
        <v>357</v>
      </c>
      <c r="C182" s="82" t="str">
        <f>LEFT([PAPEL],LEN([PAPEL])-(LEN([PAPEL])-4))</f>
        <v>SCAR</v>
      </c>
      <c r="D182" s="16">
        <v>3</v>
      </c>
      <c r="E182" s="5">
        <v>473911676.48000002</v>
      </c>
      <c r="F182" s="21">
        <v>57737317</v>
      </c>
      <c r="G182" s="86">
        <v>0.25</v>
      </c>
      <c r="H182" s="16"/>
      <c r="J182" s="18"/>
      <c r="K182" s="87"/>
      <c r="L182" s="87"/>
      <c r="M182" s="54"/>
      <c r="N182" s="54"/>
      <c r="O182" s="54"/>
      <c r="P182" s="5">
        <v>984644000</v>
      </c>
      <c r="Q182" s="5">
        <v>94588000</v>
      </c>
      <c r="R182" s="5">
        <f>IF(Tabela3[[#This Row],[Ativo || Passivo]]&gt;0,Tabela3[[#This Row],[Ativo || Passivo]]-Tabela3[[#This Row],[Patrimônio Líquido]],0)</f>
        <v>0</v>
      </c>
      <c r="S182" s="5">
        <f>Tabela3[[#This Row],[Cotação]]*Tabela3[[#This Row],[Total Ações]]</f>
        <v>1946324956.0699999</v>
      </c>
      <c r="T182" s="130">
        <f>IF(Tabela3[[#This Row],[Passivo Circulante]]&gt;0,Tabela3[[#This Row],[Ativo Circulante]]/Tabela3[[#This Row],[Passivo Circulante]],0)</f>
        <v>0</v>
      </c>
      <c r="U182" s="130">
        <f>SUMPRODUCT(N([Liquidez Corrente]&gt;0),N(RIGHT([PAPEL],LEN([PAPEL])-(LEN([PAPEL])-1))="3"),[Liquidez Corrente])/SUMPRODUCT(N([Liquidez Corrente]&gt;0),N(RIGHT([PAPEL],LEN([PAPEL])-(LEN([PAPEL])-1))="3"))</f>
        <v>2.331224473064915</v>
      </c>
      <c r="V182" s="18">
        <f>IF(Tabela3[[#This Row],[Lucro Líquido]]&gt;0,Tabela3[[#This Row],[Lucro Líquido]]/Tabela3[[#This Row],[Patrimônio Líquido]],0)</f>
        <v>9.6063145664829111E-2</v>
      </c>
      <c r="W182" s="18">
        <f>SUMPRODUCT(N([Rentabilidade s/ PL]&gt;0),N(RIGHT([PAPEL],LEN([PAPEL])-(LEN([PAPEL])-1))="3"),[Rentabilidade s/ PL])/SUMPRODUCT(N([Rentabilidade s/ PL]&gt;0),N(RIGHT([PAPEL],LEN([PAPEL])-(LEN([PAPEL])-1))="3"))</f>
        <v>0.1261051308670782</v>
      </c>
      <c r="X182" s="18">
        <f>IF(Tabela3[[#This Row],[Dívida]]&gt;0,Tabela3[[#This Row],[Dívida]]/Tabela3[[#This Row],[Patrimônio Líquido]],0)</f>
        <v>0</v>
      </c>
      <c r="Y182" s="18">
        <f>SUMPRODUCT(N([Dívida / PL]&gt;0),N(RIGHT([PAPEL],LEN([PAPEL])-(LEN([PAPEL])-1))="3"),[Dívida / PL])/SUMPRODUCT(N([Dívida / PL]&gt;0),N(RIGHT([PAPEL],LEN([PAPEL])-(LEN([PAPEL])-1))="3"))</f>
        <v>2.1510410379481146</v>
      </c>
      <c r="Z182" s="5">
        <f>Tabela3[[#This Row],[Capital Social]]*20%</f>
        <v>94782335.296000004</v>
      </c>
      <c r="AA182" s="5">
        <f>IF(([Lucro Líquido]*5%)&gt;[Teto R. Legal],[Teto R. Legal],[Lucro Líquido]*5%)</f>
        <v>4729400</v>
      </c>
      <c r="AB182" s="5">
        <f>IF([Lucro Líquido]&lt;0,0,[Lucro Líquido]-[Reserva Legal])</f>
        <v>89858600</v>
      </c>
      <c r="AC182" s="5">
        <f>Tabela3[[#This Row],[Lucro Distribuir]]*[%Div]</f>
        <v>22464650</v>
      </c>
      <c r="AD182" s="21">
        <f>SUMPRODUCT(N([Nome]=Tabela3[[#This Row],[Nome]]),[Ações])</f>
        <v>57737317</v>
      </c>
      <c r="AE182" s="5">
        <f>[Capital Social]/[Total Ações]</f>
        <v>8.2080654437060172</v>
      </c>
      <c r="AF182" s="77">
        <f>Tabela3[[#This Row],[Lucro Líquido]]/Tabela3[[#This Row],[Total Ações]]</f>
        <v>1.6382472361852214</v>
      </c>
      <c r="AG182" s="77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0.3890837185939901</v>
      </c>
      <c r="AH182" s="77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182" s="77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182" s="77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0.3890837185939901</v>
      </c>
      <c r="AK182" s="5">
        <f>[Div Base]*[Ações]</f>
        <v>22464650</v>
      </c>
      <c r="AL182" s="5">
        <f>SUMPRODUCT(N([Nome]=Tabela3[[#This Row],[Nome]]),[Div Base]*[Ações])</f>
        <v>22464650</v>
      </c>
      <c r="AM182" s="5">
        <f>[Patrimônio Líquido]/[Total Ações]</f>
        <v>17.053857906144131</v>
      </c>
      <c r="AN182" s="52">
        <f>MAX(Tabela3[[#This Row],[Cotação 1]:[Cotação 5]])</f>
        <v>33.71</v>
      </c>
      <c r="AO182" s="53">
        <f>[Cotação]/[VPA]</f>
        <v>1.9766788362799146</v>
      </c>
      <c r="AP182" s="37">
        <f>IF(Tabela3[[#This Row],[Lucro/Ação]]&gt;0,Tabela3[[#This Row],[Cotação]]/(Tabela3[[#This Row],[Lucro/Ação]]/[Ref]*4),0)</f>
        <v>15.432652313744873</v>
      </c>
      <c r="AQ182" s="77">
        <f>[Lucro Distribuir]/[Total Ações]</f>
        <v>1.5563348743759604</v>
      </c>
      <c r="AR182" s="77">
        <f>IF([Unit ON]&gt;0,SUMPRODUCT(N([Nome]=Tabela3[[#This Row],[Nome]]),N(RIGHT([PAPEL],1)="3"),[Div Base])*[Unit ON]+SUMPRODUCT(N([Nome]=Tabela3[[#This Row],[Nome]]),N(RIGHT([PAPEL],1)="4"),[Div Base])*[Unit PN],[Div Base])</f>
        <v>0.3890837185939901</v>
      </c>
      <c r="AS182" s="16" t="str">
        <f>IF(AND([% A.A.]&gt;=6%,SUMPRODUCT(N([Nome]=Tabela3[[#This Row],[Nome]]),[PL])&gt;0,[Rentabilidade s/ PL]&gt;=[Rentabilidade s/ PL Média]),"Sim","Não")</f>
        <v>Não</v>
      </c>
      <c r="AT182" s="22">
        <f>IF([Cotação]&gt;0,Tabela3[[#This Row],[Lucro]]/Tabela3[[#This Row],[Cotação]],0)</f>
        <v>1.1542085986175916E-2</v>
      </c>
      <c r="AU182" s="18">
        <f>((1+Tabela3[[#This Row],[% Yield]])^(1/(3*Tabela3[[#This Row],[Ref]])))^(12)-1</f>
        <v>1.541897680062454E-2</v>
      </c>
      <c r="AV182" s="10">
        <f>IF([Cotação]&gt;0,($BH$1/Tabela3[[#This Row],[Cotação]]-MOD($BH$1/Tabela3[[#This Row],[Cotação]],100)),)</f>
        <v>0</v>
      </c>
      <c r="AW182" s="7">
        <f>Tabela3[[#This Row],[Ativos]]*[Lucro]</f>
        <v>0</v>
      </c>
      <c r="AX182" s="47">
        <f>SUMPRODUCT(N(Tabela1[Código]=Tabela3[[#This Row],[PAPEL]]),Tabela1[Fechamento])</f>
        <v>0</v>
      </c>
      <c r="AY182" s="54">
        <f>SUMPRODUCT(N(Tabela17[Código]=Tabela3[[#This Row],[PAPEL]]),Tabela17[Fechamento])</f>
        <v>33.71</v>
      </c>
      <c r="AZ182" s="7">
        <f>SUMPRODUCT(N(Tabela176[Código]=Tabela3[[#This Row],[PAPEL]]),Tabela176[Fechamento])</f>
        <v>0</v>
      </c>
      <c r="BA182" s="7">
        <f>SUMPRODUCT(N(Tabela1768[Código]=Tabela3[[#This Row],[PAPEL]]),Tabela1768[Fechamento])</f>
        <v>0</v>
      </c>
      <c r="BB182" s="7">
        <f>SUMPRODUCT(N(Tabela17683[Código]=Tabela3[[#This Row],[PAPEL]]),Tabela17683[Fechamento])</f>
        <v>0</v>
      </c>
    </row>
    <row r="183" spans="1:54" hidden="1">
      <c r="A183" s="3" t="s">
        <v>296</v>
      </c>
      <c r="B183" s="58" t="s">
        <v>302</v>
      </c>
      <c r="C183" s="83" t="str">
        <f>LEFT([PAPEL],LEN([PAPEL])-(LEN([PAPEL])-4))</f>
        <v>MOAR</v>
      </c>
      <c r="D183" s="16">
        <v>3</v>
      </c>
      <c r="E183" s="5">
        <v>627358000</v>
      </c>
      <c r="F183" s="21">
        <v>12251221</v>
      </c>
      <c r="G183" s="86">
        <v>0.25</v>
      </c>
      <c r="H183" s="16"/>
      <c r="J183" s="18"/>
      <c r="K183" s="87"/>
      <c r="L183" s="87"/>
      <c r="M183" s="54"/>
      <c r="N183" s="54"/>
      <c r="O183" s="54"/>
      <c r="P183" s="5">
        <v>1185190000</v>
      </c>
      <c r="Q183" s="5">
        <v>90444000</v>
      </c>
      <c r="R183" s="5">
        <f>IF(Tabela3[[#This Row],[Ativo || Passivo]]&gt;0,Tabela3[[#This Row],[Ativo || Passivo]]-Tabela3[[#This Row],[Patrimônio Líquido]],0)</f>
        <v>0</v>
      </c>
      <c r="S183" s="5">
        <f>Tabela3[[#This Row],[Cotação]]*Tabela3[[#This Row],[Total Ações]]</f>
        <v>1911190476</v>
      </c>
      <c r="T183" s="130">
        <f>IF(Tabela3[[#This Row],[Passivo Circulante]]&gt;0,Tabela3[[#This Row],[Ativo Circulante]]/Tabela3[[#This Row],[Passivo Circulante]],0)</f>
        <v>0</v>
      </c>
      <c r="U183" s="130">
        <f>SUMPRODUCT(N([Liquidez Corrente]&gt;0),N(RIGHT([PAPEL],LEN([PAPEL])-(LEN([PAPEL])-1))="3"),[Liquidez Corrente])/SUMPRODUCT(N([Liquidez Corrente]&gt;0),N(RIGHT([PAPEL],LEN([PAPEL])-(LEN([PAPEL])-1))="3"))</f>
        <v>2.331224473064915</v>
      </c>
      <c r="V183" s="18">
        <f>IF(Tabela3[[#This Row],[Lucro Líquido]]&gt;0,Tabela3[[#This Row],[Lucro Líquido]]/Tabela3[[#This Row],[Patrimônio Líquido]],0)</f>
        <v>7.6311814983251625E-2</v>
      </c>
      <c r="W183" s="18">
        <f>SUMPRODUCT(N([Rentabilidade s/ PL]&gt;0),N(RIGHT([PAPEL],LEN([PAPEL])-(LEN([PAPEL])-1))="3"),[Rentabilidade s/ PL])/SUMPRODUCT(N([Rentabilidade s/ PL]&gt;0),N(RIGHT([PAPEL],LEN([PAPEL])-(LEN([PAPEL])-1))="3"))</f>
        <v>0.1261051308670782</v>
      </c>
      <c r="X183" s="18">
        <f>IF(Tabela3[[#This Row],[Dívida]]&gt;0,Tabela3[[#This Row],[Dívida]]/Tabela3[[#This Row],[Patrimônio Líquido]],0)</f>
        <v>0</v>
      </c>
      <c r="Y183" s="18">
        <f>SUMPRODUCT(N([Dívida / PL]&gt;0),N(RIGHT([PAPEL],LEN([PAPEL])-(LEN([PAPEL])-1))="3"),[Dívida / PL])/SUMPRODUCT(N([Dívida / PL]&gt;0),N(RIGHT([PAPEL],LEN([PAPEL])-(LEN([PAPEL])-1))="3"))</f>
        <v>2.1510410379481146</v>
      </c>
      <c r="Z183" s="5">
        <f>Tabela3[[#This Row],[Capital Social]]*20%</f>
        <v>125471600</v>
      </c>
      <c r="AA183" s="5">
        <f>IF(([Lucro Líquido]*5%)&gt;[Teto R. Legal],[Teto R. Legal],[Lucro Líquido]*5%)</f>
        <v>4522200</v>
      </c>
      <c r="AB183" s="5">
        <f>IF([Lucro Líquido]&lt;0,0,[Lucro Líquido]-[Reserva Legal])</f>
        <v>85921800</v>
      </c>
      <c r="AC183" s="5">
        <f>Tabela3[[#This Row],[Lucro Distribuir]]*[%Div]</f>
        <v>21480450</v>
      </c>
      <c r="AD183" s="56">
        <f>SUMPRODUCT(N([Nome]=Tabela3[[#This Row],[Nome]]),[Ações])</f>
        <v>12251221</v>
      </c>
      <c r="AE183" s="5">
        <f>[Capital Social]/[Total Ações]</f>
        <v>51.207793900705894</v>
      </c>
      <c r="AF183" s="77">
        <f>Tabela3[[#This Row],[Lucro Líquido]]/Tabela3[[#This Row],[Total Ações]]</f>
        <v>7.3824478392806725</v>
      </c>
      <c r="AG183" s="77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1.7533313618291597</v>
      </c>
      <c r="AH183" s="77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183" s="77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183" s="77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1.7533313618291597</v>
      </c>
      <c r="AK183" s="5">
        <f>[Div Base]*[Ações]</f>
        <v>21480450</v>
      </c>
      <c r="AL183" s="5">
        <f>SUMPRODUCT(N([Nome]=Tabela3[[#This Row],[Nome]]),[Div Base]*[Ações])</f>
        <v>21480450</v>
      </c>
      <c r="AM183" s="5">
        <f>[Patrimônio Líquido]/[Total Ações]</f>
        <v>96.740561614226039</v>
      </c>
      <c r="AN183" s="52">
        <f>MAX(Tabela3[[#This Row],[Cotação 1]:[Cotação 5]])</f>
        <v>156</v>
      </c>
      <c r="AO183" s="53">
        <f>[Cotação]/[VPA]</f>
        <v>1.6125604130983218</v>
      </c>
      <c r="AP183" s="37">
        <f>IF(Tabela3[[#This Row],[Lucro/Ação]]&gt;0,Tabela3[[#This Row],[Cotação]]/(Tabela3[[#This Row],[Lucro/Ação]]/[Ref]*4),0)</f>
        <v>15.848401850869045</v>
      </c>
      <c r="AQ183" s="77">
        <f>[Lucro Distribuir]/[Total Ações]</f>
        <v>7.0133254473166389</v>
      </c>
      <c r="AR183" s="77">
        <f>IF([Unit ON]&gt;0,SUMPRODUCT(N([Nome]=Tabela3[[#This Row],[Nome]]),N(RIGHT([PAPEL],1)="3"),[Div Base])*[Unit ON]+SUMPRODUCT(N([Nome]=Tabela3[[#This Row],[Nome]]),N(RIGHT([PAPEL],1)="4"),[Div Base])*[Unit PN],[Div Base])</f>
        <v>1.7533313618291597</v>
      </c>
      <c r="AS183" s="16" t="str">
        <f>IF(AND([% A.A.]&gt;=6%,SUMPRODUCT(N([Nome]=Tabela3[[#This Row],[Nome]]),[PL])&gt;0,[Rentabilidade s/ PL]&gt;=[Rentabilidade s/ PL Média]),"Sim","Não")</f>
        <v>Não</v>
      </c>
      <c r="AT183" s="22">
        <f>IF([Cotação]&gt;0,Tabela3[[#This Row],[Lucro]]/Tabela3[[#This Row],[Cotação]],0)</f>
        <v>1.1239303601468973E-2</v>
      </c>
      <c r="AU183" s="18">
        <f>((1+Tabela3[[#This Row],[% Yield]])^(1/(3*Tabela3[[#This Row],[Ref]])))^(12)-1</f>
        <v>1.5013739892974165E-2</v>
      </c>
      <c r="AV183" s="10">
        <f>IF([Cotação]&gt;0,($BH$1/Tabela3[[#This Row],[Cotação]]-MOD($BH$1/Tabela3[[#This Row],[Cotação]],100)),)</f>
        <v>0</v>
      </c>
      <c r="AW183" s="7">
        <f>Tabela3[[#This Row],[Ativos]]*[Lucro]</f>
        <v>0</v>
      </c>
      <c r="AX183" s="47">
        <f>SUMPRODUCT(N(Tabela1[Código]=Tabela3[[#This Row],[PAPEL]]),Tabela1[Fechamento])</f>
        <v>0</v>
      </c>
      <c r="AY183" s="54">
        <f>SUMPRODUCT(N(Tabela17[Código]=Tabela3[[#This Row],[PAPEL]]),Tabela17[Fechamento])</f>
        <v>156</v>
      </c>
      <c r="AZ183" s="7">
        <f>SUMPRODUCT(N(Tabela176[Código]=Tabela3[[#This Row],[PAPEL]]),Tabela176[Fechamento])</f>
        <v>0</v>
      </c>
      <c r="BA183" s="7">
        <f>SUMPRODUCT(N(Tabela1768[Código]=Tabela3[[#This Row],[PAPEL]]),Tabela1768[Fechamento])</f>
        <v>0</v>
      </c>
      <c r="BB183" s="7">
        <f>SUMPRODUCT(N(Tabela17683[Código]=Tabela3[[#This Row],[PAPEL]]),Tabela17683[Fechamento])</f>
        <v>0</v>
      </c>
    </row>
    <row r="184" spans="1:54">
      <c r="A184" s="4" t="s">
        <v>318</v>
      </c>
      <c r="B184" s="57" t="s">
        <v>696</v>
      </c>
      <c r="C184" s="82" t="str">
        <f>LEFT([PAPEL],LEN([PAPEL])-(LEN([PAPEL])-4))</f>
        <v>EUCA</v>
      </c>
      <c r="D184" s="15">
        <v>4</v>
      </c>
      <c r="E184" s="6">
        <v>488183378.76999998</v>
      </c>
      <c r="F184" s="8">
        <v>31257700</v>
      </c>
      <c r="G184" s="81">
        <v>0.25</v>
      </c>
      <c r="H184" s="19"/>
      <c r="I184" s="19"/>
      <c r="J184" s="19"/>
      <c r="K184" s="88"/>
      <c r="L184" s="88"/>
      <c r="M184" s="55">
        <v>1285505000</v>
      </c>
      <c r="N184" s="55">
        <v>16811000</v>
      </c>
      <c r="O184" s="55">
        <v>113812000</v>
      </c>
      <c r="P184" s="6">
        <v>1139467000</v>
      </c>
      <c r="Q184" s="6">
        <v>88862000</v>
      </c>
      <c r="R184" s="6">
        <f>IF(Tabela3[[#This Row],[Ativo || Passivo]]&gt;0,Tabela3[[#This Row],[Ativo || Passivo]]-Tabela3[[#This Row],[Patrimônio Líquido]],0)</f>
        <v>146038000</v>
      </c>
      <c r="S184" s="6">
        <f>Tabela3[[#This Row],[Cotação]]*Tabela3[[#This Row],[Total Ações]]</f>
        <v>658522910.16000009</v>
      </c>
      <c r="T184" s="132">
        <f>IF(Tabela3[[#This Row],[Passivo Circulante]]&gt;0,Tabela3[[#This Row],[Ativo Circulante]]/Tabela3[[#This Row],[Passivo Circulante]],0)</f>
        <v>0.14770850173971109</v>
      </c>
      <c r="U184" s="132">
        <f>SUMPRODUCT(N([Liquidez Corrente]&gt;0),N(RIGHT([PAPEL],LEN([PAPEL])-(LEN([PAPEL])-1))="3"),[Liquidez Corrente])/SUMPRODUCT(N([Liquidez Corrente]&gt;0),N(RIGHT([PAPEL],LEN([PAPEL])-(LEN([PAPEL])-1))="3"))</f>
        <v>2.331224473064915</v>
      </c>
      <c r="V184" s="19">
        <f>IF(Tabela3[[#This Row],[Lucro Líquido]]&gt;0,Tabela3[[#This Row],[Lucro Líquido]]/Tabela3[[#This Row],[Patrimônio Líquido]],0)</f>
        <v>7.7985584488186141E-2</v>
      </c>
      <c r="W184" s="19">
        <f>SUMPRODUCT(N([Rentabilidade s/ PL]&gt;0),N(RIGHT([PAPEL],LEN([PAPEL])-(LEN([PAPEL])-1))="3"),[Rentabilidade s/ PL])/SUMPRODUCT(N([Rentabilidade s/ PL]&gt;0),N(RIGHT([PAPEL],LEN([PAPEL])-(LEN([PAPEL])-1))="3"))</f>
        <v>0.1261051308670782</v>
      </c>
      <c r="X184" s="19">
        <f>IF(Tabela3[[#This Row],[Dívida]]&gt;0,Tabela3[[#This Row],[Dívida]]/Tabela3[[#This Row],[Patrimônio Líquido]],0)</f>
        <v>0.12816343079703055</v>
      </c>
      <c r="Y184" s="19">
        <f>SUMPRODUCT(N([Dívida / PL]&gt;0),N(RIGHT([PAPEL],LEN([PAPEL])-(LEN([PAPEL])-1))="3"),[Dívida / PL])/SUMPRODUCT(N([Dívida / PL]&gt;0),N(RIGHT([PAPEL],LEN([PAPEL])-(LEN([PAPEL])-1))="3"))</f>
        <v>2.1510410379481146</v>
      </c>
      <c r="Z184" s="6">
        <f>Tabela3[[#This Row],[Capital Social]]*20%</f>
        <v>97636675.754000008</v>
      </c>
      <c r="AA184" s="6">
        <f>IF(([Lucro Líquido]*5%)&gt;[Teto R. Legal],[Teto R. Legal],[Lucro Líquido]*5%)</f>
        <v>4443100</v>
      </c>
      <c r="AB184" s="6">
        <f>IF([Lucro Líquido]&lt;0,0,[Lucro Líquido]-[Reserva Legal])</f>
        <v>84418900</v>
      </c>
      <c r="AC184" s="6">
        <f>Tabela3[[#This Row],[Lucro Distribuir]]*[%Div]</f>
        <v>21104725</v>
      </c>
      <c r="AD184" s="56">
        <f>SUMPRODUCT(N([Nome]=Tabela3[[#This Row],[Nome]]),[Ações])</f>
        <v>92619256</v>
      </c>
      <c r="AE184" s="6">
        <f>[Capital Social]/[Total Ações]</f>
        <v>5.2708626678020387</v>
      </c>
      <c r="AF184" s="78">
        <f>Tabela3[[#This Row],[Lucro Líquido]]/Tabela3[[#This Row],[Total Ações]]</f>
        <v>0.95943331697676348</v>
      </c>
      <c r="AG184" s="78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0.22077565330931526</v>
      </c>
      <c r="AH184" s="78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184" s="78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184" s="78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0.22077565330931526</v>
      </c>
      <c r="AK184" s="6">
        <f>[Div Base]*[Ações]</f>
        <v>6900939.1384465834</v>
      </c>
      <c r="AL184" s="6">
        <f>SUMPRODUCT(N([Nome]=Tabela3[[#This Row],[Nome]]),[Div Base]*[Ações])</f>
        <v>21802790.534234308</v>
      </c>
      <c r="AM184" s="6">
        <f>[Patrimônio Líquido]/[Total Ações]</f>
        <v>12.302700855208769</v>
      </c>
      <c r="AN184" s="48">
        <f>MAX(Tabela3[[#This Row],[Cotação 1]:[Cotação 5]])</f>
        <v>7.11</v>
      </c>
      <c r="AO184" s="44">
        <f>[Cotação]/[VPA]</f>
        <v>0.57792187940502016</v>
      </c>
      <c r="AP184" s="40">
        <f>IF(Tabela3[[#This Row],[Lucro/Ação]]&gt;0,Tabela3[[#This Row],[Cotação]]/(Tabela3[[#This Row],[Lucro/Ação]]/[Ref]*4),0)</f>
        <v>7.4106244531970926</v>
      </c>
      <c r="AQ184" s="78">
        <f>[Lucro Distribuir]/[Total Ações]</f>
        <v>0.91146165112792532</v>
      </c>
      <c r="AR184" s="78">
        <f>IF([Unit ON]&gt;0,SUMPRODUCT(N([Nome]=Tabela3[[#This Row],[Nome]]),N(RIGHT([PAPEL],1)="3"),[Div Base])*[Unit ON]+SUMPRODUCT(N([Nome]=Tabela3[[#This Row],[Nome]]),N(RIGHT([PAPEL],1)="4"),[Div Base])*[Unit PN],[Div Base])</f>
        <v>0.22077565330931526</v>
      </c>
      <c r="AS184" s="15" t="str">
        <f>IF(AND([% A.A.]&gt;=6%,SUMPRODUCT(N([Nome]=Tabela3[[#This Row],[Nome]]),[PL])&gt;0,[Rentabilidade s/ PL]&gt;=[Rentabilidade s/ PL Média]),"Sim","Não")</f>
        <v>Não</v>
      </c>
      <c r="AT184" s="42">
        <f>IF([Cotação]&gt;0,Tabela3[[#This Row],[Lucro]]/Tabela3[[#This Row],[Cotação]],0)</f>
        <v>3.1051428032252495E-2</v>
      </c>
      <c r="AU184" s="19">
        <f>((1+Tabela3[[#This Row],[% Yield]])^(1/(3*Tabela3[[#This Row],[Ref]])))^(12)-1</f>
        <v>3.1051428032251582E-2</v>
      </c>
      <c r="AV184" s="14">
        <f>IF([Cotação]&gt;0,($BH$1/Tabela3[[#This Row],[Cotação]]-MOD($BH$1/Tabela3[[#This Row],[Cotação]],100)),)</f>
        <v>0</v>
      </c>
      <c r="AW184" s="17">
        <f>Tabela3[[#This Row],[Ativos]]*[Lucro]</f>
        <v>0</v>
      </c>
      <c r="AX184" s="13">
        <f>SUMPRODUCT(N(Tabela1[Código]=Tabela3[[#This Row],[PAPEL]]),Tabela1[Fechamento])</f>
        <v>0</v>
      </c>
      <c r="AY184" s="55">
        <f>SUMPRODUCT(N(Tabela17[Código]=Tabela3[[#This Row],[PAPEL]]),Tabela17[Fechamento])</f>
        <v>0</v>
      </c>
      <c r="AZ184" s="7">
        <f>SUMPRODUCT(N(Tabela176[Código]=Tabela3[[#This Row],[PAPEL]]),Tabela176[Fechamento])</f>
        <v>7.11</v>
      </c>
      <c r="BA184" s="7">
        <f>SUMPRODUCT(N(Tabela1768[Código]=Tabela3[[#This Row],[PAPEL]]),Tabela1768[Fechamento])</f>
        <v>0</v>
      </c>
      <c r="BB184" s="7">
        <f>SUMPRODUCT(N(Tabela17683[Código]=Tabela3[[#This Row],[PAPEL]]),Tabela17683[Fechamento])</f>
        <v>0</v>
      </c>
    </row>
    <row r="185" spans="1:54">
      <c r="A185" s="4" t="s">
        <v>318</v>
      </c>
      <c r="B185" s="57" t="s">
        <v>320</v>
      </c>
      <c r="C185" s="82" t="str">
        <f>LEFT([PAPEL],LEN([PAPEL])-(LEN([PAPEL])-4))</f>
        <v>EUCA</v>
      </c>
      <c r="D185" s="15">
        <v>4</v>
      </c>
      <c r="E185" s="6">
        <v>488183378.76999998</v>
      </c>
      <c r="F185" s="8">
        <v>61361556</v>
      </c>
      <c r="G185" s="86">
        <v>0.25</v>
      </c>
      <c r="H185" s="15"/>
      <c r="I185" s="19"/>
      <c r="J185" s="19">
        <v>0.1</v>
      </c>
      <c r="K185" s="88"/>
      <c r="L185" s="88"/>
      <c r="M185" s="55">
        <v>1285505000</v>
      </c>
      <c r="N185" s="55">
        <v>16811000</v>
      </c>
      <c r="O185" s="55">
        <v>113812000</v>
      </c>
      <c r="P185" s="6">
        <v>1139467000</v>
      </c>
      <c r="Q185" s="6">
        <v>88862000</v>
      </c>
      <c r="R185" s="6">
        <f>IF(Tabela3[[#This Row],[Ativo || Passivo]]&gt;0,Tabela3[[#This Row],[Ativo || Passivo]]-Tabela3[[#This Row],[Patrimônio Líquido]],0)</f>
        <v>146038000</v>
      </c>
      <c r="S185" s="6">
        <f>Tabela3[[#This Row],[Cotação]]*Tabela3[[#This Row],[Total Ações]]</f>
        <v>523298796.40000004</v>
      </c>
      <c r="T185" s="132">
        <f>IF(Tabela3[[#This Row],[Passivo Circulante]]&gt;0,Tabela3[[#This Row],[Ativo Circulante]]/Tabela3[[#This Row],[Passivo Circulante]],0)</f>
        <v>0.14770850173971109</v>
      </c>
      <c r="U185" s="132">
        <f>SUMPRODUCT(N([Liquidez Corrente]&gt;0),N(RIGHT([PAPEL],LEN([PAPEL])-(LEN([PAPEL])-1))="3"),[Liquidez Corrente])/SUMPRODUCT(N([Liquidez Corrente]&gt;0),N(RIGHT([PAPEL],LEN([PAPEL])-(LEN([PAPEL])-1))="3"))</f>
        <v>2.331224473064915</v>
      </c>
      <c r="V185" s="19">
        <f>IF(Tabela3[[#This Row],[Lucro Líquido]]&gt;0,Tabela3[[#This Row],[Lucro Líquido]]/Tabela3[[#This Row],[Patrimônio Líquido]],0)</f>
        <v>7.7985584488186141E-2</v>
      </c>
      <c r="W185" s="19">
        <f>SUMPRODUCT(N([Rentabilidade s/ PL]&gt;0),N(RIGHT([PAPEL],LEN([PAPEL])-(LEN([PAPEL])-1))="3"),[Rentabilidade s/ PL])/SUMPRODUCT(N([Rentabilidade s/ PL]&gt;0),N(RIGHT([PAPEL],LEN([PAPEL])-(LEN([PAPEL])-1))="3"))</f>
        <v>0.1261051308670782</v>
      </c>
      <c r="X185" s="19">
        <f>IF(Tabela3[[#This Row],[Dívida]]&gt;0,Tabela3[[#This Row],[Dívida]]/Tabela3[[#This Row],[Patrimônio Líquido]],0)</f>
        <v>0.12816343079703055</v>
      </c>
      <c r="Y185" s="19">
        <f>SUMPRODUCT(N([Dívida / PL]&gt;0),N(RIGHT([PAPEL],LEN([PAPEL])-(LEN([PAPEL])-1))="3"),[Dívida / PL])/SUMPRODUCT(N([Dívida / PL]&gt;0),N(RIGHT([PAPEL],LEN([PAPEL])-(LEN([PAPEL])-1))="3"))</f>
        <v>2.1510410379481146</v>
      </c>
      <c r="Z185" s="6">
        <f>Tabela3[[#This Row],[Capital Social]]*20%</f>
        <v>97636675.754000008</v>
      </c>
      <c r="AA185" s="6">
        <f>IF(([Lucro Líquido]*5%)&gt;[Teto R. Legal],[Teto R. Legal],[Lucro Líquido]*5%)</f>
        <v>4443100</v>
      </c>
      <c r="AB185" s="6">
        <f>IF([Lucro Líquido]&lt;0,0,[Lucro Líquido]-[Reserva Legal])</f>
        <v>84418900</v>
      </c>
      <c r="AC185" s="6">
        <f>Tabela3[[#This Row],[Lucro Distribuir]]*[%Div]</f>
        <v>21104725</v>
      </c>
      <c r="AD185" s="56">
        <f>SUMPRODUCT(N([Nome]=Tabela3[[#This Row],[Nome]]),[Ações])</f>
        <v>92619256</v>
      </c>
      <c r="AE185" s="6">
        <f>[Capital Social]/[Total Ações]</f>
        <v>5.2708626678020387</v>
      </c>
      <c r="AF185" s="78">
        <f>Tabela3[[#This Row],[Lucro Líquido]]/Tabela3[[#This Row],[Total Ações]]</f>
        <v>0.95943331697676348</v>
      </c>
      <c r="AG185" s="78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0.24285321897293027</v>
      </c>
      <c r="AH185" s="78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185" s="78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185" s="78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0.24285321897293027</v>
      </c>
      <c r="AK185" s="6">
        <f>[Div Base]*[Ações]</f>
        <v>14901851.395787723</v>
      </c>
      <c r="AL185" s="6">
        <f>SUMPRODUCT(N([Nome]=Tabela3[[#This Row],[Nome]]),[Div Base]*[Ações])</f>
        <v>21802790.534234308</v>
      </c>
      <c r="AM185" s="6">
        <f>[Patrimônio Líquido]/[Total Ações]</f>
        <v>12.302700855208769</v>
      </c>
      <c r="AN185" s="48">
        <f>MAX(Tabela3[[#This Row],[Cotação 1]:[Cotação 5]])</f>
        <v>5.65</v>
      </c>
      <c r="AO185" s="44">
        <f>[Cotação]/[VPA]</f>
        <v>0.45924875086334233</v>
      </c>
      <c r="AP185" s="40">
        <f>IF(Tabela3[[#This Row],[Lucro/Ação]]&gt;0,Tabela3[[#This Row],[Cotação]]/(Tabela3[[#This Row],[Lucro/Ação]]/[Ref]*4),0)</f>
        <v>5.8888928495870001</v>
      </c>
      <c r="AQ185" s="78">
        <f>[Lucro Distribuir]/[Total Ações]</f>
        <v>0.91146165112792532</v>
      </c>
      <c r="AR185" s="78">
        <f>IF([Unit ON]&gt;0,SUMPRODUCT(N([Nome]=Tabela3[[#This Row],[Nome]]),N(RIGHT([PAPEL],1)="3"),[Div Base])*[Unit ON]+SUMPRODUCT(N([Nome]=Tabela3[[#This Row],[Nome]]),N(RIGHT([PAPEL],1)="4"),[Div Base])*[Unit PN],[Div Base])</f>
        <v>0.24285321897293027</v>
      </c>
      <c r="AS185" s="15" t="str">
        <f>IF(AND([% A.A.]&gt;=6%,SUMPRODUCT(N([Nome]=Tabela3[[#This Row],[Nome]]),[PL])&gt;0,[Rentabilidade s/ PL]&gt;=[Rentabilidade s/ PL Média]),"Sim","Não")</f>
        <v>Não</v>
      </c>
      <c r="AT185" s="42">
        <f>IF([Cotação]&gt;0,Tabela3[[#This Row],[Lucro]]/Tabela3[[#This Row],[Cotação]],0)</f>
        <v>4.2982870614677919E-2</v>
      </c>
      <c r="AU185" s="19">
        <f>((1+Tabela3[[#This Row],[% Yield]])^(1/(3*Tabela3[[#This Row],[Ref]])))^(12)-1</f>
        <v>4.2982870614677759E-2</v>
      </c>
      <c r="AV185" s="14">
        <f>IF([Cotação]&gt;0,($BH$1/Tabela3[[#This Row],[Cotação]]-MOD($BH$1/Tabela3[[#This Row],[Cotação]],100)),)</f>
        <v>0</v>
      </c>
      <c r="AW185" s="17">
        <f>Tabela3[[#This Row],[Ativos]]*[Lucro]</f>
        <v>0</v>
      </c>
      <c r="AX185" s="13">
        <f>SUMPRODUCT(N(Tabela1[Código]=Tabela3[[#This Row],[PAPEL]]),Tabela1[Fechamento])</f>
        <v>0</v>
      </c>
      <c r="AY185" s="55">
        <f>SUMPRODUCT(N(Tabela17[Código]=Tabela3[[#This Row],[PAPEL]]),Tabela17[Fechamento])</f>
        <v>5.65</v>
      </c>
      <c r="AZ185" s="7">
        <f>SUMPRODUCT(N(Tabela176[Código]=Tabela3[[#This Row],[PAPEL]]),Tabela176[Fechamento])</f>
        <v>0</v>
      </c>
      <c r="BA185" s="7">
        <f>SUMPRODUCT(N(Tabela1768[Código]=Tabela3[[#This Row],[PAPEL]]),Tabela1768[Fechamento])</f>
        <v>0</v>
      </c>
      <c r="BB185" s="7">
        <f>SUMPRODUCT(N(Tabela17683[Código]=Tabela3[[#This Row],[PAPEL]]),Tabela17683[Fechamento])</f>
        <v>0</v>
      </c>
    </row>
    <row r="186" spans="1:54" hidden="1">
      <c r="A186" s="4" t="s">
        <v>370</v>
      </c>
      <c r="B186" s="57" t="s">
        <v>369</v>
      </c>
      <c r="C186" s="82" t="str">
        <f>LEFT([PAPEL],LEN([PAPEL])-(LEN([PAPEL])-4))</f>
        <v>BRIN</v>
      </c>
      <c r="D186" s="15">
        <v>3</v>
      </c>
      <c r="E186" s="6">
        <v>348895784.44999999</v>
      </c>
      <c r="F186" s="8">
        <v>98042555</v>
      </c>
      <c r="G186" s="81">
        <v>0.25</v>
      </c>
      <c r="H186" s="15"/>
      <c r="I186" s="19"/>
      <c r="J186" s="19"/>
      <c r="K186" s="88"/>
      <c r="L186" s="88"/>
      <c r="M186" s="55"/>
      <c r="N186" s="55"/>
      <c r="O186" s="55"/>
      <c r="P186" s="6">
        <v>496428000</v>
      </c>
      <c r="Q186" s="6">
        <v>88119000</v>
      </c>
      <c r="R186" s="6">
        <f>IF(Tabela3[[#This Row],[Ativo || Passivo]]&gt;0,Tabela3[[#This Row],[Ativo || Passivo]]-Tabela3[[#This Row],[Patrimônio Líquido]],0)</f>
        <v>0</v>
      </c>
      <c r="S186" s="6">
        <f>Tabela3[[#This Row],[Cotação]]*Tabela3[[#This Row],[Total Ações]]</f>
        <v>1659860456.1499999</v>
      </c>
      <c r="T186" s="132">
        <f>IF(Tabela3[[#This Row],[Passivo Circulante]]&gt;0,Tabela3[[#This Row],[Ativo Circulante]]/Tabela3[[#This Row],[Passivo Circulante]],0)</f>
        <v>0</v>
      </c>
      <c r="U186" s="132">
        <f>SUMPRODUCT(N([Liquidez Corrente]&gt;0),N(RIGHT([PAPEL],LEN([PAPEL])-(LEN([PAPEL])-1))="3"),[Liquidez Corrente])/SUMPRODUCT(N([Liquidez Corrente]&gt;0),N(RIGHT([PAPEL],LEN([PAPEL])-(LEN([PAPEL])-1))="3"))</f>
        <v>2.331224473064915</v>
      </c>
      <c r="V186" s="19">
        <f>IF(Tabela3[[#This Row],[Lucro Líquido]]&gt;0,Tabela3[[#This Row],[Lucro Líquido]]/Tabela3[[#This Row],[Patrimônio Líquido]],0)</f>
        <v>0.17750610360414804</v>
      </c>
      <c r="W186" s="19">
        <f>SUMPRODUCT(N([Rentabilidade s/ PL]&gt;0),N(RIGHT([PAPEL],LEN([PAPEL])-(LEN([PAPEL])-1))="3"),[Rentabilidade s/ PL])/SUMPRODUCT(N([Rentabilidade s/ PL]&gt;0),N(RIGHT([PAPEL],LEN([PAPEL])-(LEN([PAPEL])-1))="3"))</f>
        <v>0.1261051308670782</v>
      </c>
      <c r="X186" s="19">
        <f>IF(Tabela3[[#This Row],[Dívida]]&gt;0,Tabela3[[#This Row],[Dívida]]/Tabela3[[#This Row],[Patrimônio Líquido]],0)</f>
        <v>0</v>
      </c>
      <c r="Y186" s="19">
        <f>SUMPRODUCT(N([Dívida / PL]&gt;0),N(RIGHT([PAPEL],LEN([PAPEL])-(LEN([PAPEL])-1))="3"),[Dívida / PL])/SUMPRODUCT(N([Dívida / PL]&gt;0),N(RIGHT([PAPEL],LEN([PAPEL])-(LEN([PAPEL])-1))="3"))</f>
        <v>2.1510410379481146</v>
      </c>
      <c r="Z186" s="6">
        <f>Tabela3[[#This Row],[Capital Social]]*20%</f>
        <v>69779156.890000001</v>
      </c>
      <c r="AA186" s="6">
        <f>IF(([Lucro Líquido]*5%)&gt;[Teto R. Legal],[Teto R. Legal],[Lucro Líquido]*5%)</f>
        <v>4405950</v>
      </c>
      <c r="AB186" s="6">
        <f>IF([Lucro Líquido]&lt;0,0,[Lucro Líquido]-[Reserva Legal])</f>
        <v>83713050</v>
      </c>
      <c r="AC186" s="6">
        <f>Tabela3[[#This Row],[Lucro Distribuir]]*[%Div]</f>
        <v>20928262.5</v>
      </c>
      <c r="AD186" s="56">
        <f>SUMPRODUCT(N([Nome]=Tabela3[[#This Row],[Nome]]),[Ações])</f>
        <v>98042555</v>
      </c>
      <c r="AE186" s="6">
        <f>[Capital Social]/[Total Ações]</f>
        <v>3.5586157913775298</v>
      </c>
      <c r="AF186" s="78">
        <f>Tabela3[[#This Row],[Lucro Líquido]]/Tabela3[[#This Row],[Total Ações]]</f>
        <v>0.89878318654588307</v>
      </c>
      <c r="AG186" s="78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0.21346100680464722</v>
      </c>
      <c r="AH186" s="78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186" s="78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186" s="78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0.21346100680464722</v>
      </c>
      <c r="AK186" s="6">
        <f>[Div Base]*[Ações]</f>
        <v>20928262.5</v>
      </c>
      <c r="AL186" s="6">
        <f>SUMPRODUCT(N([Nome]=Tabela3[[#This Row],[Nome]]),[Div Base]*[Ações])</f>
        <v>20928262.5</v>
      </c>
      <c r="AM186" s="6">
        <f>[Patrimônio Líquido]/[Total Ações]</f>
        <v>5.063393135766403</v>
      </c>
      <c r="AN186" s="48">
        <f>MAX(Tabela3[[#This Row],[Cotação 1]:[Cotação 5]])</f>
        <v>16.93</v>
      </c>
      <c r="AO186" s="44">
        <f>[Cotação]/[VPA]</f>
        <v>3.3436076453181527</v>
      </c>
      <c r="AP186" s="40">
        <f>IF(Tabela3[[#This Row],[Lucro/Ação]]&gt;0,Tabela3[[#This Row],[Cotação]]/(Tabela3[[#This Row],[Lucro/Ação]]/[Ref]*4),0)</f>
        <v>14.12743383506962</v>
      </c>
      <c r="AQ186" s="78">
        <f>[Lucro Distribuir]/[Total Ações]</f>
        <v>0.85384402721858887</v>
      </c>
      <c r="AR186" s="78">
        <f>IF([Unit ON]&gt;0,SUMPRODUCT(N([Nome]=Tabela3[[#This Row],[Nome]]),N(RIGHT([PAPEL],1)="3"),[Div Base])*[Unit ON]+SUMPRODUCT(N([Nome]=Tabela3[[#This Row],[Nome]]),N(RIGHT([PAPEL],1)="4"),[Div Base])*[Unit PN],[Div Base])</f>
        <v>0.21346100680464722</v>
      </c>
      <c r="AS186" s="15" t="str">
        <f>IF(AND([% A.A.]&gt;=6%,SUMPRODUCT(N([Nome]=Tabela3[[#This Row],[Nome]]),[PL])&gt;0,[Rentabilidade s/ PL]&gt;=[Rentabilidade s/ PL Média]),"Sim","Não")</f>
        <v>Não</v>
      </c>
      <c r="AT186" s="42">
        <f>IF([Cotação]&gt;0,Tabela3[[#This Row],[Lucro]]/Tabela3[[#This Row],[Cotação]],0)</f>
        <v>1.2608446946523758E-2</v>
      </c>
      <c r="AU186" s="19">
        <f>((1+Tabela3[[#This Row],[% Yield]])^(1/(3*Tabela3[[#This Row],[Ref]])))^(12)-1</f>
        <v>1.6846491447852552E-2</v>
      </c>
      <c r="AV186" s="14">
        <f>IF([Cotação]&gt;0,($BH$1/Tabela3[[#This Row],[Cotação]]-MOD($BH$1/Tabela3[[#This Row],[Cotação]],100)),)</f>
        <v>0</v>
      </c>
      <c r="AW186" s="17">
        <f>Tabela3[[#This Row],[Ativos]]*[Lucro]</f>
        <v>0</v>
      </c>
      <c r="AX186" s="13">
        <f>SUMPRODUCT(N(Tabela1[Código]=Tabela3[[#This Row],[PAPEL]]),Tabela1[Fechamento])</f>
        <v>0</v>
      </c>
      <c r="AY186" s="55">
        <f>SUMPRODUCT(N(Tabela17[Código]=Tabela3[[#This Row],[PAPEL]]),Tabela17[Fechamento])</f>
        <v>16.93</v>
      </c>
      <c r="AZ186" s="7">
        <f>SUMPRODUCT(N(Tabela176[Código]=Tabela3[[#This Row],[PAPEL]]),Tabela176[Fechamento])</f>
        <v>0</v>
      </c>
      <c r="BA186" s="7">
        <f>SUMPRODUCT(N(Tabela1768[Código]=Tabela3[[#This Row],[PAPEL]]),Tabela1768[Fechamento])</f>
        <v>0</v>
      </c>
      <c r="BB186" s="7">
        <f>SUMPRODUCT(N(Tabela17683[Código]=Tabela3[[#This Row],[PAPEL]]),Tabela17683[Fechamento])</f>
        <v>0</v>
      </c>
    </row>
    <row r="187" spans="1:54" hidden="1">
      <c r="A187" s="3" t="s">
        <v>1168</v>
      </c>
      <c r="B187" s="58" t="s">
        <v>1186</v>
      </c>
      <c r="C187" s="16" t="str">
        <f>LEFT([PAPEL],LEN([PAPEL])-(LEN([PAPEL])-4))</f>
        <v>AMAR</v>
      </c>
      <c r="D187" s="16">
        <v>3</v>
      </c>
      <c r="E187" s="5">
        <v>660158639.36000001</v>
      </c>
      <c r="F187" s="56">
        <v>185532726</v>
      </c>
      <c r="G187" s="81">
        <v>0.25</v>
      </c>
      <c r="H187" s="87"/>
      <c r="J187" s="18"/>
      <c r="K187" s="16"/>
      <c r="L187" s="87"/>
      <c r="M187" s="54"/>
      <c r="N187" s="54"/>
      <c r="O187" s="54"/>
      <c r="P187" s="91">
        <v>1107738000</v>
      </c>
      <c r="Q187" s="73">
        <v>85498000</v>
      </c>
      <c r="R187" s="73">
        <f>IF(Tabela3[[#This Row],[Ativo || Passivo]]&gt;0,Tabela3[[#This Row],[Ativo || Passivo]]-Tabela3[[#This Row],[Patrimônio Líquido]],0)</f>
        <v>0</v>
      </c>
      <c r="S187" s="73">
        <f>Tabela3[[#This Row],[Cotação]]*Tabela3[[#This Row],[Total Ações]]</f>
        <v>2493559837.4400001</v>
      </c>
      <c r="T187" s="37">
        <f>IF(Tabela3[[#This Row],[Passivo Circulante]]&gt;0,Tabela3[[#This Row],[Ativo Circulante]]/Tabela3[[#This Row],[Passivo Circulante]],0)</f>
        <v>0</v>
      </c>
      <c r="U187" s="37">
        <f>SUMPRODUCT(N([Liquidez Corrente]&gt;0),N(RIGHT([PAPEL],LEN([PAPEL])-(LEN([PAPEL])-1))="3"),[Liquidez Corrente])/SUMPRODUCT(N([Liquidez Corrente]&gt;0),N(RIGHT([PAPEL],LEN([PAPEL])-(LEN([PAPEL])-1))="3"))</f>
        <v>2.331224473064915</v>
      </c>
      <c r="V187" s="18">
        <f>IF(Tabela3[[#This Row],[Lucro Líquido]]&gt;0,Tabela3[[#This Row],[Lucro Líquido]]/Tabela3[[#This Row],[Patrimônio Líquido]],0)</f>
        <v>7.7182510665879472E-2</v>
      </c>
      <c r="W187" s="18">
        <f>SUMPRODUCT(N([Rentabilidade s/ PL]&gt;0),N(RIGHT([PAPEL],LEN([PAPEL])-(LEN([PAPEL])-1))="3"),[Rentabilidade s/ PL])/SUMPRODUCT(N([Rentabilidade s/ PL]&gt;0),N(RIGHT([PAPEL],LEN([PAPEL])-(LEN([PAPEL])-1))="3"))</f>
        <v>0.1261051308670782</v>
      </c>
      <c r="X187" s="18">
        <f>IF(Tabela3[[#This Row],[Dívida]]&gt;0,Tabela3[[#This Row],[Dívida]]/Tabela3[[#This Row],[Patrimônio Líquido]],0)</f>
        <v>0</v>
      </c>
      <c r="Y187" s="18">
        <f>SUMPRODUCT(N([Dívida / PL]&gt;0),N(RIGHT([PAPEL],LEN([PAPEL])-(LEN([PAPEL])-1))="3"),[Dívida / PL])/SUMPRODUCT(N([Dívida / PL]&gt;0),N(RIGHT([PAPEL],LEN([PAPEL])-(LEN([PAPEL])-1))="3"))</f>
        <v>2.1510410379481146</v>
      </c>
      <c r="Z187" s="7">
        <f>Tabela3[[#This Row],[Capital Social]]*20%</f>
        <v>132031727.87200001</v>
      </c>
      <c r="AA187" s="47">
        <f>IF(([Lucro Líquido]*5%)&gt;[Teto R. Legal],[Teto R. Legal],[Lucro Líquido]*5%)</f>
        <v>4274900</v>
      </c>
      <c r="AB187" s="47">
        <f>IF([Lucro Líquido]&lt;0,0,[Lucro Líquido]-[Reserva Legal])</f>
        <v>81223100</v>
      </c>
      <c r="AC187" s="47">
        <f>Tabela3[[#This Row],[Lucro Distribuir]]*[%Div]</f>
        <v>20305775</v>
      </c>
      <c r="AD187" s="56">
        <f>SUMPRODUCT(N([Nome]=Tabela3[[#This Row],[Nome]]),[Ações])</f>
        <v>185532726</v>
      </c>
      <c r="AE187" s="85">
        <f>[Capital Social]/[Total Ações]</f>
        <v>3.5581789455300732</v>
      </c>
      <c r="AF187" s="85">
        <f>Tabela3[[#This Row],[Lucro Líquido]]/Tabela3[[#This Row],[Total Ações]]</f>
        <v>0.46082436151991857</v>
      </c>
      <c r="AG187" s="85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0.10944578586098067</v>
      </c>
      <c r="AH187" s="85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187" s="77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187" s="85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0.10944578586098067</v>
      </c>
      <c r="AK187" s="7">
        <f>[Div Base]*[Ações]</f>
        <v>20305775</v>
      </c>
      <c r="AL187" s="120">
        <f>SUMPRODUCT(N([Nome]=Tabela3[[#This Row],[Nome]]),[Div Base]*[Ações])</f>
        <v>20305775</v>
      </c>
      <c r="AM187" s="5">
        <f>[Patrimônio Líquido]/[Total Ações]</f>
        <v>5.9705800905442414</v>
      </c>
      <c r="AN187" s="52">
        <f>MAX(Tabela3[[#This Row],[Cotação 1]:[Cotação 5]])</f>
        <v>13.44</v>
      </c>
      <c r="AO187" s="53">
        <f>[Cotação]/[VPA]</f>
        <v>2.2510375535009182</v>
      </c>
      <c r="AP187" s="37">
        <f>IF(Tabela3[[#This Row],[Lucro/Ação]]&gt;0,Tabela3[[#This Row],[Cotação]]/(Tabela3[[#This Row],[Lucro/Ação]]/[Ref]*4),0)</f>
        <v>21.873843576224004</v>
      </c>
      <c r="AQ187" s="85">
        <f>[Lucro Distribuir]/[Total Ações]</f>
        <v>0.43778314344392266</v>
      </c>
      <c r="AR187" s="85">
        <f>IF([Unit ON]&gt;0,SUMPRODUCT(N([Nome]=Tabela3[[#This Row],[Nome]]),N(RIGHT([PAPEL],1)="3"),[Div Base])*[Unit ON]+SUMPRODUCT(N([Nome]=Tabela3[[#This Row],[Nome]]),N(RIGHT([PAPEL],1)="4"),[Div Base])*[Unit PN],[Div Base])</f>
        <v>0.10944578586098067</v>
      </c>
      <c r="AS187" s="10" t="str">
        <f>IF(AND([% A.A.]&gt;=6%,SUMPRODUCT(N([Nome]=Tabela3[[#This Row],[Nome]]),[PL])&gt;0,[Rentabilidade s/ PL]&gt;=[Rentabilidade s/ PL Média]),"Sim","Não")</f>
        <v>Não</v>
      </c>
      <c r="AT187" s="22">
        <f>IF([Cotação]&gt;0,Tabela3[[#This Row],[Lucro]]/Tabela3[[#This Row],[Cotação]],0)</f>
        <v>8.1432876384658244E-3</v>
      </c>
      <c r="AU187" s="22">
        <f>((1+Tabela3[[#This Row],[% Yield]])^(1/(3*Tabela3[[#This Row],[Ref]])))^(12)-1</f>
        <v>1.0872426526272738E-2</v>
      </c>
      <c r="AV187" s="10">
        <f>IF([Cotação]&gt;0,($BH$1/Tabela3[[#This Row],[Cotação]]-MOD($BH$1/Tabela3[[#This Row],[Cotação]],100)),)</f>
        <v>0</v>
      </c>
      <c r="AW187" s="7">
        <f>Tabela3[[#This Row],[Ativos]]*[Lucro]</f>
        <v>0</v>
      </c>
      <c r="AX187" s="7">
        <f>SUMPRODUCT(N(Tabela1[Código]=Tabela3[[#This Row],[PAPEL]]),Tabela1[Fechamento])</f>
        <v>0</v>
      </c>
      <c r="AY187" s="7">
        <f>SUMPRODUCT(N(Tabela17[Código]=Tabela3[[#This Row],[PAPEL]]),Tabela17[Fechamento])</f>
        <v>0</v>
      </c>
      <c r="AZ187" s="7">
        <f>SUMPRODUCT(N(Tabela176[Código]=Tabela3[[#This Row],[PAPEL]]),Tabela176[Fechamento])</f>
        <v>0</v>
      </c>
      <c r="BA187" s="7">
        <f>SUMPRODUCT(N(Tabela1768[Código]=Tabela3[[#This Row],[PAPEL]]),Tabela1768[Fechamento])</f>
        <v>13.44</v>
      </c>
      <c r="BB187" s="7">
        <f>SUMPRODUCT(N(Tabela17683[Código]=Tabela3[[#This Row],[PAPEL]]),Tabela17683[Fechamento])</f>
        <v>0</v>
      </c>
    </row>
    <row r="188" spans="1:54">
      <c r="A188" s="3" t="s">
        <v>343</v>
      </c>
      <c r="B188" s="58" t="s">
        <v>348</v>
      </c>
      <c r="C188" s="83" t="str">
        <f>LEFT([PAPEL],LEN([PAPEL])-(LEN([PAPEL])-4))</f>
        <v>BRPR</v>
      </c>
      <c r="D188" s="16">
        <v>4</v>
      </c>
      <c r="E188" s="5">
        <v>2346986526</v>
      </c>
      <c r="F188" s="56">
        <v>311612886</v>
      </c>
      <c r="G188" s="86">
        <v>0.25</v>
      </c>
      <c r="H188" s="16"/>
      <c r="J188" s="18"/>
      <c r="K188" s="87"/>
      <c r="L188" s="87"/>
      <c r="M188" s="54"/>
      <c r="N188" s="54"/>
      <c r="O188" s="54"/>
      <c r="P188" s="5">
        <v>7650441000</v>
      </c>
      <c r="Q188" s="5">
        <v>81162000</v>
      </c>
      <c r="R188" s="5">
        <f>IF(Tabela3[[#This Row],[Ativo || Passivo]]&gt;0,Tabela3[[#This Row],[Ativo || Passivo]]-Tabela3[[#This Row],[Patrimônio Líquido]],0)</f>
        <v>0</v>
      </c>
      <c r="S188" s="5">
        <f>Tabela3[[#This Row],[Cotação]]*Tabela3[[#This Row],[Total Ações]]</f>
        <v>5309883577.4399996</v>
      </c>
      <c r="T188" s="130">
        <f>IF(Tabela3[[#This Row],[Passivo Circulante]]&gt;0,Tabela3[[#This Row],[Ativo Circulante]]/Tabela3[[#This Row],[Passivo Circulante]],0)</f>
        <v>0</v>
      </c>
      <c r="U188" s="130">
        <f>SUMPRODUCT(N([Liquidez Corrente]&gt;0),N(RIGHT([PAPEL],LEN([PAPEL])-(LEN([PAPEL])-1))="3"),[Liquidez Corrente])/SUMPRODUCT(N([Liquidez Corrente]&gt;0),N(RIGHT([PAPEL],LEN([PAPEL])-(LEN([PAPEL])-1))="3"))</f>
        <v>2.331224473064915</v>
      </c>
      <c r="V188" s="18">
        <f>IF(Tabela3[[#This Row],[Lucro Líquido]]&gt;0,Tabela3[[#This Row],[Lucro Líquido]]/Tabela3[[#This Row],[Patrimônio Líquido]],0)</f>
        <v>1.0608800198576789E-2</v>
      </c>
      <c r="W188" s="18">
        <f>SUMPRODUCT(N([Rentabilidade s/ PL]&gt;0),N(RIGHT([PAPEL],LEN([PAPEL])-(LEN([PAPEL])-1))="3"),[Rentabilidade s/ PL])/SUMPRODUCT(N([Rentabilidade s/ PL]&gt;0),N(RIGHT([PAPEL],LEN([PAPEL])-(LEN([PAPEL])-1))="3"))</f>
        <v>0.1261051308670782</v>
      </c>
      <c r="X188" s="18">
        <f>IF(Tabela3[[#This Row],[Dívida]]&gt;0,Tabela3[[#This Row],[Dívida]]/Tabela3[[#This Row],[Patrimônio Líquido]],0)</f>
        <v>0</v>
      </c>
      <c r="Y188" s="18">
        <f>SUMPRODUCT(N([Dívida / PL]&gt;0),N(RIGHT([PAPEL],LEN([PAPEL])-(LEN([PAPEL])-1))="3"),[Dívida / PL])/SUMPRODUCT(N([Dívida / PL]&gt;0),N(RIGHT([PAPEL],LEN([PAPEL])-(LEN([PAPEL])-1))="3"))</f>
        <v>2.1510410379481146</v>
      </c>
      <c r="Z188" s="5">
        <f>Tabela3[[#This Row],[Capital Social]]*20%</f>
        <v>469397305.20000005</v>
      </c>
      <c r="AA188" s="5">
        <f>IF(([Lucro Líquido]*5%)&gt;[Teto R. Legal],[Teto R. Legal],[Lucro Líquido]*5%)</f>
        <v>4058100</v>
      </c>
      <c r="AB188" s="5">
        <f>IF([Lucro Líquido]&lt;0,0,[Lucro Líquido]-[Reserva Legal])</f>
        <v>77103900</v>
      </c>
      <c r="AC188" s="5">
        <f>Tabela3[[#This Row],[Lucro Distribuir]]*[%Div]</f>
        <v>19275975</v>
      </c>
      <c r="AD188" s="21">
        <f>SUMPRODUCT(N([Nome]=Tabela3[[#This Row],[Nome]]),[Ações])</f>
        <v>311612886</v>
      </c>
      <c r="AE188" s="5">
        <f>[Capital Social]/[Total Ações]</f>
        <v>7.5317377151084823</v>
      </c>
      <c r="AF188" s="77">
        <f>Tabela3[[#This Row],[Lucro Líquido]]/Tabela3[[#This Row],[Total Ações]]</f>
        <v>0.26045777837313183</v>
      </c>
      <c r="AG188" s="77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6.1858722363618814E-2</v>
      </c>
      <c r="AH188" s="77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188" s="77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188" s="77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6.1858722363618814E-2</v>
      </c>
      <c r="AK188" s="5">
        <f>[Div Base]*[Ações]</f>
        <v>19275975</v>
      </c>
      <c r="AL188" s="5">
        <f>SUMPRODUCT(N([Nome]=Tabela3[[#This Row],[Nome]]),[Div Base]*[Ações])</f>
        <v>19275975</v>
      </c>
      <c r="AM188" s="5">
        <f>[Patrimônio Líquido]/[Total Ações]</f>
        <v>24.551106015558034</v>
      </c>
      <c r="AN188" s="52">
        <f>MAX(Tabela3[[#This Row],[Cotação 1]:[Cotação 5]])</f>
        <v>17.04</v>
      </c>
      <c r="AO188" s="53">
        <f>[Cotação]/[VPA]</f>
        <v>0.69406241776650524</v>
      </c>
      <c r="AP188" s="37">
        <f>IF(Tabela3[[#This Row],[Lucro/Ação]]&gt;0,Tabela3[[#This Row],[Cotação]]/(Tabela3[[#This Row],[Lucro/Ação]]/[Ref]*4),0)</f>
        <v>65.42327169660679</v>
      </c>
      <c r="AQ188" s="77">
        <f>[Lucro Distribuir]/[Total Ações]</f>
        <v>0.24743488945447525</v>
      </c>
      <c r="AR188" s="77">
        <f>IF([Unit ON]&gt;0,SUMPRODUCT(N([Nome]=Tabela3[[#This Row],[Nome]]),N(RIGHT([PAPEL],1)="3"),[Div Base])*[Unit ON]+SUMPRODUCT(N([Nome]=Tabela3[[#This Row],[Nome]]),N(RIGHT([PAPEL],1)="4"),[Div Base])*[Unit PN],[Div Base])</f>
        <v>6.1858722363618814E-2</v>
      </c>
      <c r="AS188" s="16" t="str">
        <f>IF(AND([% A.A.]&gt;=6%,SUMPRODUCT(N([Nome]=Tabela3[[#This Row],[Nome]]),[PL])&gt;0,[Rentabilidade s/ PL]&gt;=[Rentabilidade s/ PL Média]),"Sim","Não")</f>
        <v>Não</v>
      </c>
      <c r="AT188" s="22">
        <f>IF([Cotação]&gt;0,Tabela3[[#This Row],[Lucro]]/Tabela3[[#This Row],[Cotação]],0)</f>
        <v>3.6302067114799773E-3</v>
      </c>
      <c r="AU188" s="18">
        <f>((1+Tabela3[[#This Row],[% Yield]])^(1/(3*Tabela3[[#This Row],[Ref]])))^(12)-1</f>
        <v>3.6302067114801773E-3</v>
      </c>
      <c r="AV188" s="10">
        <f>IF([Cotação]&gt;0,($BH$1/Tabela3[[#This Row],[Cotação]]-MOD($BH$1/Tabela3[[#This Row],[Cotação]],100)),)</f>
        <v>0</v>
      </c>
      <c r="AW188" s="7">
        <f>Tabela3[[#This Row],[Ativos]]*[Lucro]</f>
        <v>0</v>
      </c>
      <c r="AX188" s="47">
        <f>SUMPRODUCT(N(Tabela1[Código]=Tabela3[[#This Row],[PAPEL]]),Tabela1[Fechamento])</f>
        <v>0</v>
      </c>
      <c r="AY188" s="54">
        <f>SUMPRODUCT(N(Tabela17[Código]=Tabela3[[#This Row],[PAPEL]]),Tabela17[Fechamento])</f>
        <v>17.04</v>
      </c>
      <c r="AZ188" s="7">
        <f>SUMPRODUCT(N(Tabela176[Código]=Tabela3[[#This Row],[PAPEL]]),Tabela176[Fechamento])</f>
        <v>0</v>
      </c>
      <c r="BA188" s="7">
        <f>SUMPRODUCT(N(Tabela1768[Código]=Tabela3[[#This Row],[PAPEL]]),Tabela1768[Fechamento])</f>
        <v>0</v>
      </c>
      <c r="BB188" s="7">
        <f>SUMPRODUCT(N(Tabela17683[Código]=Tabela3[[#This Row],[PAPEL]]),Tabela17683[Fechamento])</f>
        <v>0</v>
      </c>
    </row>
    <row r="189" spans="1:54" hidden="1">
      <c r="A189" s="3" t="s">
        <v>907</v>
      </c>
      <c r="B189" s="58" t="s">
        <v>917</v>
      </c>
      <c r="C189" s="16" t="str">
        <f>LEFT([PAPEL],LEN([PAPEL])-(LEN([PAPEL])-4))</f>
        <v>MGLU</v>
      </c>
      <c r="D189" s="16">
        <v>3</v>
      </c>
      <c r="E189" s="5">
        <v>626911472</v>
      </c>
      <c r="F189" s="56">
        <v>186494467</v>
      </c>
      <c r="G189" s="81">
        <v>0.15</v>
      </c>
      <c r="H189" s="87"/>
      <c r="J189" s="18"/>
      <c r="K189" s="16"/>
      <c r="L189" s="87"/>
      <c r="M189" s="54"/>
      <c r="N189" s="54"/>
      <c r="O189" s="54"/>
      <c r="P189" s="91">
        <v>697480000</v>
      </c>
      <c r="Q189" s="73">
        <v>80832000</v>
      </c>
      <c r="R189" s="73">
        <f>IF(Tabela3[[#This Row],[Ativo || Passivo]]&gt;0,Tabela3[[#This Row],[Ativo || Passivo]]-Tabela3[[#This Row],[Patrimônio Líquido]],0)</f>
        <v>0</v>
      </c>
      <c r="S189" s="73">
        <f>Tabela3[[#This Row],[Cotação]]*Tabela3[[#This Row],[Total Ações]]</f>
        <v>1398708502.5</v>
      </c>
      <c r="T189" s="37">
        <f>IF(Tabela3[[#This Row],[Passivo Circulante]]&gt;0,Tabela3[[#This Row],[Ativo Circulante]]/Tabela3[[#This Row],[Passivo Circulante]],0)</f>
        <v>0</v>
      </c>
      <c r="U189" s="37">
        <f>SUMPRODUCT(N([Liquidez Corrente]&gt;0),N(RIGHT([PAPEL],LEN([PAPEL])-(LEN([PAPEL])-1))="3"),[Liquidez Corrente])/SUMPRODUCT(N([Liquidez Corrente]&gt;0),N(RIGHT([PAPEL],LEN([PAPEL])-(LEN([PAPEL])-1))="3"))</f>
        <v>2.331224473064915</v>
      </c>
      <c r="V189" s="18">
        <f>IF(Tabela3[[#This Row],[Lucro Líquido]]&gt;0,Tabela3[[#This Row],[Lucro Líquido]]/Tabela3[[#This Row],[Patrimônio Líquido]],0)</f>
        <v>0.1158914950966336</v>
      </c>
      <c r="W189" s="18">
        <f>SUMPRODUCT(N([Rentabilidade s/ PL]&gt;0),N(RIGHT([PAPEL],LEN([PAPEL])-(LEN([PAPEL])-1))="3"),[Rentabilidade s/ PL])/SUMPRODUCT(N([Rentabilidade s/ PL]&gt;0),N(RIGHT([PAPEL],LEN([PAPEL])-(LEN([PAPEL])-1))="3"))</f>
        <v>0.1261051308670782</v>
      </c>
      <c r="X189" s="18">
        <f>IF(Tabela3[[#This Row],[Dívida]]&gt;0,Tabela3[[#This Row],[Dívida]]/Tabela3[[#This Row],[Patrimônio Líquido]],0)</f>
        <v>0</v>
      </c>
      <c r="Y189" s="18">
        <f>SUMPRODUCT(N([Dívida / PL]&gt;0),N(RIGHT([PAPEL],LEN([PAPEL])-(LEN([PAPEL])-1))="3"),[Dívida / PL])/SUMPRODUCT(N([Dívida / PL]&gt;0),N(RIGHT([PAPEL],LEN([PAPEL])-(LEN([PAPEL])-1))="3"))</f>
        <v>2.1510410379481146</v>
      </c>
      <c r="Z189" s="7">
        <f>Tabela3[[#This Row],[Capital Social]]*20%</f>
        <v>125382294.40000001</v>
      </c>
      <c r="AA189" s="47">
        <f>IF(([Lucro Líquido]*5%)&gt;[Teto R. Legal],[Teto R. Legal],[Lucro Líquido]*5%)</f>
        <v>4041600</v>
      </c>
      <c r="AB189" s="47">
        <f>IF([Lucro Líquido]&lt;0,0,[Lucro Líquido]-[Reserva Legal])</f>
        <v>76790400</v>
      </c>
      <c r="AC189" s="47">
        <f>Tabela3[[#This Row],[Lucro Distribuir]]*[%Div]</f>
        <v>11518560</v>
      </c>
      <c r="AD189" s="56">
        <f>SUMPRODUCT(N([Nome]=Tabela3[[#This Row],[Nome]]),[Ações])</f>
        <v>186494467</v>
      </c>
      <c r="AE189" s="85">
        <f>[Capital Social]/[Total Ações]</f>
        <v>3.3615553430869345</v>
      </c>
      <c r="AF189" s="85">
        <f>Tabela3[[#This Row],[Lucro Líquido]]/Tabela3[[#This Row],[Total Ações]]</f>
        <v>0.43342840836130542</v>
      </c>
      <c r="AG189" s="85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6.1763548191486023E-2</v>
      </c>
      <c r="AH189" s="85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189" s="77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189" s="85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6.1763548191486023E-2</v>
      </c>
      <c r="AK189" s="7">
        <f>[Div Base]*[Ações]</f>
        <v>11518560</v>
      </c>
      <c r="AL189" s="7">
        <f>SUMPRODUCT(N([Nome]=Tabela3[[#This Row],[Nome]]),[Div Base]*[Ações])</f>
        <v>11518560</v>
      </c>
      <c r="AM189" s="5">
        <f>[Patrimônio Líquido]/[Total Ações]</f>
        <v>3.7399500972862643</v>
      </c>
      <c r="AN189" s="52">
        <f>MAX(Tabela3[[#This Row],[Cotação 1]:[Cotação 5]])</f>
        <v>7.5</v>
      </c>
      <c r="AO189" s="53">
        <f>[Cotação]/[VPA]</f>
        <v>2.0053743512358779</v>
      </c>
      <c r="AP189" s="37">
        <f>IF(Tabela3[[#This Row],[Lucro/Ação]]&gt;0,Tabela3[[#This Row],[Cotação]]/(Tabela3[[#This Row],[Lucro/Ação]]/[Ref]*4),0)</f>
        <v>12.977921823968231</v>
      </c>
      <c r="AQ189" s="85">
        <f>[Lucro Distribuir]/[Total Ações]</f>
        <v>0.41175698794324017</v>
      </c>
      <c r="AR189" s="85">
        <f>IF([Unit ON]&gt;0,SUMPRODUCT(N([Nome]=Tabela3[[#This Row],[Nome]]),N(RIGHT([PAPEL],1)="3"),[Div Base])*[Unit ON]+SUMPRODUCT(N([Nome]=Tabela3[[#This Row],[Nome]]),N(RIGHT([PAPEL],1)="4"),[Div Base])*[Unit PN],[Div Base])</f>
        <v>6.1763548191486023E-2</v>
      </c>
      <c r="AS189" s="10" t="str">
        <f>IF(AND([% A.A.]&gt;=6%,SUMPRODUCT(N([Nome]=Tabela3[[#This Row],[Nome]]),[PL])&gt;0,[Rentabilidade s/ PL]&gt;=[Rentabilidade s/ PL Média]),"Sim","Não")</f>
        <v>Não</v>
      </c>
      <c r="AT189" s="22">
        <f>IF([Cotação]&gt;0,Tabela3[[#This Row],[Lucro]]/Tabela3[[#This Row],[Cotação]],0)</f>
        <v>8.2351397588648033E-3</v>
      </c>
      <c r="AU189" s="22">
        <f>((1+Tabela3[[#This Row],[% Yield]])^(1/(3*Tabela3[[#This Row],[Ref]])))^(12)-1</f>
        <v>1.0995229421298713E-2</v>
      </c>
      <c r="AV189" s="10">
        <f>IF([Cotação]&gt;0,($BH$1/Tabela3[[#This Row],[Cotação]]-MOD($BH$1/Tabela3[[#This Row],[Cotação]],100)),)</f>
        <v>0</v>
      </c>
      <c r="AW189" s="7">
        <f>Tabela3[[#This Row],[Ativos]]*[Lucro]</f>
        <v>0</v>
      </c>
      <c r="AX189" s="7">
        <f>SUMPRODUCT(N(Tabela1[Código]=Tabela3[[#This Row],[PAPEL]]),Tabela1[Fechamento])</f>
        <v>0</v>
      </c>
      <c r="AY189" s="7">
        <f>SUMPRODUCT(N(Tabela17[Código]=Tabela3[[#This Row],[PAPEL]]),Tabela17[Fechamento])</f>
        <v>0</v>
      </c>
      <c r="AZ189" s="7">
        <f>SUMPRODUCT(N(Tabela176[Código]=Tabela3[[#This Row],[PAPEL]]),Tabela176[Fechamento])</f>
        <v>0</v>
      </c>
      <c r="BA189" s="7">
        <f>SUMPRODUCT(N(Tabela1768[Código]=Tabela3[[#This Row],[PAPEL]]),Tabela1768[Fechamento])</f>
        <v>7.5</v>
      </c>
      <c r="BB189" s="7">
        <f>SUMPRODUCT(N(Tabela17683[Código]=Tabela3[[#This Row],[PAPEL]]),Tabela17683[Fechamento])</f>
        <v>0</v>
      </c>
    </row>
    <row r="190" spans="1:54" hidden="1">
      <c r="A190" s="4" t="s">
        <v>14</v>
      </c>
      <c r="B190" s="57" t="s">
        <v>58</v>
      </c>
      <c r="C190" s="14" t="str">
        <f>LEFT([PAPEL],LEN([PAPEL])-(LEN([PAPEL])-4))</f>
        <v>BEES</v>
      </c>
      <c r="D190" s="15">
        <v>3</v>
      </c>
      <c r="E190" s="6">
        <v>725702304.53999996</v>
      </c>
      <c r="F190" s="8">
        <v>1157732303</v>
      </c>
      <c r="G190" s="81">
        <v>0.25</v>
      </c>
      <c r="H190" s="15"/>
      <c r="I190" s="19"/>
      <c r="J190" s="19"/>
      <c r="K190" s="88"/>
      <c r="L190" s="88"/>
      <c r="M190" s="55"/>
      <c r="N190" s="55"/>
      <c r="O190" s="55"/>
      <c r="P190" s="6">
        <v>901919000</v>
      </c>
      <c r="Q190" s="6">
        <v>77892000</v>
      </c>
      <c r="R190" s="6">
        <f>IF(Tabela3[[#This Row],[Ativo || Passivo]]&gt;0,Tabela3[[#This Row],[Ativo || Passivo]]-Tabela3[[#This Row],[Patrimônio Líquido]],0)</f>
        <v>0</v>
      </c>
      <c r="S190" s="6">
        <f>Tabela3[[#This Row],[Cotação]]*Tabela3[[#This Row],[Total Ações]]</f>
        <v>726599579.38</v>
      </c>
      <c r="T190" s="132">
        <f>IF(Tabela3[[#This Row],[Passivo Circulante]]&gt;0,Tabela3[[#This Row],[Ativo Circulante]]/Tabela3[[#This Row],[Passivo Circulante]],0)</f>
        <v>0</v>
      </c>
      <c r="U190" s="132">
        <f>SUMPRODUCT(N([Liquidez Corrente]&gt;0),N(RIGHT([PAPEL],LEN([PAPEL])-(LEN([PAPEL])-1))="3"),[Liquidez Corrente])/SUMPRODUCT(N([Liquidez Corrente]&gt;0),N(RIGHT([PAPEL],LEN([PAPEL])-(LEN([PAPEL])-1))="3"))</f>
        <v>2.331224473064915</v>
      </c>
      <c r="V190" s="19">
        <f>IF(Tabela3[[#This Row],[Lucro Líquido]]&gt;0,Tabela3[[#This Row],[Lucro Líquido]]/Tabela3[[#This Row],[Patrimônio Líquido]],0)</f>
        <v>8.6362522576861112E-2</v>
      </c>
      <c r="W190" s="19">
        <f>SUMPRODUCT(N([Rentabilidade s/ PL]&gt;0),N(RIGHT([PAPEL],LEN([PAPEL])-(LEN([PAPEL])-1))="3"),[Rentabilidade s/ PL])/SUMPRODUCT(N([Rentabilidade s/ PL]&gt;0),N(RIGHT([PAPEL],LEN([PAPEL])-(LEN([PAPEL])-1))="3"))</f>
        <v>0.1261051308670782</v>
      </c>
      <c r="X190" s="19">
        <f>IF(Tabela3[[#This Row],[Dívida]]&gt;0,Tabela3[[#This Row],[Dívida]]/Tabela3[[#This Row],[Patrimônio Líquido]],0)</f>
        <v>0</v>
      </c>
      <c r="Y190" s="19">
        <f>SUMPRODUCT(N([Dívida / PL]&gt;0),N(RIGHT([PAPEL],LEN([PAPEL])-(LEN([PAPEL])-1))="3"),[Dívida / PL])/SUMPRODUCT(N([Dívida / PL]&gt;0),N(RIGHT([PAPEL],LEN([PAPEL])-(LEN([PAPEL])-1))="3"))</f>
        <v>2.1510410379481146</v>
      </c>
      <c r="Z190" s="6">
        <f>Tabela3[[#This Row],[Capital Social]]*20%</f>
        <v>145140460.90799999</v>
      </c>
      <c r="AA190" s="6">
        <f>IF(([Lucro Líquido]*5%)&gt;[Teto R. Legal],[Teto R. Legal],[Lucro Líquido]*5%)</f>
        <v>3894600</v>
      </c>
      <c r="AB190" s="6">
        <f>IF([Lucro Líquido]&lt;0,0,[Lucro Líquido]-[Reserva Legal])</f>
        <v>73997400</v>
      </c>
      <c r="AC190" s="6">
        <f>Tabela3[[#This Row],[Lucro Distribuir]]*[%Div]</f>
        <v>18499350</v>
      </c>
      <c r="AD190" s="21">
        <f>SUMPRODUCT(N([Nome]=Tabela3[[#This Row],[Nome]]),[Ações])</f>
        <v>1579564303</v>
      </c>
      <c r="AE190" s="6">
        <f>[Capital Social]/[Total Ações]</f>
        <v>0.45943194788696107</v>
      </c>
      <c r="AF190" s="78">
        <f>Tabela3[[#This Row],[Lucro Líquido]]/Tabela3[[#This Row],[Total Ações]]</f>
        <v>4.931233242740609E-2</v>
      </c>
      <c r="AG190" s="78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1.1711678951508946E-2</v>
      </c>
      <c r="AH190" s="78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190" s="78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190" s="78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1.1711678951508946E-2</v>
      </c>
      <c r="AK190" s="6">
        <f>[Div Base]*[Ações]</f>
        <v>13558989.044527078</v>
      </c>
      <c r="AL190" s="6">
        <f>SUMPRODUCT(N([Nome]=Tabela3[[#This Row],[Nome]]),[Div Base]*[Ações])</f>
        <v>18499350</v>
      </c>
      <c r="AM190" s="6">
        <f>[Patrimônio Líquido]/[Total Ações]</f>
        <v>0.57099226558046623</v>
      </c>
      <c r="AN190" s="48">
        <f>MAX(Tabela3[[#This Row],[Cotação 1]:[Cotação 5]])</f>
        <v>0.46</v>
      </c>
      <c r="AO190" s="44">
        <f>[Cotação]/[VPA]</f>
        <v>0.80561511552589538</v>
      </c>
      <c r="AP190" s="40">
        <f>IF(Tabela3[[#This Row],[Lucro/Ação]]&gt;0,Tabela3[[#This Row],[Cotação]]/(Tabela3[[#This Row],[Lucro/Ação]]/[Ref]*4),0)</f>
        <v>6.99622149302881</v>
      </c>
      <c r="AQ190" s="78">
        <f>[Lucro Distribuir]/[Total Ações]</f>
        <v>4.6846715806035784E-2</v>
      </c>
      <c r="AR190" s="78">
        <f>IF([Unit ON]&gt;0,SUMPRODUCT(N([Nome]=Tabela3[[#This Row],[Nome]]),N(RIGHT([PAPEL],1)="3"),[Div Base])*[Unit ON]+SUMPRODUCT(N([Nome]=Tabela3[[#This Row],[Nome]]),N(RIGHT([PAPEL],1)="4"),[Div Base])*[Unit PN],[Div Base])</f>
        <v>1.1711678951508946E-2</v>
      </c>
      <c r="AS190" s="15" t="str">
        <f>IF(AND([% A.A.]&gt;=6%,SUMPRODUCT(N([Nome]=Tabela3[[#This Row],[Nome]]),[PL])&gt;0,[Rentabilidade s/ PL]&gt;=[Rentabilidade s/ PL Média]),"Sim","Não")</f>
        <v>Não</v>
      </c>
      <c r="AT190" s="42">
        <f>IF([Cotação]&gt;0,Tabela3[[#This Row],[Lucro]]/Tabela3[[#This Row],[Cotação]],0)</f>
        <v>2.5460171633715098E-2</v>
      </c>
      <c r="AU190" s="19">
        <f>((1+Tabela3[[#This Row],[% Yield]])^(1/(3*Tabela3[[#This Row],[Ref]])))^(12)-1</f>
        <v>3.4090138003728621E-2</v>
      </c>
      <c r="AV190" s="14">
        <f>IF([Cotação]&gt;0,($BH$1/Tabela3[[#This Row],[Cotação]]-MOD($BH$1/Tabela3[[#This Row],[Cotação]],100)),)</f>
        <v>1000</v>
      </c>
      <c r="AW190" s="17">
        <f>Tabela3[[#This Row],[Ativos]]*[Lucro]</f>
        <v>11.711678951508945</v>
      </c>
      <c r="AX190" s="5">
        <f>SUMPRODUCT(N(Tabela1[Código]=Tabela3[[#This Row],[PAPEL]]),Tabela1[Fechamento])</f>
        <v>0.46</v>
      </c>
      <c r="AY190" s="5">
        <f>SUMPRODUCT(N(Tabela17[Código]=Tabela3[[#This Row],[PAPEL]]),Tabela17[Fechamento])</f>
        <v>0</v>
      </c>
      <c r="AZ190" s="7">
        <f>SUMPRODUCT(N(Tabela176[Código]=Tabela3[[#This Row],[PAPEL]]),Tabela176[Fechamento])</f>
        <v>0</v>
      </c>
      <c r="BA190" s="7">
        <f>SUMPRODUCT(N(Tabela1768[Código]=Tabela3[[#This Row],[PAPEL]]),Tabela1768[Fechamento])</f>
        <v>0</v>
      </c>
      <c r="BB190" s="7">
        <f>SUMPRODUCT(N(Tabela17683[Código]=Tabela3[[#This Row],[PAPEL]]),Tabela17683[Fechamento])</f>
        <v>0</v>
      </c>
    </row>
    <row r="191" spans="1:54" hidden="1">
      <c r="A191" s="4" t="s">
        <v>14</v>
      </c>
      <c r="B191" s="57" t="s">
        <v>59</v>
      </c>
      <c r="C191" s="14" t="str">
        <f>LEFT([PAPEL],LEN([PAPEL])-(LEN([PAPEL])-4))</f>
        <v>BEES</v>
      </c>
      <c r="D191" s="15">
        <v>3</v>
      </c>
      <c r="E191" s="6">
        <v>725702304.53999996</v>
      </c>
      <c r="F191" s="8">
        <v>421832000</v>
      </c>
      <c r="G191" s="86">
        <v>0.25</v>
      </c>
      <c r="H191" s="15"/>
      <c r="I191" s="19"/>
      <c r="J191" s="19"/>
      <c r="K191" s="88"/>
      <c r="L191" s="88"/>
      <c r="M191" s="55"/>
      <c r="N191" s="55"/>
      <c r="O191" s="55"/>
      <c r="P191" s="6">
        <v>901919000</v>
      </c>
      <c r="Q191" s="6">
        <v>77892000</v>
      </c>
      <c r="R191" s="6">
        <f>IF(Tabela3[[#This Row],[Ativo || Passivo]]&gt;0,Tabela3[[#This Row],[Ativo || Passivo]]-Tabela3[[#This Row],[Patrimônio Líquido]],0)</f>
        <v>0</v>
      </c>
      <c r="S191" s="6">
        <f>Tabela3[[#This Row],[Cotação]]*Tabela3[[#This Row],[Total Ações]]</f>
        <v>679212650.28999996</v>
      </c>
      <c r="T191" s="132">
        <f>IF(Tabela3[[#This Row],[Passivo Circulante]]&gt;0,Tabela3[[#This Row],[Ativo Circulante]]/Tabela3[[#This Row],[Passivo Circulante]],0)</f>
        <v>0</v>
      </c>
      <c r="U191" s="132">
        <f>SUMPRODUCT(N([Liquidez Corrente]&gt;0),N(RIGHT([PAPEL],LEN([PAPEL])-(LEN([PAPEL])-1))="3"),[Liquidez Corrente])/SUMPRODUCT(N([Liquidez Corrente]&gt;0),N(RIGHT([PAPEL],LEN([PAPEL])-(LEN([PAPEL])-1))="3"))</f>
        <v>2.331224473064915</v>
      </c>
      <c r="V191" s="19">
        <f>IF(Tabela3[[#This Row],[Lucro Líquido]]&gt;0,Tabela3[[#This Row],[Lucro Líquido]]/Tabela3[[#This Row],[Patrimônio Líquido]],0)</f>
        <v>8.6362522576861112E-2</v>
      </c>
      <c r="W191" s="19">
        <f>SUMPRODUCT(N([Rentabilidade s/ PL]&gt;0),N(RIGHT([PAPEL],LEN([PAPEL])-(LEN([PAPEL])-1))="3"),[Rentabilidade s/ PL])/SUMPRODUCT(N([Rentabilidade s/ PL]&gt;0),N(RIGHT([PAPEL],LEN([PAPEL])-(LEN([PAPEL])-1))="3"))</f>
        <v>0.1261051308670782</v>
      </c>
      <c r="X191" s="19">
        <f>IF(Tabela3[[#This Row],[Dívida]]&gt;0,Tabela3[[#This Row],[Dívida]]/Tabela3[[#This Row],[Patrimônio Líquido]],0)</f>
        <v>0</v>
      </c>
      <c r="Y191" s="19">
        <f>SUMPRODUCT(N([Dívida / PL]&gt;0),N(RIGHT([PAPEL],LEN([PAPEL])-(LEN([PAPEL])-1))="3"),[Dívida / PL])/SUMPRODUCT(N([Dívida / PL]&gt;0),N(RIGHT([PAPEL],LEN([PAPEL])-(LEN([PAPEL])-1))="3"))</f>
        <v>2.1510410379481146</v>
      </c>
      <c r="Z191" s="6">
        <f>Tabela3[[#This Row],[Capital Social]]*20%</f>
        <v>145140460.90799999</v>
      </c>
      <c r="AA191" s="6">
        <f>IF(([Lucro Líquido]*5%)&gt;[Teto R. Legal],[Teto R. Legal],[Lucro Líquido]*5%)</f>
        <v>3894600</v>
      </c>
      <c r="AB191" s="6">
        <f>IF([Lucro Líquido]&lt;0,0,[Lucro Líquido]-[Reserva Legal])</f>
        <v>73997400</v>
      </c>
      <c r="AC191" s="6">
        <f>Tabela3[[#This Row],[Lucro Distribuir]]*[%Div]</f>
        <v>18499350</v>
      </c>
      <c r="AD191" s="21">
        <f>SUMPRODUCT(N([Nome]=Tabela3[[#This Row],[Nome]]),[Ações])</f>
        <v>1579564303</v>
      </c>
      <c r="AE191" s="6">
        <f>[Capital Social]/[Total Ações]</f>
        <v>0.45943194788696107</v>
      </c>
      <c r="AF191" s="78">
        <f>Tabela3[[#This Row],[Lucro Líquido]]/Tabela3[[#This Row],[Total Ações]]</f>
        <v>4.931233242740609E-2</v>
      </c>
      <c r="AG191" s="78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1.1711678951508946E-2</v>
      </c>
      <c r="AH191" s="78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191" s="78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191" s="78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1.1711678951508946E-2</v>
      </c>
      <c r="AK191" s="6">
        <f>[Div Base]*[Ações]</f>
        <v>4940360.955472922</v>
      </c>
      <c r="AL191" s="6">
        <f>SUMPRODUCT(N([Nome]=Tabela3[[#This Row],[Nome]]),[Div Base]*[Ações])</f>
        <v>18499350</v>
      </c>
      <c r="AM191" s="6">
        <f>[Patrimônio Líquido]/[Total Ações]</f>
        <v>0.57099226558046623</v>
      </c>
      <c r="AN191" s="48">
        <f>MAX(Tabela3[[#This Row],[Cotação 1]:[Cotação 5]])</f>
        <v>0.43</v>
      </c>
      <c r="AO191" s="44">
        <f>[Cotação]/[VPA]</f>
        <v>0.75307499929594557</v>
      </c>
      <c r="AP191" s="40">
        <f>IF(Tabela3[[#This Row],[Lucro/Ação]]&gt;0,Tabela3[[#This Row],[Cotação]]/(Tabela3[[#This Row],[Lucro/Ação]]/[Ref]*4),0)</f>
        <v>6.5399461782660611</v>
      </c>
      <c r="AQ191" s="78">
        <f>[Lucro Distribuir]/[Total Ações]</f>
        <v>4.6846715806035784E-2</v>
      </c>
      <c r="AR191" s="78">
        <f>IF([Unit ON]&gt;0,SUMPRODUCT(N([Nome]=Tabela3[[#This Row],[Nome]]),N(RIGHT([PAPEL],1)="3"),[Div Base])*[Unit ON]+SUMPRODUCT(N([Nome]=Tabela3[[#This Row],[Nome]]),N(RIGHT([PAPEL],1)="4"),[Div Base])*[Unit PN],[Div Base])</f>
        <v>1.1711678951508946E-2</v>
      </c>
      <c r="AS191" s="15" t="str">
        <f>IF(AND([% A.A.]&gt;=6%,SUMPRODUCT(N([Nome]=Tabela3[[#This Row],[Nome]]),[PL])&gt;0,[Rentabilidade s/ PL]&gt;=[Rentabilidade s/ PL Média]),"Sim","Não")</f>
        <v>Não</v>
      </c>
      <c r="AT191" s="42">
        <f>IF([Cotação]&gt;0,Tabela3[[#This Row],[Lucro]]/Tabela3[[#This Row],[Cotação]],0)</f>
        <v>2.7236462677927783E-2</v>
      </c>
      <c r="AU191" s="19">
        <f>((1+Tabela3[[#This Row],[% Yield]])^(1/(3*Tabela3[[#This Row],[Ref]])))^(12)-1</f>
        <v>3.6479146947230534E-2</v>
      </c>
      <c r="AV191" s="14">
        <f>IF([Cotação]&gt;0,($BH$1/Tabela3[[#This Row],[Cotação]]-MOD($BH$1/Tabela3[[#This Row],[Cotação]],100)),)</f>
        <v>1100</v>
      </c>
      <c r="AW191" s="17">
        <f>Tabela3[[#This Row],[Ativos]]*[Lucro]</f>
        <v>12.88284684665984</v>
      </c>
      <c r="AX191" s="5">
        <f>SUMPRODUCT(N(Tabela1[Código]=Tabela3[[#This Row],[PAPEL]]),Tabela1[Fechamento])</f>
        <v>0.43</v>
      </c>
      <c r="AY191" s="5">
        <f>SUMPRODUCT(N(Tabela17[Código]=Tabela3[[#This Row],[PAPEL]]),Tabela17[Fechamento])</f>
        <v>0</v>
      </c>
      <c r="AZ191" s="7">
        <f>SUMPRODUCT(N(Tabela176[Código]=Tabela3[[#This Row],[PAPEL]]),Tabela176[Fechamento])</f>
        <v>0</v>
      </c>
      <c r="BA191" s="7">
        <f>SUMPRODUCT(N(Tabela1768[Código]=Tabela3[[#This Row],[PAPEL]]),Tabela1768[Fechamento])</f>
        <v>0</v>
      </c>
      <c r="BB191" s="7">
        <f>SUMPRODUCT(N(Tabela17683[Código]=Tabela3[[#This Row],[PAPEL]]),Tabela17683[Fechamento])</f>
        <v>0</v>
      </c>
    </row>
    <row r="192" spans="1:54" hidden="1">
      <c r="A192" s="3" t="s">
        <v>1168</v>
      </c>
      <c r="B192" s="58" t="s">
        <v>1169</v>
      </c>
      <c r="C192" s="16" t="str">
        <f>LEFT([PAPEL],LEN([PAPEL])-(LEN([PAPEL])-4))</f>
        <v>ARZZ</v>
      </c>
      <c r="D192" s="16">
        <v>3</v>
      </c>
      <c r="E192" s="5">
        <v>156000000</v>
      </c>
      <c r="F192" s="56">
        <v>88637034</v>
      </c>
      <c r="G192" s="81">
        <v>0.25</v>
      </c>
      <c r="H192" s="87"/>
      <c r="J192" s="18"/>
      <c r="K192" s="16"/>
      <c r="L192" s="87"/>
      <c r="M192" s="54"/>
      <c r="N192" s="54"/>
      <c r="O192" s="54"/>
      <c r="P192" s="91">
        <v>490719000</v>
      </c>
      <c r="Q192" s="73">
        <v>77810000</v>
      </c>
      <c r="R192" s="73">
        <f>IF(Tabela3[[#This Row],[Ativo || Passivo]]&gt;0,Tabela3[[#This Row],[Ativo || Passivo]]-Tabela3[[#This Row],[Patrimônio Líquido]],0)</f>
        <v>0</v>
      </c>
      <c r="S192" s="73">
        <f>Tabela3[[#This Row],[Cotação]]*Tabela3[[#This Row],[Total Ações]]</f>
        <v>2455245841.7999997</v>
      </c>
      <c r="T192" s="37">
        <f>IF(Tabela3[[#This Row],[Passivo Circulante]]&gt;0,Tabela3[[#This Row],[Ativo Circulante]]/Tabela3[[#This Row],[Passivo Circulante]],0)</f>
        <v>0</v>
      </c>
      <c r="U192" s="37">
        <f>SUMPRODUCT(N([Liquidez Corrente]&gt;0),N(RIGHT([PAPEL],LEN([PAPEL])-(LEN([PAPEL])-1))="3"),[Liquidez Corrente])/SUMPRODUCT(N([Liquidez Corrente]&gt;0),N(RIGHT([PAPEL],LEN([PAPEL])-(LEN([PAPEL])-1))="3"))</f>
        <v>2.331224473064915</v>
      </c>
      <c r="V192" s="18">
        <f>IF(Tabela3[[#This Row],[Lucro Líquido]]&gt;0,Tabela3[[#This Row],[Lucro Líquido]]/Tabela3[[#This Row],[Patrimônio Líquido]],0)</f>
        <v>0.15856325106629252</v>
      </c>
      <c r="W192" s="18">
        <f>SUMPRODUCT(N([Rentabilidade s/ PL]&gt;0),N(RIGHT([PAPEL],LEN([PAPEL])-(LEN([PAPEL])-1))="3"),[Rentabilidade s/ PL])/SUMPRODUCT(N([Rentabilidade s/ PL]&gt;0),N(RIGHT([PAPEL],LEN([PAPEL])-(LEN([PAPEL])-1))="3"))</f>
        <v>0.1261051308670782</v>
      </c>
      <c r="X192" s="18">
        <f>IF(Tabela3[[#This Row],[Dívida]]&gt;0,Tabela3[[#This Row],[Dívida]]/Tabela3[[#This Row],[Patrimônio Líquido]],0)</f>
        <v>0</v>
      </c>
      <c r="Y192" s="18">
        <f>SUMPRODUCT(N([Dívida / PL]&gt;0),N(RIGHT([PAPEL],LEN([PAPEL])-(LEN([PAPEL])-1))="3"),[Dívida / PL])/SUMPRODUCT(N([Dívida / PL]&gt;0),N(RIGHT([PAPEL],LEN([PAPEL])-(LEN([PAPEL])-1))="3"))</f>
        <v>2.1510410379481146</v>
      </c>
      <c r="Z192" s="7">
        <f>Tabela3[[#This Row],[Capital Social]]*20%</f>
        <v>31200000</v>
      </c>
      <c r="AA192" s="47">
        <f>IF(([Lucro Líquido]*5%)&gt;[Teto R. Legal],[Teto R. Legal],[Lucro Líquido]*5%)</f>
        <v>3890500</v>
      </c>
      <c r="AB192" s="47">
        <f>IF([Lucro Líquido]&lt;0,0,[Lucro Líquido]-[Reserva Legal])</f>
        <v>73919500</v>
      </c>
      <c r="AC192" s="47">
        <f>Tabela3[[#This Row],[Lucro Distribuir]]*[%Div]</f>
        <v>18479875</v>
      </c>
      <c r="AD192" s="56">
        <f>SUMPRODUCT(N([Nome]=Tabela3[[#This Row],[Nome]]),[Ações])</f>
        <v>88637034</v>
      </c>
      <c r="AE192" s="85">
        <f>[Capital Social]/[Total Ações]</f>
        <v>1.7599866890852869</v>
      </c>
      <c r="AF192" s="85">
        <f>Tabela3[[#This Row],[Lucro Líquido]]/Tabela3[[#This Row],[Total Ações]]</f>
        <v>0.87784977101106521</v>
      </c>
      <c r="AG192" s="85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0.20848932061512798</v>
      </c>
      <c r="AH192" s="85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192" s="77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192" s="85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0.20848932061512798</v>
      </c>
      <c r="AK192" s="7">
        <f>[Div Base]*[Ações]</f>
        <v>18479875</v>
      </c>
      <c r="AL192" s="120">
        <f>SUMPRODUCT(N([Nome]=Tabela3[[#This Row],[Nome]]),[Div Base]*[Ações])</f>
        <v>18479875</v>
      </c>
      <c r="AM192" s="5">
        <f>[Patrimônio Líquido]/[Total Ações]</f>
        <v>5.5362750518028392</v>
      </c>
      <c r="AN192" s="52">
        <f>MAX(Tabela3[[#This Row],[Cotação 1]:[Cotação 5]])</f>
        <v>27.7</v>
      </c>
      <c r="AO192" s="53">
        <f>[Cotação]/[VPA]</f>
        <v>5.0033641285542227</v>
      </c>
      <c r="AP192" s="37">
        <f>IF(Tabela3[[#This Row],[Lucro/Ação]]&gt;0,Tabela3[[#This Row],[Cotação]]/(Tabela3[[#This Row],[Lucro/Ação]]/[Ref]*4),0)</f>
        <v>23.665780508289419</v>
      </c>
      <c r="AQ192" s="85">
        <f>[Lucro Distribuir]/[Total Ações]</f>
        <v>0.83395728246051193</v>
      </c>
      <c r="AR192" s="85">
        <f>IF([Unit ON]&gt;0,SUMPRODUCT(N([Nome]=Tabela3[[#This Row],[Nome]]),N(RIGHT([PAPEL],1)="3"),[Div Base])*[Unit ON]+SUMPRODUCT(N([Nome]=Tabela3[[#This Row],[Nome]]),N(RIGHT([PAPEL],1)="4"),[Div Base])*[Unit PN],[Div Base])</f>
        <v>0.20848932061512798</v>
      </c>
      <c r="AS192" s="10" t="str">
        <f>IF(AND([% A.A.]&gt;=6%,SUMPRODUCT(N([Nome]=Tabela3[[#This Row],[Nome]]),[PL])&gt;0,[Rentabilidade s/ PL]&gt;=[Rentabilidade s/ PL Média]),"Sim","Não")</f>
        <v>Não</v>
      </c>
      <c r="AT192" s="22">
        <f>IF([Cotação]&gt;0,Tabela3[[#This Row],[Lucro]]/Tabela3[[#This Row],[Cotação]],0)</f>
        <v>7.5266902749143681E-3</v>
      </c>
      <c r="AU192" s="22">
        <f>((1+Tabela3[[#This Row],[% Yield]])^(1/(3*Tabela3[[#This Row],[Ref]])))^(12)-1</f>
        <v>1.0048155168332906E-2</v>
      </c>
      <c r="AV192" s="10">
        <f>IF([Cotação]&gt;0,($BH$1/Tabela3[[#This Row],[Cotação]]-MOD($BH$1/Tabela3[[#This Row],[Cotação]],100)),)</f>
        <v>0</v>
      </c>
      <c r="AW192" s="7">
        <f>Tabela3[[#This Row],[Ativos]]*[Lucro]</f>
        <v>0</v>
      </c>
      <c r="AX192" s="7">
        <f>SUMPRODUCT(N(Tabela1[Código]=Tabela3[[#This Row],[PAPEL]]),Tabela1[Fechamento])</f>
        <v>0</v>
      </c>
      <c r="AY192" s="7">
        <f>SUMPRODUCT(N(Tabela17[Código]=Tabela3[[#This Row],[PAPEL]]),Tabela17[Fechamento])</f>
        <v>0</v>
      </c>
      <c r="AZ192" s="7">
        <f>SUMPRODUCT(N(Tabela176[Código]=Tabela3[[#This Row],[PAPEL]]),Tabela176[Fechamento])</f>
        <v>0</v>
      </c>
      <c r="BA192" s="7">
        <f>SUMPRODUCT(N(Tabela1768[Código]=Tabela3[[#This Row],[PAPEL]]),Tabela1768[Fechamento])</f>
        <v>27.7</v>
      </c>
      <c r="BB192" s="7">
        <f>SUMPRODUCT(N(Tabela17683[Código]=Tabela3[[#This Row],[PAPEL]]),Tabela17683[Fechamento])</f>
        <v>0</v>
      </c>
    </row>
    <row r="193" spans="1:54" hidden="1">
      <c r="A193" s="4" t="s">
        <v>338</v>
      </c>
      <c r="B193" s="57" t="s">
        <v>337</v>
      </c>
      <c r="C193" s="82" t="str">
        <f>LEFT([PAPEL],LEN([PAPEL])-(LEN([PAPEL])-4))</f>
        <v>ETER</v>
      </c>
      <c r="D193" s="15">
        <v>3</v>
      </c>
      <c r="E193" s="6">
        <v>334251231.39999998</v>
      </c>
      <c r="F193" s="8">
        <v>89500000</v>
      </c>
      <c r="G193" s="81">
        <v>0.25</v>
      </c>
      <c r="H193" s="19"/>
      <c r="I193" s="19"/>
      <c r="J193" s="19"/>
      <c r="K193" s="88"/>
      <c r="L193" s="88"/>
      <c r="M193" s="55"/>
      <c r="N193" s="55"/>
      <c r="O193" s="55"/>
      <c r="P193" s="6">
        <v>502819000</v>
      </c>
      <c r="Q193" s="6">
        <v>76981000</v>
      </c>
      <c r="R193" s="6">
        <f>IF(Tabela3[[#This Row],[Ativo || Passivo]]&gt;0,Tabela3[[#This Row],[Ativo || Passivo]]-Tabela3[[#This Row],[Patrimônio Líquido]],0)</f>
        <v>0</v>
      </c>
      <c r="S193" s="6">
        <f>Tabela3[[#This Row],[Cotação]]*Tabela3[[#This Row],[Total Ações]]</f>
        <v>733899999.99999988</v>
      </c>
      <c r="T193" s="132">
        <f>IF(Tabela3[[#This Row],[Passivo Circulante]]&gt;0,Tabela3[[#This Row],[Ativo Circulante]]/Tabela3[[#This Row],[Passivo Circulante]],0)</f>
        <v>0</v>
      </c>
      <c r="U193" s="132">
        <f>SUMPRODUCT(N([Liquidez Corrente]&gt;0),N(RIGHT([PAPEL],LEN([PAPEL])-(LEN([PAPEL])-1))="3"),[Liquidez Corrente])/SUMPRODUCT(N([Liquidez Corrente]&gt;0),N(RIGHT([PAPEL],LEN([PAPEL])-(LEN([PAPEL])-1))="3"))</f>
        <v>2.331224473064915</v>
      </c>
      <c r="V193" s="19">
        <f>IF(Tabela3[[#This Row],[Lucro Líquido]]&gt;0,Tabela3[[#This Row],[Lucro Líquido]]/Tabela3[[#This Row],[Patrimônio Líquido]],0)</f>
        <v>0.15309882880320752</v>
      </c>
      <c r="W193" s="19">
        <f>SUMPRODUCT(N([Rentabilidade s/ PL]&gt;0),N(RIGHT([PAPEL],LEN([PAPEL])-(LEN([PAPEL])-1))="3"),[Rentabilidade s/ PL])/SUMPRODUCT(N([Rentabilidade s/ PL]&gt;0),N(RIGHT([PAPEL],LEN([PAPEL])-(LEN([PAPEL])-1))="3"))</f>
        <v>0.1261051308670782</v>
      </c>
      <c r="X193" s="19">
        <f>IF(Tabela3[[#This Row],[Dívida]]&gt;0,Tabela3[[#This Row],[Dívida]]/Tabela3[[#This Row],[Patrimônio Líquido]],0)</f>
        <v>0</v>
      </c>
      <c r="Y193" s="19">
        <f>SUMPRODUCT(N([Dívida / PL]&gt;0),N(RIGHT([PAPEL],LEN([PAPEL])-(LEN([PAPEL])-1))="3"),[Dívida / PL])/SUMPRODUCT(N([Dívida / PL]&gt;0),N(RIGHT([PAPEL],LEN([PAPEL])-(LEN([PAPEL])-1))="3"))</f>
        <v>2.1510410379481146</v>
      </c>
      <c r="Z193" s="6">
        <f>Tabela3[[#This Row],[Capital Social]]*20%</f>
        <v>66850246.280000001</v>
      </c>
      <c r="AA193" s="6">
        <f>IF(([Lucro Líquido]*5%)&gt;[Teto R. Legal],[Teto R. Legal],[Lucro Líquido]*5%)</f>
        <v>3849050</v>
      </c>
      <c r="AB193" s="6">
        <f>IF([Lucro Líquido]&lt;0,0,[Lucro Líquido]-[Reserva Legal])</f>
        <v>73131950</v>
      </c>
      <c r="AC193" s="6">
        <f>Tabela3[[#This Row],[Lucro Distribuir]]*[%Div]</f>
        <v>18282987.5</v>
      </c>
      <c r="AD193" s="21">
        <f>SUMPRODUCT(N([Nome]=Tabela3[[#This Row],[Nome]]),[Ações])</f>
        <v>89500000</v>
      </c>
      <c r="AE193" s="6">
        <f>[Capital Social]/[Total Ações]</f>
        <v>3.7346506301675975</v>
      </c>
      <c r="AF193" s="78">
        <f>Tabela3[[#This Row],[Lucro Líquido]]/Tabela3[[#This Row],[Total Ações]]</f>
        <v>0.86012290502793298</v>
      </c>
      <c r="AG193" s="78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0.20427918994413408</v>
      </c>
      <c r="AH193" s="78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193" s="78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193" s="78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0.20427918994413408</v>
      </c>
      <c r="AK193" s="6">
        <f>[Div Base]*[Ações]</f>
        <v>18282987.5</v>
      </c>
      <c r="AL193" s="6">
        <f>SUMPRODUCT(N([Nome]=Tabela3[[#This Row],[Nome]]),[Div Base]*[Ações])</f>
        <v>18282987.5</v>
      </c>
      <c r="AM193" s="6">
        <f>[Patrimônio Líquido]/[Total Ações]</f>
        <v>5.6180893854748604</v>
      </c>
      <c r="AN193" s="48">
        <f>MAX(Tabela3[[#This Row],[Cotação 1]:[Cotação 5]])</f>
        <v>8.1999999999999993</v>
      </c>
      <c r="AO193" s="44">
        <f>[Cotação]/[VPA]</f>
        <v>1.4595709390456604</v>
      </c>
      <c r="AP193" s="40">
        <f>IF(Tabela3[[#This Row],[Lucro/Ação]]&gt;0,Tabela3[[#This Row],[Cotação]]/(Tabela3[[#This Row],[Lucro/Ação]]/[Ref]*4),0)</f>
        <v>7.1501409438692649</v>
      </c>
      <c r="AQ193" s="78">
        <f>[Lucro Distribuir]/[Total Ações]</f>
        <v>0.81711675977653631</v>
      </c>
      <c r="AR193" s="78">
        <f>IF([Unit ON]&gt;0,SUMPRODUCT(N([Nome]=Tabela3[[#This Row],[Nome]]),N(RIGHT([PAPEL],1)="3"),[Div Base])*[Unit ON]+SUMPRODUCT(N([Nome]=Tabela3[[#This Row],[Nome]]),N(RIGHT([PAPEL],1)="4"),[Div Base])*[Unit PN],[Div Base])</f>
        <v>0.20427918994413408</v>
      </c>
      <c r="AS193" s="15" t="str">
        <f>IF(AND([% A.A.]&gt;=6%,SUMPRODUCT(N([Nome]=Tabela3[[#This Row],[Nome]]),[PL])&gt;0,[Rentabilidade s/ PL]&gt;=[Rentabilidade s/ PL Média]),"Sim","Não")</f>
        <v>Não</v>
      </c>
      <c r="AT193" s="42">
        <f>IF([Cotação]&gt;0,Tabela3[[#This Row],[Lucro]]/Tabela3[[#This Row],[Cotação]],0)</f>
        <v>2.49120963346505E-2</v>
      </c>
      <c r="AU193" s="19">
        <f>((1+Tabela3[[#This Row],[% Yield]])^(1/(3*Tabela3[[#This Row],[Ref]])))^(12)-1</f>
        <v>3.3353286671905735E-2</v>
      </c>
      <c r="AV193" s="14">
        <f>IF([Cotação]&gt;0,($BH$1/Tabela3[[#This Row],[Cotação]]-MOD($BH$1/Tabela3[[#This Row],[Cotação]],100)),)</f>
        <v>0</v>
      </c>
      <c r="AW193" s="17">
        <f>Tabela3[[#This Row],[Ativos]]*[Lucro]</f>
        <v>0</v>
      </c>
      <c r="AX193" s="13">
        <f>SUMPRODUCT(N(Tabela1[Código]=Tabela3[[#This Row],[PAPEL]]),Tabela1[Fechamento])</f>
        <v>0</v>
      </c>
      <c r="AY193" s="55">
        <f>SUMPRODUCT(N(Tabela17[Código]=Tabela3[[#This Row],[PAPEL]]),Tabela17[Fechamento])</f>
        <v>8.1999999999999993</v>
      </c>
      <c r="AZ193" s="7">
        <f>SUMPRODUCT(N(Tabela176[Código]=Tabela3[[#This Row],[PAPEL]]),Tabela176[Fechamento])</f>
        <v>0</v>
      </c>
      <c r="BA193" s="7">
        <f>SUMPRODUCT(N(Tabela1768[Código]=Tabela3[[#This Row],[PAPEL]]),Tabela1768[Fechamento])</f>
        <v>0</v>
      </c>
      <c r="BB193" s="7">
        <f>SUMPRODUCT(N(Tabela17683[Código]=Tabela3[[#This Row],[PAPEL]]),Tabela17683[Fechamento])</f>
        <v>0</v>
      </c>
    </row>
    <row r="194" spans="1:54" hidden="1">
      <c r="A194" s="3" t="s">
        <v>1365</v>
      </c>
      <c r="B194" s="58" t="s">
        <v>1366</v>
      </c>
      <c r="C194" s="16" t="str">
        <f>LEFT([PAPEL],LEN([PAPEL])-(LEN([PAPEL])-4))</f>
        <v>JSLG</v>
      </c>
      <c r="D194" s="16">
        <v>3</v>
      </c>
      <c r="E194" s="5">
        <v>676614203.57000005</v>
      </c>
      <c r="F194" s="56">
        <v>216799134</v>
      </c>
      <c r="G194" s="81">
        <v>0.25</v>
      </c>
      <c r="H194" s="87"/>
      <c r="J194" s="18"/>
      <c r="K194" s="16"/>
      <c r="L194" s="87"/>
      <c r="M194" s="54"/>
      <c r="N194" s="54"/>
      <c r="O194" s="54"/>
      <c r="P194" s="91">
        <v>1027397000</v>
      </c>
      <c r="Q194" s="73">
        <v>76136000</v>
      </c>
      <c r="R194" s="73">
        <f>IF(Tabela3[[#This Row],[Ativo || Passivo]]&gt;0,Tabela3[[#This Row],[Ativo || Passivo]]-Tabela3[[#This Row],[Patrimônio Líquido]],0)</f>
        <v>0</v>
      </c>
      <c r="S194" s="73">
        <f>Tabela3[[#This Row],[Cotação]]*Tabela3[[#This Row],[Total Ações]]</f>
        <v>2937628265.7000003</v>
      </c>
      <c r="T194" s="37">
        <f>IF(Tabela3[[#This Row],[Passivo Circulante]]&gt;0,Tabela3[[#This Row],[Ativo Circulante]]/Tabela3[[#This Row],[Passivo Circulante]],0)</f>
        <v>0</v>
      </c>
      <c r="U194" s="37">
        <f>SUMPRODUCT(N([Liquidez Corrente]&gt;0),N(RIGHT([PAPEL],LEN([PAPEL])-(LEN([PAPEL])-1))="3"),[Liquidez Corrente])/SUMPRODUCT(N([Liquidez Corrente]&gt;0),N(RIGHT([PAPEL],LEN([PAPEL])-(LEN([PAPEL])-1))="3"))</f>
        <v>2.331224473064915</v>
      </c>
      <c r="V194" s="18">
        <f>IF(Tabela3[[#This Row],[Lucro Líquido]]&gt;0,Tabela3[[#This Row],[Lucro Líquido]]/Tabela3[[#This Row],[Patrimônio Líquido]],0)</f>
        <v>7.4105725440117107E-2</v>
      </c>
      <c r="W194" s="18">
        <f>SUMPRODUCT(N([Rentabilidade s/ PL]&gt;0),N(RIGHT([PAPEL],LEN([PAPEL])-(LEN([PAPEL])-1))="3"),[Rentabilidade s/ PL])/SUMPRODUCT(N([Rentabilidade s/ PL]&gt;0),N(RIGHT([PAPEL],LEN([PAPEL])-(LEN([PAPEL])-1))="3"))</f>
        <v>0.1261051308670782</v>
      </c>
      <c r="X194" s="18">
        <f>IF(Tabela3[[#This Row],[Dívida]]&gt;0,Tabela3[[#This Row],[Dívida]]/Tabela3[[#This Row],[Patrimônio Líquido]],0)</f>
        <v>0</v>
      </c>
      <c r="Y194" s="18">
        <f>SUMPRODUCT(N([Dívida / PL]&gt;0),N(RIGHT([PAPEL],LEN([PAPEL])-(LEN([PAPEL])-1))="3"),[Dívida / PL])/SUMPRODUCT(N([Dívida / PL]&gt;0),N(RIGHT([PAPEL],LEN([PAPEL])-(LEN([PAPEL])-1))="3"))</f>
        <v>2.1510410379481146</v>
      </c>
      <c r="Z194" s="7">
        <f>Tabela3[[#This Row],[Capital Social]]*20%</f>
        <v>135322840.71400002</v>
      </c>
      <c r="AA194" s="47">
        <f>IF(([Lucro Líquido]*5%)&gt;[Teto R. Legal],[Teto R. Legal],[Lucro Líquido]*5%)</f>
        <v>3806800</v>
      </c>
      <c r="AB194" s="47">
        <f>IF([Lucro Líquido]&lt;0,0,[Lucro Líquido]-[Reserva Legal])</f>
        <v>72329200</v>
      </c>
      <c r="AC194" s="47">
        <f>Tabela3[[#This Row],[Lucro Distribuir]]*[%Div]</f>
        <v>18082300</v>
      </c>
      <c r="AD194" s="56">
        <f>SUMPRODUCT(N([Nome]=Tabela3[[#This Row],[Nome]]),[Ações])</f>
        <v>216799134</v>
      </c>
      <c r="AE194" s="85">
        <f>[Capital Social]/[Total Ações]</f>
        <v>3.1209266895411125</v>
      </c>
      <c r="AF194" s="85">
        <f>Tabela3[[#This Row],[Lucro Líquido]]/Tabela3[[#This Row],[Total Ações]]</f>
        <v>0.35118221459316346</v>
      </c>
      <c r="AG194" s="85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8.3405775965876325E-2</v>
      </c>
      <c r="AH194" s="85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194" s="77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194" s="85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8.3405775965876325E-2</v>
      </c>
      <c r="AK194" s="7">
        <f>[Div Base]*[Ações]</f>
        <v>18082300</v>
      </c>
      <c r="AL194" s="120">
        <f>SUMPRODUCT(N([Nome]=Tabela3[[#This Row],[Nome]]),[Div Base]*[Ações])</f>
        <v>18082300</v>
      </c>
      <c r="AM194" s="5">
        <f>[Patrimônio Líquido]/[Total Ações]</f>
        <v>4.738934981170174</v>
      </c>
      <c r="AN194" s="52">
        <f>MAX(Tabela3[[#This Row],[Cotação 1]:[Cotação 5]])</f>
        <v>13.55</v>
      </c>
      <c r="AO194" s="53">
        <f>[Cotação]/[VPA]</f>
        <v>2.8592922363020334</v>
      </c>
      <c r="AP194" s="37">
        <f>IF(Tabela3[[#This Row],[Lucro/Ação]]&gt;0,Tabela3[[#This Row],[Cotação]]/(Tabela3[[#This Row],[Lucro/Ação]]/[Ref]*4),0)</f>
        <v>28.937968888239467</v>
      </c>
      <c r="AQ194" s="85">
        <f>[Lucro Distribuir]/[Total Ações]</f>
        <v>0.3336231038635053</v>
      </c>
      <c r="AR194" s="85">
        <f>IF([Unit ON]&gt;0,SUMPRODUCT(N([Nome]=Tabela3[[#This Row],[Nome]]),N(RIGHT([PAPEL],1)="3"),[Div Base])*[Unit ON]+SUMPRODUCT(N([Nome]=Tabela3[[#This Row],[Nome]]),N(RIGHT([PAPEL],1)="4"),[Div Base])*[Unit PN],[Div Base])</f>
        <v>8.3405775965876325E-2</v>
      </c>
      <c r="AS194" s="10" t="str">
        <f>IF(AND([% A.A.]&gt;=6%,SUMPRODUCT(N([Nome]=Tabela3[[#This Row],[Nome]]),[PL])&gt;0,[Rentabilidade s/ PL]&gt;=[Rentabilidade s/ PL Média]),"Sim","Não")</f>
        <v>Não</v>
      </c>
      <c r="AT194" s="22">
        <f>IF([Cotação]&gt;0,Tabela3[[#This Row],[Lucro]]/Tabela3[[#This Row],[Cotação]],0)</f>
        <v>6.1554078203598763E-3</v>
      </c>
      <c r="AU194" s="22">
        <f>((1+Tabela3[[#This Row],[% Yield]])^(1/(3*Tabela3[[#This Row],[Ref]])))^(12)-1</f>
        <v>8.2156187273025871E-3</v>
      </c>
      <c r="AV194" s="10">
        <f>IF([Cotação]&gt;0,($BH$1/Tabela3[[#This Row],[Cotação]]-MOD($BH$1/Tabela3[[#This Row],[Cotação]],100)),)</f>
        <v>0</v>
      </c>
      <c r="AW194" s="7">
        <f>Tabela3[[#This Row],[Ativos]]*[Lucro]</f>
        <v>0</v>
      </c>
      <c r="AX194" s="7">
        <f>SUMPRODUCT(N(Tabela1[Código]=Tabela3[[#This Row],[PAPEL]]),Tabela1[Fechamento])</f>
        <v>0</v>
      </c>
      <c r="AY194" s="7">
        <f>SUMPRODUCT(N(Tabela17[Código]=Tabela3[[#This Row],[PAPEL]]),Tabela17[Fechamento])</f>
        <v>0</v>
      </c>
      <c r="AZ194" s="7">
        <f>SUMPRODUCT(N(Tabela176[Código]=Tabela3[[#This Row],[PAPEL]]),Tabela176[Fechamento])</f>
        <v>0</v>
      </c>
      <c r="BA194" s="7">
        <f>SUMPRODUCT(N(Tabela1768[Código]=Tabela3[[#This Row],[PAPEL]]),Tabela1768[Fechamento])</f>
        <v>0</v>
      </c>
      <c r="BB194" s="7">
        <f>SUMPRODUCT(N(Tabela17683[Código]=Tabela3[[#This Row],[PAPEL]]),Tabela17683[Fechamento])</f>
        <v>13.55</v>
      </c>
    </row>
    <row r="195" spans="1:54">
      <c r="A195" s="4" t="s">
        <v>373</v>
      </c>
      <c r="B195" s="57" t="s">
        <v>372</v>
      </c>
      <c r="C195" s="82" t="str">
        <f>LEFT([PAPEL],LEN([PAPEL])-(LEN([PAPEL])-4))</f>
        <v>TRPN</v>
      </c>
      <c r="D195" s="15">
        <v>4</v>
      </c>
      <c r="E195" s="6">
        <v>6610322.96</v>
      </c>
      <c r="F195" s="38">
        <v>46288258</v>
      </c>
      <c r="G195" s="86">
        <v>0.25</v>
      </c>
      <c r="H195" s="15"/>
      <c r="I195" s="19"/>
      <c r="J195" s="19"/>
      <c r="K195" s="88"/>
      <c r="L195" s="88"/>
      <c r="M195" s="55">
        <v>75216000</v>
      </c>
      <c r="N195" s="55">
        <v>14613000</v>
      </c>
      <c r="O195" s="55">
        <v>4084000</v>
      </c>
      <c r="P195" s="6">
        <v>71132000</v>
      </c>
      <c r="Q195" s="6">
        <v>74040000</v>
      </c>
      <c r="R195" s="6">
        <f>IF(Tabela3[[#This Row],[Ativo || Passivo]]&gt;0,Tabela3[[#This Row],[Ativo || Passivo]]-Tabela3[[#This Row],[Patrimônio Líquido]],0)</f>
        <v>4084000</v>
      </c>
      <c r="S195" s="6">
        <f>Tabela3[[#This Row],[Cotação]]*Tabela3[[#This Row],[Total Ações]]</f>
        <v>637852195.24000001</v>
      </c>
      <c r="T195" s="132">
        <f>IF(Tabela3[[#This Row],[Passivo Circulante]]&gt;0,Tabela3[[#This Row],[Ativo Circulante]]/Tabela3[[#This Row],[Passivo Circulante]],0)</f>
        <v>3.5781096963761017</v>
      </c>
      <c r="U195" s="132">
        <f>SUMPRODUCT(N([Liquidez Corrente]&gt;0),N(RIGHT([PAPEL],LEN([PAPEL])-(LEN([PAPEL])-1))="3"),[Liquidez Corrente])/SUMPRODUCT(N([Liquidez Corrente]&gt;0),N(RIGHT([PAPEL],LEN([PAPEL])-(LEN([PAPEL])-1))="3"))</f>
        <v>2.331224473064915</v>
      </c>
      <c r="V195" s="19">
        <f>IF(Tabela3[[#This Row],[Lucro Líquido]]&gt;0,Tabela3[[#This Row],[Lucro Líquido]]/Tabela3[[#This Row],[Patrimônio Líquido]],0)</f>
        <v>1.0408817409885847</v>
      </c>
      <c r="W195" s="19">
        <f>SUMPRODUCT(N([Rentabilidade s/ PL]&gt;0),N(RIGHT([PAPEL],LEN([PAPEL])-(LEN([PAPEL])-1))="3"),[Rentabilidade s/ PL])/SUMPRODUCT(N([Rentabilidade s/ PL]&gt;0),N(RIGHT([PAPEL],LEN([PAPEL])-(LEN([PAPEL])-1))="3"))</f>
        <v>0.1261051308670782</v>
      </c>
      <c r="X195" s="19">
        <f>IF(Tabela3[[#This Row],[Dívida]]&gt;0,Tabela3[[#This Row],[Dívida]]/Tabela3[[#This Row],[Patrimônio Líquido]],0)</f>
        <v>5.7414384524545913E-2</v>
      </c>
      <c r="Y195" s="19">
        <f>SUMPRODUCT(N([Dívida / PL]&gt;0),N(RIGHT([PAPEL],LEN([PAPEL])-(LEN([PAPEL])-1))="3"),[Dívida / PL])/SUMPRODUCT(N([Dívida / PL]&gt;0),N(RIGHT([PAPEL],LEN([PAPEL])-(LEN([PAPEL])-1))="3"))</f>
        <v>2.1510410379481146</v>
      </c>
      <c r="Z195" s="6">
        <f>Tabela3[[#This Row],[Capital Social]]*20%</f>
        <v>1322064.5920000002</v>
      </c>
      <c r="AA195" s="6">
        <f>IF(([Lucro Líquido]*5%)&gt;[Teto R. Legal],[Teto R. Legal],[Lucro Líquido]*5%)</f>
        <v>1322064.5920000002</v>
      </c>
      <c r="AB195" s="6">
        <f>IF([Lucro Líquido]&lt;0,0,[Lucro Líquido]-[Reserva Legal])</f>
        <v>72717935.407999992</v>
      </c>
      <c r="AC195" s="6">
        <f>Tabela3[[#This Row],[Lucro Distribuir]]*[%Div]</f>
        <v>18179483.851999998</v>
      </c>
      <c r="AD195" s="56">
        <f>SUMPRODUCT(N([Nome]=Tabela3[[#This Row],[Nome]]),[Ações])</f>
        <v>46288258</v>
      </c>
      <c r="AE195" s="6">
        <f>[Capital Social]/[Total Ações]</f>
        <v>0.14280777124946029</v>
      </c>
      <c r="AF195" s="78">
        <f>Tabela3[[#This Row],[Lucro Líquido]]/Tabela3[[#This Row],[Total Ações]]</f>
        <v>1.5995417239508127</v>
      </c>
      <c r="AG195" s="78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0.39274504242523012</v>
      </c>
      <c r="AH195" s="78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195" s="78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195" s="78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0.39274504242523012</v>
      </c>
      <c r="AK195" s="6">
        <f>[Div Base]*[Ações]</f>
        <v>18179483.851999998</v>
      </c>
      <c r="AL195" s="6">
        <f>SUMPRODUCT(N([Nome]=Tabela3[[#This Row],[Nome]]),[Div Base]*[Ações])</f>
        <v>18179483.851999998</v>
      </c>
      <c r="AM195" s="6">
        <f>[Patrimônio Líquido]/[Total Ações]</f>
        <v>1.5367180160463156</v>
      </c>
      <c r="AN195" s="48">
        <f>MAX(Tabela3[[#This Row],[Cotação 1]:[Cotação 5]])</f>
        <v>13.78</v>
      </c>
      <c r="AO195" s="44">
        <f>[Cotação]/[VPA]</f>
        <v>8.9671623916099641</v>
      </c>
      <c r="AP195" s="40">
        <f>IF(Tabela3[[#This Row],[Lucro/Ação]]&gt;0,Tabela3[[#This Row],[Cotação]]/(Tabela3[[#This Row],[Lucro/Ação]]/[Ref]*4),0)</f>
        <v>8.6149675207995671</v>
      </c>
      <c r="AQ195" s="78">
        <f>[Lucro Distribuir]/[Total Ações]</f>
        <v>1.5709801697009205</v>
      </c>
      <c r="AR195" s="78">
        <f>IF([Unit ON]&gt;0,SUMPRODUCT(N([Nome]=Tabela3[[#This Row],[Nome]]),N(RIGHT([PAPEL],1)="3"),[Div Base])*[Unit ON]+SUMPRODUCT(N([Nome]=Tabela3[[#This Row],[Nome]]),N(RIGHT([PAPEL],1)="4"),[Div Base])*[Unit PN],[Div Base])</f>
        <v>0.39274504242523012</v>
      </c>
      <c r="AS195" s="15" t="str">
        <f>IF(AND([% A.A.]&gt;=6%,SUMPRODUCT(N([Nome]=Tabela3[[#This Row],[Nome]]),[PL])&gt;0,[Rentabilidade s/ PL]&gt;=[Rentabilidade s/ PL Média]),"Sim","Não")</f>
        <v>Não</v>
      </c>
      <c r="AT195" s="42">
        <f>IF([Cotação]&gt;0,Tabela3[[#This Row],[Lucro]]/Tabela3[[#This Row],[Cotação]],0)</f>
        <v>2.8501091612861403E-2</v>
      </c>
      <c r="AU195" s="19">
        <f>((1+Tabela3[[#This Row],[% Yield]])^(1/(3*Tabela3[[#This Row],[Ref]])))^(12)-1</f>
        <v>2.8501091612862295E-2</v>
      </c>
      <c r="AV195" s="14">
        <f>IF([Cotação]&gt;0,($BH$1/Tabela3[[#This Row],[Cotação]]-MOD($BH$1/Tabela3[[#This Row],[Cotação]],100)),)</f>
        <v>0</v>
      </c>
      <c r="AW195" s="17">
        <f>Tabela3[[#This Row],[Ativos]]*[Lucro]</f>
        <v>0</v>
      </c>
      <c r="AX195" s="13">
        <f>SUMPRODUCT(N(Tabela1[Código]=Tabela3[[#This Row],[PAPEL]]),Tabela1[Fechamento])</f>
        <v>0</v>
      </c>
      <c r="AY195" s="55">
        <f>SUMPRODUCT(N(Tabela17[Código]=Tabela3[[#This Row],[PAPEL]]),Tabela17[Fechamento])</f>
        <v>13.78</v>
      </c>
      <c r="AZ195" s="7">
        <f>SUMPRODUCT(N(Tabela176[Código]=Tabela3[[#This Row],[PAPEL]]),Tabela176[Fechamento])</f>
        <v>0</v>
      </c>
      <c r="BA195" s="7">
        <f>SUMPRODUCT(N(Tabela1768[Código]=Tabela3[[#This Row],[PAPEL]]),Tabela1768[Fechamento])</f>
        <v>0</v>
      </c>
      <c r="BB195" s="7">
        <f>SUMPRODUCT(N(Tabela17683[Código]=Tabela3[[#This Row],[PAPEL]]),Tabela17683[Fechamento])</f>
        <v>0</v>
      </c>
    </row>
    <row r="196" spans="1:54" hidden="1">
      <c r="A196" s="3" t="s">
        <v>828</v>
      </c>
      <c r="B196" s="58" t="s">
        <v>827</v>
      </c>
      <c r="C196" s="16" t="str">
        <f>LEFT([PAPEL],LEN([PAPEL])-(LEN([PAPEL])-4))</f>
        <v>RADL</v>
      </c>
      <c r="D196" s="16">
        <v>3</v>
      </c>
      <c r="E196" s="5">
        <v>908639254.57000005</v>
      </c>
      <c r="F196" s="56">
        <v>330386000</v>
      </c>
      <c r="G196" s="81">
        <v>0.25</v>
      </c>
      <c r="H196" s="87"/>
      <c r="J196" s="18"/>
      <c r="K196" s="16"/>
      <c r="L196" s="87"/>
      <c r="M196" s="54"/>
      <c r="N196" s="54"/>
      <c r="O196" s="54"/>
      <c r="P196" s="91">
        <v>2304867000</v>
      </c>
      <c r="Q196" s="73">
        <v>73167000</v>
      </c>
      <c r="R196" s="73">
        <f>IF(Tabela3[[#This Row],[Ativo || Passivo]]&gt;0,Tabela3[[#This Row],[Ativo || Passivo]]-Tabela3[[#This Row],[Patrimônio Líquido]],0)</f>
        <v>0</v>
      </c>
      <c r="S196" s="73">
        <f>Tabela3[[#This Row],[Cotação]]*Tabela3[[#This Row],[Total Ações]]</f>
        <v>4863281920</v>
      </c>
      <c r="T196" s="37">
        <f>IF(Tabela3[[#This Row],[Passivo Circulante]]&gt;0,Tabela3[[#This Row],[Ativo Circulante]]/Tabela3[[#This Row],[Passivo Circulante]],0)</f>
        <v>0</v>
      </c>
      <c r="U196" s="37">
        <f>SUMPRODUCT(N([Liquidez Corrente]&gt;0),N(RIGHT([PAPEL],LEN([PAPEL])-(LEN([PAPEL])-1))="3"),[Liquidez Corrente])/SUMPRODUCT(N([Liquidez Corrente]&gt;0),N(RIGHT([PAPEL],LEN([PAPEL])-(LEN([PAPEL])-1))="3"))</f>
        <v>2.331224473064915</v>
      </c>
      <c r="V196" s="18">
        <f>IF(Tabela3[[#This Row],[Lucro Líquido]]&gt;0,Tabela3[[#This Row],[Lucro Líquido]]/Tabela3[[#This Row],[Patrimônio Líquido]],0)</f>
        <v>3.1744564870771284E-2</v>
      </c>
      <c r="W196" s="18">
        <f>SUMPRODUCT(N([Rentabilidade s/ PL]&gt;0),N(RIGHT([PAPEL],LEN([PAPEL])-(LEN([PAPEL])-1))="3"),[Rentabilidade s/ PL])/SUMPRODUCT(N([Rentabilidade s/ PL]&gt;0),N(RIGHT([PAPEL],LEN([PAPEL])-(LEN([PAPEL])-1))="3"))</f>
        <v>0.1261051308670782</v>
      </c>
      <c r="X196" s="18">
        <f>IF(Tabela3[[#This Row],[Dívida]]&gt;0,Tabela3[[#This Row],[Dívida]]/Tabela3[[#This Row],[Patrimônio Líquido]],0)</f>
        <v>0</v>
      </c>
      <c r="Y196" s="18">
        <f>SUMPRODUCT(N([Dívida / PL]&gt;0),N(RIGHT([PAPEL],LEN([PAPEL])-(LEN([PAPEL])-1))="3"),[Dívida / PL])/SUMPRODUCT(N([Dívida / PL]&gt;0),N(RIGHT([PAPEL],LEN([PAPEL])-(LEN([PAPEL])-1))="3"))</f>
        <v>2.1510410379481146</v>
      </c>
      <c r="Z196" s="7">
        <f>Tabela3[[#This Row],[Capital Social]]*20%</f>
        <v>181727850.91400003</v>
      </c>
      <c r="AA196" s="47">
        <f>IF(([Lucro Líquido]*5%)&gt;[Teto R. Legal],[Teto R. Legal],[Lucro Líquido]*5%)</f>
        <v>3658350</v>
      </c>
      <c r="AB196" s="47">
        <f>IF([Lucro Líquido]&lt;0,0,[Lucro Líquido]-[Reserva Legal])</f>
        <v>69508650</v>
      </c>
      <c r="AC196" s="47">
        <f>Tabela3[[#This Row],[Lucro Distribuir]]*[%Div]</f>
        <v>17377162.5</v>
      </c>
      <c r="AD196" s="56">
        <f>SUMPRODUCT(N([Nome]=Tabela3[[#This Row],[Nome]]),[Ações])</f>
        <v>330386000</v>
      </c>
      <c r="AE196" s="85">
        <f>[Capital Social]/[Total Ações]</f>
        <v>2.7502353446271939</v>
      </c>
      <c r="AF196" s="85">
        <f>Tabela3[[#This Row],[Lucro Líquido]]/Tabela3[[#This Row],[Total Ações]]</f>
        <v>0.22145914173118716</v>
      </c>
      <c r="AG196" s="85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5.259654616115695E-2</v>
      </c>
      <c r="AH196" s="85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196" s="77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196" s="85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5.259654616115695E-2</v>
      </c>
      <c r="AK196" s="7">
        <f>[Div Base]*[Ações]</f>
        <v>17377162.5</v>
      </c>
      <c r="AL196" s="7">
        <f>SUMPRODUCT(N([Nome]=Tabela3[[#This Row],[Nome]]),[Div Base]*[Ações])</f>
        <v>17377162.5</v>
      </c>
      <c r="AM196" s="5">
        <f>[Patrimônio Líquido]/[Total Ações]</f>
        <v>6.9762853147530466</v>
      </c>
      <c r="AN196" s="52">
        <f>MAX(Tabela3[[#This Row],[Cotação 1]:[Cotação 5]])</f>
        <v>14.72</v>
      </c>
      <c r="AO196" s="53">
        <f>[Cotação]/[VPA]</f>
        <v>2.1100054449996466</v>
      </c>
      <c r="AP196" s="37">
        <f>IF(Tabela3[[#This Row],[Lucro/Ação]]&gt;0,Tabela3[[#This Row],[Cotação]]/(Tabela3[[#This Row],[Lucro/Ação]]/[Ref]*4),0)</f>
        <v>49.851182090286599</v>
      </c>
      <c r="AQ196" s="85">
        <f>[Lucro Distribuir]/[Total Ações]</f>
        <v>0.2103861846446278</v>
      </c>
      <c r="AR196" s="85">
        <f>IF([Unit ON]&gt;0,SUMPRODUCT(N([Nome]=Tabela3[[#This Row],[Nome]]),N(RIGHT([PAPEL],1)="3"),[Div Base])*[Unit ON]+SUMPRODUCT(N([Nome]=Tabela3[[#This Row],[Nome]]),N(RIGHT([PAPEL],1)="4"),[Div Base])*[Unit PN],[Div Base])</f>
        <v>5.259654616115695E-2</v>
      </c>
      <c r="AS196" s="10" t="str">
        <f>IF(AND([% A.A.]&gt;=6%,SUMPRODUCT(N([Nome]=Tabela3[[#This Row],[Nome]]),[PL])&gt;0,[Rentabilidade s/ PL]&gt;=[Rentabilidade s/ PL Média]),"Sim","Não")</f>
        <v>Não</v>
      </c>
      <c r="AT196" s="22">
        <f>IF([Cotação]&gt;0,Tabela3[[#This Row],[Lucro]]/Tabela3[[#This Row],[Cotação]],0)</f>
        <v>3.5731349294264229E-3</v>
      </c>
      <c r="AU196" s="22">
        <f>((1+Tabela3[[#This Row],[% Yield]])^(1/(3*Tabela3[[#This Row],[Ref]])))^(12)-1</f>
        <v>4.7670148327190187E-3</v>
      </c>
      <c r="AV196" s="10">
        <f>IF([Cotação]&gt;0,($BH$1/Tabela3[[#This Row],[Cotação]]-MOD($BH$1/Tabela3[[#This Row],[Cotação]],100)),)</f>
        <v>0</v>
      </c>
      <c r="AW196" s="7">
        <f>Tabela3[[#This Row],[Ativos]]*[Lucro]</f>
        <v>0</v>
      </c>
      <c r="AX196" s="7">
        <f>SUMPRODUCT(N(Tabela1[Código]=Tabela3[[#This Row],[PAPEL]]),Tabela1[Fechamento])</f>
        <v>0</v>
      </c>
      <c r="AY196" s="7">
        <f>SUMPRODUCT(N(Tabela17[Código]=Tabela3[[#This Row],[PAPEL]]),Tabela17[Fechamento])</f>
        <v>0</v>
      </c>
      <c r="AZ196" s="7">
        <f>SUMPRODUCT(N(Tabela176[Código]=Tabela3[[#This Row],[PAPEL]]),Tabela176[Fechamento])</f>
        <v>14.72</v>
      </c>
      <c r="BA196" s="7">
        <f>SUMPRODUCT(N(Tabela1768[Código]=Tabela3[[#This Row],[PAPEL]]),Tabela1768[Fechamento])</f>
        <v>0</v>
      </c>
      <c r="BB196" s="7">
        <f>SUMPRODUCT(N(Tabela17683[Código]=Tabela3[[#This Row],[PAPEL]]),Tabela17683[Fechamento])</f>
        <v>0</v>
      </c>
    </row>
    <row r="197" spans="1:54" hidden="1">
      <c r="A197" s="3" t="s">
        <v>1497</v>
      </c>
      <c r="B197" s="58" t="s">
        <v>1473</v>
      </c>
      <c r="C197" s="16" t="str">
        <f>LEFT([PAPEL],LEN([PAPEL])-(LEN([PAPEL])-4))</f>
        <v>TUPY</v>
      </c>
      <c r="D197" s="16">
        <v>3</v>
      </c>
      <c r="E197" s="5">
        <v>537050760.03999996</v>
      </c>
      <c r="F197" s="56">
        <v>144177500</v>
      </c>
      <c r="G197" s="81">
        <v>0.25</v>
      </c>
      <c r="H197" s="87"/>
      <c r="J197" s="18"/>
      <c r="K197" s="16"/>
      <c r="L197" s="87"/>
      <c r="M197" s="54"/>
      <c r="N197" s="54"/>
      <c r="O197" s="54"/>
      <c r="P197" s="91">
        <v>1336998000</v>
      </c>
      <c r="Q197" s="73">
        <v>70175000</v>
      </c>
      <c r="R197" s="73">
        <f>IF(Tabela3[[#This Row],[Ativo || Passivo]]&gt;0,Tabela3[[#This Row],[Ativo || Passivo]]-Tabela3[[#This Row],[Patrimônio Líquido]],0)</f>
        <v>0</v>
      </c>
      <c r="S197" s="73">
        <f>Tabela3[[#This Row],[Cotação]]*Tabela3[[#This Row],[Total Ações]]</f>
        <v>2476969450</v>
      </c>
      <c r="T197" s="37">
        <f>IF(Tabela3[[#This Row],[Passivo Circulante]]&gt;0,Tabela3[[#This Row],[Ativo Circulante]]/Tabela3[[#This Row],[Passivo Circulante]],0)</f>
        <v>0</v>
      </c>
      <c r="U197" s="37">
        <f>SUMPRODUCT(N([Liquidez Corrente]&gt;0),N(RIGHT([PAPEL],LEN([PAPEL])-(LEN([PAPEL])-1))="3"),[Liquidez Corrente])/SUMPRODUCT(N([Liquidez Corrente]&gt;0),N(RIGHT([PAPEL],LEN([PAPEL])-(LEN([PAPEL])-1))="3"))</f>
        <v>2.331224473064915</v>
      </c>
      <c r="V197" s="18">
        <f>IF(Tabela3[[#This Row],[Lucro Líquido]]&gt;0,Tabela3[[#This Row],[Lucro Líquido]]/Tabela3[[#This Row],[Patrimônio Líquido]],0)</f>
        <v>5.2486989509333594E-2</v>
      </c>
      <c r="W197" s="18">
        <f>SUMPRODUCT(N([Rentabilidade s/ PL]&gt;0),N(RIGHT([PAPEL],LEN([PAPEL])-(LEN([PAPEL])-1))="3"),[Rentabilidade s/ PL])/SUMPRODUCT(N([Rentabilidade s/ PL]&gt;0),N(RIGHT([PAPEL],LEN([PAPEL])-(LEN([PAPEL])-1))="3"))</f>
        <v>0.1261051308670782</v>
      </c>
      <c r="X197" s="18">
        <f>IF(Tabela3[[#This Row],[Dívida]]&gt;0,Tabela3[[#This Row],[Dívida]]/Tabela3[[#This Row],[Patrimônio Líquido]],0)</f>
        <v>0</v>
      </c>
      <c r="Y197" s="18">
        <f>SUMPRODUCT(N([Dívida / PL]&gt;0),N(RIGHT([PAPEL],LEN([PAPEL])-(LEN([PAPEL])-1))="3"),[Dívida / PL])/SUMPRODUCT(N([Dívida / PL]&gt;0),N(RIGHT([PAPEL],LEN([PAPEL])-(LEN([PAPEL])-1))="3"))</f>
        <v>2.1510410379481146</v>
      </c>
      <c r="Z197" s="7">
        <f>Tabela3[[#This Row],[Capital Social]]*20%</f>
        <v>107410152.008</v>
      </c>
      <c r="AA197" s="47">
        <f>IF(([Lucro Líquido]*5%)&gt;[Teto R. Legal],[Teto R. Legal],[Lucro Líquido]*5%)</f>
        <v>3508750</v>
      </c>
      <c r="AB197" s="47">
        <f>IF([Lucro Líquido]&lt;0,0,[Lucro Líquido]-[Reserva Legal])</f>
        <v>66666250</v>
      </c>
      <c r="AC197" s="47">
        <f>Tabela3[[#This Row],[Lucro Distribuir]]*[%Div]</f>
        <v>16666562.5</v>
      </c>
      <c r="AD197" s="56">
        <f>SUMPRODUCT(N([Nome]=Tabela3[[#This Row],[Nome]]),[Ações])</f>
        <v>144177500</v>
      </c>
      <c r="AE197" s="85">
        <f>[Capital Social]/[Total Ações]</f>
        <v>3.7249276762324217</v>
      </c>
      <c r="AF197" s="85">
        <f>Tabela3[[#This Row],[Lucro Líquido]]/Tabela3[[#This Row],[Total Ações]]</f>
        <v>0.48672643096183521</v>
      </c>
      <c r="AG197" s="85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0.11559752735343587</v>
      </c>
      <c r="AH197" s="85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197" s="77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197" s="85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0.11559752735343587</v>
      </c>
      <c r="AK197" s="7">
        <f>[Div Base]*[Ações]</f>
        <v>16666562.5</v>
      </c>
      <c r="AL197" s="120">
        <f>SUMPRODUCT(N([Nome]=Tabela3[[#This Row],[Nome]]),[Div Base]*[Ações])</f>
        <v>16666562.5</v>
      </c>
      <c r="AM197" s="5">
        <f>[Patrimônio Líquido]/[Total Ações]</f>
        <v>9.2732777305751597</v>
      </c>
      <c r="AN197" s="52">
        <f>MAX(Tabela3[[#This Row],[Cotação 1]:[Cotação 5]])</f>
        <v>17.18</v>
      </c>
      <c r="AO197" s="53">
        <f>[Cotação]/[VPA]</f>
        <v>1.8526351198730289</v>
      </c>
      <c r="AP197" s="37">
        <f>IF(Tabela3[[#This Row],[Lucro/Ação]]&gt;0,Tabela3[[#This Row],[Cotação]]/(Tabela3[[#This Row],[Lucro/Ação]]/[Ref]*4),0)</f>
        <v>26.472776451727825</v>
      </c>
      <c r="AQ197" s="85">
        <f>[Lucro Distribuir]/[Total Ações]</f>
        <v>0.46239010941374348</v>
      </c>
      <c r="AR197" s="85">
        <f>IF([Unit ON]&gt;0,SUMPRODUCT(N([Nome]=Tabela3[[#This Row],[Nome]]),N(RIGHT([PAPEL],1)="3"),[Div Base])*[Unit ON]+SUMPRODUCT(N([Nome]=Tabela3[[#This Row],[Nome]]),N(RIGHT([PAPEL],1)="4"),[Div Base])*[Unit PN],[Div Base])</f>
        <v>0.11559752735343587</v>
      </c>
      <c r="AS197" s="10" t="str">
        <f>IF(AND([% A.A.]&gt;=6%,SUMPRODUCT(N([Nome]=Tabela3[[#This Row],[Nome]]),[PL])&gt;0,[Rentabilidade s/ PL]&gt;=[Rentabilidade s/ PL Média]),"Sim","Não")</f>
        <v>Não</v>
      </c>
      <c r="AT197" s="22">
        <f>IF([Cotação]&gt;0,Tabela3[[#This Row],[Lucro]]/Tabela3[[#This Row],[Cotação]],0)</f>
        <v>6.7286104396644857E-3</v>
      </c>
      <c r="AU197" s="22">
        <f>((1+Tabela3[[#This Row],[% Yield]])^(1/(3*Tabela3[[#This Row],[Ref]])))^(12)-1</f>
        <v>8.9815265176560466E-3</v>
      </c>
      <c r="AV197" s="10">
        <f>IF([Cotação]&gt;0,($BH$1/Tabela3[[#This Row],[Cotação]]-MOD($BH$1/Tabela3[[#This Row],[Cotação]],100)),)</f>
        <v>0</v>
      </c>
      <c r="AW197" s="7">
        <f>Tabela3[[#This Row],[Ativos]]*[Lucro]</f>
        <v>0</v>
      </c>
      <c r="AX197" s="7">
        <f>SUMPRODUCT(N(Tabela1[Código]=Tabela3[[#This Row],[PAPEL]]),Tabela1[Fechamento])</f>
        <v>0</v>
      </c>
      <c r="AY197" s="7">
        <f>SUMPRODUCT(N(Tabela17[Código]=Tabela3[[#This Row],[PAPEL]]),Tabela17[Fechamento])</f>
        <v>0</v>
      </c>
      <c r="AZ197" s="7">
        <f>SUMPRODUCT(N(Tabela176[Código]=Tabela3[[#This Row],[PAPEL]]),Tabela176[Fechamento])</f>
        <v>0</v>
      </c>
      <c r="BA197" s="7">
        <f>SUMPRODUCT(N(Tabela1768[Código]=Tabela3[[#This Row],[PAPEL]]),Tabela1768[Fechamento])</f>
        <v>0</v>
      </c>
      <c r="BB197" s="7">
        <f>SUMPRODUCT(N(Tabela17683[Código]=Tabela3[[#This Row],[PAPEL]]),Tabela17683[Fechamento])</f>
        <v>17.18</v>
      </c>
    </row>
    <row r="198" spans="1:54" hidden="1">
      <c r="A198" s="3" t="s">
        <v>1320</v>
      </c>
      <c r="B198" s="57" t="s">
        <v>1310</v>
      </c>
      <c r="C198" s="16" t="str">
        <f>LEFT([PAPEL],LEN([PAPEL])-(LEN([PAPEL])-4))</f>
        <v>VLID</v>
      </c>
      <c r="D198" s="16">
        <v>3</v>
      </c>
      <c r="E198" s="5">
        <v>360000000</v>
      </c>
      <c r="F198" s="56">
        <v>55750000</v>
      </c>
      <c r="G198" s="81">
        <v>0.25</v>
      </c>
      <c r="H198" s="18"/>
      <c r="J198" s="18"/>
      <c r="K198" s="16"/>
      <c r="L198" s="87"/>
      <c r="M198" s="54"/>
      <c r="N198" s="54"/>
      <c r="O198" s="54"/>
      <c r="P198" s="91">
        <v>542670000</v>
      </c>
      <c r="Q198" s="73">
        <v>67675000</v>
      </c>
      <c r="R198" s="73">
        <f>IF(Tabela3[[#This Row],[Ativo || Passivo]]&gt;0,Tabela3[[#This Row],[Ativo || Passivo]]-Tabela3[[#This Row],[Patrimônio Líquido]],0)</f>
        <v>0</v>
      </c>
      <c r="S198" s="73">
        <f>Tabela3[[#This Row],[Cotação]]*Tabela3[[#This Row],[Total Ações]]</f>
        <v>1560442500</v>
      </c>
      <c r="T198" s="37">
        <f>IF(Tabela3[[#This Row],[Passivo Circulante]]&gt;0,Tabela3[[#This Row],[Ativo Circulante]]/Tabela3[[#This Row],[Passivo Circulante]],0)</f>
        <v>0</v>
      </c>
      <c r="U198" s="37">
        <f>SUMPRODUCT(N([Liquidez Corrente]&gt;0),N(RIGHT([PAPEL],LEN([PAPEL])-(LEN([PAPEL])-1))="3"),[Liquidez Corrente])/SUMPRODUCT(N([Liquidez Corrente]&gt;0),N(RIGHT([PAPEL],LEN([PAPEL])-(LEN([PAPEL])-1))="3"))</f>
        <v>2.331224473064915</v>
      </c>
      <c r="V198" s="18">
        <f>IF(Tabela3[[#This Row],[Lucro Líquido]]&gt;0,Tabela3[[#This Row],[Lucro Líquido]]/Tabela3[[#This Row],[Patrimônio Líquido]],0)</f>
        <v>0.12470746494186154</v>
      </c>
      <c r="W198" s="18">
        <f>SUMPRODUCT(N([Rentabilidade s/ PL]&gt;0),N(RIGHT([PAPEL],LEN([PAPEL])-(LEN([PAPEL])-1))="3"),[Rentabilidade s/ PL])/SUMPRODUCT(N([Rentabilidade s/ PL]&gt;0),N(RIGHT([PAPEL],LEN([PAPEL])-(LEN([PAPEL])-1))="3"))</f>
        <v>0.1261051308670782</v>
      </c>
      <c r="X198" s="18">
        <f>IF(Tabela3[[#This Row],[Dívida]]&gt;0,Tabela3[[#This Row],[Dívida]]/Tabela3[[#This Row],[Patrimônio Líquido]],0)</f>
        <v>0</v>
      </c>
      <c r="Y198" s="18">
        <f>SUMPRODUCT(N([Dívida / PL]&gt;0),N(RIGHT([PAPEL],LEN([PAPEL])-(LEN([PAPEL])-1))="3"),[Dívida / PL])/SUMPRODUCT(N([Dívida / PL]&gt;0),N(RIGHT([PAPEL],LEN([PAPEL])-(LEN([PAPEL])-1))="3"))</f>
        <v>2.1510410379481146</v>
      </c>
      <c r="Z198" s="7">
        <f>Tabela3[[#This Row],[Capital Social]]*20%</f>
        <v>72000000</v>
      </c>
      <c r="AA198" s="47">
        <f>IF(([Lucro Líquido]*5%)&gt;[Teto R. Legal],[Teto R. Legal],[Lucro Líquido]*5%)</f>
        <v>3383750</v>
      </c>
      <c r="AB198" s="47">
        <f>IF([Lucro Líquido]&lt;0,0,[Lucro Líquido]-[Reserva Legal])</f>
        <v>64291250</v>
      </c>
      <c r="AC198" s="47">
        <f>Tabela3[[#This Row],[Lucro Distribuir]]*[%Div]</f>
        <v>16072812.5</v>
      </c>
      <c r="AD198" s="56">
        <f>SUMPRODUCT(N([Nome]=Tabela3[[#This Row],[Nome]]),[Ações])</f>
        <v>55750000</v>
      </c>
      <c r="AE198" s="85">
        <f>[Capital Social]/[Total Ações]</f>
        <v>6.4573991031390134</v>
      </c>
      <c r="AF198" s="85">
        <f>Tabela3[[#This Row],[Lucro Líquido]]/Tabela3[[#This Row],[Total Ações]]</f>
        <v>1.2139013452914797</v>
      </c>
      <c r="AG198" s="85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0.28830156950672647</v>
      </c>
      <c r="AH198" s="85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198" s="77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198" s="85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0.28830156950672647</v>
      </c>
      <c r="AK198" s="7">
        <f>[Div Base]*[Ações]</f>
        <v>16072812.5</v>
      </c>
      <c r="AL198" s="120">
        <f>SUMPRODUCT(N([Nome]=Tabela3[[#This Row],[Nome]]),[Div Base]*[Ações])</f>
        <v>16072812.5</v>
      </c>
      <c r="AM198" s="5">
        <f>[Patrimônio Líquido]/[Total Ações]</f>
        <v>9.7339910313901346</v>
      </c>
      <c r="AN198" s="52">
        <f>MAX(Tabela3[[#This Row],[Cotação 1]:[Cotação 5]])</f>
        <v>27.99</v>
      </c>
      <c r="AO198" s="53">
        <f>[Cotação]/[VPA]</f>
        <v>2.8754906296644367</v>
      </c>
      <c r="AP198" s="37">
        <f>IF(Tabela3[[#This Row],[Lucro/Ação]]&gt;0,Tabela3[[#This Row],[Cotação]]/(Tabela3[[#This Row],[Lucro/Ação]]/[Ref]*4),0)</f>
        <v>17.293415219800519</v>
      </c>
      <c r="AQ198" s="85">
        <f>[Lucro Distribuir]/[Total Ações]</f>
        <v>1.1532062780269059</v>
      </c>
      <c r="AR198" s="85">
        <f>IF([Unit ON]&gt;0,SUMPRODUCT(N([Nome]=Tabela3[[#This Row],[Nome]]),N(RIGHT([PAPEL],1)="3"),[Div Base])*[Unit ON]+SUMPRODUCT(N([Nome]=Tabela3[[#This Row],[Nome]]),N(RIGHT([PAPEL],1)="4"),[Div Base])*[Unit PN],[Div Base])</f>
        <v>0.28830156950672647</v>
      </c>
      <c r="AS198" s="10" t="str">
        <f>IF(AND([% A.A.]&gt;=6%,SUMPRODUCT(N([Nome]=Tabela3[[#This Row],[Nome]]),[PL])&gt;0,[Rentabilidade s/ PL]&gt;=[Rentabilidade s/ PL Média]),"Sim","Não")</f>
        <v>Não</v>
      </c>
      <c r="AT198" s="22">
        <f>IF([Cotação]&gt;0,Tabela3[[#This Row],[Lucro]]/Tabela3[[#This Row],[Cotação]],0)</f>
        <v>1.0300163254974151E-2</v>
      </c>
      <c r="AU198" s="22">
        <f>((1+Tabela3[[#This Row],[% Yield]])^(1/(3*Tabela3[[#This Row],[Ref]])))^(12)-1</f>
        <v>1.3757073575484169E-2</v>
      </c>
      <c r="AV198" s="10">
        <f>IF([Cotação]&gt;0,($BH$1/Tabela3[[#This Row],[Cotação]]-MOD($BH$1/Tabela3[[#This Row],[Cotação]],100)),)</f>
        <v>0</v>
      </c>
      <c r="AW198" s="7">
        <f>Tabela3[[#This Row],[Ativos]]*[Lucro]</f>
        <v>0</v>
      </c>
      <c r="AX198" s="7">
        <f>SUMPRODUCT(N(Tabela1[Código]=Tabela3[[#This Row],[PAPEL]]),Tabela1[Fechamento])</f>
        <v>0</v>
      </c>
      <c r="AY198" s="7">
        <f>SUMPRODUCT(N(Tabela17[Código]=Tabela3[[#This Row],[PAPEL]]),Tabela17[Fechamento])</f>
        <v>0</v>
      </c>
      <c r="AZ198" s="7">
        <f>SUMPRODUCT(N(Tabela176[Código]=Tabela3[[#This Row],[PAPEL]]),Tabela176[Fechamento])</f>
        <v>0</v>
      </c>
      <c r="BA198" s="7">
        <f>SUMPRODUCT(N(Tabela1768[Código]=Tabela3[[#This Row],[PAPEL]]),Tabela1768[Fechamento])</f>
        <v>0</v>
      </c>
      <c r="BB198" s="7">
        <f>SUMPRODUCT(N(Tabela17683[Código]=Tabela3[[#This Row],[PAPEL]]),Tabela17683[Fechamento])</f>
        <v>27.99</v>
      </c>
    </row>
    <row r="199" spans="1:54" hidden="1">
      <c r="A199" s="4" t="s">
        <v>12</v>
      </c>
      <c r="B199" s="57" t="s">
        <v>485</v>
      </c>
      <c r="C199" s="15" t="str">
        <f>LEFT([PAPEL],LEN([PAPEL])-(LEN([PAPEL])-4))</f>
        <v>CEPE</v>
      </c>
      <c r="D199" s="15">
        <v>3</v>
      </c>
      <c r="E199" s="6">
        <v>590173759.38999999</v>
      </c>
      <c r="F199" s="8">
        <v>66302693</v>
      </c>
      <c r="G199" s="86">
        <v>0.25</v>
      </c>
      <c r="H199" s="15"/>
      <c r="I199" s="19"/>
      <c r="J199" s="19"/>
      <c r="K199" s="88"/>
      <c r="L199" s="88"/>
      <c r="M199" s="55"/>
      <c r="N199" s="55"/>
      <c r="O199" s="55"/>
      <c r="P199" s="89">
        <v>3707916000</v>
      </c>
      <c r="Q199" s="89">
        <v>63180000</v>
      </c>
      <c r="R199" s="89">
        <f>IF(Tabela3[[#This Row],[Ativo || Passivo]]&gt;0,Tabela3[[#This Row],[Ativo || Passivo]]-Tabela3[[#This Row],[Patrimônio Líquido]],0)</f>
        <v>0</v>
      </c>
      <c r="S199" s="89">
        <f>Tabela3[[#This Row],[Cotação]]*Tabela3[[#This Row],[Total Ações]]</f>
        <v>1830241877.6400001</v>
      </c>
      <c r="T199" s="132">
        <f>IF(Tabela3[[#This Row],[Passivo Circulante]]&gt;0,Tabela3[[#This Row],[Ativo Circulante]]/Tabela3[[#This Row],[Passivo Circulante]],0)</f>
        <v>0</v>
      </c>
      <c r="U199" s="132">
        <f>SUMPRODUCT(N([Liquidez Corrente]&gt;0),N(RIGHT([PAPEL],LEN([PAPEL])-(LEN([PAPEL])-1))="3"),[Liquidez Corrente])/SUMPRODUCT(N([Liquidez Corrente]&gt;0),N(RIGHT([PAPEL],LEN([PAPEL])-(LEN([PAPEL])-1))="3"))</f>
        <v>2.331224473064915</v>
      </c>
      <c r="V199" s="19">
        <f>IF(Tabela3[[#This Row],[Lucro Líquido]]&gt;0,Tabela3[[#This Row],[Lucro Líquido]]/Tabela3[[#This Row],[Patrimônio Líquido]],0)</f>
        <v>1.7039220953225478E-2</v>
      </c>
      <c r="W199" s="19">
        <f>SUMPRODUCT(N([Rentabilidade s/ PL]&gt;0),N(RIGHT([PAPEL],LEN([PAPEL])-(LEN([PAPEL])-1))="3"),[Rentabilidade s/ PL])/SUMPRODUCT(N([Rentabilidade s/ PL]&gt;0),N(RIGHT([PAPEL],LEN([PAPEL])-(LEN([PAPEL])-1))="3"))</f>
        <v>0.1261051308670782</v>
      </c>
      <c r="X199" s="19">
        <f>IF(Tabela3[[#This Row],[Dívida]]&gt;0,Tabela3[[#This Row],[Dívida]]/Tabela3[[#This Row],[Patrimônio Líquido]],0)</f>
        <v>0</v>
      </c>
      <c r="Y199" s="19">
        <f>SUMPRODUCT(N([Dívida / PL]&gt;0),N(RIGHT([PAPEL],LEN([PAPEL])-(LEN([PAPEL])-1))="3"),[Dívida / PL])/SUMPRODUCT(N([Dívida / PL]&gt;0),N(RIGHT([PAPEL],LEN([PAPEL])-(LEN([PAPEL])-1))="3"))</f>
        <v>2.1510410379481146</v>
      </c>
      <c r="Z199" s="13">
        <f>Tabela3[[#This Row],[Capital Social]]*20%</f>
        <v>118034751.87800001</v>
      </c>
      <c r="AA199" s="13">
        <f>IF(([Lucro Líquido]*5%)&gt;[Teto R. Legal],[Teto R. Legal],[Lucro Líquido]*5%)</f>
        <v>3159000</v>
      </c>
      <c r="AB199" s="13">
        <f>IF([Lucro Líquido]&lt;0,0,[Lucro Líquido]-[Reserva Legal])</f>
        <v>60021000</v>
      </c>
      <c r="AC199" s="13">
        <f>Tabela3[[#This Row],[Lucro Distribuir]]*[%Div]</f>
        <v>15005250</v>
      </c>
      <c r="AD199" s="56">
        <f>SUMPRODUCT(N([Nome]=Tabela3[[#This Row],[Nome]]),[Ações])</f>
        <v>74612388</v>
      </c>
      <c r="AE199" s="6">
        <f>[Capital Social]/[Total Ações]</f>
        <v>7.9098628955556283</v>
      </c>
      <c r="AF199" s="78">
        <f>Tabela3[[#This Row],[Lucro Líquido]]/Tabela3[[#This Row],[Total Ações]]</f>
        <v>0.84677627527482435</v>
      </c>
      <c r="AG199" s="78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0.19485208828239556</v>
      </c>
      <c r="AH199" s="78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199" s="78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199" s="78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0.19485208828239556</v>
      </c>
      <c r="AK199" s="13">
        <f>[Div Base]*[Ações]</f>
        <v>12919218.189796571</v>
      </c>
      <c r="AL199" s="13">
        <f>SUMPRODUCT(N([Nome]=Tabela3[[#This Row],[Nome]]),[Div Base]*[Ações])</f>
        <v>13668149.085004007</v>
      </c>
      <c r="AM199" s="6">
        <f>[Patrimônio Líquido]/[Total Ações]</f>
        <v>49.69571540854583</v>
      </c>
      <c r="AN199" s="48">
        <f>MAX(Tabela3[[#This Row],[Cotação 1]:[Cotação 5]])</f>
        <v>24.53</v>
      </c>
      <c r="AO199" s="44">
        <f>[Cotação]/[VPA]</f>
        <v>0.49360392135096914</v>
      </c>
      <c r="AP199" s="40">
        <f>IF(Tabela3[[#This Row],[Lucro/Ação]]&gt;0,Tabela3[[#This Row],[Cotação]]/(Tabela3[[#This Row],[Lucro/Ação]]/[Ref]*4),0)</f>
        <v>21.726518015669516</v>
      </c>
      <c r="AQ199" s="78">
        <f>[Lucro Distribuir]/[Total Ações]</f>
        <v>0.80443746151108309</v>
      </c>
      <c r="AR199" s="78">
        <f>IF([Unit ON]&gt;0,SUMPRODUCT(N([Nome]=Tabela3[[#This Row],[Nome]]),N(RIGHT([PAPEL],1)="3"),[Div Base])*[Unit ON]+SUMPRODUCT(N([Nome]=Tabela3[[#This Row],[Nome]]),N(RIGHT([PAPEL],1)="4"),[Div Base])*[Unit PN],[Div Base])</f>
        <v>0.19485208828239556</v>
      </c>
      <c r="AS199" s="14" t="str">
        <f>IF(AND([% A.A.]&gt;=6%,SUMPRODUCT(N([Nome]=Tabela3[[#This Row],[Nome]]),[PL])&gt;0,[Rentabilidade s/ PL]&gt;=[Rentabilidade s/ PL Média]),"Sim","Não")</f>
        <v>Não</v>
      </c>
      <c r="AT199" s="42">
        <f>IF([Cotação]&gt;0,Tabela3[[#This Row],[Lucro]]/Tabela3[[#This Row],[Cotação]],0)</f>
        <v>7.9434198239867731E-3</v>
      </c>
      <c r="AU199" s="42">
        <f>((1+Tabela3[[#This Row],[% Yield]])^(1/(3*Tabela3[[#This Row],[Ref]])))^(12)-1</f>
        <v>1.0605223521953366E-2</v>
      </c>
      <c r="AV199" s="14">
        <f>IF([Cotação]&gt;0,($BH$1/Tabela3[[#This Row],[Cotação]]-MOD($BH$1/Tabela3[[#This Row],[Cotação]],100)),)</f>
        <v>0</v>
      </c>
      <c r="AW199" s="17">
        <f>Tabela3[[#This Row],[Ativos]]*[Lucro]</f>
        <v>0</v>
      </c>
      <c r="AX199" s="17">
        <f>SUMPRODUCT(N(Tabela1[Código]=Tabela3[[#This Row],[PAPEL]]),Tabela1[Fechamento])</f>
        <v>0</v>
      </c>
      <c r="AY199" s="17">
        <f>SUMPRODUCT(N(Tabela17[Código]=Tabela3[[#This Row],[PAPEL]]),Tabela17[Fechamento])</f>
        <v>24.53</v>
      </c>
      <c r="AZ199" s="7">
        <f>SUMPRODUCT(N(Tabela176[Código]=Tabela3[[#This Row],[PAPEL]]),Tabela176[Fechamento])</f>
        <v>0</v>
      </c>
      <c r="BA199" s="7">
        <f>SUMPRODUCT(N(Tabela1768[Código]=Tabela3[[#This Row],[PAPEL]]),Tabela1768[Fechamento])</f>
        <v>0</v>
      </c>
      <c r="BB199" s="7">
        <f>SUMPRODUCT(N(Tabela17683[Código]=Tabela3[[#This Row],[PAPEL]]),Tabela17683[Fechamento])</f>
        <v>0</v>
      </c>
    </row>
    <row r="200" spans="1:54" hidden="1">
      <c r="A200" s="4" t="s">
        <v>12</v>
      </c>
      <c r="B200" s="57" t="s">
        <v>70</v>
      </c>
      <c r="C200" s="14" t="str">
        <f>LEFT([PAPEL],LEN([PAPEL])-(LEN([PAPEL])-4))</f>
        <v>CEPE</v>
      </c>
      <c r="D200" s="15">
        <v>3</v>
      </c>
      <c r="E200" s="6">
        <v>590173759.38999999</v>
      </c>
      <c r="F200" s="8">
        <v>7567254</v>
      </c>
      <c r="G200" s="86">
        <v>0.1</v>
      </c>
      <c r="H200" s="15"/>
      <c r="I200" s="19"/>
      <c r="J200" s="19"/>
      <c r="K200" s="88"/>
      <c r="L200" s="88"/>
      <c r="M200" s="55"/>
      <c r="N200" s="55"/>
      <c r="O200" s="55"/>
      <c r="P200" s="89">
        <v>3707916000</v>
      </c>
      <c r="Q200" s="89">
        <v>63180000</v>
      </c>
      <c r="R200" s="89">
        <f>IF(Tabela3[[#This Row],[Ativo || Passivo]]&gt;0,Tabela3[[#This Row],[Ativo || Passivo]]-Tabela3[[#This Row],[Patrimônio Líquido]],0)</f>
        <v>0</v>
      </c>
      <c r="S200" s="89">
        <f>Tabela3[[#This Row],[Cotação]]*Tabela3[[#This Row],[Total Ações]]</f>
        <v>1335561745.1999998</v>
      </c>
      <c r="T200" s="132">
        <f>IF(Tabela3[[#This Row],[Passivo Circulante]]&gt;0,Tabela3[[#This Row],[Ativo Circulante]]/Tabela3[[#This Row],[Passivo Circulante]],0)</f>
        <v>0</v>
      </c>
      <c r="U200" s="132">
        <f>SUMPRODUCT(N([Liquidez Corrente]&gt;0),N(RIGHT([PAPEL],LEN([PAPEL])-(LEN([PAPEL])-1))="3"),[Liquidez Corrente])/SUMPRODUCT(N([Liquidez Corrente]&gt;0),N(RIGHT([PAPEL],LEN([PAPEL])-(LEN([PAPEL])-1))="3"))</f>
        <v>2.331224473064915</v>
      </c>
      <c r="V200" s="19">
        <f>IF(Tabela3[[#This Row],[Lucro Líquido]]&gt;0,Tabela3[[#This Row],[Lucro Líquido]]/Tabela3[[#This Row],[Patrimônio Líquido]],0)</f>
        <v>1.7039220953225478E-2</v>
      </c>
      <c r="W200" s="19">
        <f>SUMPRODUCT(N([Rentabilidade s/ PL]&gt;0),N(RIGHT([PAPEL],LEN([PAPEL])-(LEN([PAPEL])-1))="3"),[Rentabilidade s/ PL])/SUMPRODUCT(N([Rentabilidade s/ PL]&gt;0),N(RIGHT([PAPEL],LEN([PAPEL])-(LEN([PAPEL])-1))="3"))</f>
        <v>0.1261051308670782</v>
      </c>
      <c r="X200" s="19">
        <f>IF(Tabela3[[#This Row],[Dívida]]&gt;0,Tabela3[[#This Row],[Dívida]]/Tabela3[[#This Row],[Patrimônio Líquido]],0)</f>
        <v>0</v>
      </c>
      <c r="Y200" s="19">
        <f>SUMPRODUCT(N([Dívida / PL]&gt;0),N(RIGHT([PAPEL],LEN([PAPEL])-(LEN([PAPEL])-1))="3"),[Dívida / PL])/SUMPRODUCT(N([Dívida / PL]&gt;0),N(RIGHT([PAPEL],LEN([PAPEL])-(LEN([PAPEL])-1))="3"))</f>
        <v>2.1510410379481146</v>
      </c>
      <c r="Z200" s="6">
        <f>Tabela3[[#This Row],[Capital Social]]*20%</f>
        <v>118034751.87800001</v>
      </c>
      <c r="AA200" s="6">
        <f>IF(([Lucro Líquido]*5%)&gt;[Teto R. Legal],[Teto R. Legal],[Lucro Líquido]*5%)</f>
        <v>3159000</v>
      </c>
      <c r="AB200" s="89">
        <f>IF([Lucro Líquido]&lt;0,0,[Lucro Líquido]-[Reserva Legal])</f>
        <v>60021000</v>
      </c>
      <c r="AC200" s="89">
        <f>Tabela3[[#This Row],[Lucro Distribuir]]*[%Div]</f>
        <v>6002100</v>
      </c>
      <c r="AD200" s="56">
        <f>SUMPRODUCT(N([Nome]=Tabela3[[#This Row],[Nome]]),[Ações])</f>
        <v>74612388</v>
      </c>
      <c r="AE200" s="6">
        <f>[Capital Social]/[Total Ações]</f>
        <v>7.9098628955556283</v>
      </c>
      <c r="AF200" s="78">
        <f>Tabela3[[#This Row],[Lucro Líquido]]/Tabela3[[#This Row],[Total Ações]]</f>
        <v>0.84677627527482435</v>
      </c>
      <c r="AG200" s="78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7.7940835312958229E-2</v>
      </c>
      <c r="AH200" s="78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200" s="78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200" s="78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7.7940835312958229E-2</v>
      </c>
      <c r="AK200" s="6">
        <f>[Div Base]*[Ações]</f>
        <v>589798.09778532444</v>
      </c>
      <c r="AL200" s="6">
        <f>SUMPRODUCT(N([Nome]=Tabela3[[#This Row],[Nome]]),[Div Base]*[Ações])</f>
        <v>13668149.085004007</v>
      </c>
      <c r="AM200" s="6">
        <f>[Patrimônio Líquido]/[Total Ações]</f>
        <v>49.69571540854583</v>
      </c>
      <c r="AN200" s="48">
        <f>MAX(Tabela3[[#This Row],[Cotação 1]:[Cotação 5]])</f>
        <v>17.899999999999999</v>
      </c>
      <c r="AO200" s="44">
        <f>[Cotação]/[VPA]</f>
        <v>0.3601920176185221</v>
      </c>
      <c r="AP200" s="40">
        <f>IF(Tabela3[[#This Row],[Lucro/Ação]]&gt;0,Tabela3[[#This Row],[Cotação]]/(Tabela3[[#This Row],[Lucro/Ação]]/[Ref]*4),0)</f>
        <v>15.854246737891735</v>
      </c>
      <c r="AQ200" s="78">
        <f>[Lucro Distribuir]/[Total Ações]</f>
        <v>0.80443746151108309</v>
      </c>
      <c r="AR200" s="78">
        <f>IF([Unit ON]&gt;0,SUMPRODUCT(N([Nome]=Tabela3[[#This Row],[Nome]]),N(RIGHT([PAPEL],1)="3"),[Div Base])*[Unit ON]+SUMPRODUCT(N([Nome]=Tabela3[[#This Row],[Nome]]),N(RIGHT([PAPEL],1)="4"),[Div Base])*[Unit PN],[Div Base])</f>
        <v>7.7940835312958229E-2</v>
      </c>
      <c r="AS200" s="14" t="str">
        <f>IF(AND([% A.A.]&gt;=6%,SUMPRODUCT(N([Nome]=Tabela3[[#This Row],[Nome]]),[PL])&gt;0,[Rentabilidade s/ PL]&gt;=[Rentabilidade s/ PL Média]),"Sim","Não")</f>
        <v>Não</v>
      </c>
      <c r="AT200" s="42">
        <f>IF([Cotação]&gt;0,Tabela3[[#This Row],[Lucro]]/Tabela3[[#This Row],[Cotação]],0)</f>
        <v>4.3542366096624716E-3</v>
      </c>
      <c r="AU200" s="19">
        <f>((1+Tabela3[[#This Row],[% Yield]])^(1/(3*Tabela3[[#This Row],[Ref]])))^(12)-1</f>
        <v>5.8098579383099036E-3</v>
      </c>
      <c r="AV200" s="14">
        <f>IF([Cotação]&gt;0,($BH$1/Tabela3[[#This Row],[Cotação]]-MOD($BH$1/Tabela3[[#This Row],[Cotação]],100)),)</f>
        <v>0</v>
      </c>
      <c r="AW200" s="17">
        <f>Tabela3[[#This Row],[Ativos]]*[Lucro]</f>
        <v>0</v>
      </c>
      <c r="AX200" s="5">
        <f>SUMPRODUCT(N(Tabela1[Código]=Tabela3[[#This Row],[PAPEL]]),Tabela1[Fechamento])</f>
        <v>17.899999999999999</v>
      </c>
      <c r="AY200" s="5">
        <f>SUMPRODUCT(N(Tabela17[Código]=Tabela3[[#This Row],[PAPEL]]),Tabela17[Fechamento])</f>
        <v>0</v>
      </c>
      <c r="AZ200" s="7">
        <f>SUMPRODUCT(N(Tabela176[Código]=Tabela3[[#This Row],[PAPEL]]),Tabela176[Fechamento])</f>
        <v>0</v>
      </c>
      <c r="BA200" s="7">
        <f>SUMPRODUCT(N(Tabela1768[Código]=Tabela3[[#This Row],[PAPEL]]),Tabela1768[Fechamento])</f>
        <v>0</v>
      </c>
      <c r="BB200" s="7">
        <f>SUMPRODUCT(N(Tabela17683[Código]=Tabela3[[#This Row],[PAPEL]]),Tabela17683[Fechamento])</f>
        <v>0</v>
      </c>
    </row>
    <row r="201" spans="1:54" hidden="1">
      <c r="A201" s="4" t="s">
        <v>12</v>
      </c>
      <c r="B201" s="57" t="s">
        <v>92</v>
      </c>
      <c r="C201" s="14" t="str">
        <f>LEFT([PAPEL],LEN([PAPEL])-(LEN([PAPEL])-4))</f>
        <v>CEPE</v>
      </c>
      <c r="D201" s="15">
        <v>3</v>
      </c>
      <c r="E201" s="6">
        <v>590173759.38999999</v>
      </c>
      <c r="F201" s="8">
        <v>742441</v>
      </c>
      <c r="G201" s="81">
        <v>0.25</v>
      </c>
      <c r="H201" s="15"/>
      <c r="I201" s="19"/>
      <c r="J201" s="19">
        <v>0.1</v>
      </c>
      <c r="K201" s="88"/>
      <c r="L201" s="88"/>
      <c r="M201" s="55"/>
      <c r="N201" s="55"/>
      <c r="O201" s="55"/>
      <c r="P201" s="89">
        <v>3707916000</v>
      </c>
      <c r="Q201" s="89">
        <v>63180000</v>
      </c>
      <c r="R201" s="89">
        <f>IF(Tabela3[[#This Row],[Ativo || Passivo]]&gt;0,Tabela3[[#This Row],[Ativo || Passivo]]-Tabela3[[#This Row],[Patrimônio Líquido]],0)</f>
        <v>0</v>
      </c>
      <c r="S201" s="89">
        <f>Tabela3[[#This Row],[Cotação]]*Tabela3[[#This Row],[Total Ações]]</f>
        <v>1351230346.6800001</v>
      </c>
      <c r="T201" s="132">
        <f>IF(Tabela3[[#This Row],[Passivo Circulante]]&gt;0,Tabela3[[#This Row],[Ativo Circulante]]/Tabela3[[#This Row],[Passivo Circulante]],0)</f>
        <v>0</v>
      </c>
      <c r="U201" s="132">
        <f>SUMPRODUCT(N([Liquidez Corrente]&gt;0),N(RIGHT([PAPEL],LEN([PAPEL])-(LEN([PAPEL])-1))="3"),[Liquidez Corrente])/SUMPRODUCT(N([Liquidez Corrente]&gt;0),N(RIGHT([PAPEL],LEN([PAPEL])-(LEN([PAPEL])-1))="3"))</f>
        <v>2.331224473064915</v>
      </c>
      <c r="V201" s="19">
        <f>IF(Tabela3[[#This Row],[Lucro Líquido]]&gt;0,Tabela3[[#This Row],[Lucro Líquido]]/Tabela3[[#This Row],[Patrimônio Líquido]],0)</f>
        <v>1.7039220953225478E-2</v>
      </c>
      <c r="W201" s="19">
        <f>SUMPRODUCT(N([Rentabilidade s/ PL]&gt;0),N(RIGHT([PAPEL],LEN([PAPEL])-(LEN([PAPEL])-1))="3"),[Rentabilidade s/ PL])/SUMPRODUCT(N([Rentabilidade s/ PL]&gt;0),N(RIGHT([PAPEL],LEN([PAPEL])-(LEN([PAPEL])-1))="3"))</f>
        <v>0.1261051308670782</v>
      </c>
      <c r="X201" s="19">
        <f>IF(Tabela3[[#This Row],[Dívida]]&gt;0,Tabela3[[#This Row],[Dívida]]/Tabela3[[#This Row],[Patrimônio Líquido]],0)</f>
        <v>0</v>
      </c>
      <c r="Y201" s="19">
        <f>SUMPRODUCT(N([Dívida / PL]&gt;0),N(RIGHT([PAPEL],LEN([PAPEL])-(LEN([PAPEL])-1))="3"),[Dívida / PL])/SUMPRODUCT(N([Dívida / PL]&gt;0),N(RIGHT([PAPEL],LEN([PAPEL])-(LEN([PAPEL])-1))="3"))</f>
        <v>2.1510410379481146</v>
      </c>
      <c r="Z201" s="6">
        <f>Tabela3[[#This Row],[Capital Social]]*20%</f>
        <v>118034751.87800001</v>
      </c>
      <c r="AA201" s="6">
        <f>IF(([Lucro Líquido]*5%)&gt;[Teto R. Legal],[Teto R. Legal],[Lucro Líquido]*5%)</f>
        <v>3159000</v>
      </c>
      <c r="AB201" s="89">
        <f>IF([Lucro Líquido]&lt;0,0,[Lucro Líquido]-[Reserva Legal])</f>
        <v>60021000</v>
      </c>
      <c r="AC201" s="89">
        <f>Tabela3[[#This Row],[Lucro Distribuir]]*[%Div]</f>
        <v>15005250</v>
      </c>
      <c r="AD201" s="56">
        <f>SUMPRODUCT(N([Nome]=Tabela3[[#This Row],[Nome]]),[Ações])</f>
        <v>74612388</v>
      </c>
      <c r="AE201" s="6">
        <f>[Capital Social]/[Total Ações]</f>
        <v>7.9098628955556283</v>
      </c>
      <c r="AF201" s="78">
        <f>Tabela3[[#This Row],[Lucro Líquido]]/Tabela3[[#This Row],[Total Ações]]</f>
        <v>0.84677627527482435</v>
      </c>
      <c r="AG201" s="78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0.21433729740425478</v>
      </c>
      <c r="AH201" s="78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201" s="78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201" s="78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0.21433729740425478</v>
      </c>
      <c r="AK201" s="6">
        <f>[Div Base]*[Ações]</f>
        <v>159132.79742211231</v>
      </c>
      <c r="AL201" s="6">
        <f>SUMPRODUCT(N([Nome]=Tabela3[[#This Row],[Nome]]),[Div Base]*[Ações])</f>
        <v>13668149.085004007</v>
      </c>
      <c r="AM201" s="6">
        <f>[Patrimônio Líquido]/[Total Ações]</f>
        <v>49.69571540854583</v>
      </c>
      <c r="AN201" s="48">
        <f>MAX(Tabela3[[#This Row],[Cotação 1]:[Cotação 5]])</f>
        <v>18.11</v>
      </c>
      <c r="AO201" s="44">
        <f>[Cotação]/[VPA]</f>
        <v>0.36441773402633715</v>
      </c>
      <c r="AP201" s="40">
        <f>IF(Tabela3[[#This Row],[Lucro/Ação]]&gt;0,Tabela3[[#This Row],[Cotação]]/(Tabela3[[#This Row],[Lucro/Ação]]/[Ref]*4),0)</f>
        <v>16.040246280626778</v>
      </c>
      <c r="AQ201" s="78">
        <f>[Lucro Distribuir]/[Total Ações]</f>
        <v>0.80443746151108309</v>
      </c>
      <c r="AR201" s="78">
        <f>IF([Unit ON]&gt;0,SUMPRODUCT(N([Nome]=Tabela3[[#This Row],[Nome]]),N(RIGHT([PAPEL],1)="3"),[Div Base])*[Unit ON]+SUMPRODUCT(N([Nome]=Tabela3[[#This Row],[Nome]]),N(RIGHT([PAPEL],1)="4"),[Div Base])*[Unit PN],[Div Base])</f>
        <v>0.21433729740425478</v>
      </c>
      <c r="AS201" s="15" t="str">
        <f>IF(AND([% A.A.]&gt;=6%,SUMPRODUCT(N([Nome]=Tabela3[[#This Row],[Nome]]),[PL])&gt;0,[Rentabilidade s/ PL]&gt;=[Rentabilidade s/ PL Média]),"Sim","Não")</f>
        <v>Não</v>
      </c>
      <c r="AT201" s="42">
        <f>IF([Cotação]&gt;0,Tabela3[[#This Row],[Lucro]]/Tabela3[[#This Row],[Cotação]],0)</f>
        <v>1.1835300795375748E-2</v>
      </c>
      <c r="AU201" s="19">
        <f>((1+Tabela3[[#This Row],[% Yield]])^(1/(3*Tabela3[[#This Row],[Ref]])))^(12)-1</f>
        <v>1.5811447226143027E-2</v>
      </c>
      <c r="AV201" s="14">
        <f>IF([Cotação]&gt;0,($BH$1/Tabela3[[#This Row],[Cotação]]-MOD($BH$1/Tabela3[[#This Row],[Cotação]],100)),)</f>
        <v>0</v>
      </c>
      <c r="AW201" s="17">
        <f>Tabela3[[#This Row],[Ativos]]*[Lucro]</f>
        <v>0</v>
      </c>
      <c r="AX201" s="5">
        <f>SUMPRODUCT(N(Tabela1[Código]=Tabela3[[#This Row],[PAPEL]]),Tabela1[Fechamento])</f>
        <v>18.11</v>
      </c>
      <c r="AY201" s="5">
        <f>SUMPRODUCT(N(Tabela17[Código]=Tabela3[[#This Row],[PAPEL]]),Tabela17[Fechamento])</f>
        <v>0</v>
      </c>
      <c r="AZ201" s="7">
        <f>SUMPRODUCT(N(Tabela176[Código]=Tabela3[[#This Row],[PAPEL]]),Tabela176[Fechamento])</f>
        <v>0</v>
      </c>
      <c r="BA201" s="7">
        <f>SUMPRODUCT(N(Tabela1768[Código]=Tabela3[[#This Row],[PAPEL]]),Tabela1768[Fechamento])</f>
        <v>0</v>
      </c>
      <c r="BB201" s="7">
        <f>SUMPRODUCT(N(Tabela17683[Código]=Tabela3[[#This Row],[PAPEL]]),Tabela17683[Fechamento])</f>
        <v>0</v>
      </c>
    </row>
    <row r="202" spans="1:54">
      <c r="A202" s="4" t="s">
        <v>579</v>
      </c>
      <c r="B202" s="57" t="s">
        <v>580</v>
      </c>
      <c r="C202" s="15" t="str">
        <f>LEFT([PAPEL],LEN([PAPEL])-(LEN([PAPEL])-4))</f>
        <v>LINX</v>
      </c>
      <c r="D202" s="15">
        <v>4</v>
      </c>
      <c r="E202" s="6">
        <v>346482097.77999997</v>
      </c>
      <c r="F202" s="8">
        <v>46556463</v>
      </c>
      <c r="G202" s="86">
        <v>0.25</v>
      </c>
      <c r="H202" s="15"/>
      <c r="I202" s="19"/>
      <c r="J202" s="19"/>
      <c r="K202" s="88"/>
      <c r="L202" s="88"/>
      <c r="M202" s="55"/>
      <c r="N202" s="55"/>
      <c r="O202" s="55"/>
      <c r="P202" s="6">
        <v>586370000</v>
      </c>
      <c r="Q202" s="93">
        <v>62410000</v>
      </c>
      <c r="R202" s="93">
        <f>IF(Tabela3[[#This Row],[Ativo || Passivo]]&gt;0,Tabela3[[#This Row],[Ativo || Passivo]]-Tabela3[[#This Row],[Patrimônio Líquido]],0)</f>
        <v>0</v>
      </c>
      <c r="S202" s="93">
        <f>Tabela3[[#This Row],[Cotação]]*Tabela3[[#This Row],[Total Ações]]</f>
        <v>1949319105.8099999</v>
      </c>
      <c r="T202" s="40">
        <f>IF(Tabela3[[#This Row],[Passivo Circulante]]&gt;0,Tabela3[[#This Row],[Ativo Circulante]]/Tabela3[[#This Row],[Passivo Circulante]],0)</f>
        <v>0</v>
      </c>
      <c r="U202" s="40">
        <f>SUMPRODUCT(N([Liquidez Corrente]&gt;0),N(RIGHT([PAPEL],LEN([PAPEL])-(LEN([PAPEL])-1))="3"),[Liquidez Corrente])/SUMPRODUCT(N([Liquidez Corrente]&gt;0),N(RIGHT([PAPEL],LEN([PAPEL])-(LEN([PAPEL])-1))="3"))</f>
        <v>2.331224473064915</v>
      </c>
      <c r="V202" s="19">
        <f>IF(Tabela3[[#This Row],[Lucro Líquido]]&gt;0,Tabela3[[#This Row],[Lucro Líquido]]/Tabela3[[#This Row],[Patrimônio Líquido]],0)</f>
        <v>0.10643450381158655</v>
      </c>
      <c r="W202" s="19">
        <f>SUMPRODUCT(N([Rentabilidade s/ PL]&gt;0),N(RIGHT([PAPEL],LEN([PAPEL])-(LEN([PAPEL])-1))="3"),[Rentabilidade s/ PL])/SUMPRODUCT(N([Rentabilidade s/ PL]&gt;0),N(RIGHT([PAPEL],LEN([PAPEL])-(LEN([PAPEL])-1))="3"))</f>
        <v>0.1261051308670782</v>
      </c>
      <c r="X202" s="19">
        <f>IF(Tabela3[[#This Row],[Dívida]]&gt;0,Tabela3[[#This Row],[Dívida]]/Tabela3[[#This Row],[Patrimônio Líquido]],0)</f>
        <v>0</v>
      </c>
      <c r="Y202" s="19">
        <f>SUMPRODUCT(N([Dívida / PL]&gt;0),N(RIGHT([PAPEL],LEN([PAPEL])-(LEN([PAPEL])-1))="3"),[Dívida / PL])/SUMPRODUCT(N([Dívida / PL]&gt;0),N(RIGHT([PAPEL],LEN([PAPEL])-(LEN([PAPEL])-1))="3"))</f>
        <v>2.1510410379481146</v>
      </c>
      <c r="Z202" s="13">
        <f>Tabela3[[#This Row],[Capital Social]]*20%</f>
        <v>69296419.555999994</v>
      </c>
      <c r="AA202" s="13">
        <f>IF(([Lucro Líquido]*5%)&gt;[Teto R. Legal],[Teto R. Legal],[Lucro Líquido]*5%)</f>
        <v>3120500</v>
      </c>
      <c r="AB202" s="13">
        <f>IF([Lucro Líquido]&lt;0,0,[Lucro Líquido]-[Reserva Legal])</f>
        <v>59289500</v>
      </c>
      <c r="AC202" s="13">
        <f>Tabela3[[#This Row],[Lucro Distribuir]]*[%Div]</f>
        <v>14822375</v>
      </c>
      <c r="AD202" s="56">
        <f>SUMPRODUCT(N([Nome]=Tabela3[[#This Row],[Nome]]),[Ações])</f>
        <v>46556463</v>
      </c>
      <c r="AE202" s="6">
        <f>[Capital Social]/[Total Ações]</f>
        <v>7.4421911686031645</v>
      </c>
      <c r="AF202" s="78">
        <f>Tabela3[[#This Row],[Lucro Líquido]]/Tabela3[[#This Row],[Total Ações]]</f>
        <v>1.3405227970174625</v>
      </c>
      <c r="AG202" s="78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0.31837416429164733</v>
      </c>
      <c r="AH202" s="78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202" s="78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202" s="78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0.31837416429164733</v>
      </c>
      <c r="AK202" s="13">
        <f>[Div Base]*[Ações]</f>
        <v>14822375</v>
      </c>
      <c r="AL202" s="13">
        <f>SUMPRODUCT(N([Nome]=Tabela3[[#This Row],[Nome]]),[Div Base]*[Ações])</f>
        <v>14822375</v>
      </c>
      <c r="AM202" s="6">
        <f>[Patrimônio Líquido]/[Total Ações]</f>
        <v>12.594814172202042</v>
      </c>
      <c r="AN202" s="48">
        <f>MAX(Tabela3[[#This Row],[Cotação 1]:[Cotação 5]])</f>
        <v>41.87</v>
      </c>
      <c r="AO202" s="44">
        <f>[Cotação]/[VPA]</f>
        <v>3.3243841018640103</v>
      </c>
      <c r="AP202" s="40">
        <f>IF(Tabela3[[#This Row],[Lucro/Ação]]&gt;0,Tabela3[[#This Row],[Cotação]]/(Tabela3[[#This Row],[Lucro/Ação]]/[Ref]*4),0)</f>
        <v>31.234082772151897</v>
      </c>
      <c r="AQ202" s="78">
        <f>[Lucro Distribuir]/[Total Ações]</f>
        <v>1.2734966571665893</v>
      </c>
      <c r="AR202" s="78">
        <f>IF([Unit ON]&gt;0,SUMPRODUCT(N([Nome]=Tabela3[[#This Row],[Nome]]),N(RIGHT([PAPEL],1)="3"),[Div Base])*[Unit ON]+SUMPRODUCT(N([Nome]=Tabela3[[#This Row],[Nome]]),N(RIGHT([PAPEL],1)="4"),[Div Base])*[Unit PN],[Div Base])</f>
        <v>0.31837416429164733</v>
      </c>
      <c r="AS202" s="14" t="str">
        <f>IF(AND([% A.A.]&gt;=6%,SUMPRODUCT(N([Nome]=Tabela3[[#This Row],[Nome]]),[PL])&gt;0,[Rentabilidade s/ PL]&gt;=[Rentabilidade s/ PL Média]),"Sim","Não")</f>
        <v>Não</v>
      </c>
      <c r="AT202" s="42">
        <f>IF([Cotação]&gt;0,Tabela3[[#This Row],[Lucro]]/Tabela3[[#This Row],[Cotação]],0)</f>
        <v>7.6038730425518836E-3</v>
      </c>
      <c r="AU202" s="42">
        <f>((1+Tabela3[[#This Row],[% Yield]])^(1/(3*Tabela3[[#This Row],[Ref]])))^(12)-1</f>
        <v>7.6038730425516121E-3</v>
      </c>
      <c r="AV202" s="14">
        <f>IF([Cotação]&gt;0,($BH$1/Tabela3[[#This Row],[Cotação]]-MOD($BH$1/Tabela3[[#This Row],[Cotação]],100)),)</f>
        <v>0</v>
      </c>
      <c r="AW202" s="17">
        <f>Tabela3[[#This Row],[Ativos]]*[Lucro]</f>
        <v>0</v>
      </c>
      <c r="AX202" s="17">
        <f>SUMPRODUCT(N(Tabela1[Código]=Tabela3[[#This Row],[PAPEL]]),Tabela1[Fechamento])</f>
        <v>0</v>
      </c>
      <c r="AY202" s="17">
        <f>SUMPRODUCT(N(Tabela17[Código]=Tabela3[[#This Row],[PAPEL]]),Tabela17[Fechamento])</f>
        <v>0</v>
      </c>
      <c r="AZ202" s="17">
        <f>SUMPRODUCT(N(Tabela176[Código]=Tabela3[[#This Row],[PAPEL]]),Tabela176[Fechamento])</f>
        <v>41.87</v>
      </c>
      <c r="BA202" s="17">
        <f>SUMPRODUCT(N(Tabela1768[Código]=Tabela3[[#This Row],[PAPEL]]),Tabela1768[Fechamento])</f>
        <v>0</v>
      </c>
      <c r="BB202" s="7">
        <f>SUMPRODUCT(N(Tabela17683[Código]=Tabela3[[#This Row],[PAPEL]]),Tabela17683[Fechamento])</f>
        <v>0</v>
      </c>
    </row>
    <row r="203" spans="1:54" hidden="1">
      <c r="A203" s="4" t="s">
        <v>753</v>
      </c>
      <c r="B203" s="57" t="s">
        <v>757</v>
      </c>
      <c r="C203" s="15" t="str">
        <f>LEFT([PAPEL],LEN([PAPEL])-(LEN([PAPEL])-4))</f>
        <v>FLRY</v>
      </c>
      <c r="D203" s="15">
        <v>3</v>
      </c>
      <c r="E203" s="6">
        <v>1402530425.1800001</v>
      </c>
      <c r="F203" s="8">
        <v>156293356</v>
      </c>
      <c r="G203" s="86">
        <v>0.25</v>
      </c>
      <c r="H203" s="15"/>
      <c r="I203" s="19"/>
      <c r="J203" s="19"/>
      <c r="K203" s="88"/>
      <c r="L203" s="88"/>
      <c r="M203" s="55"/>
      <c r="N203" s="55"/>
      <c r="O203" s="55"/>
      <c r="P203" s="92">
        <v>1727199000</v>
      </c>
      <c r="Q203" s="93">
        <v>61932000</v>
      </c>
      <c r="R203" s="93">
        <f>IF(Tabela3[[#This Row],[Ativo || Passivo]]&gt;0,Tabela3[[#This Row],[Ativo || Passivo]]-Tabela3[[#This Row],[Patrimônio Líquido]],0)</f>
        <v>0</v>
      </c>
      <c r="S203" s="93">
        <f>Tabela3[[#This Row],[Cotação]]*Tabela3[[#This Row],[Total Ações]]</f>
        <v>2875797750.3999996</v>
      </c>
      <c r="T203" s="40">
        <f>IF(Tabela3[[#This Row],[Passivo Circulante]]&gt;0,Tabela3[[#This Row],[Ativo Circulante]]/Tabela3[[#This Row],[Passivo Circulante]],0)</f>
        <v>0</v>
      </c>
      <c r="U203" s="40">
        <f>SUMPRODUCT(N([Liquidez Corrente]&gt;0),N(RIGHT([PAPEL],LEN([PAPEL])-(LEN([PAPEL])-1))="3"),[Liquidez Corrente])/SUMPRODUCT(N([Liquidez Corrente]&gt;0),N(RIGHT([PAPEL],LEN([PAPEL])-(LEN([PAPEL])-1))="3"))</f>
        <v>2.331224473064915</v>
      </c>
      <c r="V203" s="19">
        <f>IF(Tabela3[[#This Row],[Lucro Líquido]]&gt;0,Tabela3[[#This Row],[Lucro Líquido]]/Tabela3[[#This Row],[Patrimônio Líquido]],0)</f>
        <v>3.5856898944475996E-2</v>
      </c>
      <c r="W203" s="19">
        <f>SUMPRODUCT(N([Rentabilidade s/ PL]&gt;0),N(RIGHT([PAPEL],LEN([PAPEL])-(LEN([PAPEL])-1))="3"),[Rentabilidade s/ PL])/SUMPRODUCT(N([Rentabilidade s/ PL]&gt;0),N(RIGHT([PAPEL],LEN([PAPEL])-(LEN([PAPEL])-1))="3"))</f>
        <v>0.1261051308670782</v>
      </c>
      <c r="X203" s="19">
        <f>IF(Tabela3[[#This Row],[Dívida]]&gt;0,Tabela3[[#This Row],[Dívida]]/Tabela3[[#This Row],[Patrimônio Líquido]],0)</f>
        <v>0</v>
      </c>
      <c r="Y203" s="19">
        <f>SUMPRODUCT(N([Dívida / PL]&gt;0),N(RIGHT([PAPEL],LEN([PAPEL])-(LEN([PAPEL])-1))="3"),[Dívida / PL])/SUMPRODUCT(N([Dívida / PL]&gt;0),N(RIGHT([PAPEL],LEN([PAPEL])-(LEN([PAPEL])-1))="3"))</f>
        <v>2.1510410379481146</v>
      </c>
      <c r="Z203" s="13">
        <f>Tabela3[[#This Row],[Capital Social]]*20%</f>
        <v>280506085.03600001</v>
      </c>
      <c r="AA203" s="13">
        <f>IF(([Lucro Líquido]*5%)&gt;[Teto R. Legal],[Teto R. Legal],[Lucro Líquido]*5%)</f>
        <v>3096600</v>
      </c>
      <c r="AB203" s="13">
        <f>IF([Lucro Líquido]&lt;0,0,[Lucro Líquido]-[Reserva Legal])</f>
        <v>58835400</v>
      </c>
      <c r="AC203" s="13">
        <f>Tabela3[[#This Row],[Lucro Distribuir]]*[%Div]</f>
        <v>14708850</v>
      </c>
      <c r="AD203" s="56">
        <f>SUMPRODUCT(N([Nome]=Tabela3[[#This Row],[Nome]]),[Ações])</f>
        <v>156293356</v>
      </c>
      <c r="AE203" s="6">
        <f>[Capital Social]/[Total Ações]</f>
        <v>8.9737047119264624</v>
      </c>
      <c r="AF203" s="78">
        <f>Tabela3[[#This Row],[Lucro Líquido]]/Tabela3[[#This Row],[Total Ações]]</f>
        <v>0.39625484783882942</v>
      </c>
      <c r="AG203" s="78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9.4110526361721986E-2</v>
      </c>
      <c r="AH203" s="78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203" s="78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203" s="78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9.4110526361721986E-2</v>
      </c>
      <c r="AK203" s="13">
        <f>[Div Base]*[Ações]</f>
        <v>14708850</v>
      </c>
      <c r="AL203" s="13">
        <f>SUMPRODUCT(N([Nome]=Tabela3[[#This Row],[Nome]]),[Div Base]*[Ações])</f>
        <v>14708850</v>
      </c>
      <c r="AM203" s="6">
        <f>[Patrimônio Líquido]/[Total Ações]</f>
        <v>11.051007184208137</v>
      </c>
      <c r="AN203" s="48">
        <f>MAX(Tabela3[[#This Row],[Cotação 1]:[Cotação 5]])</f>
        <v>18.399999999999999</v>
      </c>
      <c r="AO203" s="44">
        <f>[Cotação]/[VPA]</f>
        <v>1.6650066091978979</v>
      </c>
      <c r="AP203" s="40">
        <f>IF(Tabela3[[#This Row],[Lucro/Ação]]&gt;0,Tabela3[[#This Row],[Cotação]]/(Tabela3[[#This Row],[Lucro/Ação]]/[Ref]*4),0)</f>
        <v>34.826072350319706</v>
      </c>
      <c r="AQ203" s="78">
        <f>[Lucro Distribuir]/[Total Ações]</f>
        <v>0.37644210544688794</v>
      </c>
      <c r="AR203" s="78">
        <f>IF([Unit ON]&gt;0,SUMPRODUCT(N([Nome]=Tabela3[[#This Row],[Nome]]),N(RIGHT([PAPEL],1)="3"),[Div Base])*[Unit ON]+SUMPRODUCT(N([Nome]=Tabela3[[#This Row],[Nome]]),N(RIGHT([PAPEL],1)="4"),[Div Base])*[Unit PN],[Div Base])</f>
        <v>9.4110526361721986E-2</v>
      </c>
      <c r="AS203" s="14" t="str">
        <f>IF(AND([% A.A.]&gt;=6%,SUMPRODUCT(N([Nome]=Tabela3[[#This Row],[Nome]]),[PL])&gt;0,[Rentabilidade s/ PL]&gt;=[Rentabilidade s/ PL Média]),"Sim","Não")</f>
        <v>Não</v>
      </c>
      <c r="AT203" s="42">
        <f>IF([Cotação]&gt;0,Tabela3[[#This Row],[Lucro]]/Tabela3[[#This Row],[Cotação]],0)</f>
        <v>5.1147025196588043E-3</v>
      </c>
      <c r="AU203" s="42">
        <f>((1+Tabela3[[#This Row],[% Yield]])^(1/(3*Tabela3[[#This Row],[Ref]])))^(12)-1</f>
        <v>6.8254101398523837E-3</v>
      </c>
      <c r="AV203" s="14">
        <f>IF([Cotação]&gt;0,($BH$1/Tabela3[[#This Row],[Cotação]]-MOD($BH$1/Tabela3[[#This Row],[Cotação]],100)),)</f>
        <v>0</v>
      </c>
      <c r="AW203" s="17">
        <f>Tabela3[[#This Row],[Ativos]]*[Lucro]</f>
        <v>0</v>
      </c>
      <c r="AX203" s="17">
        <f>SUMPRODUCT(N(Tabela1[Código]=Tabela3[[#This Row],[PAPEL]]),Tabela1[Fechamento])</f>
        <v>0</v>
      </c>
      <c r="AY203" s="17">
        <f>SUMPRODUCT(N(Tabela17[Código]=Tabela3[[#This Row],[PAPEL]]),Tabela17[Fechamento])</f>
        <v>0</v>
      </c>
      <c r="AZ203" s="17">
        <f>SUMPRODUCT(N(Tabela176[Código]=Tabela3[[#This Row],[PAPEL]]),Tabela176[Fechamento])</f>
        <v>18.399999999999999</v>
      </c>
      <c r="BA203" s="17">
        <f>SUMPRODUCT(N(Tabela1768[Código]=Tabela3[[#This Row],[PAPEL]]),Tabela1768[Fechamento])</f>
        <v>0</v>
      </c>
      <c r="BB203" s="7">
        <f>SUMPRODUCT(N(Tabela17683[Código]=Tabela3[[#This Row],[PAPEL]]),Tabela17683[Fechamento])</f>
        <v>0</v>
      </c>
    </row>
    <row r="204" spans="1:54">
      <c r="A204" s="4" t="s">
        <v>14</v>
      </c>
      <c r="B204" s="57" t="s">
        <v>208</v>
      </c>
      <c r="C204" s="14" t="str">
        <f>LEFT([PAPEL],LEN([PAPEL])-(LEN([PAPEL])-4))</f>
        <v>BICB</v>
      </c>
      <c r="D204" s="15">
        <v>4</v>
      </c>
      <c r="E204" s="6">
        <v>1434205798</v>
      </c>
      <c r="F204" s="8">
        <v>160206833</v>
      </c>
      <c r="G204" s="81">
        <v>0.25</v>
      </c>
      <c r="H204" s="15"/>
      <c r="I204" s="19"/>
      <c r="J204" s="19"/>
      <c r="K204" s="88"/>
      <c r="L204" s="88"/>
      <c r="M204" s="55">
        <v>15989397000</v>
      </c>
      <c r="N204" s="55">
        <v>9962019000</v>
      </c>
      <c r="O204" s="55">
        <v>7465535000</v>
      </c>
      <c r="P204" s="6">
        <v>1952345000</v>
      </c>
      <c r="Q204" s="6">
        <v>61019000</v>
      </c>
      <c r="R204" s="6">
        <f>IF(Tabela3[[#This Row],[Ativo || Passivo]]&gt;0,Tabela3[[#This Row],[Ativo || Passivo]]-Tabela3[[#This Row],[Patrimônio Líquido]],0)</f>
        <v>14037052000</v>
      </c>
      <c r="S204" s="6">
        <f>Tabela3[[#This Row],[Cotação]]*Tabela3[[#This Row],[Total Ações]]</f>
        <v>1823434732.49</v>
      </c>
      <c r="T204" s="132">
        <f>IF(Tabela3[[#This Row],[Passivo Circulante]]&gt;0,Tabela3[[#This Row],[Ativo Circulante]]/Tabela3[[#This Row],[Passivo Circulante]],0)</f>
        <v>1.3344012183989493</v>
      </c>
      <c r="U204" s="132">
        <f>SUMPRODUCT(N([Liquidez Corrente]&gt;0),N(RIGHT([PAPEL],LEN([PAPEL])-(LEN([PAPEL])-1))="3"),[Liquidez Corrente])/SUMPRODUCT(N([Liquidez Corrente]&gt;0),N(RIGHT([PAPEL],LEN([PAPEL])-(LEN([PAPEL])-1))="3"))</f>
        <v>2.331224473064915</v>
      </c>
      <c r="V204" s="19">
        <f>IF(Tabela3[[#This Row],[Lucro Líquido]]&gt;0,Tabela3[[#This Row],[Lucro Líquido]]/Tabela3[[#This Row],[Patrimônio Líquido]],0)</f>
        <v>3.1254209681178279E-2</v>
      </c>
      <c r="W204" s="19">
        <f>SUMPRODUCT(N([Rentabilidade s/ PL]&gt;0),N(RIGHT([PAPEL],LEN([PAPEL])-(LEN([PAPEL])-1))="3"),[Rentabilidade s/ PL])/SUMPRODUCT(N([Rentabilidade s/ PL]&gt;0),N(RIGHT([PAPEL],LEN([PAPEL])-(LEN([PAPEL])-1))="3"))</f>
        <v>0.1261051308670782</v>
      </c>
      <c r="X204" s="19">
        <f>IF(Tabela3[[#This Row],[Dívida]]&gt;0,Tabela3[[#This Row],[Dívida]]/Tabela3[[#This Row],[Patrimônio Líquido]],0)</f>
        <v>7.1898419592848599</v>
      </c>
      <c r="Y204" s="19">
        <f>SUMPRODUCT(N([Dívida / PL]&gt;0),N(RIGHT([PAPEL],LEN([PAPEL])-(LEN([PAPEL])-1))="3"),[Dívida / PL])/SUMPRODUCT(N([Dívida / PL]&gt;0),N(RIGHT([PAPEL],LEN([PAPEL])-(LEN([PAPEL])-1))="3"))</f>
        <v>2.1510410379481146</v>
      </c>
      <c r="Z204" s="6">
        <f>Tabela3[[#This Row],[Capital Social]]*20%</f>
        <v>286841159.60000002</v>
      </c>
      <c r="AA204" s="6">
        <f>IF(([Lucro Líquido]*5%)&gt;[Teto R. Legal],[Teto R. Legal],[Lucro Líquido]*5%)</f>
        <v>3050950</v>
      </c>
      <c r="AB204" s="6">
        <f>IF([Lucro Líquido]&lt;0,0,[Lucro Líquido]-[Reserva Legal])</f>
        <v>57968050</v>
      </c>
      <c r="AC204" s="6">
        <f>Tabela3[[#This Row],[Lucro Distribuir]]*[%Div]</f>
        <v>14492012.5</v>
      </c>
      <c r="AD204" s="21">
        <f>SUMPRODUCT(N([Nome]=Tabela3[[#This Row],[Nome]]),[Ações])</f>
        <v>252903569</v>
      </c>
      <c r="AE204" s="6">
        <f>[Capital Social]/[Total Ações]</f>
        <v>5.6709591077380166</v>
      </c>
      <c r="AF204" s="78">
        <f>Tabela3[[#This Row],[Lucro Líquido]]/Tabela3[[#This Row],[Total Ações]]</f>
        <v>0.24127377973064509</v>
      </c>
      <c r="AG204" s="78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5.7302522686028208E-2</v>
      </c>
      <c r="AH204" s="78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204" s="78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204" s="78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5.7302522686028208E-2</v>
      </c>
      <c r="AK204" s="6">
        <f>[Div Base]*[Ações]</f>
        <v>9180255.6824392322</v>
      </c>
      <c r="AL204" s="6">
        <f>SUMPRODUCT(N([Nome]=Tabela3[[#This Row],[Nome]]),[Div Base]*[Ações])</f>
        <v>14492012.5</v>
      </c>
      <c r="AM204" s="6">
        <f>[Patrimônio Líquido]/[Total Ações]</f>
        <v>7.7197210293224447</v>
      </c>
      <c r="AN204" s="48">
        <f>MAX(Tabela3[[#This Row],[Cotação 1]:[Cotação 5]])</f>
        <v>7.21</v>
      </c>
      <c r="AO204" s="44">
        <f>[Cotação]/[VPA]</f>
        <v>0.93397157392264174</v>
      </c>
      <c r="AP204" s="40">
        <f>IF(Tabela3[[#This Row],[Lucro/Ação]]&gt;0,Tabela3[[#This Row],[Cotação]]/(Tabela3[[#This Row],[Lucro/Ação]]/[Ref]*4),0)</f>
        <v>29.883064823907304</v>
      </c>
      <c r="AQ204" s="78">
        <f>[Lucro Distribuir]/[Total Ações]</f>
        <v>0.22921009074411283</v>
      </c>
      <c r="AR204" s="78">
        <f>IF([Unit ON]&gt;0,SUMPRODUCT(N([Nome]=Tabela3[[#This Row],[Nome]]),N(RIGHT([PAPEL],1)="3"),[Div Base])*[Unit ON]+SUMPRODUCT(N([Nome]=Tabela3[[#This Row],[Nome]]),N(RIGHT([PAPEL],1)="4"),[Div Base])*[Unit PN],[Div Base])</f>
        <v>5.7302522686028208E-2</v>
      </c>
      <c r="AS204" s="15" t="str">
        <f>IF(AND([% A.A.]&gt;=6%,SUMPRODUCT(N([Nome]=Tabela3[[#This Row],[Nome]]),[PL])&gt;0,[Rentabilidade s/ PL]&gt;=[Rentabilidade s/ PL Média]),"Sim","Não")</f>
        <v>Não</v>
      </c>
      <c r="AT204" s="42">
        <f>IF([Cotação]&gt;0,Tabela3[[#This Row],[Lucro]]/Tabela3[[#This Row],[Cotação]],0)</f>
        <v>7.9476453101287384E-3</v>
      </c>
      <c r="AU204" s="19">
        <f>((1+Tabela3[[#This Row],[% Yield]])^(1/(3*Tabela3[[#This Row],[Ref]])))^(12)-1</f>
        <v>7.9476453101281486E-3</v>
      </c>
      <c r="AV204" s="14">
        <f>IF([Cotação]&gt;0,($BH$1/Tabela3[[#This Row],[Cotação]]-MOD($BH$1/Tabela3[[#This Row],[Cotação]],100)),)</f>
        <v>0</v>
      </c>
      <c r="AW204" s="17">
        <f>Tabela3[[#This Row],[Ativos]]*[Lucro]</f>
        <v>0</v>
      </c>
      <c r="AX204" s="5">
        <f>SUMPRODUCT(N(Tabela1[Código]=Tabela3[[#This Row],[PAPEL]]),Tabela1[Fechamento])</f>
        <v>7.21</v>
      </c>
      <c r="AY204" s="5">
        <f>SUMPRODUCT(N(Tabela17[Código]=Tabela3[[#This Row],[PAPEL]]),Tabela17[Fechamento])</f>
        <v>0</v>
      </c>
      <c r="AZ204" s="7">
        <f>SUMPRODUCT(N(Tabela176[Código]=Tabela3[[#This Row],[PAPEL]]),Tabela176[Fechamento])</f>
        <v>0</v>
      </c>
      <c r="BA204" s="7">
        <f>SUMPRODUCT(N(Tabela1768[Código]=Tabela3[[#This Row],[PAPEL]]),Tabela1768[Fechamento])</f>
        <v>0</v>
      </c>
      <c r="BB204" s="7">
        <f>SUMPRODUCT(N(Tabela17683[Código]=Tabela3[[#This Row],[PAPEL]]),Tabela17683[Fechamento])</f>
        <v>0</v>
      </c>
    </row>
    <row r="205" spans="1:54">
      <c r="A205" s="4" t="s">
        <v>14</v>
      </c>
      <c r="B205" s="57" t="s">
        <v>10</v>
      </c>
      <c r="C205" s="14" t="str">
        <f>LEFT([PAPEL],LEN([PAPEL])-(LEN([PAPEL])-4))</f>
        <v>BICB</v>
      </c>
      <c r="D205" s="15">
        <v>4</v>
      </c>
      <c r="E205" s="6">
        <v>1434205798</v>
      </c>
      <c r="F205" s="8">
        <v>92696736</v>
      </c>
      <c r="G205" s="86">
        <v>0.25</v>
      </c>
      <c r="H205" s="15"/>
      <c r="I205" s="19"/>
      <c r="J205" s="19"/>
      <c r="K205" s="88"/>
      <c r="L205" s="88"/>
      <c r="M205" s="55">
        <v>15989397000</v>
      </c>
      <c r="N205" s="55">
        <v>9962019000</v>
      </c>
      <c r="O205" s="55">
        <v>7465535000</v>
      </c>
      <c r="P205" s="6">
        <v>1952345000</v>
      </c>
      <c r="Q205" s="6">
        <v>61019000</v>
      </c>
      <c r="R205" s="6">
        <f>IF(Tabela3[[#This Row],[Ativo || Passivo]]&gt;0,Tabela3[[#This Row],[Ativo || Passivo]]-Tabela3[[#This Row],[Patrimônio Líquido]],0)</f>
        <v>14037052000</v>
      </c>
      <c r="S205" s="6">
        <f>Tabela3[[#This Row],[Cotação]]*Tabela3[[#This Row],[Total Ações]]</f>
        <v>1808260518.3500001</v>
      </c>
      <c r="T205" s="132">
        <f>IF(Tabela3[[#This Row],[Passivo Circulante]]&gt;0,Tabela3[[#This Row],[Ativo Circulante]]/Tabela3[[#This Row],[Passivo Circulante]],0)</f>
        <v>1.3344012183989493</v>
      </c>
      <c r="U205" s="132">
        <f>SUMPRODUCT(N([Liquidez Corrente]&gt;0),N(RIGHT([PAPEL],LEN([PAPEL])-(LEN([PAPEL])-1))="3"),[Liquidez Corrente])/SUMPRODUCT(N([Liquidez Corrente]&gt;0),N(RIGHT([PAPEL],LEN([PAPEL])-(LEN([PAPEL])-1))="3"))</f>
        <v>2.331224473064915</v>
      </c>
      <c r="V205" s="19">
        <f>IF(Tabela3[[#This Row],[Lucro Líquido]]&gt;0,Tabela3[[#This Row],[Lucro Líquido]]/Tabela3[[#This Row],[Patrimônio Líquido]],0)</f>
        <v>3.1254209681178279E-2</v>
      </c>
      <c r="W205" s="19">
        <f>SUMPRODUCT(N([Rentabilidade s/ PL]&gt;0),N(RIGHT([PAPEL],LEN([PAPEL])-(LEN([PAPEL])-1))="3"),[Rentabilidade s/ PL])/SUMPRODUCT(N([Rentabilidade s/ PL]&gt;0),N(RIGHT([PAPEL],LEN([PAPEL])-(LEN([PAPEL])-1))="3"))</f>
        <v>0.1261051308670782</v>
      </c>
      <c r="X205" s="19">
        <f>IF(Tabela3[[#This Row],[Dívida]]&gt;0,Tabela3[[#This Row],[Dívida]]/Tabela3[[#This Row],[Patrimônio Líquido]],0)</f>
        <v>7.1898419592848599</v>
      </c>
      <c r="Y205" s="19">
        <f>SUMPRODUCT(N([Dívida / PL]&gt;0),N(RIGHT([PAPEL],LEN([PAPEL])-(LEN([PAPEL])-1))="3"),[Dívida / PL])/SUMPRODUCT(N([Dívida / PL]&gt;0),N(RIGHT([PAPEL],LEN([PAPEL])-(LEN([PAPEL])-1))="3"))</f>
        <v>2.1510410379481146</v>
      </c>
      <c r="Z205" s="6">
        <f>Tabela3[[#This Row],[Capital Social]]*20%</f>
        <v>286841159.60000002</v>
      </c>
      <c r="AA205" s="6">
        <f>IF(([Lucro Líquido]*5%)&gt;[Teto R. Legal],[Teto R. Legal],[Lucro Líquido]*5%)</f>
        <v>3050950</v>
      </c>
      <c r="AB205" s="6">
        <f>IF([Lucro Líquido]&lt;0,0,[Lucro Líquido]-[Reserva Legal])</f>
        <v>57968050</v>
      </c>
      <c r="AC205" s="6">
        <f>Tabela3[[#This Row],[Lucro Distribuir]]*[%Div]</f>
        <v>14492012.5</v>
      </c>
      <c r="AD205" s="21">
        <f>SUMPRODUCT(N([Nome]=Tabela3[[#This Row],[Nome]]),[Ações])</f>
        <v>252903569</v>
      </c>
      <c r="AE205" s="6">
        <f>[Capital Social]/[Total Ações]</f>
        <v>5.6709591077380166</v>
      </c>
      <c r="AF205" s="78">
        <f>Tabela3[[#This Row],[Lucro Líquido]]/Tabela3[[#This Row],[Total Ações]]</f>
        <v>0.24127377973064509</v>
      </c>
      <c r="AG205" s="78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5.7302522686028208E-2</v>
      </c>
      <c r="AH205" s="78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205" s="78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205" s="78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5.7302522686028208E-2</v>
      </c>
      <c r="AK205" s="6">
        <f>[Div Base]*[Ações]</f>
        <v>5311756.8175607678</v>
      </c>
      <c r="AL205" s="6">
        <f>SUMPRODUCT(N([Nome]=Tabela3[[#This Row],[Nome]]),[Div Base]*[Ações])</f>
        <v>14492012.5</v>
      </c>
      <c r="AM205" s="6">
        <f>[Patrimônio Líquido]/[Total Ações]</f>
        <v>7.7197210293224447</v>
      </c>
      <c r="AN205" s="48">
        <f>MAX(Tabela3[[#This Row],[Cotação 1]:[Cotação 5]])</f>
        <v>7.15</v>
      </c>
      <c r="AO205" s="44">
        <f>[Cotação]/[VPA]</f>
        <v>0.92619927233660038</v>
      </c>
      <c r="AP205" s="40">
        <f>IF(Tabela3[[#This Row],[Lucro/Ação]]&gt;0,Tabela3[[#This Row],[Cotação]]/(Tabela3[[#This Row],[Lucro/Ação]]/[Ref]*4),0)</f>
        <v>29.634384672806831</v>
      </c>
      <c r="AQ205" s="78">
        <f>[Lucro Distribuir]/[Total Ações]</f>
        <v>0.22921009074411283</v>
      </c>
      <c r="AR205" s="78">
        <f>IF([Unit ON]&gt;0,SUMPRODUCT(N([Nome]=Tabela3[[#This Row],[Nome]]),N(RIGHT([PAPEL],1)="3"),[Div Base])*[Unit ON]+SUMPRODUCT(N([Nome]=Tabela3[[#This Row],[Nome]]),N(RIGHT([PAPEL],1)="4"),[Div Base])*[Unit PN],[Div Base])</f>
        <v>5.7302522686028208E-2</v>
      </c>
      <c r="AS205" s="15" t="str">
        <f>IF(AND([% A.A.]&gt;=6%,SUMPRODUCT(N([Nome]=Tabela3[[#This Row],[Nome]]),[PL])&gt;0,[Rentabilidade s/ PL]&gt;=[Rentabilidade s/ PL Média]),"Sim","Não")</f>
        <v>Não</v>
      </c>
      <c r="AT205" s="42">
        <f>IF([Cotação]&gt;0,Tabela3[[#This Row],[Lucro]]/Tabela3[[#This Row],[Cotação]],0)</f>
        <v>8.0143388372067425E-3</v>
      </c>
      <c r="AU205" s="19">
        <f>((1+Tabela3[[#This Row],[% Yield]])^(1/(3*Tabela3[[#This Row],[Ref]])))^(12)-1</f>
        <v>8.0143388372055924E-3</v>
      </c>
      <c r="AV205" s="14">
        <f>IF([Cotação]&gt;0,($BH$1/Tabela3[[#This Row],[Cotação]]-MOD($BH$1/Tabela3[[#This Row],[Cotação]],100)),)</f>
        <v>0</v>
      </c>
      <c r="AW205" s="17">
        <f>Tabela3[[#This Row],[Ativos]]*[Lucro]</f>
        <v>0</v>
      </c>
      <c r="AX205" s="5">
        <f>SUMPRODUCT(N(Tabela1[Código]=Tabela3[[#This Row],[PAPEL]]),Tabela1[Fechamento])</f>
        <v>7.15</v>
      </c>
      <c r="AY205" s="5">
        <f>SUMPRODUCT(N(Tabela17[Código]=Tabela3[[#This Row],[PAPEL]]),Tabela17[Fechamento])</f>
        <v>0</v>
      </c>
      <c r="AZ205" s="7">
        <f>SUMPRODUCT(N(Tabela176[Código]=Tabela3[[#This Row],[PAPEL]]),Tabela176[Fechamento])</f>
        <v>0</v>
      </c>
      <c r="BA205" s="7">
        <f>SUMPRODUCT(N(Tabela1768[Código]=Tabela3[[#This Row],[PAPEL]]),Tabela1768[Fechamento])</f>
        <v>0</v>
      </c>
      <c r="BB205" s="7">
        <f>SUMPRODUCT(N(Tabela17683[Código]=Tabela3[[#This Row],[PAPEL]]),Tabela17683[Fechamento])</f>
        <v>0</v>
      </c>
    </row>
    <row r="206" spans="1:54" hidden="1">
      <c r="A206" s="4" t="s">
        <v>12</v>
      </c>
      <c r="B206" s="60" t="s">
        <v>65</v>
      </c>
      <c r="C206" s="14" t="str">
        <f>LEFT([PAPEL],LEN([PAPEL])-(LEN([PAPEL])-4))</f>
        <v>RDTR</v>
      </c>
      <c r="D206" s="15">
        <v>3</v>
      </c>
      <c r="E206" s="6">
        <v>250576343.34</v>
      </c>
      <c r="F206" s="8">
        <v>108480828</v>
      </c>
      <c r="G206" s="81">
        <v>0.25</v>
      </c>
      <c r="H206" s="15"/>
      <c r="I206" s="19"/>
      <c r="J206" s="19"/>
      <c r="K206" s="88"/>
      <c r="L206" s="88"/>
      <c r="M206" s="55">
        <v>465048000</v>
      </c>
      <c r="N206" s="55">
        <v>547000</v>
      </c>
      <c r="O206" s="55">
        <v>1681000</v>
      </c>
      <c r="P206" s="89">
        <v>463367000</v>
      </c>
      <c r="Q206" s="89">
        <v>59974000</v>
      </c>
      <c r="R206" s="89">
        <f>IF(Tabela3[[#This Row],[Ativo || Passivo]]&gt;0,Tabela3[[#This Row],[Ativo || Passivo]]-Tabela3[[#This Row],[Patrimônio Líquido]],0)</f>
        <v>1681000</v>
      </c>
      <c r="S206" s="89">
        <f>Tabela3[[#This Row],[Cotação]]*Tabela3[[#This Row],[Total Ações]]</f>
        <v>569524347</v>
      </c>
      <c r="T206" s="132">
        <f>IF(Tabela3[[#This Row],[Passivo Circulante]]&gt;0,Tabela3[[#This Row],[Ativo Circulante]]/Tabela3[[#This Row],[Passivo Circulante]],0)</f>
        <v>0.32540154669839383</v>
      </c>
      <c r="U206" s="132">
        <f>SUMPRODUCT(N([Liquidez Corrente]&gt;0),N(RIGHT([PAPEL],LEN([PAPEL])-(LEN([PAPEL])-1))="3"),[Liquidez Corrente])/SUMPRODUCT(N([Liquidez Corrente]&gt;0),N(RIGHT([PAPEL],LEN([PAPEL])-(LEN([PAPEL])-1))="3"))</f>
        <v>2.331224473064915</v>
      </c>
      <c r="V206" s="19">
        <f>IF(Tabela3[[#This Row],[Lucro Líquido]]&gt;0,Tabela3[[#This Row],[Lucro Líquido]]/Tabela3[[#This Row],[Patrimônio Líquido]],0)</f>
        <v>0.12943088307971867</v>
      </c>
      <c r="W206" s="19">
        <f>SUMPRODUCT(N([Rentabilidade s/ PL]&gt;0),N(RIGHT([PAPEL],LEN([PAPEL])-(LEN([PAPEL])-1))="3"),[Rentabilidade s/ PL])/SUMPRODUCT(N([Rentabilidade s/ PL]&gt;0),N(RIGHT([PAPEL],LEN([PAPEL])-(LEN([PAPEL])-1))="3"))</f>
        <v>0.1261051308670782</v>
      </c>
      <c r="X206" s="19">
        <f>IF(Tabela3[[#This Row],[Dívida]]&gt;0,Tabela3[[#This Row],[Dívida]]/Tabela3[[#This Row],[Patrimônio Líquido]],0)</f>
        <v>3.6277939516625051E-3</v>
      </c>
      <c r="Y206" s="19">
        <f>SUMPRODUCT(N([Dívida / PL]&gt;0),N(RIGHT([PAPEL],LEN([PAPEL])-(LEN([PAPEL])-1))="3"),[Dívida / PL])/SUMPRODUCT(N([Dívida / PL]&gt;0),N(RIGHT([PAPEL],LEN([PAPEL])-(LEN([PAPEL])-1))="3"))</f>
        <v>2.1510410379481146</v>
      </c>
      <c r="Z206" s="6">
        <f>Tabela3[[#This Row],[Capital Social]]*20%</f>
        <v>50115268.668000005</v>
      </c>
      <c r="AA206" s="6">
        <f>IF(([Lucro Líquido]*5%)&gt;[Teto R. Legal],[Teto R. Legal],[Lucro Líquido]*5%)</f>
        <v>2998700</v>
      </c>
      <c r="AB206" s="89">
        <f>IF([Lucro Líquido]&lt;0,0,[Lucro Líquido]-[Reserva Legal])</f>
        <v>56975300</v>
      </c>
      <c r="AC206" s="89">
        <f>Tabela3[[#This Row],[Lucro Distribuir]]*[%Div]</f>
        <v>14243825</v>
      </c>
      <c r="AD206" s="56">
        <f>SUMPRODUCT(N([Nome]=Tabela3[[#This Row],[Nome]]),[Ações])</f>
        <v>108480828</v>
      </c>
      <c r="AE206" s="6">
        <f>[Capital Social]/[Total Ações]</f>
        <v>2.3098675402809428</v>
      </c>
      <c r="AF206" s="78">
        <f>Tabela3[[#This Row],[Lucro Líquido]]/Tabela3[[#This Row],[Total Ações]]</f>
        <v>0.55285344982801943</v>
      </c>
      <c r="AG206" s="78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0.13130269433415459</v>
      </c>
      <c r="AH206" s="78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206" s="78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206" s="78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0.13130269433415459</v>
      </c>
      <c r="AK206" s="6">
        <f>[Div Base]*[Ações]</f>
        <v>14243824.999999998</v>
      </c>
      <c r="AL206" s="6">
        <f>SUMPRODUCT(N([Nome]=Tabela3[[#This Row],[Nome]]),[Div Base]*[Ações])</f>
        <v>14243824.999999998</v>
      </c>
      <c r="AM206" s="6">
        <f>[Patrimônio Líquido]/[Total Ações]</f>
        <v>4.2714183560619574</v>
      </c>
      <c r="AN206" s="48">
        <f>MAX(Tabela3[[#This Row],[Cotação 1]:[Cotação 5]])</f>
        <v>5.25</v>
      </c>
      <c r="AO206" s="44">
        <f>[Cotação]/[VPA]</f>
        <v>1.2290999294295883</v>
      </c>
      <c r="AP206" s="40">
        <f>IF(Tabela3[[#This Row],[Lucro/Ação]]&gt;0,Tabela3[[#This Row],[Cotação]]/(Tabela3[[#This Row],[Lucro/Ação]]/[Ref]*4),0)</f>
        <v>7.1221405984259842</v>
      </c>
      <c r="AQ206" s="78">
        <f>[Lucro Distribuir]/[Total Ações]</f>
        <v>0.52521077733661836</v>
      </c>
      <c r="AR206" s="78">
        <f>IF([Unit ON]&gt;0,SUMPRODUCT(N([Nome]=Tabela3[[#This Row],[Nome]]),N(RIGHT([PAPEL],1)="3"),[Div Base])*[Unit ON]+SUMPRODUCT(N([Nome]=Tabela3[[#This Row],[Nome]]),N(RIGHT([PAPEL],1)="4"),[Div Base])*[Unit PN],[Div Base])</f>
        <v>0.13130269433415459</v>
      </c>
      <c r="AS206" s="14" t="str">
        <f>IF(AND([% A.A.]&gt;=6%,SUMPRODUCT(N([Nome]=Tabela3[[#This Row],[Nome]]),[PL])&gt;0,[Rentabilidade s/ PL]&gt;=[Rentabilidade s/ PL Média]),"Sim","Não")</f>
        <v>Não</v>
      </c>
      <c r="AT206" s="42">
        <f>IF([Cotação]&gt;0,Tabela3[[#This Row],[Lucro]]/Tabela3[[#This Row],[Cotação]],0)</f>
        <v>2.5010037016029447E-2</v>
      </c>
      <c r="AU206" s="19">
        <f>((1+Tabela3[[#This Row],[% Yield]])^(1/(3*Tabela3[[#This Row],[Ref]])))^(12)-1</f>
        <v>3.348495186508349E-2</v>
      </c>
      <c r="AV206" s="14">
        <f>IF([Cotação]&gt;0,($BH$1/Tabela3[[#This Row],[Cotação]]-MOD($BH$1/Tabela3[[#This Row],[Cotação]],100)),)</f>
        <v>0</v>
      </c>
      <c r="AW206" s="17">
        <f>Tabela3[[#This Row],[Ativos]]*[Lucro]</f>
        <v>0</v>
      </c>
      <c r="AX206" s="5">
        <f>SUMPRODUCT(N(Tabela1[Código]=Tabela3[[#This Row],[PAPEL]]),Tabela1[Fechamento])</f>
        <v>5.25</v>
      </c>
      <c r="AY206" s="5">
        <f>SUMPRODUCT(N(Tabela17[Código]=Tabela3[[#This Row],[PAPEL]]),Tabela17[Fechamento])</f>
        <v>0</v>
      </c>
      <c r="AZ206" s="7">
        <f>SUMPRODUCT(N(Tabela176[Código]=Tabela3[[#This Row],[PAPEL]]),Tabela176[Fechamento])</f>
        <v>0</v>
      </c>
      <c r="BA206" s="7">
        <f>SUMPRODUCT(N(Tabela1768[Código]=Tabela3[[#This Row],[PAPEL]]),Tabela1768[Fechamento])</f>
        <v>0</v>
      </c>
      <c r="BB206" s="7">
        <f>SUMPRODUCT(N(Tabela17683[Código]=Tabela3[[#This Row],[PAPEL]]),Tabela17683[Fechamento])</f>
        <v>0</v>
      </c>
    </row>
    <row r="207" spans="1:54" hidden="1">
      <c r="A207" s="4" t="s">
        <v>333</v>
      </c>
      <c r="B207" s="57" t="s">
        <v>419</v>
      </c>
      <c r="C207" s="82" t="str">
        <f>LEFT([PAPEL],LEN([PAPEL])-(LEN([PAPEL])-4))</f>
        <v>PATI</v>
      </c>
      <c r="D207" s="16">
        <v>3</v>
      </c>
      <c r="E207" s="5">
        <v>140000000</v>
      </c>
      <c r="F207" s="8">
        <v>11841369</v>
      </c>
      <c r="G207" s="86">
        <v>0.25</v>
      </c>
      <c r="J207" s="18"/>
      <c r="K207" s="87"/>
      <c r="L207" s="87"/>
      <c r="M207" s="13">
        <v>510692000</v>
      </c>
      <c r="N207" s="13">
        <v>218703000</v>
      </c>
      <c r="O207" s="13">
        <v>135960000</v>
      </c>
      <c r="P207" s="6">
        <v>241884000</v>
      </c>
      <c r="Q207" s="6">
        <v>56208000</v>
      </c>
      <c r="R207" s="6">
        <f>IF(Tabela3[[#This Row],[Ativo || Passivo]]&gt;0,Tabela3[[#This Row],[Ativo || Passivo]]-Tabela3[[#This Row],[Patrimônio Líquido]],0)</f>
        <v>268808000</v>
      </c>
      <c r="S207" s="13">
        <f>Tabela3[[#This Row],[Cotação]]*Tabela3[[#This Row],[Total Ações]]</f>
        <v>251745240</v>
      </c>
      <c r="T207" s="132">
        <f>IF(Tabela3[[#This Row],[Passivo Circulante]]&gt;0,Tabela3[[#This Row],[Ativo Circulante]]/Tabela3[[#This Row],[Passivo Circulante]],0)</f>
        <v>1.6085834068843778</v>
      </c>
      <c r="U207" s="132">
        <f>SUMPRODUCT(N([Liquidez Corrente]&gt;0),N(RIGHT([PAPEL],LEN([PAPEL])-(LEN([PAPEL])-1))="3"),[Liquidez Corrente])/SUMPRODUCT(N([Liquidez Corrente]&gt;0),N(RIGHT([PAPEL],LEN([PAPEL])-(LEN([PAPEL])-1))="3"))</f>
        <v>2.331224473064915</v>
      </c>
      <c r="V207" s="19">
        <f>IF(Tabela3[[#This Row],[Lucro Líquido]]&gt;0,Tabela3[[#This Row],[Lucro Líquido]]/Tabela3[[#This Row],[Patrimônio Líquido]],0)</f>
        <v>0.2323758495807908</v>
      </c>
      <c r="W207" s="19">
        <f>SUMPRODUCT(N([Rentabilidade s/ PL]&gt;0),N(RIGHT([PAPEL],LEN([PAPEL])-(LEN([PAPEL])-1))="3"),[Rentabilidade s/ PL])/SUMPRODUCT(N([Rentabilidade s/ PL]&gt;0),N(RIGHT([PAPEL],LEN([PAPEL])-(LEN([PAPEL])-1))="3"))</f>
        <v>0.1261051308670782</v>
      </c>
      <c r="X207" s="19">
        <f>IF(Tabela3[[#This Row],[Dívida]]&gt;0,Tabela3[[#This Row],[Dívida]]/Tabela3[[#This Row],[Patrimônio Líquido]],0)</f>
        <v>1.1113095533396173</v>
      </c>
      <c r="Y207" s="19">
        <f>SUMPRODUCT(N([Dívida / PL]&gt;0),N(RIGHT([PAPEL],LEN([PAPEL])-(LEN([PAPEL])-1))="3"),[Dívida / PL])/SUMPRODUCT(N([Dívida / PL]&gt;0),N(RIGHT([PAPEL],LEN([PAPEL])-(LEN([PAPEL])-1))="3"))</f>
        <v>2.1510410379481146</v>
      </c>
      <c r="Z207" s="6">
        <f>Tabela3[[#This Row],[Capital Social]]*20%</f>
        <v>28000000</v>
      </c>
      <c r="AA207" s="6">
        <f>IF(([Lucro Líquido]*5%)&gt;[Teto R. Legal],[Teto R. Legal],[Lucro Líquido]*5%)</f>
        <v>2810400</v>
      </c>
      <c r="AB207" s="6">
        <f>IF([Lucro Líquido]&lt;0,0,[Lucro Líquido]-[Reserva Legal])</f>
        <v>53397600</v>
      </c>
      <c r="AC207" s="6">
        <f>Tabela3[[#This Row],[Lucro Distribuir]]*[%Div]</f>
        <v>13349400</v>
      </c>
      <c r="AD207" s="21">
        <f>SUMPRODUCT(N([Nome]=Tabela3[[#This Row],[Nome]]),[Ações])</f>
        <v>12587262</v>
      </c>
      <c r="AE207" s="5">
        <f>[Capital Social]/[Total Ações]</f>
        <v>11.12235528266592</v>
      </c>
      <c r="AF207" s="77">
        <f>Tabela3[[#This Row],[Lucro Líquido]]/Tabela3[[#This Row],[Total Ações]]</f>
        <v>4.4654667552006151</v>
      </c>
      <c r="AG207" s="77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1.0605483543601459</v>
      </c>
      <c r="AH207" s="77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1.0547251506065671</v>
      </c>
      <c r="AI207" s="77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1.0713045969677761</v>
      </c>
      <c r="AJ207" s="77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1.0547251506065671</v>
      </c>
      <c r="AK207" s="5">
        <f>[Div Base]*[Ações]</f>
        <v>12489389.701912936</v>
      </c>
      <c r="AL207" s="5">
        <f>SUMPRODUCT(N([Nome]=Tabela3[[#This Row],[Nome]]),[Div Base]*[Ações])</f>
        <v>13349400.000000002</v>
      </c>
      <c r="AM207" s="5">
        <f>[Patrimônio Líquido]/[Total Ações]</f>
        <v>19.216569894231167</v>
      </c>
      <c r="AN207" s="80">
        <f>MAX(Tabela3[[#This Row],[Cotação 1]:[Cotação 5]])</f>
        <v>20</v>
      </c>
      <c r="AO207" s="81">
        <f>[Cotação]/[VPA]</f>
        <v>1.0407684675298905</v>
      </c>
      <c r="AP207" s="34">
        <f>IF(Tabela3[[#This Row],[Lucro/Ação]]&gt;0,Tabela3[[#This Row],[Cotação]]/(Tabela3[[#This Row],[Lucro/Ação]]/[Ref]*4),0)</f>
        <v>3.3591113364645597</v>
      </c>
      <c r="AQ207" s="77">
        <f>[Lucro Distribuir]/[Total Ações]</f>
        <v>4.2421934174405838</v>
      </c>
      <c r="AR207" s="77">
        <f>IF([Unit ON]&gt;0,SUMPRODUCT(N([Nome]=Tabela3[[#This Row],[Nome]]),N(RIGHT([PAPEL],1)="3"),[Div Base])*[Unit ON]+SUMPRODUCT(N([Nome]=Tabela3[[#This Row],[Nome]]),N(RIGHT([PAPEL],1)="4"),[Div Base])*[Unit PN],[Div Base])</f>
        <v>1.0547251506065671</v>
      </c>
      <c r="AS207" s="10" t="str">
        <f>IF(AND([% A.A.]&gt;=6%,SUMPRODUCT(N([Nome]=Tabela3[[#This Row],[Nome]]),[PL])&gt;0,[Rentabilidade s/ PL]&gt;=[Rentabilidade s/ PL Média]),"Sim","Não")</f>
        <v>Sim</v>
      </c>
      <c r="AT207" s="22">
        <f>IF([Cotação]&gt;0,Tabela3[[#This Row],[Lucro]]/Tabela3[[#This Row],[Cotação]],0)</f>
        <v>5.2736257530328359E-2</v>
      </c>
      <c r="AU207" s="18">
        <f>((1+Tabela3[[#This Row],[% Yield]])^(1/(3*Tabela3[[#This Row],[Ref]])))^(12)-1</f>
        <v>7.0925947191203154E-2</v>
      </c>
      <c r="AV207" s="14">
        <f>IF([Cotação]&gt;0,($BH$1/Tabela3[[#This Row],[Cotação]]-MOD($BH$1/Tabela3[[#This Row],[Cotação]],100)),)</f>
        <v>0</v>
      </c>
      <c r="AW207" s="47">
        <f>Tabela3[[#This Row],[Ativos]]*[Lucro]</f>
        <v>0</v>
      </c>
      <c r="AX207" s="47">
        <f>SUMPRODUCT(N(Tabela1[Código]=Tabela3[[#This Row],[PAPEL]]),Tabela1[Fechamento])</f>
        <v>20</v>
      </c>
      <c r="AY207" s="47">
        <f>SUMPRODUCT(N(Tabela17[Código]=Tabela3[[#This Row],[PAPEL]]),Tabela17[Fechamento])</f>
        <v>0</v>
      </c>
      <c r="AZ207" s="7">
        <f>SUMPRODUCT(N(Tabela176[Código]=Tabela3[[#This Row],[PAPEL]]),Tabela176[Fechamento])</f>
        <v>0</v>
      </c>
      <c r="BA207" s="7">
        <f>SUMPRODUCT(N(Tabela1768[Código]=Tabela3[[#This Row],[PAPEL]]),Tabela1768[Fechamento])</f>
        <v>0</v>
      </c>
      <c r="BB207" s="7">
        <f>SUMPRODUCT(N(Tabela17683[Código]=Tabela3[[#This Row],[PAPEL]]),Tabela17683[Fechamento])</f>
        <v>0</v>
      </c>
    </row>
    <row r="208" spans="1:54" hidden="1">
      <c r="A208" s="4" t="s">
        <v>333</v>
      </c>
      <c r="B208" s="57" t="s">
        <v>332</v>
      </c>
      <c r="C208" s="82" t="str">
        <f>LEFT([PAPEL],LEN([PAPEL])-(LEN([PAPEL])-4))</f>
        <v>PATI</v>
      </c>
      <c r="D208" s="15">
        <v>3</v>
      </c>
      <c r="E208" s="6">
        <v>140000000</v>
      </c>
      <c r="F208" s="8">
        <v>745893</v>
      </c>
      <c r="G208" s="81">
        <v>0.25</v>
      </c>
      <c r="H208" s="9">
        <v>0.06</v>
      </c>
      <c r="I208" s="19">
        <v>0.08</v>
      </c>
      <c r="J208" s="19"/>
      <c r="K208" s="88"/>
      <c r="L208" s="88"/>
      <c r="M208" s="13">
        <v>510692000</v>
      </c>
      <c r="N208" s="13">
        <v>218703000</v>
      </c>
      <c r="O208" s="13">
        <v>135960000</v>
      </c>
      <c r="P208" s="6">
        <v>241884000</v>
      </c>
      <c r="Q208" s="6">
        <v>56208000</v>
      </c>
      <c r="R208" s="6">
        <f>IF(Tabela3[[#This Row],[Ativo || Passivo]]&gt;0,Tabela3[[#This Row],[Ativo || Passivo]]-Tabela3[[#This Row],[Patrimônio Líquido]],0)</f>
        <v>268808000</v>
      </c>
      <c r="S208" s="13">
        <f>Tabela3[[#This Row],[Cotação]]*Tabela3[[#This Row],[Total Ações]]</f>
        <v>239032105.38</v>
      </c>
      <c r="T208" s="132">
        <f>IF(Tabela3[[#This Row],[Passivo Circulante]]&gt;0,Tabela3[[#This Row],[Ativo Circulante]]/Tabela3[[#This Row],[Passivo Circulante]],0)</f>
        <v>1.6085834068843778</v>
      </c>
      <c r="U208" s="132">
        <f>SUMPRODUCT(N([Liquidez Corrente]&gt;0),N(RIGHT([PAPEL],LEN([PAPEL])-(LEN([PAPEL])-1))="3"),[Liquidez Corrente])/SUMPRODUCT(N([Liquidez Corrente]&gt;0),N(RIGHT([PAPEL],LEN([PAPEL])-(LEN([PAPEL])-1))="3"))</f>
        <v>2.331224473064915</v>
      </c>
      <c r="V208" s="19">
        <f>IF(Tabela3[[#This Row],[Lucro Líquido]]&gt;0,Tabela3[[#This Row],[Lucro Líquido]]/Tabela3[[#This Row],[Patrimônio Líquido]],0)</f>
        <v>0.2323758495807908</v>
      </c>
      <c r="W208" s="19">
        <f>SUMPRODUCT(N([Rentabilidade s/ PL]&gt;0),N(RIGHT([PAPEL],LEN([PAPEL])-(LEN([PAPEL])-1))="3"),[Rentabilidade s/ PL])/SUMPRODUCT(N([Rentabilidade s/ PL]&gt;0),N(RIGHT([PAPEL],LEN([PAPEL])-(LEN([PAPEL])-1))="3"))</f>
        <v>0.1261051308670782</v>
      </c>
      <c r="X208" s="19">
        <f>IF(Tabela3[[#This Row],[Dívida]]&gt;0,Tabela3[[#This Row],[Dívida]]/Tabela3[[#This Row],[Patrimônio Líquido]],0)</f>
        <v>1.1113095533396173</v>
      </c>
      <c r="Y208" s="19">
        <f>SUMPRODUCT(N([Dívida / PL]&gt;0),N(RIGHT([PAPEL],LEN([PAPEL])-(LEN([PAPEL])-1))="3"),[Dívida / PL])/SUMPRODUCT(N([Dívida / PL]&gt;0),N(RIGHT([PAPEL],LEN([PAPEL])-(LEN([PAPEL])-1))="3"))</f>
        <v>2.1510410379481146</v>
      </c>
      <c r="Z208" s="6">
        <f>Tabela3[[#This Row],[Capital Social]]*20%</f>
        <v>28000000</v>
      </c>
      <c r="AA208" s="6">
        <f>IF(([Lucro Líquido]*5%)&gt;[Teto R. Legal],[Teto R. Legal],[Lucro Líquido]*5%)</f>
        <v>2810400</v>
      </c>
      <c r="AB208" s="6">
        <f>IF([Lucro Líquido]&lt;0,0,[Lucro Líquido]-[Reserva Legal])</f>
        <v>53397600</v>
      </c>
      <c r="AC208" s="6">
        <f>Tabela3[[#This Row],[Lucro Distribuir]]*[%Div]</f>
        <v>13349400</v>
      </c>
      <c r="AD208" s="21">
        <f>SUMPRODUCT(N([Nome]=Tabela3[[#This Row],[Nome]]),[Ações])</f>
        <v>12587262</v>
      </c>
      <c r="AE208" s="5">
        <f>[Capital Social]/[Total Ações]</f>
        <v>11.12235528266592</v>
      </c>
      <c r="AF208" s="78">
        <f>Tabela3[[#This Row],[Lucro Líquido]]/Tabela3[[#This Row],[Total Ações]]</f>
        <v>4.4654667552006151</v>
      </c>
      <c r="AG208" s="78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1.0605483543601459</v>
      </c>
      <c r="AH208" s="78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1.1529941936538701</v>
      </c>
      <c r="AI208" s="78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0.88978842261327362</v>
      </c>
      <c r="AJ208" s="78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1.1529941936538701</v>
      </c>
      <c r="AK208" s="6">
        <f>[Div Base]*[Ações]</f>
        <v>860010.29808706616</v>
      </c>
      <c r="AL208" s="6">
        <f>SUMPRODUCT(N([Nome]=Tabela3[[#This Row],[Nome]]),[Div Base]*[Ações])</f>
        <v>13349400.000000002</v>
      </c>
      <c r="AM208" s="6">
        <f>[Patrimônio Líquido]/[Total Ações]</f>
        <v>19.216569894231167</v>
      </c>
      <c r="AN208" s="48">
        <f>MAX(Tabela3[[#This Row],[Cotação 1]:[Cotação 5]])</f>
        <v>18.989999999999998</v>
      </c>
      <c r="AO208" s="44">
        <f>[Cotação]/[VPA]</f>
        <v>0.98820965991963083</v>
      </c>
      <c r="AP208" s="40">
        <f>IF(Tabela3[[#This Row],[Lucro/Ação]]&gt;0,Tabela3[[#This Row],[Cotação]]/(Tabela3[[#This Row],[Lucro/Ação]]/[Ref]*4),0)</f>
        <v>3.1894762139730992</v>
      </c>
      <c r="AQ208" s="78">
        <f>[Lucro Distribuir]/[Total Ações]</f>
        <v>4.2421934174405838</v>
      </c>
      <c r="AR208" s="78">
        <f>IF([Unit ON]&gt;0,SUMPRODUCT(N([Nome]=Tabela3[[#This Row],[Nome]]),N(RIGHT([PAPEL],1)="3"),[Div Base])*[Unit ON]+SUMPRODUCT(N([Nome]=Tabela3[[#This Row],[Nome]]),N(RIGHT([PAPEL],1)="4"),[Div Base])*[Unit PN],[Div Base])</f>
        <v>1.1529941936538701</v>
      </c>
      <c r="AS208" s="15" t="str">
        <f>IF(AND([% A.A.]&gt;=6%,SUMPRODUCT(N([Nome]=Tabela3[[#This Row],[Nome]]),[PL])&gt;0,[Rentabilidade s/ PL]&gt;=[Rentabilidade s/ PL Média]),"Sim","Não")</f>
        <v>Sim</v>
      </c>
      <c r="AT208" s="42">
        <f>IF([Cotação]&gt;0,Tabela3[[#This Row],[Lucro]]/Tabela3[[#This Row],[Cotação]],0)</f>
        <v>6.0715860645280159E-2</v>
      </c>
      <c r="AU208" s="19">
        <f>((1+Tabela3[[#This Row],[% Yield]])^(1/(3*Tabela3[[#This Row],[Ref]])))^(12)-1</f>
        <v>8.1762902215396505E-2</v>
      </c>
      <c r="AV208" s="14">
        <f>IF([Cotação]&gt;0,($BH$1/Tabela3[[#This Row],[Cotação]]-MOD($BH$1/Tabela3[[#This Row],[Cotação]],100)),)</f>
        <v>0</v>
      </c>
      <c r="AW208" s="17">
        <f>Tabela3[[#This Row],[Ativos]]*[Lucro]</f>
        <v>0</v>
      </c>
      <c r="AX208" s="13">
        <f>SUMPRODUCT(N(Tabela1[Código]=Tabela3[[#This Row],[PAPEL]]),Tabela1[Fechamento])</f>
        <v>0</v>
      </c>
      <c r="AY208" s="55">
        <f>SUMPRODUCT(N(Tabela17[Código]=Tabela3[[#This Row],[PAPEL]]),Tabela17[Fechamento])</f>
        <v>18.989999999999998</v>
      </c>
      <c r="AZ208" s="7">
        <f>SUMPRODUCT(N(Tabela176[Código]=Tabela3[[#This Row],[PAPEL]]),Tabela176[Fechamento])</f>
        <v>0</v>
      </c>
      <c r="BA208" s="7">
        <f>SUMPRODUCT(N(Tabela1768[Código]=Tabela3[[#This Row],[PAPEL]]),Tabela1768[Fechamento])</f>
        <v>0</v>
      </c>
      <c r="BB208" s="7">
        <f>SUMPRODUCT(N(Tabela17683[Código]=Tabela3[[#This Row],[PAPEL]]),Tabela17683[Fechamento])</f>
        <v>0</v>
      </c>
    </row>
    <row r="209" spans="1:54" hidden="1">
      <c r="A209" s="4" t="s">
        <v>316</v>
      </c>
      <c r="B209" s="57" t="s">
        <v>699</v>
      </c>
      <c r="C209" s="14" t="str">
        <f>LEFT([PAPEL],LEN([PAPEL])-(LEN([PAPEL])-4))</f>
        <v>PTPA</v>
      </c>
      <c r="D209" s="15">
        <v>3</v>
      </c>
      <c r="E209" s="6">
        <v>536949301.21000004</v>
      </c>
      <c r="F209" s="8">
        <v>5962454</v>
      </c>
      <c r="G209" s="81">
        <v>0.3</v>
      </c>
      <c r="H209" s="15"/>
      <c r="I209" s="19"/>
      <c r="J209" s="19"/>
      <c r="K209" s="88"/>
      <c r="L209" s="88"/>
      <c r="M209" s="55"/>
      <c r="N209" s="55"/>
      <c r="O209" s="55"/>
      <c r="P209" s="6">
        <v>719118000</v>
      </c>
      <c r="Q209" s="6">
        <v>53337000</v>
      </c>
      <c r="R209" s="6">
        <f>IF(Tabela3[[#This Row],[Ativo || Passivo]]&gt;0,Tabela3[[#This Row],[Ativo || Passivo]]-Tabela3[[#This Row],[Patrimônio Líquido]],0)</f>
        <v>0</v>
      </c>
      <c r="S209" s="6">
        <f>Tabela3[[#This Row],[Cotação]]*Tabela3[[#This Row],[Total Ações]]</f>
        <v>0</v>
      </c>
      <c r="T209" s="132">
        <f>IF(Tabela3[[#This Row],[Passivo Circulante]]&gt;0,Tabela3[[#This Row],[Ativo Circulante]]/Tabela3[[#This Row],[Passivo Circulante]],0)</f>
        <v>0</v>
      </c>
      <c r="U209" s="132">
        <f>SUMPRODUCT(N([Liquidez Corrente]&gt;0),N(RIGHT([PAPEL],LEN([PAPEL])-(LEN([PAPEL])-1))="3"),[Liquidez Corrente])/SUMPRODUCT(N([Liquidez Corrente]&gt;0),N(RIGHT([PAPEL],LEN([PAPEL])-(LEN([PAPEL])-1))="3"))</f>
        <v>2.331224473064915</v>
      </c>
      <c r="V209" s="19">
        <f>IF(Tabela3[[#This Row],[Lucro Líquido]]&gt;0,Tabela3[[#This Row],[Lucro Líquido]]/Tabela3[[#This Row],[Patrimônio Líquido]],0)</f>
        <v>7.417002494722702E-2</v>
      </c>
      <c r="W209" s="19">
        <f>SUMPRODUCT(N([Rentabilidade s/ PL]&gt;0),N(RIGHT([PAPEL],LEN([PAPEL])-(LEN([PAPEL])-1))="3"),[Rentabilidade s/ PL])/SUMPRODUCT(N([Rentabilidade s/ PL]&gt;0),N(RIGHT([PAPEL],LEN([PAPEL])-(LEN([PAPEL])-1))="3"))</f>
        <v>0.1261051308670782</v>
      </c>
      <c r="X209" s="19">
        <f>IF(Tabela3[[#This Row],[Dívida]]&gt;0,Tabela3[[#This Row],[Dívida]]/Tabela3[[#This Row],[Patrimônio Líquido]],0)</f>
        <v>0</v>
      </c>
      <c r="Y209" s="19">
        <f>SUMPRODUCT(N([Dívida / PL]&gt;0),N(RIGHT([PAPEL],LEN([PAPEL])-(LEN([PAPEL])-1))="3"),[Dívida / PL])/SUMPRODUCT(N([Dívida / PL]&gt;0),N(RIGHT([PAPEL],LEN([PAPEL])-(LEN([PAPEL])-1))="3"))</f>
        <v>2.1510410379481146</v>
      </c>
      <c r="Z209" s="6">
        <f>Tabela3[[#This Row],[Capital Social]]*20%</f>
        <v>107389860.24200001</v>
      </c>
      <c r="AA209" s="6">
        <f>IF(([Lucro Líquido]*5%)&gt;[Teto R. Legal],[Teto R. Legal],[Lucro Líquido]*5%)</f>
        <v>2666850</v>
      </c>
      <c r="AB209" s="6">
        <f>IF([Lucro Líquido]&lt;0,0,[Lucro Líquido]-[Reserva Legal])</f>
        <v>50670150</v>
      </c>
      <c r="AC209" s="6">
        <f>Tabela3[[#This Row],[Lucro Distribuir]]*[%Div]</f>
        <v>15201045</v>
      </c>
      <c r="AD209" s="56">
        <f>SUMPRODUCT(N([Nome]=Tabela3[[#This Row],[Nome]]),[Ações])</f>
        <v>17887362</v>
      </c>
      <c r="AE209" s="6">
        <f>[Capital Social]/[Total Ações]</f>
        <v>30.018361634879422</v>
      </c>
      <c r="AF209" s="78">
        <f>Tabela3[[#This Row],[Lucro Líquido]]/Tabela3[[#This Row],[Total Ações]]</f>
        <v>2.9818259394537887</v>
      </c>
      <c r="AG209" s="78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0.84982039274432974</v>
      </c>
      <c r="AH209" s="78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209" s="78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209" s="78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0.84982039274432974</v>
      </c>
      <c r="AK209" s="6">
        <f>[Div Base]*[Ações]</f>
        <v>5067015</v>
      </c>
      <c r="AL209" s="6">
        <f>SUMPRODUCT(N([Nome]=Tabela3[[#This Row],[Nome]]),[Div Base]*[Ações])</f>
        <v>15201045</v>
      </c>
      <c r="AM209" s="6">
        <f>[Patrimônio Líquido]/[Total Ações]</f>
        <v>40.202574309168675</v>
      </c>
      <c r="AN209" s="48">
        <f>MAX(Tabela3[[#This Row],[Cotação 1]:[Cotação 5]])</f>
        <v>0</v>
      </c>
      <c r="AO209" s="44">
        <f>[Cotação]/[VPA]</f>
        <v>0</v>
      </c>
      <c r="AP209" s="40">
        <f>IF(Tabela3[[#This Row],[Lucro/Ação]]&gt;0,Tabela3[[#This Row],[Cotação]]/(Tabela3[[#This Row],[Lucro/Ação]]/[Ref]*4),0)</f>
        <v>0</v>
      </c>
      <c r="AQ209" s="78">
        <f>[Lucro Distribuir]/[Total Ações]</f>
        <v>2.8327346424810993</v>
      </c>
      <c r="AR209" s="78">
        <f>IF([Unit ON]&gt;0,SUMPRODUCT(N([Nome]=Tabela3[[#This Row],[Nome]]),N(RIGHT([PAPEL],1)="3"),[Div Base])*[Unit ON]+SUMPRODUCT(N([Nome]=Tabela3[[#This Row],[Nome]]),N(RIGHT([PAPEL],1)="4"),[Div Base])*[Unit PN],[Div Base])</f>
        <v>0.84982039274432974</v>
      </c>
      <c r="AS209" s="15" t="str">
        <f>IF(AND([% A.A.]&gt;=6%,SUMPRODUCT(N([Nome]=Tabela3[[#This Row],[Nome]]),[PL])&gt;0,[Rentabilidade s/ PL]&gt;=[Rentabilidade s/ PL Média]),"Sim","Não")</f>
        <v>Não</v>
      </c>
      <c r="AT209" s="42">
        <f>IF([Cotação]&gt;0,Tabela3[[#This Row],[Lucro]]/Tabela3[[#This Row],[Cotação]],0)</f>
        <v>0</v>
      </c>
      <c r="AU209" s="19">
        <f>((1+Tabela3[[#This Row],[% Yield]])^(1/(3*Tabela3[[#This Row],[Ref]])))^(12)-1</f>
        <v>0</v>
      </c>
      <c r="AV209" s="14">
        <f>IF([Cotação]&gt;0,($BH$1/Tabela3[[#This Row],[Cotação]]-MOD($BH$1/Tabela3[[#This Row],[Cotação]],100)),)</f>
        <v>0</v>
      </c>
      <c r="AW209" s="17">
        <f>Tabela3[[#This Row],[Ativos]]*[Lucro]</f>
        <v>0</v>
      </c>
      <c r="AX209" s="5">
        <f>SUMPRODUCT(N(Tabela1[Código]=Tabela3[[#This Row],[PAPEL]]),Tabela1[Fechamento])</f>
        <v>0</v>
      </c>
      <c r="AY209" s="5">
        <f>SUMPRODUCT(N(Tabela17[Código]=Tabela3[[#This Row],[PAPEL]]),Tabela17[Fechamento])</f>
        <v>0</v>
      </c>
      <c r="AZ209" s="7">
        <f>SUMPRODUCT(N(Tabela176[Código]=Tabela3[[#This Row],[PAPEL]]),Tabela176[Fechamento])</f>
        <v>0</v>
      </c>
      <c r="BA209" s="7">
        <f>SUMPRODUCT(N(Tabela1768[Código]=Tabela3[[#This Row],[PAPEL]]),Tabela1768[Fechamento])</f>
        <v>0</v>
      </c>
      <c r="BB209" s="7">
        <f>SUMPRODUCT(N(Tabela17683[Código]=Tabela3[[#This Row],[PAPEL]]),Tabela17683[Fechamento])</f>
        <v>0</v>
      </c>
    </row>
    <row r="210" spans="1:54" hidden="1">
      <c r="A210" s="4" t="s">
        <v>316</v>
      </c>
      <c r="B210" s="57" t="s">
        <v>315</v>
      </c>
      <c r="C210" s="82" t="str">
        <f>LEFT([PAPEL],LEN([PAPEL])-(LEN([PAPEL])-4))</f>
        <v>PTPA</v>
      </c>
      <c r="D210" s="15">
        <v>3</v>
      </c>
      <c r="E210" s="6">
        <v>536949301.21000004</v>
      </c>
      <c r="F210" s="8">
        <v>11924908</v>
      </c>
      <c r="G210" s="81">
        <v>0.3</v>
      </c>
      <c r="H210" s="15"/>
      <c r="I210" s="19"/>
      <c r="J210" s="19"/>
      <c r="K210" s="88"/>
      <c r="L210" s="88"/>
      <c r="M210" s="55"/>
      <c r="N210" s="55"/>
      <c r="O210" s="55"/>
      <c r="P210" s="6">
        <v>719118000</v>
      </c>
      <c r="Q210" s="6">
        <v>53337000</v>
      </c>
      <c r="R210" s="6">
        <f>IF(Tabela3[[#This Row],[Ativo || Passivo]]&gt;0,Tabela3[[#This Row],[Ativo || Passivo]]-Tabela3[[#This Row],[Patrimônio Líquido]],0)</f>
        <v>0</v>
      </c>
      <c r="S210" s="6">
        <f>Tabela3[[#This Row],[Cotação]]*Tabela3[[#This Row],[Total Ações]]</f>
        <v>1073241720</v>
      </c>
      <c r="T210" s="132">
        <f>IF(Tabela3[[#This Row],[Passivo Circulante]]&gt;0,Tabela3[[#This Row],[Ativo Circulante]]/Tabela3[[#This Row],[Passivo Circulante]],0)</f>
        <v>0</v>
      </c>
      <c r="U210" s="132">
        <f>SUMPRODUCT(N([Liquidez Corrente]&gt;0),N(RIGHT([PAPEL],LEN([PAPEL])-(LEN([PAPEL])-1))="3"),[Liquidez Corrente])/SUMPRODUCT(N([Liquidez Corrente]&gt;0),N(RIGHT([PAPEL],LEN([PAPEL])-(LEN([PAPEL])-1))="3"))</f>
        <v>2.331224473064915</v>
      </c>
      <c r="V210" s="19">
        <f>IF(Tabela3[[#This Row],[Lucro Líquido]]&gt;0,Tabela3[[#This Row],[Lucro Líquido]]/Tabela3[[#This Row],[Patrimônio Líquido]],0)</f>
        <v>7.417002494722702E-2</v>
      </c>
      <c r="W210" s="19">
        <f>SUMPRODUCT(N([Rentabilidade s/ PL]&gt;0),N(RIGHT([PAPEL],LEN([PAPEL])-(LEN([PAPEL])-1))="3"),[Rentabilidade s/ PL])/SUMPRODUCT(N([Rentabilidade s/ PL]&gt;0),N(RIGHT([PAPEL],LEN([PAPEL])-(LEN([PAPEL])-1))="3"))</f>
        <v>0.1261051308670782</v>
      </c>
      <c r="X210" s="19">
        <f>IF(Tabela3[[#This Row],[Dívida]]&gt;0,Tabela3[[#This Row],[Dívida]]/Tabela3[[#This Row],[Patrimônio Líquido]],0)</f>
        <v>0</v>
      </c>
      <c r="Y210" s="19">
        <f>SUMPRODUCT(N([Dívida / PL]&gt;0),N(RIGHT([PAPEL],LEN([PAPEL])-(LEN([PAPEL])-1))="3"),[Dívida / PL])/SUMPRODUCT(N([Dívida / PL]&gt;0),N(RIGHT([PAPEL],LEN([PAPEL])-(LEN([PAPEL])-1))="3"))</f>
        <v>2.1510410379481146</v>
      </c>
      <c r="Z210" s="6">
        <f>Tabela3[[#This Row],[Capital Social]]*20%</f>
        <v>107389860.24200001</v>
      </c>
      <c r="AA210" s="6">
        <f>IF(([Lucro Líquido]*5%)&gt;[Teto R. Legal],[Teto R. Legal],[Lucro Líquido]*5%)</f>
        <v>2666850</v>
      </c>
      <c r="AB210" s="6">
        <f>IF([Lucro Líquido]&lt;0,0,[Lucro Líquido]-[Reserva Legal])</f>
        <v>50670150</v>
      </c>
      <c r="AC210" s="6">
        <f>Tabela3[[#This Row],[Lucro Distribuir]]*[%Div]</f>
        <v>15201045</v>
      </c>
      <c r="AD210" s="56">
        <f>SUMPRODUCT(N([Nome]=Tabela3[[#This Row],[Nome]]),[Ações])</f>
        <v>17887362</v>
      </c>
      <c r="AE210" s="6">
        <f>[Capital Social]/[Total Ações]</f>
        <v>30.018361634879422</v>
      </c>
      <c r="AF210" s="78">
        <f>Tabela3[[#This Row],[Lucro Líquido]]/Tabela3[[#This Row],[Total Ações]]</f>
        <v>2.9818259394537887</v>
      </c>
      <c r="AG210" s="78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0.84982039274432974</v>
      </c>
      <c r="AH210" s="78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210" s="78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210" s="78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0.84982039274432974</v>
      </c>
      <c r="AK210" s="6">
        <f>[Div Base]*[Ações]</f>
        <v>10134030</v>
      </c>
      <c r="AL210" s="6">
        <f>SUMPRODUCT(N([Nome]=Tabela3[[#This Row],[Nome]]),[Div Base]*[Ações])</f>
        <v>15201045</v>
      </c>
      <c r="AM210" s="6">
        <f>[Patrimônio Líquido]/[Total Ações]</f>
        <v>40.202574309168675</v>
      </c>
      <c r="AN210" s="48">
        <f>MAX(Tabela3[[#This Row],[Cotação 1]:[Cotação 5]])</f>
        <v>60</v>
      </c>
      <c r="AO210" s="44">
        <f>[Cotação]/[VPA]</f>
        <v>1.4924417411328879</v>
      </c>
      <c r="AP210" s="40">
        <f>IF(Tabela3[[#This Row],[Lucro/Ação]]&gt;0,Tabela3[[#This Row],[Cotação]]/(Tabela3[[#This Row],[Lucro/Ação]]/[Ref]*4),0)</f>
        <v>15.091424152089544</v>
      </c>
      <c r="AQ210" s="78">
        <f>[Lucro Distribuir]/[Total Ações]</f>
        <v>2.8327346424810993</v>
      </c>
      <c r="AR210" s="78">
        <f>IF([Unit ON]&gt;0,SUMPRODUCT(N([Nome]=Tabela3[[#This Row],[Nome]]),N(RIGHT([PAPEL],1)="3"),[Div Base])*[Unit ON]+SUMPRODUCT(N([Nome]=Tabela3[[#This Row],[Nome]]),N(RIGHT([PAPEL],1)="4"),[Div Base])*[Unit PN],[Div Base])</f>
        <v>0.84982039274432974</v>
      </c>
      <c r="AS210" s="15" t="str">
        <f>IF(AND([% A.A.]&gt;=6%,SUMPRODUCT(N([Nome]=Tabela3[[#This Row],[Nome]]),[PL])&gt;0,[Rentabilidade s/ PL]&gt;=[Rentabilidade s/ PL Média]),"Sim","Não")</f>
        <v>Não</v>
      </c>
      <c r="AT210" s="42">
        <f>IF([Cotação]&gt;0,Tabela3[[#This Row],[Lucro]]/Tabela3[[#This Row],[Cotação]],0)</f>
        <v>1.4163673212405496E-2</v>
      </c>
      <c r="AU210" s="19">
        <f>((1+Tabela3[[#This Row],[% Yield]])^(1/(3*Tabela3[[#This Row],[Ref]])))^(12)-1</f>
        <v>1.8929338043621291E-2</v>
      </c>
      <c r="AV210" s="14">
        <f>IF([Cotação]&gt;0,($BH$1/Tabela3[[#This Row],[Cotação]]-MOD($BH$1/Tabela3[[#This Row],[Cotação]],100)),)</f>
        <v>0</v>
      </c>
      <c r="AW210" s="17">
        <f>Tabela3[[#This Row],[Ativos]]*[Lucro]</f>
        <v>0</v>
      </c>
      <c r="AX210" s="13">
        <f>SUMPRODUCT(N(Tabela1[Código]=Tabela3[[#This Row],[PAPEL]]),Tabela1[Fechamento])</f>
        <v>0</v>
      </c>
      <c r="AY210" s="55">
        <f>SUMPRODUCT(N(Tabela17[Código]=Tabela3[[#This Row],[PAPEL]]),Tabela17[Fechamento])</f>
        <v>60</v>
      </c>
      <c r="AZ210" s="7">
        <f>SUMPRODUCT(N(Tabela176[Código]=Tabela3[[#This Row],[PAPEL]]),Tabela176[Fechamento])</f>
        <v>0</v>
      </c>
      <c r="BA210" s="7">
        <f>SUMPRODUCT(N(Tabela1768[Código]=Tabela3[[#This Row],[PAPEL]]),Tabela1768[Fechamento])</f>
        <v>0</v>
      </c>
      <c r="BB210" s="7">
        <f>SUMPRODUCT(N(Tabela17683[Código]=Tabela3[[#This Row],[PAPEL]]),Tabela17683[Fechamento])</f>
        <v>0</v>
      </c>
    </row>
    <row r="211" spans="1:54" hidden="1">
      <c r="A211" s="4" t="s">
        <v>338</v>
      </c>
      <c r="B211" s="57" t="s">
        <v>1294</v>
      </c>
      <c r="C211" s="16" t="str">
        <f>LEFT([PAPEL],LEN([PAPEL])-(LEN([PAPEL])-4))</f>
        <v>PTBL</v>
      </c>
      <c r="D211" s="16">
        <v>3</v>
      </c>
      <c r="E211" s="5">
        <v>46065164.310000002</v>
      </c>
      <c r="F211" s="56">
        <v>159008924</v>
      </c>
      <c r="G211" s="81">
        <v>0.25</v>
      </c>
      <c r="H211" s="18"/>
      <c r="J211" s="18"/>
      <c r="K211" s="16"/>
      <c r="L211" s="87"/>
      <c r="M211" s="54">
        <v>954974000</v>
      </c>
      <c r="N211" s="54">
        <v>437578000</v>
      </c>
      <c r="O211" s="54">
        <v>313530000</v>
      </c>
      <c r="P211" s="91">
        <v>170850000</v>
      </c>
      <c r="Q211" s="73">
        <v>51178000</v>
      </c>
      <c r="R211" s="73">
        <f>IF(Tabela3[[#This Row],[Ativo || Passivo]]&gt;0,Tabela3[[#This Row],[Ativo || Passivo]]-Tabela3[[#This Row],[Patrimônio Líquido]],0)</f>
        <v>784124000</v>
      </c>
      <c r="S211" s="73">
        <f>Tabela3[[#This Row],[Cotação]]*Tabela3[[#This Row],[Total Ações]]</f>
        <v>683738373.19999993</v>
      </c>
      <c r="T211" s="37">
        <f>IF(Tabela3[[#This Row],[Passivo Circulante]]&gt;0,Tabela3[[#This Row],[Ativo Circulante]]/Tabela3[[#This Row],[Passivo Circulante]],0)</f>
        <v>1.3956495391190635</v>
      </c>
      <c r="U211" s="37">
        <f>SUMPRODUCT(N([Liquidez Corrente]&gt;0),N(RIGHT([PAPEL],LEN([PAPEL])-(LEN([PAPEL])-1))="3"),[Liquidez Corrente])/SUMPRODUCT(N([Liquidez Corrente]&gt;0),N(RIGHT([PAPEL],LEN([PAPEL])-(LEN([PAPEL])-1))="3"))</f>
        <v>2.331224473064915</v>
      </c>
      <c r="V211" s="18">
        <f>IF(Tabela3[[#This Row],[Lucro Líquido]]&gt;0,Tabela3[[#This Row],[Lucro Líquido]]/Tabela3[[#This Row],[Patrimônio Líquido]],0)</f>
        <v>0.29954931226221831</v>
      </c>
      <c r="W211" s="18">
        <f>SUMPRODUCT(N([Rentabilidade s/ PL]&gt;0),N(RIGHT([PAPEL],LEN([PAPEL])-(LEN([PAPEL])-1))="3"),[Rentabilidade s/ PL])/SUMPRODUCT(N([Rentabilidade s/ PL]&gt;0),N(RIGHT([PAPEL],LEN([PAPEL])-(LEN([PAPEL])-1))="3"))</f>
        <v>0.1261051308670782</v>
      </c>
      <c r="X211" s="18">
        <f>IF(Tabela3[[#This Row],[Dívida]]&gt;0,Tabela3[[#This Row],[Dívida]]/Tabela3[[#This Row],[Patrimônio Líquido]],0)</f>
        <v>4.5895463857184664</v>
      </c>
      <c r="Y211" s="18">
        <f>SUMPRODUCT(N([Dívida / PL]&gt;0),N(RIGHT([PAPEL],LEN([PAPEL])-(LEN([PAPEL])-1))="3"),[Dívida / PL])/SUMPRODUCT(N([Dívida / PL]&gt;0),N(RIGHT([PAPEL],LEN([PAPEL])-(LEN([PAPEL])-1))="3"))</f>
        <v>2.1510410379481146</v>
      </c>
      <c r="Z211" s="7">
        <f>Tabela3[[#This Row],[Capital Social]]*20%</f>
        <v>9213032.8620000016</v>
      </c>
      <c r="AA211" s="47">
        <f>IF(([Lucro Líquido]*5%)&gt;[Teto R. Legal],[Teto R. Legal],[Lucro Líquido]*5%)</f>
        <v>2558900</v>
      </c>
      <c r="AB211" s="47">
        <f>IF([Lucro Líquido]&lt;0,0,[Lucro Líquido]-[Reserva Legal])</f>
        <v>48619100</v>
      </c>
      <c r="AC211" s="47">
        <f>Tabela3[[#This Row],[Lucro Distribuir]]*[%Div]</f>
        <v>12154775</v>
      </c>
      <c r="AD211" s="56">
        <f>SUMPRODUCT(N([Nome]=Tabela3[[#This Row],[Nome]]),[Ações])</f>
        <v>159008924</v>
      </c>
      <c r="AE211" s="85">
        <f>[Capital Social]/[Total Ações]</f>
        <v>0.28970175478956139</v>
      </c>
      <c r="AF211" s="85">
        <f>Tabela3[[#This Row],[Lucro Líquido]]/Tabela3[[#This Row],[Total Ações]]</f>
        <v>0.32185614940706098</v>
      </c>
      <c r="AG211" s="85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7.6440835484176975E-2</v>
      </c>
      <c r="AH211" s="85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211" s="77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211" s="85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7.6440835484176975E-2</v>
      </c>
      <c r="AK211" s="7">
        <f>[Div Base]*[Ações]</f>
        <v>12154775</v>
      </c>
      <c r="AL211" s="120">
        <f>SUMPRODUCT(N([Nome]=Tabela3[[#This Row],[Nome]]),[Div Base]*[Ações])</f>
        <v>12154775</v>
      </c>
      <c r="AM211" s="5">
        <f>[Patrimônio Líquido]/[Total Ações]</f>
        <v>1.07446799652578</v>
      </c>
      <c r="AN211" s="52">
        <f>MAX(Tabela3[[#This Row],[Cotação 1]:[Cotação 5]])</f>
        <v>4.3</v>
      </c>
      <c r="AO211" s="53">
        <f>[Cotação]/[VPA]</f>
        <v>4.0019805279484926</v>
      </c>
      <c r="AP211" s="37">
        <f>IF(Tabela3[[#This Row],[Lucro/Ação]]&gt;0,Tabela3[[#This Row],[Cotação]]/(Tabela3[[#This Row],[Lucro/Ação]]/[Ref]*4),0)</f>
        <v>10.020004296768143</v>
      </c>
      <c r="AQ211" s="85">
        <f>[Lucro Distribuir]/[Total Ações]</f>
        <v>0.3057633419367079</v>
      </c>
      <c r="AR211" s="85">
        <f>IF([Unit ON]&gt;0,SUMPRODUCT(N([Nome]=Tabela3[[#This Row],[Nome]]),N(RIGHT([PAPEL],1)="3"),[Div Base])*[Unit ON]+SUMPRODUCT(N([Nome]=Tabela3[[#This Row],[Nome]]),N(RIGHT([PAPEL],1)="4"),[Div Base])*[Unit PN],[Div Base])</f>
        <v>7.6440835484176975E-2</v>
      </c>
      <c r="AS211" s="10" t="str">
        <f>IF(AND([% A.A.]&gt;=6%,SUMPRODUCT(N([Nome]=Tabela3[[#This Row],[Nome]]),[PL])&gt;0,[Rentabilidade s/ PL]&gt;=[Rentabilidade s/ PL Média]),"Sim","Não")</f>
        <v>Não</v>
      </c>
      <c r="AT211" s="22">
        <f>IF([Cotação]&gt;0,Tabela3[[#This Row],[Lucro]]/Tabela3[[#This Row],[Cotação]],0)</f>
        <v>1.777693848469232E-2</v>
      </c>
      <c r="AU211" s="22">
        <f>((1+Tabela3[[#This Row],[% Yield]])^(1/(3*Tabela3[[#This Row],[Ref]])))^(12)-1</f>
        <v>2.377253582156813E-2</v>
      </c>
      <c r="AV211" s="10">
        <f>IF([Cotação]&gt;0,($BH$1/Tabela3[[#This Row],[Cotação]]-MOD($BH$1/Tabela3[[#This Row],[Cotação]],100)),)</f>
        <v>100</v>
      </c>
      <c r="AW211" s="7">
        <f>Tabela3[[#This Row],[Ativos]]*[Lucro]</f>
        <v>7.6440835484176972</v>
      </c>
      <c r="AX211" s="7">
        <f>SUMPRODUCT(N(Tabela1[Código]=Tabela3[[#This Row],[PAPEL]]),Tabela1[Fechamento])</f>
        <v>0</v>
      </c>
      <c r="AY211" s="7">
        <f>SUMPRODUCT(N(Tabela17[Código]=Tabela3[[#This Row],[PAPEL]]),Tabela17[Fechamento])</f>
        <v>0</v>
      </c>
      <c r="AZ211" s="7">
        <f>SUMPRODUCT(N(Tabela176[Código]=Tabela3[[#This Row],[PAPEL]]),Tabela176[Fechamento])</f>
        <v>0</v>
      </c>
      <c r="BA211" s="7">
        <f>SUMPRODUCT(N(Tabela1768[Código]=Tabela3[[#This Row],[PAPEL]]),Tabela1768[Fechamento])</f>
        <v>0</v>
      </c>
      <c r="BB211" s="7">
        <f>SUMPRODUCT(N(Tabela17683[Código]=Tabela3[[#This Row],[PAPEL]]),Tabela17683[Fechamento])</f>
        <v>4.3</v>
      </c>
    </row>
    <row r="212" spans="1:54" hidden="1">
      <c r="A212" s="3" t="s">
        <v>1196</v>
      </c>
      <c r="B212" s="57" t="s">
        <v>1226</v>
      </c>
      <c r="C212" s="16" t="str">
        <f>LEFT([PAPEL],LEN([PAPEL])-(LEN([PAPEL])-4))</f>
        <v>RDNI</v>
      </c>
      <c r="D212" s="16">
        <v>3</v>
      </c>
      <c r="E212" s="5">
        <v>512438000</v>
      </c>
      <c r="F212" s="56">
        <v>48575200</v>
      </c>
      <c r="G212" s="81">
        <v>0.25</v>
      </c>
      <c r="H212" s="87"/>
      <c r="J212" s="18"/>
      <c r="K212" s="16"/>
      <c r="L212" s="87"/>
      <c r="M212" s="54"/>
      <c r="N212" s="54"/>
      <c r="O212" s="54"/>
      <c r="P212" s="91">
        <v>815073000</v>
      </c>
      <c r="Q212" s="73">
        <v>50641000</v>
      </c>
      <c r="R212" s="73">
        <f>IF(Tabela3[[#This Row],[Ativo || Passivo]]&gt;0,Tabela3[[#This Row],[Ativo || Passivo]]-Tabela3[[#This Row],[Patrimônio Líquido]],0)</f>
        <v>0</v>
      </c>
      <c r="S212" s="73">
        <f>Tabela3[[#This Row],[Cotação]]*Tabela3[[#This Row],[Total Ações]]</f>
        <v>518783136</v>
      </c>
      <c r="T212" s="37">
        <f>IF(Tabela3[[#This Row],[Passivo Circulante]]&gt;0,Tabela3[[#This Row],[Ativo Circulante]]/Tabela3[[#This Row],[Passivo Circulante]],0)</f>
        <v>0</v>
      </c>
      <c r="U212" s="37">
        <f>SUMPRODUCT(N([Liquidez Corrente]&gt;0),N(RIGHT([PAPEL],LEN([PAPEL])-(LEN([PAPEL])-1))="3"),[Liquidez Corrente])/SUMPRODUCT(N([Liquidez Corrente]&gt;0),N(RIGHT([PAPEL],LEN([PAPEL])-(LEN([PAPEL])-1))="3"))</f>
        <v>2.331224473064915</v>
      </c>
      <c r="V212" s="18">
        <f>IF(Tabela3[[#This Row],[Lucro Líquido]]&gt;0,Tabela3[[#This Row],[Lucro Líquido]]/Tabela3[[#This Row],[Patrimônio Líquido]],0)</f>
        <v>6.2130631244072615E-2</v>
      </c>
      <c r="W212" s="18">
        <f>SUMPRODUCT(N([Rentabilidade s/ PL]&gt;0),N(RIGHT([PAPEL],LEN([PAPEL])-(LEN([PAPEL])-1))="3"),[Rentabilidade s/ PL])/SUMPRODUCT(N([Rentabilidade s/ PL]&gt;0),N(RIGHT([PAPEL],LEN([PAPEL])-(LEN([PAPEL])-1))="3"))</f>
        <v>0.1261051308670782</v>
      </c>
      <c r="X212" s="18">
        <f>IF(Tabela3[[#This Row],[Dívida]]&gt;0,Tabela3[[#This Row],[Dívida]]/Tabela3[[#This Row],[Patrimônio Líquido]],0)</f>
        <v>0</v>
      </c>
      <c r="Y212" s="18">
        <f>SUMPRODUCT(N([Dívida / PL]&gt;0),N(RIGHT([PAPEL],LEN([PAPEL])-(LEN([PAPEL])-1))="3"),[Dívida / PL])/SUMPRODUCT(N([Dívida / PL]&gt;0),N(RIGHT([PAPEL],LEN([PAPEL])-(LEN([PAPEL])-1))="3"))</f>
        <v>2.1510410379481146</v>
      </c>
      <c r="Z212" s="7">
        <f>Tabela3[[#This Row],[Capital Social]]*20%</f>
        <v>102487600</v>
      </c>
      <c r="AA212" s="47">
        <f>IF(([Lucro Líquido]*5%)&gt;[Teto R. Legal],[Teto R. Legal],[Lucro Líquido]*5%)</f>
        <v>2532050</v>
      </c>
      <c r="AB212" s="47">
        <f>IF([Lucro Líquido]&lt;0,0,[Lucro Líquido]-[Reserva Legal])</f>
        <v>48108950</v>
      </c>
      <c r="AC212" s="47">
        <f>Tabela3[[#This Row],[Lucro Distribuir]]*[%Div]</f>
        <v>12027237.5</v>
      </c>
      <c r="AD212" s="56">
        <f>SUMPRODUCT(N([Nome]=Tabela3[[#This Row],[Nome]]),[Ações])</f>
        <v>48575200</v>
      </c>
      <c r="AE212" s="85">
        <f>[Capital Social]/[Total Ações]</f>
        <v>10.549374989706681</v>
      </c>
      <c r="AF212" s="85">
        <f>Tabela3[[#This Row],[Lucro Líquido]]/Tabela3[[#This Row],[Total Ações]]</f>
        <v>1.0425278743062303</v>
      </c>
      <c r="AG212" s="85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0.2476003701477297</v>
      </c>
      <c r="AH212" s="85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212" s="77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212" s="85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0.2476003701477297</v>
      </c>
      <c r="AK212" s="7">
        <f>[Div Base]*[Ações]</f>
        <v>12027237.5</v>
      </c>
      <c r="AL212" s="120">
        <f>SUMPRODUCT(N([Nome]=Tabela3[[#This Row],[Nome]]),[Div Base]*[Ações])</f>
        <v>12027237.5</v>
      </c>
      <c r="AM212" s="5">
        <f>[Patrimônio Líquido]/[Total Ações]</f>
        <v>16.779611818376456</v>
      </c>
      <c r="AN212" s="52">
        <f>MAX(Tabela3[[#This Row],[Cotação 1]:[Cotação 5]])</f>
        <v>10.68</v>
      </c>
      <c r="AO212" s="53">
        <f>[Cotação]/[VPA]</f>
        <v>0.63648671468690532</v>
      </c>
      <c r="AP212" s="37">
        <f>IF(Tabela3[[#This Row],[Lucro/Ação]]&gt;0,Tabela3[[#This Row],[Cotação]]/(Tabela3[[#This Row],[Lucro/Ação]]/[Ref]*4),0)</f>
        <v>7.6832478031634448</v>
      </c>
      <c r="AQ212" s="85">
        <f>[Lucro Distribuir]/[Total Ações]</f>
        <v>0.99040148059091881</v>
      </c>
      <c r="AR212" s="85">
        <f>IF([Unit ON]&gt;0,SUMPRODUCT(N([Nome]=Tabela3[[#This Row],[Nome]]),N(RIGHT([PAPEL],1)="3"),[Div Base])*[Unit ON]+SUMPRODUCT(N([Nome]=Tabela3[[#This Row],[Nome]]),N(RIGHT([PAPEL],1)="4"),[Div Base])*[Unit PN],[Div Base])</f>
        <v>0.2476003701477297</v>
      </c>
      <c r="AS212" s="10" t="str">
        <f>IF(AND([% A.A.]&gt;=6%,SUMPRODUCT(N([Nome]=Tabela3[[#This Row],[Nome]]),[PL])&gt;0,[Rentabilidade s/ PL]&gt;=[Rentabilidade s/ PL Média]),"Sim","Não")</f>
        <v>Não</v>
      </c>
      <c r="AT212" s="22">
        <f>IF([Cotação]&gt;0,Tabela3[[#This Row],[Lucro]]/Tabela3[[#This Row],[Cotação]],0)</f>
        <v>2.3183555257278061E-2</v>
      </c>
      <c r="AU212" s="22">
        <f>((1+Tabela3[[#This Row],[% Yield]])^(1/(3*Tabela3[[#This Row],[Ref]])))^(12)-1</f>
        <v>3.1030236926809174E-2</v>
      </c>
      <c r="AV212" s="10">
        <f>IF([Cotação]&gt;0,($BH$1/Tabela3[[#This Row],[Cotação]]-MOD($BH$1/Tabela3[[#This Row],[Cotação]],100)),)</f>
        <v>0</v>
      </c>
      <c r="AW212" s="7">
        <f>Tabela3[[#This Row],[Ativos]]*[Lucro]</f>
        <v>0</v>
      </c>
      <c r="AX212" s="7">
        <f>SUMPRODUCT(N(Tabela1[Código]=Tabela3[[#This Row],[PAPEL]]),Tabela1[Fechamento])</f>
        <v>0</v>
      </c>
      <c r="AY212" s="7">
        <f>SUMPRODUCT(N(Tabela17[Código]=Tabela3[[#This Row],[PAPEL]]),Tabela17[Fechamento])</f>
        <v>0</v>
      </c>
      <c r="AZ212" s="7">
        <f>SUMPRODUCT(N(Tabela176[Código]=Tabela3[[#This Row],[PAPEL]]),Tabela176[Fechamento])</f>
        <v>0</v>
      </c>
      <c r="BA212" s="7">
        <f>SUMPRODUCT(N(Tabela1768[Código]=Tabela3[[#This Row],[PAPEL]]),Tabela1768[Fechamento])</f>
        <v>10.68</v>
      </c>
      <c r="BB212" s="7">
        <f>SUMPRODUCT(N(Tabela17683[Código]=Tabela3[[#This Row],[PAPEL]]),Tabela17683[Fechamento])</f>
        <v>0</v>
      </c>
    </row>
    <row r="213" spans="1:54" hidden="1">
      <c r="A213" s="3" t="s">
        <v>238</v>
      </c>
      <c r="B213" s="57" t="s">
        <v>235</v>
      </c>
      <c r="C213" s="14" t="str">
        <f>LEFT([PAPEL],LEN([PAPEL])-(LEN([PAPEL])-4))</f>
        <v>FESA</v>
      </c>
      <c r="D213" s="16">
        <v>3</v>
      </c>
      <c r="E213" s="5">
        <v>897734673.07000005</v>
      </c>
      <c r="F213" s="56">
        <v>29440000</v>
      </c>
      <c r="G213" s="81">
        <v>0.25</v>
      </c>
      <c r="H213" s="16"/>
      <c r="J213" s="18"/>
      <c r="K213" s="87"/>
      <c r="L213" s="87"/>
      <c r="M213" s="54"/>
      <c r="N213" s="54"/>
      <c r="O213" s="54"/>
      <c r="P213" s="5">
        <v>1206918000</v>
      </c>
      <c r="Q213" s="5">
        <v>49929000</v>
      </c>
      <c r="R213" s="5">
        <f>IF(Tabela3[[#This Row],[Ativo || Passivo]]&gt;0,Tabela3[[#This Row],[Ativo || Passivo]]-Tabela3[[#This Row],[Patrimônio Líquido]],0)</f>
        <v>0</v>
      </c>
      <c r="S213" s="5">
        <f>Tabela3[[#This Row],[Cotação]]*Tabela3[[#This Row],[Total Ações]]</f>
        <v>1678080000</v>
      </c>
      <c r="T213" s="130">
        <f>IF(Tabela3[[#This Row],[Passivo Circulante]]&gt;0,Tabela3[[#This Row],[Ativo Circulante]]/Tabela3[[#This Row],[Passivo Circulante]],0)</f>
        <v>0</v>
      </c>
      <c r="U213" s="130">
        <f>SUMPRODUCT(N([Liquidez Corrente]&gt;0),N(RIGHT([PAPEL],LEN([PAPEL])-(LEN([PAPEL])-1))="3"),[Liquidez Corrente])/SUMPRODUCT(N([Liquidez Corrente]&gt;0),N(RIGHT([PAPEL],LEN([PAPEL])-(LEN([PAPEL])-1))="3"))</f>
        <v>2.331224473064915</v>
      </c>
      <c r="V213" s="18">
        <f>IF(Tabela3[[#This Row],[Lucro Líquido]]&gt;0,Tabela3[[#This Row],[Lucro Líquido]]/Tabela3[[#This Row],[Patrimônio Líquido]],0)</f>
        <v>4.1369007670777967E-2</v>
      </c>
      <c r="W213" s="18">
        <f>SUMPRODUCT(N([Rentabilidade s/ PL]&gt;0),N(RIGHT([PAPEL],LEN([PAPEL])-(LEN([PAPEL])-1))="3"),[Rentabilidade s/ PL])/SUMPRODUCT(N([Rentabilidade s/ PL]&gt;0),N(RIGHT([PAPEL],LEN([PAPEL])-(LEN([PAPEL])-1))="3"))</f>
        <v>0.1261051308670782</v>
      </c>
      <c r="X213" s="18">
        <f>IF(Tabela3[[#This Row],[Dívida]]&gt;0,Tabela3[[#This Row],[Dívida]]/Tabela3[[#This Row],[Patrimônio Líquido]],0)</f>
        <v>0</v>
      </c>
      <c r="Y213" s="18">
        <f>SUMPRODUCT(N([Dívida / PL]&gt;0),N(RIGHT([PAPEL],LEN([PAPEL])-(LEN([PAPEL])-1))="3"),[Dívida / PL])/SUMPRODUCT(N([Dívida / PL]&gt;0),N(RIGHT([PAPEL],LEN([PAPEL])-(LEN([PAPEL])-1))="3"))</f>
        <v>2.1510410379481146</v>
      </c>
      <c r="Z213" s="5">
        <f>Tabela3[[#This Row],[Capital Social]]*20%</f>
        <v>179546934.61400002</v>
      </c>
      <c r="AA213" s="5">
        <f>IF(([Lucro Líquido]*5%)&gt;[Teto R. Legal],[Teto R. Legal],[Lucro Líquido]*5%)</f>
        <v>2496450</v>
      </c>
      <c r="AB213" s="5">
        <f>IF([Lucro Líquido]&lt;0,0,[Lucro Líquido]-[Reserva Legal])</f>
        <v>47432550</v>
      </c>
      <c r="AC213" s="5">
        <f>Tabela3[[#This Row],[Lucro Distribuir]]*[%Div]</f>
        <v>11858137.5</v>
      </c>
      <c r="AD213" s="56">
        <f>SUMPRODUCT(N([Nome]=Tabela3[[#This Row],[Nome]]),[Ações])</f>
        <v>88320000</v>
      </c>
      <c r="AE213" s="5">
        <f>[Capital Social]/[Total Ações]</f>
        <v>10.164568309216486</v>
      </c>
      <c r="AF213" s="77">
        <f>Tabela3[[#This Row],[Lucro Líquido]]/Tabela3[[#This Row],[Total Ações]]</f>
        <v>0.56531929347826082</v>
      </c>
      <c r="AG213" s="77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0.13008588938656412</v>
      </c>
      <c r="AH213" s="77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213" s="77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213" s="77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0.13008588938656412</v>
      </c>
      <c r="AK213" s="5">
        <f>[Div Base]*[Ações]</f>
        <v>3829728.583540448</v>
      </c>
      <c r="AL213" s="5">
        <f>SUMPRODUCT(N([Nome]=Tabela3[[#This Row],[Nome]]),[Div Base]*[Ações])</f>
        <v>12255131.478871353</v>
      </c>
      <c r="AM213" s="5">
        <f>[Patrimônio Líquido]/[Total Ações]</f>
        <v>13.665285326086957</v>
      </c>
      <c r="AN213" s="52">
        <f>MAX(Tabela3[[#This Row],[Cotação 1]:[Cotação 5]])</f>
        <v>19</v>
      </c>
      <c r="AO213" s="53">
        <f>[Cotação]/[VPA]</f>
        <v>1.3903844337394917</v>
      </c>
      <c r="AP213" s="37">
        <f>IF(Tabela3[[#This Row],[Lucro/Ação]]&gt;0,Tabela3[[#This Row],[Cotação]]/(Tabela3[[#This Row],[Lucro/Ação]]/[Ref]*4),0)</f>
        <v>25.206993931382566</v>
      </c>
      <c r="AQ213" s="77">
        <f>[Lucro Distribuir]/[Total Ações]</f>
        <v>0.53705332880434786</v>
      </c>
      <c r="AR213" s="77">
        <f>IF([Unit ON]&gt;0,SUMPRODUCT(N([Nome]=Tabela3[[#This Row],[Nome]]),N(RIGHT([PAPEL],1)="3"),[Div Base])*[Unit ON]+SUMPRODUCT(N([Nome]=Tabela3[[#This Row],[Nome]]),N(RIGHT([PAPEL],1)="4"),[Div Base])*[Unit PN],[Div Base])</f>
        <v>0.13008588938656412</v>
      </c>
      <c r="AS213" s="16" t="str">
        <f>IF(AND([% A.A.]&gt;=6%,SUMPRODUCT(N([Nome]=Tabela3[[#This Row],[Nome]]),[PL])&gt;0,[Rentabilidade s/ PL]&gt;=[Rentabilidade s/ PL Média]),"Sim","Não")</f>
        <v>Não</v>
      </c>
      <c r="AT213" s="22">
        <f>IF([Cotação]&gt;0,Tabela3[[#This Row],[Lucro]]/Tabela3[[#This Row],[Cotação]],0)</f>
        <v>6.8466257571875855E-3</v>
      </c>
      <c r="AU213" s="18">
        <f>((1+Tabela3[[#This Row],[% Yield]])^(1/(3*Tabela3[[#This Row],[Ref]])))^(12)-1</f>
        <v>9.1392354909176632E-3</v>
      </c>
      <c r="AV213" s="10">
        <f>IF([Cotação]&gt;0,($BH$1/Tabela3[[#This Row],[Cotação]]-MOD($BH$1/Tabela3[[#This Row],[Cotação]],100)),)</f>
        <v>0</v>
      </c>
      <c r="AW213" s="7">
        <f>Tabela3[[#This Row],[Ativos]]*[Lucro]</f>
        <v>0</v>
      </c>
      <c r="AX213" s="5">
        <f>SUMPRODUCT(N(Tabela1[Código]=Tabela3[[#This Row],[PAPEL]]),Tabela1[Fechamento])</f>
        <v>19</v>
      </c>
      <c r="AY213" s="5">
        <f>SUMPRODUCT(N(Tabela17[Código]=Tabela3[[#This Row],[PAPEL]]),Tabela17[Fechamento])</f>
        <v>0</v>
      </c>
      <c r="AZ213" s="7">
        <f>SUMPRODUCT(N(Tabela176[Código]=Tabela3[[#This Row],[PAPEL]]),Tabela176[Fechamento])</f>
        <v>0</v>
      </c>
      <c r="BA213" s="7">
        <f>SUMPRODUCT(N(Tabela1768[Código]=Tabela3[[#This Row],[PAPEL]]),Tabela1768[Fechamento])</f>
        <v>0</v>
      </c>
      <c r="BB213" s="7">
        <f>SUMPRODUCT(N(Tabela17683[Código]=Tabela3[[#This Row],[PAPEL]]),Tabela17683[Fechamento])</f>
        <v>0</v>
      </c>
    </row>
    <row r="214" spans="1:54" hidden="1">
      <c r="A214" s="3" t="s">
        <v>238</v>
      </c>
      <c r="B214" s="57" t="s">
        <v>79</v>
      </c>
      <c r="C214" s="15" t="str">
        <f>LEFT([PAPEL],LEN([PAPEL])-(LEN([PAPEL])-4))</f>
        <v>FESA</v>
      </c>
      <c r="D214" s="16">
        <v>3</v>
      </c>
      <c r="E214" s="5">
        <v>897734673.07000005</v>
      </c>
      <c r="F214" s="56">
        <v>58880000</v>
      </c>
      <c r="G214" s="86">
        <v>0.25</v>
      </c>
      <c r="H214" s="16"/>
      <c r="J214" s="18">
        <v>0.1</v>
      </c>
      <c r="K214" s="87"/>
      <c r="L214" s="87"/>
      <c r="M214" s="54"/>
      <c r="N214" s="54"/>
      <c r="O214" s="54"/>
      <c r="P214" s="5">
        <v>1206918000</v>
      </c>
      <c r="Q214" s="5">
        <v>49929000</v>
      </c>
      <c r="R214" s="5">
        <f>IF(Tabela3[[#This Row],[Ativo || Passivo]]&gt;0,Tabela3[[#This Row],[Ativo || Passivo]]-Tabela3[[#This Row],[Patrimônio Líquido]],0)</f>
        <v>0</v>
      </c>
      <c r="S214" s="5">
        <f>Tabela3[[#This Row],[Cotação]]*Tabela3[[#This Row],[Total Ações]]</f>
        <v>1080153600</v>
      </c>
      <c r="T214" s="130">
        <f>IF(Tabela3[[#This Row],[Passivo Circulante]]&gt;0,Tabela3[[#This Row],[Ativo Circulante]]/Tabela3[[#This Row],[Passivo Circulante]],0)</f>
        <v>0</v>
      </c>
      <c r="U214" s="130">
        <f>SUMPRODUCT(N([Liquidez Corrente]&gt;0),N(RIGHT([PAPEL],LEN([PAPEL])-(LEN([PAPEL])-1))="3"),[Liquidez Corrente])/SUMPRODUCT(N([Liquidez Corrente]&gt;0),N(RIGHT([PAPEL],LEN([PAPEL])-(LEN([PAPEL])-1))="3"))</f>
        <v>2.331224473064915</v>
      </c>
      <c r="V214" s="18">
        <f>IF(Tabela3[[#This Row],[Lucro Líquido]]&gt;0,Tabela3[[#This Row],[Lucro Líquido]]/Tabela3[[#This Row],[Patrimônio Líquido]],0)</f>
        <v>4.1369007670777967E-2</v>
      </c>
      <c r="W214" s="18">
        <f>SUMPRODUCT(N([Rentabilidade s/ PL]&gt;0),N(RIGHT([PAPEL],LEN([PAPEL])-(LEN([PAPEL])-1))="3"),[Rentabilidade s/ PL])/SUMPRODUCT(N([Rentabilidade s/ PL]&gt;0),N(RIGHT([PAPEL],LEN([PAPEL])-(LEN([PAPEL])-1))="3"))</f>
        <v>0.1261051308670782</v>
      </c>
      <c r="X214" s="18">
        <f>IF(Tabela3[[#This Row],[Dívida]]&gt;0,Tabela3[[#This Row],[Dívida]]/Tabela3[[#This Row],[Patrimônio Líquido]],0)</f>
        <v>0</v>
      </c>
      <c r="Y214" s="18">
        <f>SUMPRODUCT(N([Dívida / PL]&gt;0),N(RIGHT([PAPEL],LEN([PAPEL])-(LEN([PAPEL])-1))="3"),[Dívida / PL])/SUMPRODUCT(N([Dívida / PL]&gt;0),N(RIGHT([PAPEL],LEN([PAPEL])-(LEN([PAPEL])-1))="3"))</f>
        <v>2.1510410379481146</v>
      </c>
      <c r="Z214" s="5">
        <f>Tabela3[[#This Row],[Capital Social]]*20%</f>
        <v>179546934.61400002</v>
      </c>
      <c r="AA214" s="5">
        <f>IF(([Lucro Líquido]*5%)&gt;[Teto R. Legal],[Teto R. Legal],[Lucro Líquido]*5%)</f>
        <v>2496450</v>
      </c>
      <c r="AB214" s="5">
        <f>IF([Lucro Líquido]&lt;0,0,[Lucro Líquido]-[Reserva Legal])</f>
        <v>47432550</v>
      </c>
      <c r="AC214" s="5">
        <f>Tabela3[[#This Row],[Lucro Distribuir]]*[%Div]</f>
        <v>11858137.5</v>
      </c>
      <c r="AD214" s="56">
        <f>SUMPRODUCT(N([Nome]=Tabela3[[#This Row],[Nome]]),[Ações])</f>
        <v>88320000</v>
      </c>
      <c r="AE214" s="5">
        <f>[Capital Social]/[Total Ações]</f>
        <v>10.164568309216486</v>
      </c>
      <c r="AF214" s="77">
        <f>Tabela3[[#This Row],[Lucro Líquido]]/Tabela3[[#This Row],[Total Ações]]</f>
        <v>0.56531929347826082</v>
      </c>
      <c r="AG214" s="77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0.14309447852124499</v>
      </c>
      <c r="AH214" s="77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214" s="77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214" s="77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0.14309447852124499</v>
      </c>
      <c r="AK214" s="5">
        <f>[Div Base]*[Ações]</f>
        <v>8425402.8953309041</v>
      </c>
      <c r="AL214" s="5">
        <f>SUMPRODUCT(N([Nome]=Tabela3[[#This Row],[Nome]]),[Div Base]*[Ações])</f>
        <v>12255131.478871353</v>
      </c>
      <c r="AM214" s="5">
        <f>[Patrimônio Líquido]/[Total Ações]</f>
        <v>13.665285326086957</v>
      </c>
      <c r="AN214" s="52">
        <f>MAX(Tabela3[[#This Row],[Cotação 1]:[Cotação 5]])</f>
        <v>12.23</v>
      </c>
      <c r="AO214" s="53">
        <f>[Cotação]/[VPA]</f>
        <v>0.89496850655968341</v>
      </c>
      <c r="AP214" s="37">
        <f>IF(Tabela3[[#This Row],[Lucro/Ação]]&gt;0,Tabela3[[#This Row],[Cotação]]/(Tabela3[[#This Row],[Lucro/Ação]]/[Ref]*4),0)</f>
        <v>16.225343988463621</v>
      </c>
      <c r="AQ214" s="77">
        <f>[Lucro Distribuir]/[Total Ações]</f>
        <v>0.53705332880434786</v>
      </c>
      <c r="AR214" s="77">
        <f>IF([Unit ON]&gt;0,SUMPRODUCT(N([Nome]=Tabela3[[#This Row],[Nome]]),N(RIGHT([PAPEL],1)="3"),[Div Base])*[Unit ON]+SUMPRODUCT(N([Nome]=Tabela3[[#This Row],[Nome]]),N(RIGHT([PAPEL],1)="4"),[Div Base])*[Unit PN],[Div Base])</f>
        <v>0.14309447852124499</v>
      </c>
      <c r="AS214" s="16" t="str">
        <f>IF(AND([% A.A.]&gt;=6%,SUMPRODUCT(N([Nome]=Tabela3[[#This Row],[Nome]]),[PL])&gt;0,[Rentabilidade s/ PL]&gt;=[Rentabilidade s/ PL Média]),"Sim","Não")</f>
        <v>Não</v>
      </c>
      <c r="AT214" s="22">
        <f>IF([Cotação]&gt;0,Tabela3[[#This Row],[Lucro]]/Tabela3[[#This Row],[Cotação]],0)</f>
        <v>1.1700284425285772E-2</v>
      </c>
      <c r="AU214" s="18">
        <f>((1+Tabela3[[#This Row],[% Yield]])^(1/(3*Tabela3[[#This Row],[Ref]])))^(12)-1</f>
        <v>1.5630721998198149E-2</v>
      </c>
      <c r="AV214" s="10">
        <f>IF([Cotação]&gt;0,($BH$1/Tabela3[[#This Row],[Cotação]]-MOD($BH$1/Tabela3[[#This Row],[Cotação]],100)),)</f>
        <v>0</v>
      </c>
      <c r="AW214" s="7">
        <f>Tabela3[[#This Row],[Ativos]]*[Lucro]</f>
        <v>0</v>
      </c>
      <c r="AX214" s="5">
        <f>SUMPRODUCT(N(Tabela1[Código]=Tabela3[[#This Row],[PAPEL]]),Tabela1[Fechamento])</f>
        <v>12.23</v>
      </c>
      <c r="AY214" s="5">
        <f>SUMPRODUCT(N(Tabela17[Código]=Tabela3[[#This Row],[PAPEL]]),Tabela17[Fechamento])</f>
        <v>0</v>
      </c>
      <c r="AZ214" s="7">
        <f>SUMPRODUCT(N(Tabela176[Código]=Tabela3[[#This Row],[PAPEL]]),Tabela176[Fechamento])</f>
        <v>0</v>
      </c>
      <c r="BA214" s="7">
        <f>SUMPRODUCT(N(Tabela1768[Código]=Tabela3[[#This Row],[PAPEL]]),Tabela1768[Fechamento])</f>
        <v>0</v>
      </c>
      <c r="BB214" s="7">
        <f>SUMPRODUCT(N(Tabela17683[Código]=Tabela3[[#This Row],[PAPEL]]),Tabela17683[Fechamento])</f>
        <v>0</v>
      </c>
    </row>
    <row r="215" spans="1:54" hidden="1">
      <c r="A215" s="3" t="s">
        <v>1289</v>
      </c>
      <c r="B215" s="57" t="s">
        <v>1284</v>
      </c>
      <c r="C215" s="16" t="str">
        <f>LEFT([PAPEL],LEN([PAPEL])-(LEN([PAPEL])-4))</f>
        <v>BBRK</v>
      </c>
      <c r="D215" s="16">
        <v>3</v>
      </c>
      <c r="E215" s="5">
        <v>533662061</v>
      </c>
      <c r="F215" s="56">
        <v>192839601</v>
      </c>
      <c r="G215" s="81">
        <v>0.25</v>
      </c>
      <c r="H215" s="87"/>
      <c r="J215" s="18"/>
      <c r="K215" s="16"/>
      <c r="L215" s="87"/>
      <c r="M215" s="54"/>
      <c r="N215" s="54"/>
      <c r="O215" s="54"/>
      <c r="P215" s="91">
        <v>681550000</v>
      </c>
      <c r="Q215" s="73">
        <v>49330000</v>
      </c>
      <c r="R215" s="73">
        <f>IF(Tabela3[[#This Row],[Ativo || Passivo]]&gt;0,Tabela3[[#This Row],[Ativo || Passivo]]-Tabela3[[#This Row],[Patrimônio Líquido]],0)</f>
        <v>0</v>
      </c>
      <c r="S215" s="73">
        <f>Tabela3[[#This Row],[Cotação]]*Tabela3[[#This Row],[Total Ações]]</f>
        <v>944914044.9000001</v>
      </c>
      <c r="T215" s="37">
        <f>IF(Tabela3[[#This Row],[Passivo Circulante]]&gt;0,Tabela3[[#This Row],[Ativo Circulante]]/Tabela3[[#This Row],[Passivo Circulante]],0)</f>
        <v>0</v>
      </c>
      <c r="U215" s="37">
        <f>SUMPRODUCT(N([Liquidez Corrente]&gt;0),N(RIGHT([PAPEL],LEN([PAPEL])-(LEN([PAPEL])-1))="3"),[Liquidez Corrente])/SUMPRODUCT(N([Liquidez Corrente]&gt;0),N(RIGHT([PAPEL],LEN([PAPEL])-(LEN([PAPEL])-1))="3"))</f>
        <v>2.331224473064915</v>
      </c>
      <c r="V215" s="18">
        <f>IF(Tabela3[[#This Row],[Lucro Líquido]]&gt;0,Tabela3[[#This Row],[Lucro Líquido]]/Tabela3[[#This Row],[Patrimônio Líquido]],0)</f>
        <v>7.2379135793412069E-2</v>
      </c>
      <c r="W215" s="18">
        <f>SUMPRODUCT(N([Rentabilidade s/ PL]&gt;0),N(RIGHT([PAPEL],LEN([PAPEL])-(LEN([PAPEL])-1))="3"),[Rentabilidade s/ PL])/SUMPRODUCT(N([Rentabilidade s/ PL]&gt;0),N(RIGHT([PAPEL],LEN([PAPEL])-(LEN([PAPEL])-1))="3"))</f>
        <v>0.1261051308670782</v>
      </c>
      <c r="X215" s="18">
        <f>IF(Tabela3[[#This Row],[Dívida]]&gt;0,Tabela3[[#This Row],[Dívida]]/Tabela3[[#This Row],[Patrimônio Líquido]],0)</f>
        <v>0</v>
      </c>
      <c r="Y215" s="18">
        <f>SUMPRODUCT(N([Dívida / PL]&gt;0),N(RIGHT([PAPEL],LEN([PAPEL])-(LEN([PAPEL])-1))="3"),[Dívida / PL])/SUMPRODUCT(N([Dívida / PL]&gt;0),N(RIGHT([PAPEL],LEN([PAPEL])-(LEN([PAPEL])-1))="3"))</f>
        <v>2.1510410379481146</v>
      </c>
      <c r="Z215" s="7">
        <f>Tabela3[[#This Row],[Capital Social]]*20%</f>
        <v>106732412.2</v>
      </c>
      <c r="AA215" s="47">
        <f>IF(([Lucro Líquido]*5%)&gt;[Teto R. Legal],[Teto R. Legal],[Lucro Líquido]*5%)</f>
        <v>2466500</v>
      </c>
      <c r="AB215" s="47">
        <f>IF([Lucro Líquido]&lt;0,0,[Lucro Líquido]-[Reserva Legal])</f>
        <v>46863500</v>
      </c>
      <c r="AC215" s="47">
        <f>Tabela3[[#This Row],[Lucro Distribuir]]*[%Div]</f>
        <v>11715875</v>
      </c>
      <c r="AD215" s="56">
        <f>SUMPRODUCT(N([Nome]=Tabela3[[#This Row],[Nome]]),[Ações])</f>
        <v>192839601</v>
      </c>
      <c r="AE215" s="85">
        <f>[Capital Social]/[Total Ações]</f>
        <v>2.7673883280851634</v>
      </c>
      <c r="AF215" s="85">
        <f>Tabela3[[#This Row],[Lucro Líquido]]/Tabela3[[#This Row],[Total Ações]]</f>
        <v>0.25580845295360261</v>
      </c>
      <c r="AG215" s="85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6.0754507576480619E-2</v>
      </c>
      <c r="AH215" s="85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215" s="77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215" s="85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6.0754507576480619E-2</v>
      </c>
      <c r="AK215" s="7">
        <f>[Div Base]*[Ações]</f>
        <v>11715875</v>
      </c>
      <c r="AL215" s="120">
        <f>SUMPRODUCT(N([Nome]=Tabela3[[#This Row],[Nome]]),[Div Base]*[Ações])</f>
        <v>11715875</v>
      </c>
      <c r="AM215" s="5">
        <f>[Patrimônio Líquido]/[Total Ações]</f>
        <v>3.5342844336210799</v>
      </c>
      <c r="AN215" s="52">
        <f>MAX(Tabela3[[#This Row],[Cotação 1]:[Cotação 5]])</f>
        <v>4.9000000000000004</v>
      </c>
      <c r="AO215" s="53">
        <f>[Cotação]/[VPA]</f>
        <v>1.3864192574279217</v>
      </c>
      <c r="AP215" s="37">
        <f>IF(Tabela3[[#This Row],[Lucro/Ação]]&gt;0,Tabela3[[#This Row],[Cotação]]/(Tabela3[[#This Row],[Lucro/Ação]]/[Ref]*4),0)</f>
        <v>14.366217994628018</v>
      </c>
      <c r="AQ215" s="85">
        <f>[Lucro Distribuir]/[Total Ações]</f>
        <v>0.24301803030592248</v>
      </c>
      <c r="AR215" s="85">
        <f>IF([Unit ON]&gt;0,SUMPRODUCT(N([Nome]=Tabela3[[#This Row],[Nome]]),N(RIGHT([PAPEL],1)="3"),[Div Base])*[Unit ON]+SUMPRODUCT(N([Nome]=Tabela3[[#This Row],[Nome]]),N(RIGHT([PAPEL],1)="4"),[Div Base])*[Unit PN],[Div Base])</f>
        <v>6.0754507576480619E-2</v>
      </c>
      <c r="AS215" s="10" t="str">
        <f>IF(AND([% A.A.]&gt;=6%,SUMPRODUCT(N([Nome]=Tabela3[[#This Row],[Nome]]),[PL])&gt;0,[Rentabilidade s/ PL]&gt;=[Rentabilidade s/ PL Média]),"Sim","Não")</f>
        <v>Não</v>
      </c>
      <c r="AT215" s="22">
        <f>IF([Cotação]&gt;0,Tabela3[[#This Row],[Lucro]]/Tabela3[[#This Row],[Cotação]],0)</f>
        <v>1.2398879097240943E-2</v>
      </c>
      <c r="AU215" s="22">
        <f>((1+Tabela3[[#This Row],[% Yield]])^(1/(3*Tabela3[[#This Row],[Ref]])))^(12)-1</f>
        <v>1.6565907862426066E-2</v>
      </c>
      <c r="AV215" s="10">
        <f>IF([Cotação]&gt;0,($BH$1/Tabela3[[#This Row],[Cotação]]-MOD($BH$1/Tabela3[[#This Row],[Cotação]],100)),)</f>
        <v>100</v>
      </c>
      <c r="AW215" s="7">
        <f>Tabela3[[#This Row],[Ativos]]*[Lucro]</f>
        <v>6.0754507576480616</v>
      </c>
      <c r="AX215" s="7">
        <f>SUMPRODUCT(N(Tabela1[Código]=Tabela3[[#This Row],[PAPEL]]),Tabela1[Fechamento])</f>
        <v>0</v>
      </c>
      <c r="AY215" s="7">
        <f>SUMPRODUCT(N(Tabela17[Código]=Tabela3[[#This Row],[PAPEL]]),Tabela17[Fechamento])</f>
        <v>0</v>
      </c>
      <c r="AZ215" s="7">
        <f>SUMPRODUCT(N(Tabela176[Código]=Tabela3[[#This Row],[PAPEL]]),Tabela176[Fechamento])</f>
        <v>0</v>
      </c>
      <c r="BA215" s="7">
        <f>SUMPRODUCT(N(Tabela1768[Código]=Tabela3[[#This Row],[PAPEL]]),Tabela1768[Fechamento])</f>
        <v>0</v>
      </c>
      <c r="BB215" s="7">
        <f>SUMPRODUCT(N(Tabela17683[Código]=Tabela3[[#This Row],[PAPEL]]),Tabela17683[Fechamento])</f>
        <v>4.9000000000000004</v>
      </c>
    </row>
    <row r="216" spans="1:54" hidden="1">
      <c r="A216" s="4" t="s">
        <v>12</v>
      </c>
      <c r="B216" s="57" t="s">
        <v>67</v>
      </c>
      <c r="C216" s="82" t="str">
        <f>LEFT([PAPEL],LEN([PAPEL])-(LEN([PAPEL])-4))</f>
        <v>AELP</v>
      </c>
      <c r="D216" s="15">
        <v>3</v>
      </c>
      <c r="E216" s="6">
        <v>958781908.12</v>
      </c>
      <c r="F216" s="8">
        <v>95061053</v>
      </c>
      <c r="G216" s="81">
        <v>0.25</v>
      </c>
      <c r="H216" s="15"/>
      <c r="I216" s="19"/>
      <c r="J216" s="19"/>
      <c r="K216" s="88"/>
      <c r="L216" s="88"/>
      <c r="M216" s="55">
        <v>1496959000</v>
      </c>
      <c r="N216" s="55">
        <v>22542000</v>
      </c>
      <c r="O216" s="55">
        <v>2231000</v>
      </c>
      <c r="P216" s="89">
        <v>1476720000</v>
      </c>
      <c r="Q216" s="89">
        <v>48170000</v>
      </c>
      <c r="R216" s="89">
        <f>IF(Tabela3[[#This Row],[Ativo || Passivo]]&gt;0,Tabela3[[#This Row],[Ativo || Passivo]]-Tabela3[[#This Row],[Patrimônio Líquido]],0)</f>
        <v>20239000</v>
      </c>
      <c r="S216" s="89">
        <f>Tabela3[[#This Row],[Cotação]]*Tabela3[[#This Row],[Total Ações]]</f>
        <v>670180423.64999998</v>
      </c>
      <c r="T216" s="132">
        <f>IF(Tabela3[[#This Row],[Passivo Circulante]]&gt;0,Tabela3[[#This Row],[Ativo Circulante]]/Tabela3[[#This Row],[Passivo Circulante]],0)</f>
        <v>10.103989242492156</v>
      </c>
      <c r="U216" s="132">
        <f>SUMPRODUCT(N([Liquidez Corrente]&gt;0),N(RIGHT([PAPEL],LEN([PAPEL])-(LEN([PAPEL])-1))="3"),[Liquidez Corrente])/SUMPRODUCT(N([Liquidez Corrente]&gt;0),N(RIGHT([PAPEL],LEN([PAPEL])-(LEN([PAPEL])-1))="3"))</f>
        <v>2.331224473064915</v>
      </c>
      <c r="V216" s="19">
        <f>IF(Tabela3[[#This Row],[Lucro Líquido]]&gt;0,Tabela3[[#This Row],[Lucro Líquido]]/Tabela3[[#This Row],[Patrimônio Líquido]],0)</f>
        <v>3.2619589360203698E-2</v>
      </c>
      <c r="W216" s="19">
        <f>SUMPRODUCT(N([Rentabilidade s/ PL]&gt;0),N(RIGHT([PAPEL],LEN([PAPEL])-(LEN([PAPEL])-1))="3"),[Rentabilidade s/ PL])/SUMPRODUCT(N([Rentabilidade s/ PL]&gt;0),N(RIGHT([PAPEL],LEN([PAPEL])-(LEN([PAPEL])-1))="3"))</f>
        <v>0.1261051308670782</v>
      </c>
      <c r="X216" s="19">
        <f>IF(Tabela3[[#This Row],[Dívida]]&gt;0,Tabela3[[#This Row],[Dívida]]/Tabela3[[#This Row],[Patrimônio Líquido]],0)</f>
        <v>1.3705374072268271E-2</v>
      </c>
      <c r="Y216" s="19">
        <f>SUMPRODUCT(N([Dívida / PL]&gt;0),N(RIGHT([PAPEL],LEN([PAPEL])-(LEN([PAPEL])-1))="3"),[Dívida / PL])/SUMPRODUCT(N([Dívida / PL]&gt;0),N(RIGHT([PAPEL],LEN([PAPEL])-(LEN([PAPEL])-1))="3"))</f>
        <v>2.1510410379481146</v>
      </c>
      <c r="Z216" s="6">
        <f>Tabela3[[#This Row],[Capital Social]]*20%</f>
        <v>191756381.62400001</v>
      </c>
      <c r="AA216" s="6">
        <f>IF(([Lucro Líquido]*5%)&gt;[Teto R. Legal],[Teto R. Legal],[Lucro Líquido]*5%)</f>
        <v>2408500</v>
      </c>
      <c r="AB216" s="89">
        <f>IF([Lucro Líquido]&lt;0,0,[Lucro Líquido]-[Reserva Legal])</f>
        <v>45761500</v>
      </c>
      <c r="AC216" s="89">
        <f>Tabela3[[#This Row],[Lucro Distribuir]]*[%Div]</f>
        <v>11440375</v>
      </c>
      <c r="AD216" s="56">
        <f>SUMPRODUCT(N([Nome]=Tabela3[[#This Row],[Nome]]),[Ações])</f>
        <v>95061053</v>
      </c>
      <c r="AE216" s="6">
        <f>[Capital Social]/[Total Ações]</f>
        <v>10.085959263674473</v>
      </c>
      <c r="AF216" s="78">
        <f>Tabela3[[#This Row],[Lucro Líquido]]/Tabela3[[#This Row],[Total Ações]]</f>
        <v>0.50672697681983392</v>
      </c>
      <c r="AG216" s="78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0.12034765699471055</v>
      </c>
      <c r="AH216" s="78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216" s="78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216" s="78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0.12034765699471055</v>
      </c>
      <c r="AK216" s="6">
        <f>[Div Base]*[Ações]</f>
        <v>11440375</v>
      </c>
      <c r="AL216" s="6">
        <f>SUMPRODUCT(N([Nome]=Tabela3[[#This Row],[Nome]]),[Div Base]*[Ações])</f>
        <v>11440375</v>
      </c>
      <c r="AM216" s="6">
        <f>[Patrimônio Líquido]/[Total Ações]</f>
        <v>15.53443764188053</v>
      </c>
      <c r="AN216" s="48">
        <f>MAX(Tabela3[[#This Row],[Cotação 1]:[Cotação 5]])</f>
        <v>7.05</v>
      </c>
      <c r="AO216" s="44">
        <f>[Cotação]/[VPA]</f>
        <v>0.45383039685925564</v>
      </c>
      <c r="AP216" s="40">
        <f>IF(Tabela3[[#This Row],[Lucro/Ação]]&gt;0,Tabela3[[#This Row],[Cotação]]/(Tabela3[[#This Row],[Lucro/Ação]]/[Ref]*4),0)</f>
        <v>10.43461319778908</v>
      </c>
      <c r="AQ216" s="78">
        <f>[Lucro Distribuir]/[Total Ações]</f>
        <v>0.48139062797884219</v>
      </c>
      <c r="AR216" s="78">
        <f>IF([Unit ON]&gt;0,SUMPRODUCT(N([Nome]=Tabela3[[#This Row],[Nome]]),N(RIGHT([PAPEL],1)="3"),[Div Base])*[Unit ON]+SUMPRODUCT(N([Nome]=Tabela3[[#This Row],[Nome]]),N(RIGHT([PAPEL],1)="4"),[Div Base])*[Unit PN],[Div Base])</f>
        <v>0.12034765699471055</v>
      </c>
      <c r="AS216" s="14" t="str">
        <f>IF(AND([% A.A.]&gt;=6%,SUMPRODUCT(N([Nome]=Tabela3[[#This Row],[Nome]]),[PL])&gt;0,[Rentabilidade s/ PL]&gt;=[Rentabilidade s/ PL Média]),"Sim","Não")</f>
        <v>Não</v>
      </c>
      <c r="AT216" s="42">
        <f>IF([Cotação]&gt;0,Tabela3[[#This Row],[Lucro]]/Tabela3[[#This Row],[Cotação]],0)</f>
        <v>1.7070589644639794E-2</v>
      </c>
      <c r="AU216" s="19">
        <f>((1+Tabela3[[#This Row],[% Yield]])^(1/(3*Tabela3[[#This Row],[Ref]])))^(12)-1</f>
        <v>2.2825298945752692E-2</v>
      </c>
      <c r="AV216" s="14">
        <f>IF([Cotação]&gt;0,($BH$1/Tabela3[[#This Row],[Cotação]]-MOD($BH$1/Tabela3[[#This Row],[Cotação]],100)),)</f>
        <v>0</v>
      </c>
      <c r="AW216" s="17">
        <f>Tabela3[[#This Row],[Ativos]]*[Lucro]</f>
        <v>0</v>
      </c>
      <c r="AX216" s="5">
        <f>SUMPRODUCT(N(Tabela1[Código]=Tabela3[[#This Row],[PAPEL]]),Tabela1[Fechamento])</f>
        <v>7.05</v>
      </c>
      <c r="AY216" s="5">
        <f>SUMPRODUCT(N(Tabela17[Código]=Tabela3[[#This Row],[PAPEL]]),Tabela17[Fechamento])</f>
        <v>0</v>
      </c>
      <c r="AZ216" s="7">
        <f>SUMPRODUCT(N(Tabela176[Código]=Tabela3[[#This Row],[PAPEL]]),Tabela176[Fechamento])</f>
        <v>0</v>
      </c>
      <c r="BA216" s="7">
        <f>SUMPRODUCT(N(Tabela1768[Código]=Tabela3[[#This Row],[PAPEL]]),Tabela1768[Fechamento])</f>
        <v>0</v>
      </c>
      <c r="BB216" s="7">
        <f>SUMPRODUCT(N(Tabela17683[Código]=Tabela3[[#This Row],[PAPEL]]),Tabela17683[Fechamento])</f>
        <v>0</v>
      </c>
    </row>
    <row r="217" spans="1:54" hidden="1">
      <c r="A217" s="3" t="s">
        <v>1196</v>
      </c>
      <c r="B217" s="58" t="s">
        <v>1212</v>
      </c>
      <c r="C217" s="16" t="str">
        <f>LEFT([PAPEL],LEN([PAPEL])-(LEN([PAPEL])-4))</f>
        <v>JHSF</v>
      </c>
      <c r="D217" s="16">
        <v>3</v>
      </c>
      <c r="E217" s="5">
        <v>719259210.82000005</v>
      </c>
      <c r="F217" s="56">
        <v>432043157</v>
      </c>
      <c r="G217" s="81">
        <v>0.25</v>
      </c>
      <c r="H217" s="87"/>
      <c r="J217" s="18"/>
      <c r="K217" s="16"/>
      <c r="L217" s="87"/>
      <c r="M217" s="54"/>
      <c r="N217" s="54"/>
      <c r="O217" s="54"/>
      <c r="P217" s="91">
        <v>1316434000</v>
      </c>
      <c r="Q217" s="73">
        <v>47981000</v>
      </c>
      <c r="R217" s="73">
        <f>IF(Tabela3[[#This Row],[Ativo || Passivo]]&gt;0,Tabela3[[#This Row],[Ativo || Passivo]]-Tabela3[[#This Row],[Patrimônio Líquido]],0)</f>
        <v>0</v>
      </c>
      <c r="S217" s="73">
        <f>Tabela3[[#This Row],[Cotação]]*Tabela3[[#This Row],[Total Ações]]</f>
        <v>1788658669.9799998</v>
      </c>
      <c r="T217" s="37">
        <f>IF(Tabela3[[#This Row],[Passivo Circulante]]&gt;0,Tabela3[[#This Row],[Ativo Circulante]]/Tabela3[[#This Row],[Passivo Circulante]],0)</f>
        <v>0</v>
      </c>
      <c r="U217" s="37">
        <f>SUMPRODUCT(N([Liquidez Corrente]&gt;0),N(RIGHT([PAPEL],LEN([PAPEL])-(LEN([PAPEL])-1))="3"),[Liquidez Corrente])/SUMPRODUCT(N([Liquidez Corrente]&gt;0),N(RIGHT([PAPEL],LEN([PAPEL])-(LEN([PAPEL])-1))="3"))</f>
        <v>2.331224473064915</v>
      </c>
      <c r="V217" s="18">
        <f>IF(Tabela3[[#This Row],[Lucro Líquido]]&gt;0,Tabela3[[#This Row],[Lucro Líquido]]/Tabela3[[#This Row],[Patrimônio Líquido]],0)</f>
        <v>3.6447706455469853E-2</v>
      </c>
      <c r="W217" s="18">
        <f>SUMPRODUCT(N([Rentabilidade s/ PL]&gt;0),N(RIGHT([PAPEL],LEN([PAPEL])-(LEN([PAPEL])-1))="3"),[Rentabilidade s/ PL])/SUMPRODUCT(N([Rentabilidade s/ PL]&gt;0),N(RIGHT([PAPEL],LEN([PAPEL])-(LEN([PAPEL])-1))="3"))</f>
        <v>0.1261051308670782</v>
      </c>
      <c r="X217" s="18">
        <f>IF(Tabela3[[#This Row],[Dívida]]&gt;0,Tabela3[[#This Row],[Dívida]]/Tabela3[[#This Row],[Patrimônio Líquido]],0)</f>
        <v>0</v>
      </c>
      <c r="Y217" s="18">
        <f>SUMPRODUCT(N([Dívida / PL]&gt;0),N(RIGHT([PAPEL],LEN([PAPEL])-(LEN([PAPEL])-1))="3"),[Dívida / PL])/SUMPRODUCT(N([Dívida / PL]&gt;0),N(RIGHT([PAPEL],LEN([PAPEL])-(LEN([PAPEL])-1))="3"))</f>
        <v>2.1510410379481146</v>
      </c>
      <c r="Z217" s="7">
        <f>Tabela3[[#This Row],[Capital Social]]*20%</f>
        <v>143851842.164</v>
      </c>
      <c r="AA217" s="47">
        <f>IF(([Lucro Líquido]*5%)&gt;[Teto R. Legal],[Teto R. Legal],[Lucro Líquido]*5%)</f>
        <v>2399050</v>
      </c>
      <c r="AB217" s="47">
        <f>IF([Lucro Líquido]&lt;0,0,[Lucro Líquido]-[Reserva Legal])</f>
        <v>45581950</v>
      </c>
      <c r="AC217" s="47">
        <f>Tabela3[[#This Row],[Lucro Distribuir]]*[%Div]</f>
        <v>11395487.5</v>
      </c>
      <c r="AD217" s="56">
        <f>SUMPRODUCT(N([Nome]=Tabela3[[#This Row],[Nome]]),[Ações])</f>
        <v>432043157</v>
      </c>
      <c r="AE217" s="85">
        <f>[Capital Social]/[Total Ações]</f>
        <v>1.6647855640495657</v>
      </c>
      <c r="AF217" s="85">
        <f>Tabela3[[#This Row],[Lucro Líquido]]/Tabela3[[#This Row],[Total Ações]]</f>
        <v>0.11105603508031027</v>
      </c>
      <c r="AG217" s="85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2.6375808331573689E-2</v>
      </c>
      <c r="AH217" s="85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217" s="77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217" s="85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2.6375808331573689E-2</v>
      </c>
      <c r="AK217" s="7">
        <f>[Div Base]*[Ações]</f>
        <v>11395487.5</v>
      </c>
      <c r="AL217" s="120">
        <f>SUMPRODUCT(N([Nome]=Tabela3[[#This Row],[Nome]]),[Div Base]*[Ações])</f>
        <v>11395487.5</v>
      </c>
      <c r="AM217" s="5">
        <f>[Patrimônio Líquido]/[Total Ações]</f>
        <v>3.0469965295619761</v>
      </c>
      <c r="AN217" s="52">
        <f>MAX(Tabela3[[#This Row],[Cotação 1]:[Cotação 5]])</f>
        <v>4.1399999999999997</v>
      </c>
      <c r="AO217" s="53">
        <f>[Cotação]/[VPA]</f>
        <v>1.3587150362114622</v>
      </c>
      <c r="AP217" s="37">
        <f>IF(Tabela3[[#This Row],[Lucro/Ação]]&gt;0,Tabela3[[#This Row],[Cotação]]/(Tabela3[[#This Row],[Lucro/Ação]]/[Ref]*4),0)</f>
        <v>27.958858766699315</v>
      </c>
      <c r="AQ217" s="85">
        <f>[Lucro Distribuir]/[Total Ações]</f>
        <v>0.10550323332629476</v>
      </c>
      <c r="AR217" s="85">
        <f>IF([Unit ON]&gt;0,SUMPRODUCT(N([Nome]=Tabela3[[#This Row],[Nome]]),N(RIGHT([PAPEL],1)="3"),[Div Base])*[Unit ON]+SUMPRODUCT(N([Nome]=Tabela3[[#This Row],[Nome]]),N(RIGHT([PAPEL],1)="4"),[Div Base])*[Unit PN],[Div Base])</f>
        <v>2.6375808331573689E-2</v>
      </c>
      <c r="AS217" s="10" t="str">
        <f>IF(AND([% A.A.]&gt;=6%,SUMPRODUCT(N([Nome]=Tabela3[[#This Row],[Nome]]),[PL])&gt;0,[Rentabilidade s/ PL]&gt;=[Rentabilidade s/ PL Média]),"Sim","Não")</f>
        <v>Não</v>
      </c>
      <c r="AT217" s="22">
        <f>IF([Cotação]&gt;0,Tabela3[[#This Row],[Lucro]]/Tabela3[[#This Row],[Cotação]],0)</f>
        <v>6.3709681960322923E-3</v>
      </c>
      <c r="AU217" s="22">
        <f>((1+Tabela3[[#This Row],[% Yield]])^(1/(3*Tabela3[[#This Row],[Ref]])))^(12)-1</f>
        <v>8.5036313553175091E-3</v>
      </c>
      <c r="AV217" s="10">
        <f>IF([Cotação]&gt;0,($BH$1/Tabela3[[#This Row],[Cotação]]-MOD($BH$1/Tabela3[[#This Row],[Cotação]],100)),)</f>
        <v>100</v>
      </c>
      <c r="AW217" s="7">
        <f>Tabela3[[#This Row],[Ativos]]*[Lucro]</f>
        <v>2.6375808331573691</v>
      </c>
      <c r="AX217" s="7">
        <f>SUMPRODUCT(N(Tabela1[Código]=Tabela3[[#This Row],[PAPEL]]),Tabela1[Fechamento])</f>
        <v>0</v>
      </c>
      <c r="AY217" s="7">
        <f>SUMPRODUCT(N(Tabela17[Código]=Tabela3[[#This Row],[PAPEL]]),Tabela17[Fechamento])</f>
        <v>0</v>
      </c>
      <c r="AZ217" s="7">
        <f>SUMPRODUCT(N(Tabela176[Código]=Tabela3[[#This Row],[PAPEL]]),Tabela176[Fechamento])</f>
        <v>0</v>
      </c>
      <c r="BA217" s="7">
        <f>SUMPRODUCT(N(Tabela1768[Código]=Tabela3[[#This Row],[PAPEL]]),Tabela1768[Fechamento])</f>
        <v>4.1399999999999997</v>
      </c>
      <c r="BB217" s="7">
        <f>SUMPRODUCT(N(Tabela17683[Código]=Tabela3[[#This Row],[PAPEL]]),Tabela17683[Fechamento])</f>
        <v>0</v>
      </c>
    </row>
    <row r="218" spans="1:54" hidden="1">
      <c r="A218" s="4" t="s">
        <v>14</v>
      </c>
      <c r="B218" s="57" t="s">
        <v>202</v>
      </c>
      <c r="C218" s="14" t="str">
        <f>LEFT([PAPEL],LEN([PAPEL])-(LEN([PAPEL])-4))</f>
        <v>BGIP</v>
      </c>
      <c r="D218" s="15">
        <v>3</v>
      </c>
      <c r="E218" s="6">
        <v>160000000</v>
      </c>
      <c r="F218" s="8">
        <v>5270721</v>
      </c>
      <c r="G218" s="81">
        <v>0.25</v>
      </c>
      <c r="H218" s="15"/>
      <c r="I218" s="19"/>
      <c r="J218" s="19"/>
      <c r="K218" s="88"/>
      <c r="L218" s="88"/>
      <c r="M218" s="55">
        <v>3480082000</v>
      </c>
      <c r="N218" s="55">
        <v>2153671000</v>
      </c>
      <c r="O218" s="55">
        <v>2115923000</v>
      </c>
      <c r="P218" s="6">
        <v>273287000</v>
      </c>
      <c r="Q218" s="6">
        <v>47071000</v>
      </c>
      <c r="R218" s="6">
        <f>IF(Tabela3[[#This Row],[Ativo || Passivo]]&gt;0,Tabela3[[#This Row],[Ativo || Passivo]]-Tabela3[[#This Row],[Patrimônio Líquido]],0)</f>
        <v>3206795000</v>
      </c>
      <c r="S218" s="6">
        <f>Tabela3[[#This Row],[Cotação]]*Tabela3[[#This Row],[Total Ações]]</f>
        <v>455917366.5</v>
      </c>
      <c r="T218" s="132">
        <f>IF(Tabela3[[#This Row],[Passivo Circulante]]&gt;0,Tabela3[[#This Row],[Ativo Circulante]]/Tabela3[[#This Row],[Passivo Circulante]],0)</f>
        <v>1.0178399686567043</v>
      </c>
      <c r="U218" s="132">
        <f>SUMPRODUCT(N([Liquidez Corrente]&gt;0),N(RIGHT([PAPEL],LEN([PAPEL])-(LEN([PAPEL])-1))="3"),[Liquidez Corrente])/SUMPRODUCT(N([Liquidez Corrente]&gt;0),N(RIGHT([PAPEL],LEN([PAPEL])-(LEN([PAPEL])-1))="3"))</f>
        <v>2.331224473064915</v>
      </c>
      <c r="V218" s="19">
        <f>IF(Tabela3[[#This Row],[Lucro Líquido]]&gt;0,Tabela3[[#This Row],[Lucro Líquido]]/Tabela3[[#This Row],[Patrimônio Líquido]],0)</f>
        <v>0.17224017241947109</v>
      </c>
      <c r="W218" s="19">
        <f>SUMPRODUCT(N([Rentabilidade s/ PL]&gt;0),N(RIGHT([PAPEL],LEN([PAPEL])-(LEN([PAPEL])-1))="3"),[Rentabilidade s/ PL])/SUMPRODUCT(N([Rentabilidade s/ PL]&gt;0),N(RIGHT([PAPEL],LEN([PAPEL])-(LEN([PAPEL])-1))="3"))</f>
        <v>0.1261051308670782</v>
      </c>
      <c r="X218" s="19">
        <f>IF(Tabela3[[#This Row],[Dívida]]&gt;0,Tabela3[[#This Row],[Dívida]]/Tabela3[[#This Row],[Patrimônio Líquido]],0)</f>
        <v>11.734165913490214</v>
      </c>
      <c r="Y218" s="19">
        <f>SUMPRODUCT(N([Dívida / PL]&gt;0),N(RIGHT([PAPEL],LEN([PAPEL])-(LEN([PAPEL])-1))="3"),[Dívida / PL])/SUMPRODUCT(N([Dívida / PL]&gt;0),N(RIGHT([PAPEL],LEN([PAPEL])-(LEN([PAPEL])-1))="3"))</f>
        <v>2.1510410379481146</v>
      </c>
      <c r="Z218" s="6">
        <f>Tabela3[[#This Row],[Capital Social]]*20%</f>
        <v>32000000</v>
      </c>
      <c r="AA218" s="6">
        <f>IF(([Lucro Líquido]*5%)&gt;[Teto R. Legal],[Teto R. Legal],[Lucro Líquido]*5%)</f>
        <v>2353550</v>
      </c>
      <c r="AB218" s="6">
        <f>IF([Lucro Líquido]&lt;0,0,[Lucro Líquido]-[Reserva Legal])</f>
        <v>44717450</v>
      </c>
      <c r="AC218" s="6">
        <f>Tabela3[[#This Row],[Lucro Distribuir]]*[%Div]</f>
        <v>11179362.5</v>
      </c>
      <c r="AD218" s="21">
        <f>SUMPRODUCT(N([Nome]=Tabela3[[#This Row],[Nome]]),[Ações])</f>
        <v>10541442</v>
      </c>
      <c r="AE218" s="6">
        <f>[Capital Social]/[Total Ações]</f>
        <v>15.178189094053735</v>
      </c>
      <c r="AF218" s="78">
        <f>Tabela3[[#This Row],[Lucro Líquido]]/Tabela3[[#This Row],[Total Ações]]</f>
        <v>4.4653283677887714</v>
      </c>
      <c r="AG218" s="78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1.0275188178221877</v>
      </c>
      <c r="AH218" s="78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218" s="78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218" s="78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1.0275188178221877</v>
      </c>
      <c r="AK218" s="6">
        <f>[Div Base]*[Ações]</f>
        <v>5415765.0109905787</v>
      </c>
      <c r="AL218" s="6">
        <f>SUMPRODUCT(N([Nome]=Tabela3[[#This Row],[Nome]]),[Div Base]*[Ações])</f>
        <v>11373106.531241151</v>
      </c>
      <c r="AM218" s="6">
        <f>[Patrimônio Líquido]/[Total Ações]</f>
        <v>25.925011018416644</v>
      </c>
      <c r="AN218" s="48">
        <f>MAX(Tabela3[[#This Row],[Cotação 1]:[Cotação 5]])</f>
        <v>43.25</v>
      </c>
      <c r="AO218" s="44">
        <f>[Cotação]/[VPA]</f>
        <v>1.6682731578889594</v>
      </c>
      <c r="AP218" s="40">
        <f>IF(Tabela3[[#This Row],[Lucro/Ação]]&gt;0,Tabela3[[#This Row],[Cotação]]/(Tabela3[[#This Row],[Lucro/Ação]]/[Ref]*4),0)</f>
        <v>7.2643033900915635</v>
      </c>
      <c r="AQ218" s="78">
        <f>[Lucro Distribuir]/[Total Ações]</f>
        <v>4.242061949399333</v>
      </c>
      <c r="AR218" s="78">
        <f>IF([Unit ON]&gt;0,SUMPRODUCT(N([Nome]=Tabela3[[#This Row],[Nome]]),N(RIGHT([PAPEL],1)="3"),[Div Base])*[Unit ON]+SUMPRODUCT(N([Nome]=Tabela3[[#This Row],[Nome]]),N(RIGHT([PAPEL],1)="4"),[Div Base])*[Unit PN],[Div Base])</f>
        <v>1.0275188178221877</v>
      </c>
      <c r="AS218" s="15" t="str">
        <f>IF(AND([% A.A.]&gt;=6%,SUMPRODUCT(N([Nome]=Tabela3[[#This Row],[Nome]]),[PL])&gt;0,[Rentabilidade s/ PL]&gt;=[Rentabilidade s/ PL Média]),"Sim","Não")</f>
        <v>Não</v>
      </c>
      <c r="AT218" s="42">
        <f>IF([Cotação]&gt;0,Tabela3[[#This Row],[Lucro]]/Tabela3[[#This Row],[Cotação]],0)</f>
        <v>2.3757660527680639E-2</v>
      </c>
      <c r="AU218" s="19">
        <f>((1+Tabela3[[#This Row],[% Yield]])^(1/(3*Tabela3[[#This Row],[Ref]])))^(12)-1</f>
        <v>3.1801653078037395E-2</v>
      </c>
      <c r="AV218" s="14">
        <f>IF([Cotação]&gt;0,($BH$1/Tabela3[[#This Row],[Cotação]]-MOD($BH$1/Tabela3[[#This Row],[Cotação]],100)),)</f>
        <v>0</v>
      </c>
      <c r="AW218" s="17">
        <f>Tabela3[[#This Row],[Ativos]]*[Lucro]</f>
        <v>0</v>
      </c>
      <c r="AX218" s="5">
        <f>SUMPRODUCT(N(Tabela1[Código]=Tabela3[[#This Row],[PAPEL]]),Tabela1[Fechamento])</f>
        <v>43.25</v>
      </c>
      <c r="AY218" s="5">
        <f>SUMPRODUCT(N(Tabela17[Código]=Tabela3[[#This Row],[PAPEL]]),Tabela17[Fechamento])</f>
        <v>0</v>
      </c>
      <c r="AZ218" s="7">
        <f>SUMPRODUCT(N(Tabela176[Código]=Tabela3[[#This Row],[PAPEL]]),Tabela176[Fechamento])</f>
        <v>0</v>
      </c>
      <c r="BA218" s="7">
        <f>SUMPRODUCT(N(Tabela1768[Código]=Tabela3[[#This Row],[PAPEL]]),Tabela1768[Fechamento])</f>
        <v>0</v>
      </c>
      <c r="BB218" s="7">
        <f>SUMPRODUCT(N(Tabela17683[Código]=Tabela3[[#This Row],[PAPEL]]),Tabela17683[Fechamento])</f>
        <v>0</v>
      </c>
    </row>
    <row r="219" spans="1:54" hidden="1">
      <c r="A219" s="4" t="s">
        <v>14</v>
      </c>
      <c r="B219" s="57" t="s">
        <v>203</v>
      </c>
      <c r="C219" s="14" t="str">
        <f>LEFT([PAPEL],LEN([PAPEL])-(LEN([PAPEL])-4))</f>
        <v>BGIP</v>
      </c>
      <c r="D219" s="15">
        <v>3</v>
      </c>
      <c r="E219" s="6">
        <v>160000000</v>
      </c>
      <c r="F219" s="8">
        <v>5270721</v>
      </c>
      <c r="G219" s="86">
        <v>0.25</v>
      </c>
      <c r="H219" s="15"/>
      <c r="I219" s="19"/>
      <c r="J219" s="19">
        <v>0.1</v>
      </c>
      <c r="K219" s="88"/>
      <c r="L219" s="88"/>
      <c r="M219" s="55">
        <v>3480082000</v>
      </c>
      <c r="N219" s="55">
        <v>2153671000</v>
      </c>
      <c r="O219" s="55">
        <v>2115923000</v>
      </c>
      <c r="P219" s="6">
        <v>273287000</v>
      </c>
      <c r="Q219" s="6">
        <v>47071000</v>
      </c>
      <c r="R219" s="6">
        <f>IF(Tabela3[[#This Row],[Ativo || Passivo]]&gt;0,Tabela3[[#This Row],[Ativo || Passivo]]-Tabela3[[#This Row],[Patrimônio Líquido]],0)</f>
        <v>3206795000</v>
      </c>
      <c r="S219" s="6">
        <f>Tabela3[[#This Row],[Cotação]]*Tabela3[[#This Row],[Total Ações]]</f>
        <v>448011285</v>
      </c>
      <c r="T219" s="132">
        <f>IF(Tabela3[[#This Row],[Passivo Circulante]]&gt;0,Tabela3[[#This Row],[Ativo Circulante]]/Tabela3[[#This Row],[Passivo Circulante]],0)</f>
        <v>1.0178399686567043</v>
      </c>
      <c r="U219" s="132">
        <f>SUMPRODUCT(N([Liquidez Corrente]&gt;0),N(RIGHT([PAPEL],LEN([PAPEL])-(LEN([PAPEL])-1))="3"),[Liquidez Corrente])/SUMPRODUCT(N([Liquidez Corrente]&gt;0),N(RIGHT([PAPEL],LEN([PAPEL])-(LEN([PAPEL])-1))="3"))</f>
        <v>2.331224473064915</v>
      </c>
      <c r="V219" s="19">
        <f>IF(Tabela3[[#This Row],[Lucro Líquido]]&gt;0,Tabela3[[#This Row],[Lucro Líquido]]/Tabela3[[#This Row],[Patrimônio Líquido]],0)</f>
        <v>0.17224017241947109</v>
      </c>
      <c r="W219" s="19">
        <f>SUMPRODUCT(N([Rentabilidade s/ PL]&gt;0),N(RIGHT([PAPEL],LEN([PAPEL])-(LEN([PAPEL])-1))="3"),[Rentabilidade s/ PL])/SUMPRODUCT(N([Rentabilidade s/ PL]&gt;0),N(RIGHT([PAPEL],LEN([PAPEL])-(LEN([PAPEL])-1))="3"))</f>
        <v>0.1261051308670782</v>
      </c>
      <c r="X219" s="19">
        <f>IF(Tabela3[[#This Row],[Dívida]]&gt;0,Tabela3[[#This Row],[Dívida]]/Tabela3[[#This Row],[Patrimônio Líquido]],0)</f>
        <v>11.734165913490214</v>
      </c>
      <c r="Y219" s="19">
        <f>SUMPRODUCT(N([Dívida / PL]&gt;0),N(RIGHT([PAPEL],LEN([PAPEL])-(LEN([PAPEL])-1))="3"),[Dívida / PL])/SUMPRODUCT(N([Dívida / PL]&gt;0),N(RIGHT([PAPEL],LEN([PAPEL])-(LEN([PAPEL])-1))="3"))</f>
        <v>2.1510410379481146</v>
      </c>
      <c r="Z219" s="6">
        <f>Tabela3[[#This Row],[Capital Social]]*20%</f>
        <v>32000000</v>
      </c>
      <c r="AA219" s="6">
        <f>IF(([Lucro Líquido]*5%)&gt;[Teto R. Legal],[Teto R. Legal],[Lucro Líquido]*5%)</f>
        <v>2353550</v>
      </c>
      <c r="AB219" s="6">
        <f>IF([Lucro Líquido]&lt;0,0,[Lucro Líquido]-[Reserva Legal])</f>
        <v>44717450</v>
      </c>
      <c r="AC219" s="6">
        <f>Tabela3[[#This Row],[Lucro Distribuir]]*[%Div]</f>
        <v>11179362.5</v>
      </c>
      <c r="AD219" s="21">
        <f>SUMPRODUCT(N([Nome]=Tabela3[[#This Row],[Nome]]),[Ações])</f>
        <v>10541442</v>
      </c>
      <c r="AE219" s="6">
        <f>[Capital Social]/[Total Ações]</f>
        <v>15.178189094053735</v>
      </c>
      <c r="AF219" s="78">
        <f>Tabela3[[#This Row],[Lucro Líquido]]/Tabela3[[#This Row],[Total Ações]]</f>
        <v>4.4653283677887714</v>
      </c>
      <c r="AG219" s="78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1.1302707011527591</v>
      </c>
      <c r="AH219" s="78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219" s="78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219" s="78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1.1302707011527591</v>
      </c>
      <c r="AK219" s="6">
        <f>[Div Base]*[Ações]</f>
        <v>5957341.5202505719</v>
      </c>
      <c r="AL219" s="6">
        <f>SUMPRODUCT(N([Nome]=Tabela3[[#This Row],[Nome]]),[Div Base]*[Ações])</f>
        <v>11373106.531241151</v>
      </c>
      <c r="AM219" s="6">
        <f>[Patrimônio Líquido]/[Total Ações]</f>
        <v>25.925011018416644</v>
      </c>
      <c r="AN219" s="48">
        <f>MAX(Tabela3[[#This Row],[Cotação 1]:[Cotação 5]])</f>
        <v>42.5</v>
      </c>
      <c r="AO219" s="44">
        <f>[Cotação]/[VPA]</f>
        <v>1.6393435655556248</v>
      </c>
      <c r="AP219" s="40">
        <f>IF(Tabela3[[#This Row],[Lucro/Ação]]&gt;0,Tabela3[[#This Row],[Cotação]]/(Tabela3[[#This Row],[Lucro/Ação]]/[Ref]*4),0)</f>
        <v>7.138332811072635</v>
      </c>
      <c r="AQ219" s="78">
        <f>[Lucro Distribuir]/[Total Ações]</f>
        <v>4.242061949399333</v>
      </c>
      <c r="AR219" s="78">
        <f>IF([Unit ON]&gt;0,SUMPRODUCT(N([Nome]=Tabela3[[#This Row],[Nome]]),N(RIGHT([PAPEL],1)="3"),[Div Base])*[Unit ON]+SUMPRODUCT(N([Nome]=Tabela3[[#This Row],[Nome]]),N(RIGHT([PAPEL],1)="4"),[Div Base])*[Unit PN],[Div Base])</f>
        <v>1.1302707011527591</v>
      </c>
      <c r="AS219" s="15" t="str">
        <f>IF(AND([% A.A.]&gt;=6%,SUMPRODUCT(N([Nome]=Tabela3[[#This Row],[Nome]]),[PL])&gt;0,[Rentabilidade s/ PL]&gt;=[Rentabilidade s/ PL Média]),"Sim","Não")</f>
        <v>Não</v>
      </c>
      <c r="AT219" s="42">
        <f>IF([Cotação]&gt;0,Tabela3[[#This Row],[Lucro]]/Tabela3[[#This Row],[Cotação]],0)</f>
        <v>2.6594604733006094E-2</v>
      </c>
      <c r="AU219" s="19">
        <f>((1+Tabela3[[#This Row],[% Yield]])^(1/(3*Tabela3[[#This Row],[Ref]])))^(12)-1</f>
        <v>3.5615726033161765E-2</v>
      </c>
      <c r="AV219" s="14">
        <f>IF([Cotação]&gt;0,($BH$1/Tabela3[[#This Row],[Cotação]]-MOD($BH$1/Tabela3[[#This Row],[Cotação]],100)),)</f>
        <v>0</v>
      </c>
      <c r="AW219" s="17">
        <f>Tabela3[[#This Row],[Ativos]]*[Lucro]</f>
        <v>0</v>
      </c>
      <c r="AX219" s="5">
        <f>SUMPRODUCT(N(Tabela1[Código]=Tabela3[[#This Row],[PAPEL]]),Tabela1[Fechamento])</f>
        <v>42.5</v>
      </c>
      <c r="AY219" s="5">
        <f>SUMPRODUCT(N(Tabela17[Código]=Tabela3[[#This Row],[PAPEL]]),Tabela17[Fechamento])</f>
        <v>0</v>
      </c>
      <c r="AZ219" s="7">
        <f>SUMPRODUCT(N(Tabela176[Código]=Tabela3[[#This Row],[PAPEL]]),Tabela176[Fechamento])</f>
        <v>0</v>
      </c>
      <c r="BA219" s="7">
        <f>SUMPRODUCT(N(Tabela1768[Código]=Tabela3[[#This Row],[PAPEL]]),Tabela1768[Fechamento])</f>
        <v>0</v>
      </c>
      <c r="BB219" s="7">
        <f>SUMPRODUCT(N(Tabela17683[Código]=Tabela3[[#This Row],[PAPEL]]),Tabela17683[Fechamento])</f>
        <v>0</v>
      </c>
    </row>
    <row r="220" spans="1:54" hidden="1">
      <c r="A220" s="4" t="s">
        <v>14</v>
      </c>
      <c r="B220" s="57" t="s">
        <v>196</v>
      </c>
      <c r="C220" s="14" t="str">
        <f>LEFT([PAPEL],LEN([PAPEL])-(LEN([PAPEL])-4))</f>
        <v>BRIV</v>
      </c>
      <c r="D220" s="15">
        <v>3</v>
      </c>
      <c r="E220" s="6">
        <v>524000000</v>
      </c>
      <c r="F220" s="8">
        <v>53948999</v>
      </c>
      <c r="G220" s="86">
        <v>0.25</v>
      </c>
      <c r="H220" s="15"/>
      <c r="I220" s="19"/>
      <c r="J220" s="19"/>
      <c r="K220" s="88"/>
      <c r="L220" s="88"/>
      <c r="M220" s="13">
        <v>13174261000</v>
      </c>
      <c r="N220" s="13">
        <v>7758446000</v>
      </c>
      <c r="O220" s="13">
        <v>7319074000</v>
      </c>
      <c r="P220" s="6">
        <v>1179411000</v>
      </c>
      <c r="Q220" s="6">
        <v>46761000</v>
      </c>
      <c r="R220" s="6">
        <f>IF(Tabela3[[#This Row],[Ativo || Passivo]]&gt;0,Tabela3[[#This Row],[Ativo || Passivo]]-Tabela3[[#This Row],[Patrimônio Líquido]],0)</f>
        <v>11994850000</v>
      </c>
      <c r="S220" s="6">
        <f>Tabela3[[#This Row],[Cotação]]*Tabela3[[#This Row],[Total Ações]]</f>
        <v>596383892.12</v>
      </c>
      <c r="T220" s="132">
        <f>IF(Tabela3[[#This Row],[Passivo Circulante]]&gt;0,Tabela3[[#This Row],[Ativo Circulante]]/Tabela3[[#This Row],[Passivo Circulante]],0)</f>
        <v>1.0600310913648365</v>
      </c>
      <c r="U220" s="132">
        <f>SUMPRODUCT(N([Liquidez Corrente]&gt;0),N(RIGHT([PAPEL],LEN([PAPEL])-(LEN([PAPEL])-1))="3"),[Liquidez Corrente])/SUMPRODUCT(N([Liquidez Corrente]&gt;0),N(RIGHT([PAPEL],LEN([PAPEL])-(LEN([PAPEL])-1))="3"))</f>
        <v>2.331224473064915</v>
      </c>
      <c r="V220" s="19">
        <f>IF(Tabela3[[#This Row],[Lucro Líquido]]&gt;0,Tabela3[[#This Row],[Lucro Líquido]]/Tabela3[[#This Row],[Patrimônio Líquido]],0)</f>
        <v>3.9647756380091416E-2</v>
      </c>
      <c r="W220" s="19">
        <f>SUMPRODUCT(N([Rentabilidade s/ PL]&gt;0),N(RIGHT([PAPEL],LEN([PAPEL])-(LEN([PAPEL])-1))="3"),[Rentabilidade s/ PL])/SUMPRODUCT(N([Rentabilidade s/ PL]&gt;0),N(RIGHT([PAPEL],LEN([PAPEL])-(LEN([PAPEL])-1))="3"))</f>
        <v>0.1261051308670782</v>
      </c>
      <c r="X220" s="19">
        <f>IF(Tabela3[[#This Row],[Dívida]]&gt;0,Tabela3[[#This Row],[Dívida]]/Tabela3[[#This Row],[Patrimônio Líquido]],0)</f>
        <v>10.17020360162827</v>
      </c>
      <c r="Y220" s="19">
        <f>SUMPRODUCT(N([Dívida / PL]&gt;0),N(RIGHT([PAPEL],LEN([PAPEL])-(LEN([PAPEL])-1))="3"),[Dívida / PL])/SUMPRODUCT(N([Dívida / PL]&gt;0),N(RIGHT([PAPEL],LEN([PAPEL])-(LEN([PAPEL])-1))="3"))</f>
        <v>2.1510410379481146</v>
      </c>
      <c r="Z220" s="6">
        <f>Tabela3[[#This Row],[Capital Social]]*20%</f>
        <v>104800000</v>
      </c>
      <c r="AA220" s="6">
        <f>IF(([Lucro Líquido]*5%)&gt;[Teto R. Legal],[Teto R. Legal],[Lucro Líquido]*5%)</f>
        <v>2338050</v>
      </c>
      <c r="AB220" s="6">
        <f>IF([Lucro Líquido]&lt;0,0,[Lucro Líquido]-[Reserva Legal])</f>
        <v>44422950</v>
      </c>
      <c r="AC220" s="6">
        <f>Tabela3[[#This Row],[Lucro Distribuir]]*[%Div]</f>
        <v>11105737.5</v>
      </c>
      <c r="AD220" s="21">
        <f>SUMPRODUCT(N([Nome]=Tabela3[[#This Row],[Nome]]),[Ações])</f>
        <v>90224492</v>
      </c>
      <c r="AE220" s="6">
        <f>[Capital Social]/[Total Ações]</f>
        <v>5.8077356645022729</v>
      </c>
      <c r="AF220" s="78">
        <f>Tabela3[[#This Row],[Lucro Líquido]]/Tabela3[[#This Row],[Total Ações]]</f>
        <v>0.51827390726677625</v>
      </c>
      <c r="AG220" s="78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0.12309005297585937</v>
      </c>
      <c r="AH220" s="78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220" s="78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220" s="78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</v>
      </c>
      <c r="AK220" s="6">
        <f>[Div Base]*[Ações]</f>
        <v>0</v>
      </c>
      <c r="AL220" s="6">
        <f>SUMPRODUCT(N([Nome]=Tabela3[[#This Row],[Nome]]),[Div Base]*[Ações])</f>
        <v>12640708.466610152</v>
      </c>
      <c r="AM220" s="6">
        <f>[Patrimônio Líquido]/[Total Ações]</f>
        <v>13.071960549248645</v>
      </c>
      <c r="AN220" s="48">
        <f>MAX(Tabela3[[#This Row],[Cotação 1]:[Cotação 5]])</f>
        <v>6.61</v>
      </c>
      <c r="AO220" s="44">
        <f>[Cotação]/[VPA]</f>
        <v>0.50566248078066089</v>
      </c>
      <c r="AP220" s="40">
        <f>IF(Tabela3[[#This Row],[Lucro/Ação]]&gt;0,Tabela3[[#This Row],[Cotação]]/(Tabela3[[#This Row],[Lucro/Ação]]/[Ref]*4),0)</f>
        <v>9.5654053397061674</v>
      </c>
      <c r="AQ220" s="78">
        <f>[Lucro Distribuir]/[Total Ações]</f>
        <v>0.49236021190343748</v>
      </c>
      <c r="AR220" s="78">
        <f>IF([Unit ON]&gt;0,SUMPRODUCT(N([Nome]=Tabela3[[#This Row],[Nome]]),N(RIGHT([PAPEL],1)="3"),[Div Base])*[Unit ON]+SUMPRODUCT(N([Nome]=Tabela3[[#This Row],[Nome]]),N(RIGHT([PAPEL],1)="4"),[Div Base])*[Unit PN],[Div Base])</f>
        <v>0</v>
      </c>
      <c r="AS220" s="15" t="str">
        <f>IF(AND([% A.A.]&gt;=6%,SUMPRODUCT(N([Nome]=Tabela3[[#This Row],[Nome]]),[PL])&gt;0,[Rentabilidade s/ PL]&gt;=[Rentabilidade s/ PL Média]),"Sim","Não")</f>
        <v>Não</v>
      </c>
      <c r="AT220" s="42">
        <f>IF([Cotação]&gt;0,Tabela3[[#This Row],[Lucro]]/Tabela3[[#This Row],[Cotação]],0)</f>
        <v>0</v>
      </c>
      <c r="AU220" s="19">
        <f>((1+Tabela3[[#This Row],[% Yield]])^(1/(3*Tabela3[[#This Row],[Ref]])))^(12)-1</f>
        <v>0</v>
      </c>
      <c r="AV220" s="14">
        <f>IF([Cotação]&gt;0,($BH$1/Tabela3[[#This Row],[Cotação]]-MOD($BH$1/Tabela3[[#This Row],[Cotação]],100)),)</f>
        <v>0</v>
      </c>
      <c r="AW220" s="17">
        <f>Tabela3[[#This Row],[Ativos]]*[Lucro]</f>
        <v>0</v>
      </c>
      <c r="AX220" s="5">
        <f>SUMPRODUCT(N(Tabela1[Código]=Tabela3[[#This Row],[PAPEL]]),Tabela1[Fechamento])</f>
        <v>6.61</v>
      </c>
      <c r="AY220" s="5">
        <f>SUMPRODUCT(N(Tabela17[Código]=Tabela3[[#This Row],[PAPEL]]),Tabela17[Fechamento])</f>
        <v>0</v>
      </c>
      <c r="AZ220" s="7">
        <f>SUMPRODUCT(N(Tabela176[Código]=Tabela3[[#This Row],[PAPEL]]),Tabela176[Fechamento])</f>
        <v>0</v>
      </c>
      <c r="BA220" s="7">
        <f>SUMPRODUCT(N(Tabela1768[Código]=Tabela3[[#This Row],[PAPEL]]),Tabela1768[Fechamento])</f>
        <v>0</v>
      </c>
      <c r="BB220" s="7">
        <f>SUMPRODUCT(N(Tabela17683[Código]=Tabela3[[#This Row],[PAPEL]]),Tabela17683[Fechamento])</f>
        <v>0</v>
      </c>
    </row>
    <row r="221" spans="1:54" hidden="1">
      <c r="A221" s="4" t="s">
        <v>14</v>
      </c>
      <c r="B221" s="57" t="s">
        <v>197</v>
      </c>
      <c r="C221" s="14" t="str">
        <f>LEFT([PAPEL],LEN([PAPEL])-(LEN([PAPEL])-4))</f>
        <v>BRIV</v>
      </c>
      <c r="D221" s="15">
        <v>3</v>
      </c>
      <c r="E221" s="6">
        <v>524000000</v>
      </c>
      <c r="F221" s="8">
        <v>36275493</v>
      </c>
      <c r="G221" s="81">
        <v>0.25</v>
      </c>
      <c r="H221" s="15"/>
      <c r="I221" s="19">
        <v>0.06</v>
      </c>
      <c r="J221" s="19"/>
      <c r="K221" s="88"/>
      <c r="L221" s="88"/>
      <c r="M221" s="13">
        <v>13174261000</v>
      </c>
      <c r="N221" s="13">
        <v>7758446000</v>
      </c>
      <c r="O221" s="13">
        <v>7319074000</v>
      </c>
      <c r="P221" s="6">
        <v>1179411000</v>
      </c>
      <c r="Q221" s="6">
        <v>46761000</v>
      </c>
      <c r="R221" s="6">
        <f>IF(Tabela3[[#This Row],[Ativo || Passivo]]&gt;0,Tabela3[[#This Row],[Ativo || Passivo]]-Tabela3[[#This Row],[Patrimônio Líquido]],0)</f>
        <v>11994850000</v>
      </c>
      <c r="S221" s="13">
        <f>Tabela3[[#This Row],[Cotação]]*Tabela3[[#This Row],[Total Ações]]</f>
        <v>514279604.40000004</v>
      </c>
      <c r="T221" s="132">
        <f>IF(Tabela3[[#This Row],[Passivo Circulante]]&gt;0,Tabela3[[#This Row],[Ativo Circulante]]/Tabela3[[#This Row],[Passivo Circulante]],0)</f>
        <v>1.0600310913648365</v>
      </c>
      <c r="U221" s="132">
        <f>SUMPRODUCT(N([Liquidez Corrente]&gt;0),N(RIGHT([PAPEL],LEN([PAPEL])-(LEN([PAPEL])-1))="3"),[Liquidez Corrente])/SUMPRODUCT(N([Liquidez Corrente]&gt;0),N(RIGHT([PAPEL],LEN([PAPEL])-(LEN([PAPEL])-1))="3"))</f>
        <v>2.331224473064915</v>
      </c>
      <c r="V221" s="19">
        <f>IF(Tabela3[[#This Row],[Lucro Líquido]]&gt;0,Tabela3[[#This Row],[Lucro Líquido]]/Tabela3[[#This Row],[Patrimônio Líquido]],0)</f>
        <v>3.9647756380091416E-2</v>
      </c>
      <c r="W221" s="19">
        <f>SUMPRODUCT(N([Rentabilidade s/ PL]&gt;0),N(RIGHT([PAPEL],LEN([PAPEL])-(LEN([PAPEL])-1))="3"),[Rentabilidade s/ PL])/SUMPRODUCT(N([Rentabilidade s/ PL]&gt;0),N(RIGHT([PAPEL],LEN([PAPEL])-(LEN([PAPEL])-1))="3"))</f>
        <v>0.1261051308670782</v>
      </c>
      <c r="X221" s="19">
        <f>IF(Tabela3[[#This Row],[Dívida]]&gt;0,Tabela3[[#This Row],[Dívida]]/Tabela3[[#This Row],[Patrimônio Líquido]],0)</f>
        <v>10.17020360162827</v>
      </c>
      <c r="Y221" s="19">
        <f>SUMPRODUCT(N([Dívida / PL]&gt;0),N(RIGHT([PAPEL],LEN([PAPEL])-(LEN([PAPEL])-1))="3"),[Dívida / PL])/SUMPRODUCT(N([Dívida / PL]&gt;0),N(RIGHT([PAPEL],LEN([PAPEL])-(LEN([PAPEL])-1))="3"))</f>
        <v>2.1510410379481146</v>
      </c>
      <c r="Z221" s="6">
        <f>Tabela3[[#This Row],[Capital Social]]*20%</f>
        <v>104800000</v>
      </c>
      <c r="AA221" s="6">
        <f>IF(([Lucro Líquido]*5%)&gt;[Teto R. Legal],[Teto R. Legal],[Lucro Líquido]*5%)</f>
        <v>2338050</v>
      </c>
      <c r="AB221" s="6">
        <f>IF([Lucro Líquido]&lt;0,0,[Lucro Líquido]-[Reserva Legal])</f>
        <v>44422950</v>
      </c>
      <c r="AC221" s="6">
        <f>Tabela3[[#This Row],[Lucro Distribuir]]*[%Div]</f>
        <v>11105737.5</v>
      </c>
      <c r="AD221" s="21">
        <f>SUMPRODUCT(N([Nome]=Tabela3[[#This Row],[Nome]]),[Ações])</f>
        <v>90224492</v>
      </c>
      <c r="AE221" s="6">
        <f>[Capital Social]/[Total Ações]</f>
        <v>5.8077356645022729</v>
      </c>
      <c r="AF221" s="78">
        <f>Tabela3[[#This Row],[Lucro Líquido]]/Tabela3[[#This Row],[Total Ações]]</f>
        <v>0.51827390726677625</v>
      </c>
      <c r="AG221" s="78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0.12309005297585937</v>
      </c>
      <c r="AH221" s="78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221" s="78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0.34846413987013636</v>
      </c>
      <c r="AJ221" s="78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0.34846413987013636</v>
      </c>
      <c r="AK221" s="6">
        <f>[Div Base]*[Ações]</f>
        <v>12640708.466610152</v>
      </c>
      <c r="AL221" s="6">
        <f>SUMPRODUCT(N([Nome]=Tabela3[[#This Row],[Nome]]),[Div Base]*[Ações])</f>
        <v>12640708.466610152</v>
      </c>
      <c r="AM221" s="6">
        <f>[Patrimônio Líquido]/[Total Ações]</f>
        <v>13.071960549248645</v>
      </c>
      <c r="AN221" s="48">
        <f>MAX(Tabela3[[#This Row],[Cotação 1]:[Cotação 5]])</f>
        <v>5.7</v>
      </c>
      <c r="AO221" s="44">
        <f>[Cotação]/[VPA]</f>
        <v>0.43604782760208272</v>
      </c>
      <c r="AP221" s="40">
        <f>IF(Tabela3[[#This Row],[Lucro/Ação]]&gt;0,Tabela3[[#This Row],[Cotação]]/(Tabela3[[#This Row],[Lucro/Ação]]/[Ref]*4),0)</f>
        <v>8.2485341053441985</v>
      </c>
      <c r="AQ221" s="78">
        <f>[Lucro Distribuir]/[Total Ações]</f>
        <v>0.49236021190343748</v>
      </c>
      <c r="AR221" s="78">
        <f>IF([Unit ON]&gt;0,SUMPRODUCT(N([Nome]=Tabela3[[#This Row],[Nome]]),N(RIGHT([PAPEL],1)="3"),[Div Base])*[Unit ON]+SUMPRODUCT(N([Nome]=Tabela3[[#This Row],[Nome]]),N(RIGHT([PAPEL],1)="4"),[Div Base])*[Unit PN],[Div Base])</f>
        <v>0.34846413987013636</v>
      </c>
      <c r="AS221" s="15" t="str">
        <f>IF(AND([% A.A.]&gt;=6%,SUMPRODUCT(N([Nome]=Tabela3[[#This Row],[Nome]]),[PL])&gt;0,[Rentabilidade s/ PL]&gt;=[Rentabilidade s/ PL Média]),"Sim","Não")</f>
        <v>Não</v>
      </c>
      <c r="AT221" s="42">
        <f>IF([Cotação]&gt;0,Tabela3[[#This Row],[Lucro]]/Tabela3[[#This Row],[Cotação]],0)</f>
        <v>6.1134059626339707E-2</v>
      </c>
      <c r="AU221" s="19">
        <f>((1+Tabela3[[#This Row],[% Yield]])^(1/(3*Tabela3[[#This Row],[Ref]])))^(12)-1</f>
        <v>8.2331602259590353E-2</v>
      </c>
      <c r="AV221" s="14">
        <f>IF([Cotação]&gt;0,($BH$1/Tabela3[[#This Row],[Cotação]]-MOD($BH$1/Tabela3[[#This Row],[Cotação]],100)),)</f>
        <v>0</v>
      </c>
      <c r="AW221" s="17">
        <f>Tabela3[[#This Row],[Ativos]]*[Lucro]</f>
        <v>0</v>
      </c>
      <c r="AX221" s="5">
        <f>SUMPRODUCT(N(Tabela1[Código]=Tabela3[[#This Row],[PAPEL]]),Tabela1[Fechamento])</f>
        <v>5.7</v>
      </c>
      <c r="AY221" s="5">
        <f>SUMPRODUCT(N(Tabela17[Código]=Tabela3[[#This Row],[PAPEL]]),Tabela17[Fechamento])</f>
        <v>0</v>
      </c>
      <c r="AZ221" s="7">
        <f>SUMPRODUCT(N(Tabela176[Código]=Tabela3[[#This Row],[PAPEL]]),Tabela176[Fechamento])</f>
        <v>0</v>
      </c>
      <c r="BA221" s="7">
        <f>SUMPRODUCT(N(Tabela1768[Código]=Tabela3[[#This Row],[PAPEL]]),Tabela1768[Fechamento])</f>
        <v>0</v>
      </c>
      <c r="BB221" s="7">
        <f>SUMPRODUCT(N(Tabela17683[Código]=Tabela3[[#This Row],[PAPEL]]),Tabela17683[Fechamento])</f>
        <v>0</v>
      </c>
    </row>
    <row r="222" spans="1:54" hidden="1">
      <c r="A222" s="3" t="s">
        <v>1441</v>
      </c>
      <c r="B222" s="57" t="s">
        <v>1442</v>
      </c>
      <c r="C222" s="16" t="str">
        <f>LEFT([PAPEL],LEN([PAPEL])-(LEN([PAPEL])-4))</f>
        <v>SHUL</v>
      </c>
      <c r="D222" s="16">
        <v>3</v>
      </c>
      <c r="E222" s="5">
        <v>201852798.03999999</v>
      </c>
      <c r="F222" s="56">
        <v>27266565</v>
      </c>
      <c r="G222" s="81">
        <v>0.25</v>
      </c>
      <c r="H222" s="87"/>
      <c r="J222" s="18"/>
      <c r="K222" s="16"/>
      <c r="L222" s="87"/>
      <c r="M222" s="54"/>
      <c r="N222" s="54"/>
      <c r="O222" s="54"/>
      <c r="P222" s="91">
        <v>354793000</v>
      </c>
      <c r="Q222" s="73">
        <v>43344000</v>
      </c>
      <c r="R222" s="73">
        <f>IF(Tabela3[[#This Row],[Ativo || Passivo]]&gt;0,Tabela3[[#This Row],[Ativo || Passivo]]-Tabela3[[#This Row],[Patrimônio Líquido]],0)</f>
        <v>0</v>
      </c>
      <c r="S222" s="73">
        <f>Tabela3[[#This Row],[Cotação]]*Tabela3[[#This Row],[Total Ações]]</f>
        <v>0</v>
      </c>
      <c r="T222" s="37">
        <f>IF(Tabela3[[#This Row],[Passivo Circulante]]&gt;0,Tabela3[[#This Row],[Ativo Circulante]]/Tabela3[[#This Row],[Passivo Circulante]],0)</f>
        <v>0</v>
      </c>
      <c r="U222" s="37">
        <f>SUMPRODUCT(N([Liquidez Corrente]&gt;0),N(RIGHT([PAPEL],LEN([PAPEL])-(LEN([PAPEL])-1))="3"),[Liquidez Corrente])/SUMPRODUCT(N([Liquidez Corrente]&gt;0),N(RIGHT([PAPEL],LEN([PAPEL])-(LEN([PAPEL])-1))="3"))</f>
        <v>2.331224473064915</v>
      </c>
      <c r="V222" s="18">
        <f>IF(Tabela3[[#This Row],[Lucro Líquido]]&gt;0,Tabela3[[#This Row],[Lucro Líquido]]/Tabela3[[#This Row],[Patrimônio Líquido]],0)</f>
        <v>0.12216701005938674</v>
      </c>
      <c r="W222" s="18">
        <f>SUMPRODUCT(N([Rentabilidade s/ PL]&gt;0),N(RIGHT([PAPEL],LEN([PAPEL])-(LEN([PAPEL])-1))="3"),[Rentabilidade s/ PL])/SUMPRODUCT(N([Rentabilidade s/ PL]&gt;0),N(RIGHT([PAPEL],LEN([PAPEL])-(LEN([PAPEL])-1))="3"))</f>
        <v>0.1261051308670782</v>
      </c>
      <c r="X222" s="18">
        <f>IF(Tabela3[[#This Row],[Dívida]]&gt;0,Tabela3[[#This Row],[Dívida]]/Tabela3[[#This Row],[Patrimônio Líquido]],0)</f>
        <v>0</v>
      </c>
      <c r="Y222" s="18">
        <f>SUMPRODUCT(N([Dívida / PL]&gt;0),N(RIGHT([PAPEL],LEN([PAPEL])-(LEN([PAPEL])-1))="3"),[Dívida / PL])/SUMPRODUCT(N([Dívida / PL]&gt;0),N(RIGHT([PAPEL],LEN([PAPEL])-(LEN([PAPEL])-1))="3"))</f>
        <v>2.1510410379481146</v>
      </c>
      <c r="Z222" s="7">
        <f>Tabela3[[#This Row],[Capital Social]]*20%</f>
        <v>40370559.608000003</v>
      </c>
      <c r="AA222" s="47">
        <f>IF(([Lucro Líquido]*5%)&gt;[Teto R. Legal],[Teto R. Legal],[Lucro Líquido]*5%)</f>
        <v>2167200</v>
      </c>
      <c r="AB222" s="47">
        <f>IF([Lucro Líquido]&lt;0,0,[Lucro Líquido]-[Reserva Legal])</f>
        <v>41176800</v>
      </c>
      <c r="AC222" s="47">
        <f>Tabela3[[#This Row],[Lucro Distribuir]]*[%Div]</f>
        <v>10294200</v>
      </c>
      <c r="AD222" s="56">
        <f>SUMPRODUCT(N([Nome]=Tabela3[[#This Row],[Nome]]),[Ações])</f>
        <v>63817490</v>
      </c>
      <c r="AE222" s="85">
        <f>[Capital Social]/[Total Ações]</f>
        <v>3.1629698698585607</v>
      </c>
      <c r="AF222" s="85">
        <f>Tabela3[[#This Row],[Lucro Líquido]]/Tabela3[[#This Row],[Total Ações]]</f>
        <v>0.6791868498745407</v>
      </c>
      <c r="AG222" s="85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0.15628800652101923</v>
      </c>
      <c r="AH222" s="85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222" s="77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222" s="85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0.15628800652101923</v>
      </c>
      <c r="AK222" s="7">
        <f>[Div Base]*[Ações]</f>
        <v>4261437.0885257944</v>
      </c>
      <c r="AL222" s="120">
        <f>SUMPRODUCT(N([Nome]=Tabela3[[#This Row],[Nome]]),[Div Base]*[Ações])</f>
        <v>10545155.422358043</v>
      </c>
      <c r="AM222" s="5">
        <f>[Patrimônio Líquido]/[Total Ações]</f>
        <v>5.5594947403917017</v>
      </c>
      <c r="AN222" s="52">
        <f>MAX(Tabela3[[#This Row],[Cotação 1]:[Cotação 5]])</f>
        <v>0</v>
      </c>
      <c r="AO222" s="53">
        <f>[Cotação]/[VPA]</f>
        <v>0</v>
      </c>
      <c r="AP222" s="37">
        <f>IF(Tabela3[[#This Row],[Lucro/Ação]]&gt;0,Tabela3[[#This Row],[Cotação]]/(Tabela3[[#This Row],[Lucro/Ação]]/[Ref]*4),0)</f>
        <v>0</v>
      </c>
      <c r="AQ222" s="85">
        <f>[Lucro Distribuir]/[Total Ações]</f>
        <v>0.64522750738081358</v>
      </c>
      <c r="AR222" s="85">
        <f>IF([Unit ON]&gt;0,SUMPRODUCT(N([Nome]=Tabela3[[#This Row],[Nome]]),N(RIGHT([PAPEL],1)="3"),[Div Base])*[Unit ON]+SUMPRODUCT(N([Nome]=Tabela3[[#This Row],[Nome]]),N(RIGHT([PAPEL],1)="4"),[Div Base])*[Unit PN],[Div Base])</f>
        <v>0.15628800652101923</v>
      </c>
      <c r="AS222" s="10" t="str">
        <f>IF(AND([% A.A.]&gt;=6%,SUMPRODUCT(N([Nome]=Tabela3[[#This Row],[Nome]]),[PL])&gt;0,[Rentabilidade s/ PL]&gt;=[Rentabilidade s/ PL Média]),"Sim","Não")</f>
        <v>Não</v>
      </c>
      <c r="AT222" s="22">
        <f>IF([Cotação]&gt;0,Tabela3[[#This Row],[Lucro]]/Tabela3[[#This Row],[Cotação]],0)</f>
        <v>0</v>
      </c>
      <c r="AU222" s="22">
        <f>((1+Tabela3[[#This Row],[% Yield]])^(1/(3*Tabela3[[#This Row],[Ref]])))^(12)-1</f>
        <v>0</v>
      </c>
      <c r="AV222" s="10">
        <f>IF([Cotação]&gt;0,($BH$1/Tabela3[[#This Row],[Cotação]]-MOD($BH$1/Tabela3[[#This Row],[Cotação]],100)),)</f>
        <v>0</v>
      </c>
      <c r="AW222" s="7">
        <f>Tabela3[[#This Row],[Ativos]]*[Lucro]</f>
        <v>0</v>
      </c>
      <c r="AX222" s="7">
        <f>SUMPRODUCT(N(Tabela1[Código]=Tabela3[[#This Row],[PAPEL]]),Tabela1[Fechamento])</f>
        <v>0</v>
      </c>
      <c r="AY222" s="7">
        <f>SUMPRODUCT(N(Tabela17[Código]=Tabela3[[#This Row],[PAPEL]]),Tabela17[Fechamento])</f>
        <v>0</v>
      </c>
      <c r="AZ222" s="7">
        <f>SUMPRODUCT(N(Tabela176[Código]=Tabela3[[#This Row],[PAPEL]]),Tabela176[Fechamento])</f>
        <v>0</v>
      </c>
      <c r="BA222" s="7">
        <f>SUMPRODUCT(N(Tabela1768[Código]=Tabela3[[#This Row],[PAPEL]]),Tabela1768[Fechamento])</f>
        <v>0</v>
      </c>
      <c r="BB222" s="7">
        <f>SUMPRODUCT(N(Tabela17683[Código]=Tabela3[[#This Row],[PAPEL]]),Tabela17683[Fechamento])</f>
        <v>0</v>
      </c>
    </row>
    <row r="223" spans="1:54" hidden="1">
      <c r="A223" s="3" t="s">
        <v>1441</v>
      </c>
      <c r="B223" s="57" t="s">
        <v>1443</v>
      </c>
      <c r="C223" s="16" t="str">
        <f>LEFT([PAPEL],LEN([PAPEL])-(LEN([PAPEL])-4))</f>
        <v>SHUL</v>
      </c>
      <c r="D223" s="16">
        <v>3</v>
      </c>
      <c r="E223" s="5">
        <v>201852798.03999999</v>
      </c>
      <c r="F223" s="56">
        <v>36550925</v>
      </c>
      <c r="G223" s="81">
        <v>0.25</v>
      </c>
      <c r="H223" s="87"/>
      <c r="J223" s="18">
        <v>0.1</v>
      </c>
      <c r="K223" s="16"/>
      <c r="L223" s="87"/>
      <c r="M223" s="54"/>
      <c r="N223" s="54"/>
      <c r="O223" s="54"/>
      <c r="P223" s="91">
        <v>354793000</v>
      </c>
      <c r="Q223" s="73">
        <v>43344000</v>
      </c>
      <c r="R223" s="73">
        <f>IF(Tabela3[[#This Row],[Ativo || Passivo]]&gt;0,Tabela3[[#This Row],[Ativo || Passivo]]-Tabela3[[#This Row],[Patrimônio Líquido]],0)</f>
        <v>0</v>
      </c>
      <c r="S223" s="73">
        <f>Tabela3[[#This Row],[Cotação]]*Tabela3[[#This Row],[Total Ações]]</f>
        <v>638174900</v>
      </c>
      <c r="T223" s="37">
        <f>IF(Tabela3[[#This Row],[Passivo Circulante]]&gt;0,Tabela3[[#This Row],[Ativo Circulante]]/Tabela3[[#This Row],[Passivo Circulante]],0)</f>
        <v>0</v>
      </c>
      <c r="U223" s="37">
        <f>SUMPRODUCT(N([Liquidez Corrente]&gt;0),N(RIGHT([PAPEL],LEN([PAPEL])-(LEN([PAPEL])-1))="3"),[Liquidez Corrente])/SUMPRODUCT(N([Liquidez Corrente]&gt;0),N(RIGHT([PAPEL],LEN([PAPEL])-(LEN([PAPEL])-1))="3"))</f>
        <v>2.331224473064915</v>
      </c>
      <c r="V223" s="18">
        <f>IF(Tabela3[[#This Row],[Lucro Líquido]]&gt;0,Tabela3[[#This Row],[Lucro Líquido]]/Tabela3[[#This Row],[Patrimônio Líquido]],0)</f>
        <v>0.12216701005938674</v>
      </c>
      <c r="W223" s="18">
        <f>SUMPRODUCT(N([Rentabilidade s/ PL]&gt;0),N(RIGHT([PAPEL],LEN([PAPEL])-(LEN([PAPEL])-1))="3"),[Rentabilidade s/ PL])/SUMPRODUCT(N([Rentabilidade s/ PL]&gt;0),N(RIGHT([PAPEL],LEN([PAPEL])-(LEN([PAPEL])-1))="3"))</f>
        <v>0.1261051308670782</v>
      </c>
      <c r="X223" s="18">
        <f>IF(Tabela3[[#This Row],[Dívida]]&gt;0,Tabela3[[#This Row],[Dívida]]/Tabela3[[#This Row],[Patrimônio Líquido]],0)</f>
        <v>0</v>
      </c>
      <c r="Y223" s="18">
        <f>SUMPRODUCT(N([Dívida / PL]&gt;0),N(RIGHT([PAPEL],LEN([PAPEL])-(LEN([PAPEL])-1))="3"),[Dívida / PL])/SUMPRODUCT(N([Dívida / PL]&gt;0),N(RIGHT([PAPEL],LEN([PAPEL])-(LEN([PAPEL])-1))="3"))</f>
        <v>2.1510410379481146</v>
      </c>
      <c r="Z223" s="7">
        <f>Tabela3[[#This Row],[Capital Social]]*20%</f>
        <v>40370559.608000003</v>
      </c>
      <c r="AA223" s="47">
        <f>IF(([Lucro Líquido]*5%)&gt;[Teto R. Legal],[Teto R. Legal],[Lucro Líquido]*5%)</f>
        <v>2167200</v>
      </c>
      <c r="AB223" s="47">
        <f>IF([Lucro Líquido]&lt;0,0,[Lucro Líquido]-[Reserva Legal])</f>
        <v>41176800</v>
      </c>
      <c r="AC223" s="47">
        <f>Tabela3[[#This Row],[Lucro Distribuir]]*[%Div]</f>
        <v>10294200</v>
      </c>
      <c r="AD223" s="56">
        <f>SUMPRODUCT(N([Nome]=Tabela3[[#This Row],[Nome]]),[Ações])</f>
        <v>63817490</v>
      </c>
      <c r="AE223" s="85">
        <f>[Capital Social]/[Total Ações]</f>
        <v>3.1629698698585607</v>
      </c>
      <c r="AF223" s="85">
        <f>Tabela3[[#This Row],[Lucro Líquido]]/Tabela3[[#This Row],[Total Ações]]</f>
        <v>0.6791868498745407</v>
      </c>
      <c r="AG223" s="85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0.17191680740862919</v>
      </c>
      <c r="AH223" s="85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223" s="77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223" s="85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0.17191680740862919</v>
      </c>
      <c r="AK223" s="7">
        <f>[Div Base]*[Ações]</f>
        <v>6283718.33383225</v>
      </c>
      <c r="AL223" s="120">
        <f>SUMPRODUCT(N([Nome]=Tabela3[[#This Row],[Nome]]),[Div Base]*[Ações])</f>
        <v>10545155.422358043</v>
      </c>
      <c r="AM223" s="5">
        <f>[Patrimônio Líquido]/[Total Ações]</f>
        <v>5.5594947403917017</v>
      </c>
      <c r="AN223" s="52">
        <f>MAX(Tabela3[[#This Row],[Cotação 1]:[Cotação 5]])</f>
        <v>10</v>
      </c>
      <c r="AO223" s="53">
        <f>[Cotação]/[VPA]</f>
        <v>1.7987246084336499</v>
      </c>
      <c r="AP223" s="37">
        <f>IF(Tabela3[[#This Row],[Lucro/Ação]]&gt;0,Tabela3[[#This Row],[Cotação]]/(Tabela3[[#This Row],[Lucro/Ação]]/[Ref]*4),0)</f>
        <v>11.042616625138427</v>
      </c>
      <c r="AQ223" s="85">
        <f>[Lucro Distribuir]/[Total Ações]</f>
        <v>0.64522750738081358</v>
      </c>
      <c r="AR223" s="85">
        <f>IF([Unit ON]&gt;0,SUMPRODUCT(N([Nome]=Tabela3[[#This Row],[Nome]]),N(RIGHT([PAPEL],1)="3"),[Div Base])*[Unit ON]+SUMPRODUCT(N([Nome]=Tabela3[[#This Row],[Nome]]),N(RIGHT([PAPEL],1)="4"),[Div Base])*[Unit PN],[Div Base])</f>
        <v>0.17191680740862919</v>
      </c>
      <c r="AS223" s="10" t="str">
        <f>IF(AND([% A.A.]&gt;=6%,SUMPRODUCT(N([Nome]=Tabela3[[#This Row],[Nome]]),[PL])&gt;0,[Rentabilidade s/ PL]&gt;=[Rentabilidade s/ PL Média]),"Sim","Não")</f>
        <v>Não</v>
      </c>
      <c r="AT223" s="22">
        <f>IF([Cotação]&gt;0,Tabela3[[#This Row],[Lucro]]/Tabela3[[#This Row],[Cotação]],0)</f>
        <v>1.719168074086292E-2</v>
      </c>
      <c r="AU223" s="22">
        <f>((1+Tabela3[[#This Row],[% Yield]])^(1/(3*Tabela3[[#This Row],[Ref]])))^(12)-1</f>
        <v>2.2987670493424206E-2</v>
      </c>
      <c r="AV223" s="10">
        <f>IF([Cotação]&gt;0,($BH$1/Tabela3[[#This Row],[Cotação]]-MOD($BH$1/Tabela3[[#This Row],[Cotação]],100)),)</f>
        <v>0</v>
      </c>
      <c r="AW223" s="7">
        <f>Tabela3[[#This Row],[Ativos]]*[Lucro]</f>
        <v>0</v>
      </c>
      <c r="AX223" s="7">
        <f>SUMPRODUCT(N(Tabela1[Código]=Tabela3[[#This Row],[PAPEL]]),Tabela1[Fechamento])</f>
        <v>0</v>
      </c>
      <c r="AY223" s="7">
        <f>SUMPRODUCT(N(Tabela17[Código]=Tabela3[[#This Row],[PAPEL]]),Tabela17[Fechamento])</f>
        <v>0</v>
      </c>
      <c r="AZ223" s="7">
        <f>SUMPRODUCT(N(Tabela176[Código]=Tabela3[[#This Row],[PAPEL]]),Tabela176[Fechamento])</f>
        <v>0</v>
      </c>
      <c r="BA223" s="7">
        <f>SUMPRODUCT(N(Tabela1768[Código]=Tabela3[[#This Row],[PAPEL]]),Tabela1768[Fechamento])</f>
        <v>0</v>
      </c>
      <c r="BB223" s="7">
        <f>SUMPRODUCT(N(Tabela17683[Código]=Tabela3[[#This Row],[PAPEL]]),Tabela17683[Fechamento])</f>
        <v>10</v>
      </c>
    </row>
    <row r="224" spans="1:54" hidden="1">
      <c r="A224" s="3" t="s">
        <v>1365</v>
      </c>
      <c r="B224" s="58" t="s">
        <v>1367</v>
      </c>
      <c r="C224" s="16" t="str">
        <f>LEFT([PAPEL],LEN([PAPEL])-(LEN([PAPEL])-4))</f>
        <v>TGMA</v>
      </c>
      <c r="D224" s="16">
        <v>3</v>
      </c>
      <c r="E224" s="5">
        <v>144469396</v>
      </c>
      <c r="F224" s="56">
        <v>66002915</v>
      </c>
      <c r="G224" s="81">
        <v>0.25</v>
      </c>
      <c r="H224" s="87"/>
      <c r="J224" s="18"/>
      <c r="K224" s="16"/>
      <c r="L224" s="87"/>
      <c r="M224" s="54"/>
      <c r="N224" s="54"/>
      <c r="O224" s="54"/>
      <c r="P224" s="91">
        <v>422689000</v>
      </c>
      <c r="Q224" s="73">
        <v>43227000</v>
      </c>
      <c r="R224" s="73">
        <f>IF(Tabela3[[#This Row],[Ativo || Passivo]]&gt;0,Tabela3[[#This Row],[Ativo || Passivo]]-Tabela3[[#This Row],[Patrimônio Líquido]],0)</f>
        <v>0</v>
      </c>
      <c r="S224" s="73">
        <f>Tabela3[[#This Row],[Cotação]]*Tabela3[[#This Row],[Total Ações]]</f>
        <v>1245475006.05</v>
      </c>
      <c r="T224" s="37">
        <f>IF(Tabela3[[#This Row],[Passivo Circulante]]&gt;0,Tabela3[[#This Row],[Ativo Circulante]]/Tabela3[[#This Row],[Passivo Circulante]],0)</f>
        <v>0</v>
      </c>
      <c r="U224" s="37">
        <f>SUMPRODUCT(N([Liquidez Corrente]&gt;0),N(RIGHT([PAPEL],LEN([PAPEL])-(LEN([PAPEL])-1))="3"),[Liquidez Corrente])/SUMPRODUCT(N([Liquidez Corrente]&gt;0),N(RIGHT([PAPEL],LEN([PAPEL])-(LEN([PAPEL])-1))="3"))</f>
        <v>2.331224473064915</v>
      </c>
      <c r="V224" s="18">
        <f>IF(Tabela3[[#This Row],[Lucro Líquido]]&gt;0,Tabela3[[#This Row],[Lucro Líquido]]/Tabela3[[#This Row],[Patrimônio Líquido]],0)</f>
        <v>0.10226667833797426</v>
      </c>
      <c r="W224" s="18">
        <f>SUMPRODUCT(N([Rentabilidade s/ PL]&gt;0),N(RIGHT([PAPEL],LEN([PAPEL])-(LEN([PAPEL])-1))="3"),[Rentabilidade s/ PL])/SUMPRODUCT(N([Rentabilidade s/ PL]&gt;0),N(RIGHT([PAPEL],LEN([PAPEL])-(LEN([PAPEL])-1))="3"))</f>
        <v>0.1261051308670782</v>
      </c>
      <c r="X224" s="18">
        <f>IF(Tabela3[[#This Row],[Dívida]]&gt;0,Tabela3[[#This Row],[Dívida]]/Tabela3[[#This Row],[Patrimônio Líquido]],0)</f>
        <v>0</v>
      </c>
      <c r="Y224" s="18">
        <f>SUMPRODUCT(N([Dívida / PL]&gt;0),N(RIGHT([PAPEL],LEN([PAPEL])-(LEN([PAPEL])-1))="3"),[Dívida / PL])/SUMPRODUCT(N([Dívida / PL]&gt;0),N(RIGHT([PAPEL],LEN([PAPEL])-(LEN([PAPEL])-1))="3"))</f>
        <v>2.1510410379481146</v>
      </c>
      <c r="Z224" s="7">
        <f>Tabela3[[#This Row],[Capital Social]]*20%</f>
        <v>28893879.200000003</v>
      </c>
      <c r="AA224" s="47">
        <f>IF(([Lucro Líquido]*5%)&gt;[Teto R. Legal],[Teto R. Legal],[Lucro Líquido]*5%)</f>
        <v>2161350</v>
      </c>
      <c r="AB224" s="47">
        <f>IF([Lucro Líquido]&lt;0,0,[Lucro Líquido]-[Reserva Legal])</f>
        <v>41065650</v>
      </c>
      <c r="AC224" s="47">
        <f>Tabela3[[#This Row],[Lucro Distribuir]]*[%Div]</f>
        <v>10266412.5</v>
      </c>
      <c r="AD224" s="56">
        <f>SUMPRODUCT(N([Nome]=Tabela3[[#This Row],[Nome]]),[Ações])</f>
        <v>66002915</v>
      </c>
      <c r="AE224" s="85">
        <f>[Capital Social]/[Total Ações]</f>
        <v>2.1888335689416141</v>
      </c>
      <c r="AF224" s="85">
        <f>Tabela3[[#This Row],[Lucro Líquido]]/Tabela3[[#This Row],[Total Ações]]</f>
        <v>0.65492561957301432</v>
      </c>
      <c r="AG224" s="85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0.1555448346485909</v>
      </c>
      <c r="AH224" s="85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224" s="77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224" s="85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0.1555448346485909</v>
      </c>
      <c r="AK224" s="7">
        <f>[Div Base]*[Ações]</f>
        <v>10266412.5</v>
      </c>
      <c r="AL224" s="120">
        <f>SUMPRODUCT(N([Nome]=Tabela3[[#This Row],[Nome]]),[Div Base]*[Ações])</f>
        <v>10266412.5</v>
      </c>
      <c r="AM224" s="5">
        <f>[Patrimônio Líquido]/[Total Ações]</f>
        <v>6.4040959403080908</v>
      </c>
      <c r="AN224" s="52">
        <f>MAX(Tabela3[[#This Row],[Cotação 1]:[Cotação 5]])</f>
        <v>18.87</v>
      </c>
      <c r="AO224" s="53">
        <f>[Cotação]/[VPA]</f>
        <v>2.94655173437208</v>
      </c>
      <c r="AP224" s="37">
        <f>IF(Tabela3[[#This Row],[Lucro/Ação]]&gt;0,Tabela3[[#This Row],[Cotação]]/(Tabela3[[#This Row],[Lucro/Ação]]/[Ref]*4),0)</f>
        <v>21.609324138559234</v>
      </c>
      <c r="AQ224" s="85">
        <f>[Lucro Distribuir]/[Total Ações]</f>
        <v>0.62217933859436358</v>
      </c>
      <c r="AR224" s="85">
        <f>IF([Unit ON]&gt;0,SUMPRODUCT(N([Nome]=Tabela3[[#This Row],[Nome]]),N(RIGHT([PAPEL],1)="3"),[Div Base])*[Unit ON]+SUMPRODUCT(N([Nome]=Tabela3[[#This Row],[Nome]]),N(RIGHT([PAPEL],1)="4"),[Div Base])*[Unit PN],[Div Base])</f>
        <v>0.1555448346485909</v>
      </c>
      <c r="AS224" s="10" t="str">
        <f>IF(AND([% A.A.]&gt;=6%,SUMPRODUCT(N([Nome]=Tabela3[[#This Row],[Nome]]),[PL])&gt;0,[Rentabilidade s/ PL]&gt;=[Rentabilidade s/ PL Média]),"Sim","Não")</f>
        <v>Não</v>
      </c>
      <c r="AT224" s="22">
        <f>IF([Cotação]&gt;0,Tabela3[[#This Row],[Lucro]]/Tabela3[[#This Row],[Cotação]],0)</f>
        <v>8.2429695097292477E-3</v>
      </c>
      <c r="AU224" s="22">
        <f>((1+Tabela3[[#This Row],[% Yield]])^(1/(3*Tabela3[[#This Row],[Ref]])))^(12)-1</f>
        <v>1.1005697681735871E-2</v>
      </c>
      <c r="AV224" s="10">
        <f>IF([Cotação]&gt;0,($BH$1/Tabela3[[#This Row],[Cotação]]-MOD($BH$1/Tabela3[[#This Row],[Cotação]],100)),)</f>
        <v>0</v>
      </c>
      <c r="AW224" s="7">
        <f>Tabela3[[#This Row],[Ativos]]*[Lucro]</f>
        <v>0</v>
      </c>
      <c r="AX224" s="7">
        <f>SUMPRODUCT(N(Tabela1[Código]=Tabela3[[#This Row],[PAPEL]]),Tabela1[Fechamento])</f>
        <v>0</v>
      </c>
      <c r="AY224" s="7">
        <f>SUMPRODUCT(N(Tabela17[Código]=Tabela3[[#This Row],[PAPEL]]),Tabela17[Fechamento])</f>
        <v>0</v>
      </c>
      <c r="AZ224" s="7">
        <f>SUMPRODUCT(N(Tabela176[Código]=Tabela3[[#This Row],[PAPEL]]),Tabela176[Fechamento])</f>
        <v>0</v>
      </c>
      <c r="BA224" s="7">
        <f>SUMPRODUCT(N(Tabela1768[Código]=Tabela3[[#This Row],[PAPEL]]),Tabela1768[Fechamento])</f>
        <v>0</v>
      </c>
      <c r="BB224" s="7">
        <f>SUMPRODUCT(N(Tabela17683[Código]=Tabela3[[#This Row],[PAPEL]]),Tabela17683[Fechamento])</f>
        <v>18.87</v>
      </c>
    </row>
    <row r="225" spans="1:54" hidden="1">
      <c r="A225" s="3" t="s">
        <v>828</v>
      </c>
      <c r="B225" s="58" t="s">
        <v>832</v>
      </c>
      <c r="C225" s="16" t="str">
        <f>LEFT([PAPEL],LEN([PAPEL])-(LEN([PAPEL])-4))</f>
        <v>PNVL</v>
      </c>
      <c r="D225" s="16">
        <v>3</v>
      </c>
      <c r="E225" s="5">
        <v>227000000</v>
      </c>
      <c r="F225" s="56">
        <v>4119052</v>
      </c>
      <c r="G225" s="81">
        <v>0.25</v>
      </c>
      <c r="H225" s="87"/>
      <c r="J225" s="18"/>
      <c r="K225" s="16"/>
      <c r="L225" s="87"/>
      <c r="M225" s="54"/>
      <c r="N225" s="54"/>
      <c r="O225" s="54"/>
      <c r="P225" s="91">
        <v>269723000</v>
      </c>
      <c r="Q225" s="73">
        <v>42644000</v>
      </c>
      <c r="R225" s="73">
        <f>IF(Tabela3[[#This Row],[Ativo || Passivo]]&gt;0,Tabela3[[#This Row],[Ativo || Passivo]]-Tabela3[[#This Row],[Patrimônio Líquido]],0)</f>
        <v>0</v>
      </c>
      <c r="S225" s="73">
        <f>Tabela3[[#This Row],[Cotação]]*Tabela3[[#This Row],[Total Ações]]</f>
        <v>813206350</v>
      </c>
      <c r="T225" s="37">
        <f>IF(Tabela3[[#This Row],[Passivo Circulante]]&gt;0,Tabela3[[#This Row],[Ativo Circulante]]/Tabela3[[#This Row],[Passivo Circulante]],0)</f>
        <v>0</v>
      </c>
      <c r="U225" s="37">
        <f>SUMPRODUCT(N([Liquidez Corrente]&gt;0),N(RIGHT([PAPEL],LEN([PAPEL])-(LEN([PAPEL])-1))="3"),[Liquidez Corrente])/SUMPRODUCT(N([Liquidez Corrente]&gt;0),N(RIGHT([PAPEL],LEN([PAPEL])-(LEN([PAPEL])-1))="3"))</f>
        <v>2.331224473064915</v>
      </c>
      <c r="V225" s="18">
        <f>IF(Tabela3[[#This Row],[Lucro Líquido]]&gt;0,Tabela3[[#This Row],[Lucro Líquido]]/Tabela3[[#This Row],[Patrimônio Líquido]],0)</f>
        <v>0.15810294264856908</v>
      </c>
      <c r="W225" s="18">
        <f>SUMPRODUCT(N([Rentabilidade s/ PL]&gt;0),N(RIGHT([PAPEL],LEN([PAPEL])-(LEN([PAPEL])-1))="3"),[Rentabilidade s/ PL])/SUMPRODUCT(N([Rentabilidade s/ PL]&gt;0),N(RIGHT([PAPEL],LEN([PAPEL])-(LEN([PAPEL])-1))="3"))</f>
        <v>0.1261051308670782</v>
      </c>
      <c r="X225" s="18">
        <f>IF(Tabela3[[#This Row],[Dívida]]&gt;0,Tabela3[[#This Row],[Dívida]]/Tabela3[[#This Row],[Patrimônio Líquido]],0)</f>
        <v>0</v>
      </c>
      <c r="Y225" s="18">
        <f>SUMPRODUCT(N([Dívida / PL]&gt;0),N(RIGHT([PAPEL],LEN([PAPEL])-(LEN([PAPEL])-1))="3"),[Dívida / PL])/SUMPRODUCT(N([Dívida / PL]&gt;0),N(RIGHT([PAPEL],LEN([PAPEL])-(LEN([PAPEL])-1))="3"))</f>
        <v>2.1510410379481146</v>
      </c>
      <c r="Z225" s="7">
        <f>Tabela3[[#This Row],[Capital Social]]*20%</f>
        <v>45400000</v>
      </c>
      <c r="AA225" s="47">
        <f>IF(([Lucro Líquido]*5%)&gt;[Teto R. Legal],[Teto R. Legal],[Lucro Líquido]*5%)</f>
        <v>2132200</v>
      </c>
      <c r="AB225" s="47">
        <f>IF([Lucro Líquido]&lt;0,0,[Lucro Líquido]-[Reserva Legal])</f>
        <v>40511800</v>
      </c>
      <c r="AC225" s="47">
        <f>Tabela3[[#This Row],[Lucro Distribuir]]*[%Div]</f>
        <v>10127950</v>
      </c>
      <c r="AD225" s="56">
        <f>SUMPRODUCT(N([Nome]=Tabela3[[#This Row],[Nome]]),[Ações])</f>
        <v>4568575</v>
      </c>
      <c r="AE225" s="85">
        <f>[Capital Social]/[Total Ações]</f>
        <v>49.68726572290047</v>
      </c>
      <c r="AF225" s="85">
        <f>Tabela3[[#This Row],[Lucro Líquido]]/Tabela3[[#This Row],[Total Ações]]</f>
        <v>9.3342015836447914</v>
      </c>
      <c r="AG225" s="85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2.1478975310588817</v>
      </c>
      <c r="AH225" s="85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225" s="77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225" s="85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2.1478975310588817</v>
      </c>
      <c r="AK225" s="7">
        <f>[Div Base]*[Ações]</f>
        <v>8847301.6211031489</v>
      </c>
      <c r="AL225" s="7">
        <f>SUMPRODUCT(N([Nome]=Tabela3[[#This Row],[Nome]]),[Div Base]*[Ações])</f>
        <v>9909383.8985976912</v>
      </c>
      <c r="AM225" s="5">
        <f>[Patrimônio Líquido]/[Total Ações]</f>
        <v>59.03875935056336</v>
      </c>
      <c r="AN225" s="52">
        <f>MAX(Tabela3[[#This Row],[Cotação 1]:[Cotação 5]])</f>
        <v>178</v>
      </c>
      <c r="AO225" s="53">
        <f>[Cotação]/[VPA]</f>
        <v>3.0149685047252182</v>
      </c>
      <c r="AP225" s="37">
        <f>IF(Tabela3[[#This Row],[Lucro/Ação]]&gt;0,Tabela3[[#This Row],[Cotação]]/(Tabela3[[#This Row],[Lucro/Ação]]/[Ref]*4),0)</f>
        <v>14.302240936591312</v>
      </c>
      <c r="AQ225" s="85">
        <f>[Lucro Distribuir]/[Total Ações]</f>
        <v>8.8674915044625511</v>
      </c>
      <c r="AR225" s="85">
        <f>IF([Unit ON]&gt;0,SUMPRODUCT(N([Nome]=Tabela3[[#This Row],[Nome]]),N(RIGHT([PAPEL],1)="3"),[Div Base])*[Unit ON]+SUMPRODUCT(N([Nome]=Tabela3[[#This Row],[Nome]]),N(RIGHT([PAPEL],1)="4"),[Div Base])*[Unit PN],[Div Base])</f>
        <v>2.1478975310588817</v>
      </c>
      <c r="AS225" s="10" t="str">
        <f>IF(AND([% A.A.]&gt;=6%,SUMPRODUCT(N([Nome]=Tabela3[[#This Row],[Nome]]),[PL])&gt;0,[Rentabilidade s/ PL]&gt;=[Rentabilidade s/ PL Média]),"Sim","Não")</f>
        <v>Não</v>
      </c>
      <c r="AT225" s="22">
        <f>IF([Cotação]&gt;0,Tabela3[[#This Row],[Lucro]]/Tabela3[[#This Row],[Cotação]],0)</f>
        <v>1.2066840062128549E-2</v>
      </c>
      <c r="AU225" s="22">
        <f>((1+Tabela3[[#This Row],[% Yield]])^(1/(3*Tabela3[[#This Row],[Ref]])))^(12)-1</f>
        <v>1.6121391222221115E-2</v>
      </c>
      <c r="AV225" s="10">
        <f>IF([Cotação]&gt;0,($BH$1/Tabela3[[#This Row],[Cotação]]-MOD($BH$1/Tabela3[[#This Row],[Cotação]],100)),)</f>
        <v>0</v>
      </c>
      <c r="AW225" s="7">
        <f>Tabela3[[#This Row],[Ativos]]*[Lucro]</f>
        <v>0</v>
      </c>
      <c r="AX225" s="7">
        <f>SUMPRODUCT(N(Tabela1[Código]=Tabela3[[#This Row],[PAPEL]]),Tabela1[Fechamento])</f>
        <v>0</v>
      </c>
      <c r="AY225" s="7">
        <f>SUMPRODUCT(N(Tabela17[Código]=Tabela3[[#This Row],[PAPEL]]),Tabela17[Fechamento])</f>
        <v>0</v>
      </c>
      <c r="AZ225" s="7">
        <f>SUMPRODUCT(N(Tabela176[Código]=Tabela3[[#This Row],[PAPEL]]),Tabela176[Fechamento])</f>
        <v>178</v>
      </c>
      <c r="BA225" s="7">
        <f>SUMPRODUCT(N(Tabela1768[Código]=Tabela3[[#This Row],[PAPEL]]),Tabela1768[Fechamento])</f>
        <v>0</v>
      </c>
      <c r="BB225" s="7">
        <f>SUMPRODUCT(N(Tabela17683[Código]=Tabela3[[#This Row],[PAPEL]]),Tabela17683[Fechamento])</f>
        <v>0</v>
      </c>
    </row>
    <row r="226" spans="1:54" hidden="1">
      <c r="A226" s="3" t="s">
        <v>828</v>
      </c>
      <c r="B226" s="58" t="s">
        <v>833</v>
      </c>
      <c r="C226" s="16" t="str">
        <f>LEFT([PAPEL],LEN([PAPEL])-(LEN([PAPEL])-4))</f>
        <v>PNVL</v>
      </c>
      <c r="D226" s="16">
        <v>3</v>
      </c>
      <c r="E226" s="5">
        <v>227000000</v>
      </c>
      <c r="F226" s="56">
        <v>449523</v>
      </c>
      <c r="G226" s="81">
        <v>0.25</v>
      </c>
      <c r="H226" s="87"/>
      <c r="J226" s="18">
        <v>0.1</v>
      </c>
      <c r="K226" s="16"/>
      <c r="L226" s="87"/>
      <c r="M226" s="54"/>
      <c r="N226" s="54"/>
      <c r="O226" s="54"/>
      <c r="P226" s="91">
        <v>269723000</v>
      </c>
      <c r="Q226" s="73">
        <v>42644000</v>
      </c>
      <c r="R226" s="73">
        <f>IF(Tabela3[[#This Row],[Ativo || Passivo]]&gt;0,Tabela3[[#This Row],[Ativo || Passivo]]-Tabela3[[#This Row],[Patrimônio Líquido]],0)</f>
        <v>0</v>
      </c>
      <c r="S226" s="73">
        <f>Tabela3[[#This Row],[Cotação]]*Tabela3[[#This Row],[Total Ações]]</f>
        <v>868029250</v>
      </c>
      <c r="T226" s="37">
        <f>IF(Tabela3[[#This Row],[Passivo Circulante]]&gt;0,Tabela3[[#This Row],[Ativo Circulante]]/Tabela3[[#This Row],[Passivo Circulante]],0)</f>
        <v>0</v>
      </c>
      <c r="U226" s="37">
        <f>SUMPRODUCT(N([Liquidez Corrente]&gt;0),N(RIGHT([PAPEL],LEN([PAPEL])-(LEN([PAPEL])-1))="3"),[Liquidez Corrente])/SUMPRODUCT(N([Liquidez Corrente]&gt;0),N(RIGHT([PAPEL],LEN([PAPEL])-(LEN([PAPEL])-1))="3"))</f>
        <v>2.331224473064915</v>
      </c>
      <c r="V226" s="18">
        <f>IF(Tabela3[[#This Row],[Lucro Líquido]]&gt;0,Tabela3[[#This Row],[Lucro Líquido]]/Tabela3[[#This Row],[Patrimônio Líquido]],0)</f>
        <v>0.15810294264856908</v>
      </c>
      <c r="W226" s="18">
        <f>SUMPRODUCT(N([Rentabilidade s/ PL]&gt;0),N(RIGHT([PAPEL],LEN([PAPEL])-(LEN([PAPEL])-1))="3"),[Rentabilidade s/ PL])/SUMPRODUCT(N([Rentabilidade s/ PL]&gt;0),N(RIGHT([PAPEL],LEN([PAPEL])-(LEN([PAPEL])-1))="3"))</f>
        <v>0.1261051308670782</v>
      </c>
      <c r="X226" s="18">
        <f>IF(Tabela3[[#This Row],[Dívida]]&gt;0,Tabela3[[#This Row],[Dívida]]/Tabela3[[#This Row],[Patrimônio Líquido]],0)</f>
        <v>0</v>
      </c>
      <c r="Y226" s="18">
        <f>SUMPRODUCT(N([Dívida / PL]&gt;0),N(RIGHT([PAPEL],LEN([PAPEL])-(LEN([PAPEL])-1))="3"),[Dívida / PL])/SUMPRODUCT(N([Dívida / PL]&gt;0),N(RIGHT([PAPEL],LEN([PAPEL])-(LEN([PAPEL])-1))="3"))</f>
        <v>2.1510410379481146</v>
      </c>
      <c r="Z226" s="7">
        <f>Tabela3[[#This Row],[Capital Social]]*20%</f>
        <v>45400000</v>
      </c>
      <c r="AA226" s="47">
        <f>IF(([Lucro Líquido]*5%)&gt;[Teto R. Legal],[Teto R. Legal],[Lucro Líquido]*5%)</f>
        <v>2132200</v>
      </c>
      <c r="AB226" s="47">
        <f>IF([Lucro Líquido]&lt;0,0,[Lucro Líquido]-[Reserva Legal])</f>
        <v>40511800</v>
      </c>
      <c r="AC226" s="47">
        <f>Tabela3[[#This Row],[Lucro Distribuir]]*[%Div]</f>
        <v>10127950</v>
      </c>
      <c r="AD226" s="56">
        <f>SUMPRODUCT(N([Nome]=Tabela3[[#This Row],[Nome]]),[Ações])</f>
        <v>4568575</v>
      </c>
      <c r="AE226" s="85">
        <f>[Capital Social]/[Total Ações]</f>
        <v>49.68726572290047</v>
      </c>
      <c r="AF226" s="85">
        <f>Tabela3[[#This Row],[Lucro Líquido]]/Tabela3[[#This Row],[Total Ações]]</f>
        <v>9.3342015836447914</v>
      </c>
      <c r="AG226" s="85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2.3626872874014042</v>
      </c>
      <c r="AH226" s="85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226" s="77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226" s="85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2.3626872874014042</v>
      </c>
      <c r="AK226" s="7">
        <f>[Div Base]*[Ações]</f>
        <v>1062082.2774945414</v>
      </c>
      <c r="AL226" s="7">
        <f>SUMPRODUCT(N([Nome]=Tabela3[[#This Row],[Nome]]),[Div Base]*[Ações])</f>
        <v>9909383.8985976912</v>
      </c>
      <c r="AM226" s="5">
        <f>[Patrimônio Líquido]/[Total Ações]</f>
        <v>59.03875935056336</v>
      </c>
      <c r="AN226" s="52">
        <f>MAX(Tabela3[[#This Row],[Cotação 1]:[Cotação 5]])</f>
        <v>190</v>
      </c>
      <c r="AO226" s="53">
        <f>[Cotação]/[VPA]</f>
        <v>3.2182248084145586</v>
      </c>
      <c r="AP226" s="37">
        <f>IF(Tabela3[[#This Row],[Lucro/Ação]]&gt;0,Tabela3[[#This Row],[Cotação]]/(Tabela3[[#This Row],[Lucro/Ação]]/[Ref]*4),0)</f>
        <v>15.26643695478848</v>
      </c>
      <c r="AQ226" s="85">
        <f>[Lucro Distribuir]/[Total Ações]</f>
        <v>8.8674915044625511</v>
      </c>
      <c r="AR226" s="85">
        <f>IF([Unit ON]&gt;0,SUMPRODUCT(N([Nome]=Tabela3[[#This Row],[Nome]]),N(RIGHT([PAPEL],1)="3"),[Div Base])*[Unit ON]+SUMPRODUCT(N([Nome]=Tabela3[[#This Row],[Nome]]),N(RIGHT([PAPEL],1)="4"),[Div Base])*[Unit PN],[Div Base])</f>
        <v>2.3626872874014042</v>
      </c>
      <c r="AS226" s="10" t="str">
        <f>IF(AND([% A.A.]&gt;=6%,SUMPRODUCT(N([Nome]=Tabela3[[#This Row],[Nome]]),[PL])&gt;0,[Rentabilidade s/ PL]&gt;=[Rentabilidade s/ PL Média]),"Sim","Não")</f>
        <v>Não</v>
      </c>
      <c r="AT226" s="22">
        <f>IF([Cotação]&gt;0,Tabela3[[#This Row],[Lucro]]/Tabela3[[#This Row],[Cotação]],0)</f>
        <v>1.2435196249481075E-2</v>
      </c>
      <c r="AU226" s="22">
        <f>((1+Tabela3[[#This Row],[% Yield]])^(1/(3*Tabela3[[#This Row],[Ref]])))^(12)-1</f>
        <v>1.6614530331066746E-2</v>
      </c>
      <c r="AV226" s="10">
        <f>IF([Cotação]&gt;0,($BH$1/Tabela3[[#This Row],[Cotação]]-MOD($BH$1/Tabela3[[#This Row],[Cotação]],100)),)</f>
        <v>0</v>
      </c>
      <c r="AW226" s="7">
        <f>Tabela3[[#This Row],[Ativos]]*[Lucro]</f>
        <v>0</v>
      </c>
      <c r="AX226" s="7">
        <f>SUMPRODUCT(N(Tabela1[Código]=Tabela3[[#This Row],[PAPEL]]),Tabela1[Fechamento])</f>
        <v>0</v>
      </c>
      <c r="AY226" s="7">
        <f>SUMPRODUCT(N(Tabela17[Código]=Tabela3[[#This Row],[PAPEL]]),Tabela17[Fechamento])</f>
        <v>0</v>
      </c>
      <c r="AZ226" s="7">
        <f>SUMPRODUCT(N(Tabela176[Código]=Tabela3[[#This Row],[PAPEL]]),Tabela176[Fechamento])</f>
        <v>190</v>
      </c>
      <c r="BA226" s="7">
        <f>SUMPRODUCT(N(Tabela1768[Código]=Tabela3[[#This Row],[PAPEL]]),Tabela1768[Fechamento])</f>
        <v>0</v>
      </c>
      <c r="BB226" s="7">
        <f>SUMPRODUCT(N(Tabela17683[Código]=Tabela3[[#This Row],[PAPEL]]),Tabela17683[Fechamento])</f>
        <v>0</v>
      </c>
    </row>
    <row r="227" spans="1:54">
      <c r="A227" s="4" t="s">
        <v>257</v>
      </c>
      <c r="B227" s="57" t="s">
        <v>78</v>
      </c>
      <c r="C227" s="15" t="str">
        <f>LEFT([PAPEL],LEN([PAPEL])-(LEN([PAPEL])-4))</f>
        <v>TERI</v>
      </c>
      <c r="D227" s="15">
        <v>4</v>
      </c>
      <c r="E227" s="6">
        <v>2807005993.8800001</v>
      </c>
      <c r="F227" s="38">
        <v>817720079</v>
      </c>
      <c r="G227" s="81">
        <v>0.25</v>
      </c>
      <c r="H227" s="15"/>
      <c r="I227" s="19"/>
      <c r="J227" s="19"/>
      <c r="K227" s="88"/>
      <c r="L227" s="88"/>
      <c r="M227" s="55"/>
      <c r="N227" s="55"/>
      <c r="O227" s="55"/>
      <c r="P227" s="6">
        <v>3779000000</v>
      </c>
      <c r="Q227" s="6">
        <v>41000000</v>
      </c>
      <c r="R227" s="6">
        <f>IF(Tabela3[[#This Row],[Ativo || Passivo]]&gt;0,Tabela3[[#This Row],[Ativo || Passivo]]-Tabela3[[#This Row],[Patrimônio Líquido]],0)</f>
        <v>0</v>
      </c>
      <c r="S227" s="6">
        <f>Tabela3[[#This Row],[Cotação]]*Tabela3[[#This Row],[Total Ações]]</f>
        <v>1700857764.3200002</v>
      </c>
      <c r="T227" s="132">
        <f>IF(Tabela3[[#This Row],[Passivo Circulante]]&gt;0,Tabela3[[#This Row],[Ativo Circulante]]/Tabela3[[#This Row],[Passivo Circulante]],0)</f>
        <v>0</v>
      </c>
      <c r="U227" s="132">
        <f>SUMPRODUCT(N([Liquidez Corrente]&gt;0),N(RIGHT([PAPEL],LEN([PAPEL])-(LEN([PAPEL])-1))="3"),[Liquidez Corrente])/SUMPRODUCT(N([Liquidez Corrente]&gt;0),N(RIGHT([PAPEL],LEN([PAPEL])-(LEN([PAPEL])-1))="3"))</f>
        <v>2.331224473064915</v>
      </c>
      <c r="V227" s="19">
        <f>IF(Tabela3[[#This Row],[Lucro Líquido]]&gt;0,Tabela3[[#This Row],[Lucro Líquido]]/Tabela3[[#This Row],[Patrimônio Líquido]],0)</f>
        <v>1.0849431066419687E-2</v>
      </c>
      <c r="W227" s="19">
        <f>SUMPRODUCT(N([Rentabilidade s/ PL]&gt;0),N(RIGHT([PAPEL],LEN([PAPEL])-(LEN([PAPEL])-1))="3"),[Rentabilidade s/ PL])/SUMPRODUCT(N([Rentabilidade s/ PL]&gt;0),N(RIGHT([PAPEL],LEN([PAPEL])-(LEN([PAPEL])-1))="3"))</f>
        <v>0.1261051308670782</v>
      </c>
      <c r="X227" s="19">
        <f>IF(Tabela3[[#This Row],[Dívida]]&gt;0,Tabela3[[#This Row],[Dívida]]/Tabela3[[#This Row],[Patrimônio Líquido]],0)</f>
        <v>0</v>
      </c>
      <c r="Y227" s="19">
        <f>SUMPRODUCT(N([Dívida / PL]&gt;0),N(RIGHT([PAPEL],LEN([PAPEL])-(LEN([PAPEL])-1))="3"),[Dívida / PL])/SUMPRODUCT(N([Dívida / PL]&gt;0),N(RIGHT([PAPEL],LEN([PAPEL])-(LEN([PAPEL])-1))="3"))</f>
        <v>2.1510410379481146</v>
      </c>
      <c r="Z227" s="6">
        <f>Tabela3[[#This Row],[Capital Social]]*20%</f>
        <v>561401198.77600002</v>
      </c>
      <c r="AA227" s="6">
        <f>IF(([Lucro Líquido]*5%)&gt;[Teto R. Legal],[Teto R. Legal],[Lucro Líquido]*5%)</f>
        <v>2050000</v>
      </c>
      <c r="AB227" s="6">
        <f>IF([Lucro Líquido]&lt;0,0,[Lucro Líquido]-[Reserva Legal])</f>
        <v>38950000</v>
      </c>
      <c r="AC227" s="6">
        <f>Tabela3[[#This Row],[Lucro Distribuir]]*[%Div]</f>
        <v>9737500</v>
      </c>
      <c r="AD227" s="56">
        <f>SUMPRODUCT(N([Nome]=Tabela3[[#This Row],[Nome]]),[Ações])</f>
        <v>817720079</v>
      </c>
      <c r="AE227" s="6">
        <f>[Capital Social]/[Total Ações]</f>
        <v>3.4327223532443063</v>
      </c>
      <c r="AF227" s="78">
        <f>Tabela3[[#This Row],[Lucro Líquido]]/Tabela3[[#This Row],[Total Ações]]</f>
        <v>5.0139407179703117E-2</v>
      </c>
      <c r="AG227" s="78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1.190810920517949E-2</v>
      </c>
      <c r="AH227" s="78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227" s="78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227" s="78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1.190810920517949E-2</v>
      </c>
      <c r="AK227" s="6">
        <f>[Div Base]*[Ações]</f>
        <v>9737500</v>
      </c>
      <c r="AL227" s="6">
        <f>SUMPRODUCT(N([Nome]=Tabela3[[#This Row],[Nome]]),[Div Base]*[Ações])</f>
        <v>9737500</v>
      </c>
      <c r="AM227" s="6">
        <f>[Patrimônio Líquido]/[Total Ações]</f>
        <v>4.6213858471243432</v>
      </c>
      <c r="AN227" s="48">
        <f>MAX(Tabela3[[#This Row],[Cotação 1]:[Cotação 5]])</f>
        <v>2.08</v>
      </c>
      <c r="AO227" s="44">
        <f>[Cotação]/[VPA]</f>
        <v>0.45008144067742795</v>
      </c>
      <c r="AP227" s="40">
        <f>IF(Tabela3[[#This Row],[Lucro/Ação]]&gt;0,Tabela3[[#This Row],[Cotação]]/(Tabela3[[#This Row],[Lucro/Ação]]/[Ref]*4),0)</f>
        <v>41.484335715121951</v>
      </c>
      <c r="AQ227" s="78">
        <f>[Lucro Distribuir]/[Total Ações]</f>
        <v>4.7632436820717959E-2</v>
      </c>
      <c r="AR227" s="78">
        <f>IF([Unit ON]&gt;0,SUMPRODUCT(N([Nome]=Tabela3[[#This Row],[Nome]]),N(RIGHT([PAPEL],1)="3"),[Div Base])*[Unit ON]+SUMPRODUCT(N([Nome]=Tabela3[[#This Row],[Nome]]),N(RIGHT([PAPEL],1)="4"),[Div Base])*[Unit PN],[Div Base])</f>
        <v>1.190810920517949E-2</v>
      </c>
      <c r="AS227" s="15" t="str">
        <f>IF(AND([% A.A.]&gt;=6%,SUMPRODUCT(N([Nome]=Tabela3[[#This Row],[Nome]]),[PL])&gt;0,[Rentabilidade s/ PL]&gt;=[Rentabilidade s/ PL Média]),"Sim","Não")</f>
        <v>Não</v>
      </c>
      <c r="AT227" s="42">
        <f>IF([Cotação]&gt;0,Tabela3[[#This Row],[Lucro]]/Tabela3[[#This Row],[Cotação]],0)</f>
        <v>5.7250525024901393E-3</v>
      </c>
      <c r="AU227" s="19">
        <f>((1+Tabela3[[#This Row],[% Yield]])^(1/(3*Tabela3[[#This Row],[Ref]])))^(12)-1</f>
        <v>5.7250525024896692E-3</v>
      </c>
      <c r="AV227" s="14">
        <f>IF([Cotação]&gt;0,($BH$1/Tabela3[[#This Row],[Cotação]]-MOD($BH$1/Tabela3[[#This Row],[Cotação]],100)),)</f>
        <v>200</v>
      </c>
      <c r="AW227" s="17">
        <f>Tabela3[[#This Row],[Ativos]]*[Lucro]</f>
        <v>2.3816218410358978</v>
      </c>
      <c r="AX227" s="13">
        <f>SUMPRODUCT(N(Tabela1[Código]=Tabela3[[#This Row],[PAPEL]]),Tabela1[Fechamento])</f>
        <v>0</v>
      </c>
      <c r="AY227" s="13">
        <f>SUMPRODUCT(N(Tabela17[Código]=Tabela3[[#This Row],[PAPEL]]),Tabela17[Fechamento])</f>
        <v>2.08</v>
      </c>
      <c r="AZ227" s="7">
        <f>SUMPRODUCT(N(Tabela176[Código]=Tabela3[[#This Row],[PAPEL]]),Tabela176[Fechamento])</f>
        <v>0</v>
      </c>
      <c r="BA227" s="7">
        <f>SUMPRODUCT(N(Tabela1768[Código]=Tabela3[[#This Row],[PAPEL]]),Tabela1768[Fechamento])</f>
        <v>0</v>
      </c>
      <c r="BB227" s="7">
        <f>SUMPRODUCT(N(Tabela17683[Código]=Tabela3[[#This Row],[PAPEL]]),Tabela17683[Fechamento])</f>
        <v>0</v>
      </c>
    </row>
    <row r="228" spans="1:54" hidden="1">
      <c r="A228" s="3" t="s">
        <v>343</v>
      </c>
      <c r="B228" s="58" t="s">
        <v>344</v>
      </c>
      <c r="C228" s="83" t="str">
        <f>LEFT([PAPEL],LEN([PAPEL])-(LEN([PAPEL])-4))</f>
        <v>ALSC</v>
      </c>
      <c r="D228" s="16">
        <v>3</v>
      </c>
      <c r="E228" s="5">
        <v>1367420581.99</v>
      </c>
      <c r="F228" s="56">
        <v>159025920</v>
      </c>
      <c r="G228" s="86">
        <v>0.25</v>
      </c>
      <c r="H228" s="16"/>
      <c r="J228" s="18"/>
      <c r="K228" s="87"/>
      <c r="L228" s="87"/>
      <c r="M228" s="54"/>
      <c r="N228" s="54"/>
      <c r="O228" s="54"/>
      <c r="P228" s="5">
        <v>1645312000</v>
      </c>
      <c r="Q228" s="5">
        <v>40163000</v>
      </c>
      <c r="R228" s="5">
        <f>IF(Tabela3[[#This Row],[Ativo || Passivo]]&gt;0,Tabela3[[#This Row],[Ativo || Passivo]]-Tabela3[[#This Row],[Patrimônio Líquido]],0)</f>
        <v>0</v>
      </c>
      <c r="S228" s="5">
        <f>Tabela3[[#This Row],[Cotação]]*Tabela3[[#This Row],[Total Ações]]</f>
        <v>2749558156.7999997</v>
      </c>
      <c r="T228" s="130">
        <f>IF(Tabela3[[#This Row],[Passivo Circulante]]&gt;0,Tabela3[[#This Row],[Ativo Circulante]]/Tabela3[[#This Row],[Passivo Circulante]],0)</f>
        <v>0</v>
      </c>
      <c r="U228" s="130">
        <f>SUMPRODUCT(N([Liquidez Corrente]&gt;0),N(RIGHT([PAPEL],LEN([PAPEL])-(LEN([PAPEL])-1))="3"),[Liquidez Corrente])/SUMPRODUCT(N([Liquidez Corrente]&gt;0),N(RIGHT([PAPEL],LEN([PAPEL])-(LEN([PAPEL])-1))="3"))</f>
        <v>2.331224473064915</v>
      </c>
      <c r="V228" s="18">
        <f>IF(Tabela3[[#This Row],[Lucro Líquido]]&gt;0,Tabela3[[#This Row],[Lucro Líquido]]/Tabela3[[#This Row],[Patrimônio Líquido]],0)</f>
        <v>2.4410567722109849E-2</v>
      </c>
      <c r="W228" s="18">
        <f>SUMPRODUCT(N([Rentabilidade s/ PL]&gt;0),N(RIGHT([PAPEL],LEN([PAPEL])-(LEN([PAPEL])-1))="3"),[Rentabilidade s/ PL])/SUMPRODUCT(N([Rentabilidade s/ PL]&gt;0),N(RIGHT([PAPEL],LEN([PAPEL])-(LEN([PAPEL])-1))="3"))</f>
        <v>0.1261051308670782</v>
      </c>
      <c r="X228" s="18">
        <f>IF(Tabela3[[#This Row],[Dívida]]&gt;0,Tabela3[[#This Row],[Dívida]]/Tabela3[[#This Row],[Patrimônio Líquido]],0)</f>
        <v>0</v>
      </c>
      <c r="Y228" s="18">
        <f>SUMPRODUCT(N([Dívida / PL]&gt;0),N(RIGHT([PAPEL],LEN([PAPEL])-(LEN([PAPEL])-1))="3"),[Dívida / PL])/SUMPRODUCT(N([Dívida / PL]&gt;0),N(RIGHT([PAPEL],LEN([PAPEL])-(LEN([PAPEL])-1))="3"))</f>
        <v>2.1510410379481146</v>
      </c>
      <c r="Z228" s="5">
        <f>Tabela3[[#This Row],[Capital Social]]*20%</f>
        <v>273484116.398</v>
      </c>
      <c r="AA228" s="5">
        <f>IF(([Lucro Líquido]*5%)&gt;[Teto R. Legal],[Teto R. Legal],[Lucro Líquido]*5%)</f>
        <v>2008150</v>
      </c>
      <c r="AB228" s="5">
        <f>IF([Lucro Líquido]&lt;0,0,[Lucro Líquido]-[Reserva Legal])</f>
        <v>38154850</v>
      </c>
      <c r="AC228" s="5">
        <f>Tabela3[[#This Row],[Lucro Distribuir]]*[%Div]</f>
        <v>9538712.5</v>
      </c>
      <c r="AD228" s="21">
        <f>SUMPRODUCT(N([Nome]=Tabela3[[#This Row],[Nome]]),[Ações])</f>
        <v>159025920</v>
      </c>
      <c r="AE228" s="5">
        <f>[Capital Social]/[Total Ações]</f>
        <v>8.5987276916241075</v>
      </c>
      <c r="AF228" s="77">
        <f>Tabela3[[#This Row],[Lucro Líquido]]/Tabela3[[#This Row],[Total Ações]]</f>
        <v>0.25255631283252439</v>
      </c>
      <c r="AG228" s="77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5.9982124297724544E-2</v>
      </c>
      <c r="AH228" s="77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228" s="77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228" s="77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5.9982124297724544E-2</v>
      </c>
      <c r="AK228" s="5">
        <f>[Div Base]*[Ações]</f>
        <v>9538712.5</v>
      </c>
      <c r="AL228" s="5">
        <f>SUMPRODUCT(N([Nome]=Tabela3[[#This Row],[Nome]]),[Div Base]*[Ações])</f>
        <v>9538712.5</v>
      </c>
      <c r="AM228" s="5">
        <f>[Patrimônio Líquido]/[Total Ações]</f>
        <v>10.346187590048213</v>
      </c>
      <c r="AN228" s="52">
        <f>MAX(Tabela3[[#This Row],[Cotação 1]:[Cotação 5]])</f>
        <v>17.29</v>
      </c>
      <c r="AO228" s="53">
        <f>[Cotação]/[VPA]</f>
        <v>1.6711469659250038</v>
      </c>
      <c r="AP228" s="37">
        <f>IF(Tabela3[[#This Row],[Lucro/Ação]]&gt;0,Tabela3[[#This Row],[Cotação]]/(Tabela3[[#This Row],[Lucro/Ação]]/[Ref]*4),0)</f>
        <v>51.344984627642361</v>
      </c>
      <c r="AQ228" s="77">
        <f>[Lucro Distribuir]/[Total Ações]</f>
        <v>0.23992849719089818</v>
      </c>
      <c r="AR228" s="77">
        <f>IF([Unit ON]&gt;0,SUMPRODUCT(N([Nome]=Tabela3[[#This Row],[Nome]]),N(RIGHT([PAPEL],1)="3"),[Div Base])*[Unit ON]+SUMPRODUCT(N([Nome]=Tabela3[[#This Row],[Nome]]),N(RIGHT([PAPEL],1)="4"),[Div Base])*[Unit PN],[Div Base])</f>
        <v>5.9982124297724544E-2</v>
      </c>
      <c r="AS228" s="16" t="str">
        <f>IF(AND([% A.A.]&gt;=6%,SUMPRODUCT(N([Nome]=Tabela3[[#This Row],[Nome]]),[PL])&gt;0,[Rentabilidade s/ PL]&gt;=[Rentabilidade s/ PL Média]),"Sim","Não")</f>
        <v>Não</v>
      </c>
      <c r="AT228" s="22">
        <f>IF([Cotação]&gt;0,Tabela3[[#This Row],[Lucro]]/Tabela3[[#This Row],[Cotação]],0)</f>
        <v>3.4691801213258848E-3</v>
      </c>
      <c r="AU228" s="18">
        <f>((1+Tabela3[[#This Row],[% Yield]])^(1/(3*Tabela3[[#This Row],[Ref]])))^(12)-1</f>
        <v>4.6282459275028831E-3</v>
      </c>
      <c r="AV228" s="10">
        <f>IF([Cotação]&gt;0,($BH$1/Tabela3[[#This Row],[Cotação]]-MOD($BH$1/Tabela3[[#This Row],[Cotação]],100)),)</f>
        <v>0</v>
      </c>
      <c r="AW228" s="7">
        <f>Tabela3[[#This Row],[Ativos]]*[Lucro]</f>
        <v>0</v>
      </c>
      <c r="AX228" s="47">
        <f>SUMPRODUCT(N(Tabela1[Código]=Tabela3[[#This Row],[PAPEL]]),Tabela1[Fechamento])</f>
        <v>0</v>
      </c>
      <c r="AY228" s="54">
        <f>SUMPRODUCT(N(Tabela17[Código]=Tabela3[[#This Row],[PAPEL]]),Tabela17[Fechamento])</f>
        <v>17.29</v>
      </c>
      <c r="AZ228" s="7">
        <f>SUMPRODUCT(N(Tabela176[Código]=Tabela3[[#This Row],[PAPEL]]),Tabela176[Fechamento])</f>
        <v>0</v>
      </c>
      <c r="BA228" s="7">
        <f>SUMPRODUCT(N(Tabela1768[Código]=Tabela3[[#This Row],[PAPEL]]),Tabela1768[Fechamento])</f>
        <v>0</v>
      </c>
      <c r="BB228" s="7">
        <f>SUMPRODUCT(N(Tabela17683[Código]=Tabela3[[#This Row],[PAPEL]]),Tabela17683[Fechamento])</f>
        <v>0</v>
      </c>
    </row>
    <row r="229" spans="1:54" hidden="1">
      <c r="A229" s="4" t="s">
        <v>12</v>
      </c>
      <c r="B229" s="57" t="s">
        <v>482</v>
      </c>
      <c r="C229" s="15" t="str">
        <f>LEFT([PAPEL],LEN([PAPEL])-(LEN([PAPEL])-4))</f>
        <v>GPAR</v>
      </c>
      <c r="D229" s="15">
        <v>3</v>
      </c>
      <c r="E229" s="6">
        <v>973764337.52999997</v>
      </c>
      <c r="F229" s="8">
        <v>32774246</v>
      </c>
      <c r="G229" s="81">
        <v>0.25</v>
      </c>
      <c r="H229" s="15"/>
      <c r="I229" s="19"/>
      <c r="J229" s="19"/>
      <c r="K229" s="88"/>
      <c r="L229" s="88"/>
      <c r="M229" s="55"/>
      <c r="N229" s="55"/>
      <c r="O229" s="55"/>
      <c r="P229" s="92">
        <v>-2079468000</v>
      </c>
      <c r="Q229" s="93">
        <v>39671000</v>
      </c>
      <c r="R229" s="93">
        <f>IF(Tabela3[[#This Row],[Ativo || Passivo]]&gt;0,Tabela3[[#This Row],[Ativo || Passivo]]-Tabela3[[#This Row],[Patrimônio Líquido]],0)</f>
        <v>0</v>
      </c>
      <c r="S229" s="93">
        <f>Tabela3[[#This Row],[Cotação]]*Tabela3[[#This Row],[Total Ações]]</f>
        <v>491613690</v>
      </c>
      <c r="T229" s="40">
        <f>IF(Tabela3[[#This Row],[Passivo Circulante]]&gt;0,Tabela3[[#This Row],[Ativo Circulante]]/Tabela3[[#This Row],[Passivo Circulante]],0)</f>
        <v>0</v>
      </c>
      <c r="U229" s="40">
        <f>SUMPRODUCT(N([Liquidez Corrente]&gt;0),N(RIGHT([PAPEL],LEN([PAPEL])-(LEN([PAPEL])-1))="3"),[Liquidez Corrente])/SUMPRODUCT(N([Liquidez Corrente]&gt;0),N(RIGHT([PAPEL],LEN([PAPEL])-(LEN([PAPEL])-1))="3"))</f>
        <v>2.331224473064915</v>
      </c>
      <c r="V229" s="19">
        <f>IF(Tabela3[[#This Row],[Lucro Líquido]]&gt;0,Tabela3[[#This Row],[Lucro Líquido]]/Tabela3[[#This Row],[Patrimônio Líquido]],0)</f>
        <v>-1.9077475585101575E-2</v>
      </c>
      <c r="W229" s="19">
        <f>SUMPRODUCT(N([Rentabilidade s/ PL]&gt;0),N(RIGHT([PAPEL],LEN([PAPEL])-(LEN([PAPEL])-1))="3"),[Rentabilidade s/ PL])/SUMPRODUCT(N([Rentabilidade s/ PL]&gt;0),N(RIGHT([PAPEL],LEN([PAPEL])-(LEN([PAPEL])-1))="3"))</f>
        <v>0.1261051308670782</v>
      </c>
      <c r="X229" s="19">
        <f>IF(Tabela3[[#This Row],[Dívida]]&gt;0,Tabela3[[#This Row],[Dívida]]/Tabela3[[#This Row],[Patrimônio Líquido]],0)</f>
        <v>0</v>
      </c>
      <c r="Y229" s="19">
        <f>SUMPRODUCT(N([Dívida / PL]&gt;0),N(RIGHT([PAPEL],LEN([PAPEL])-(LEN([PAPEL])-1))="3"),[Dívida / PL])/SUMPRODUCT(N([Dívida / PL]&gt;0),N(RIGHT([PAPEL],LEN([PAPEL])-(LEN([PAPEL])-1))="3"))</f>
        <v>2.1510410379481146</v>
      </c>
      <c r="Z229" s="13">
        <f>Tabela3[[#This Row],[Capital Social]]*20%</f>
        <v>194752867.50600001</v>
      </c>
      <c r="AA229" s="13">
        <f>IF(([Lucro Líquido]*5%)&gt;[Teto R. Legal],[Teto R. Legal],[Lucro Líquido]*5%)</f>
        <v>1983550</v>
      </c>
      <c r="AB229" s="13">
        <f>IF([Lucro Líquido]&lt;0,0,[Lucro Líquido]-[Reserva Legal])</f>
        <v>37687450</v>
      </c>
      <c r="AC229" s="13">
        <f>Tabela3[[#This Row],[Lucro Distribuir]]*[%Div]</f>
        <v>9421862.5</v>
      </c>
      <c r="AD229" s="56">
        <f>SUMPRODUCT(N([Nome]=Tabela3[[#This Row],[Nome]]),[Ações])</f>
        <v>32774246</v>
      </c>
      <c r="AE229" s="6">
        <f>[Capital Social]/[Total Ações]</f>
        <v>29.711265898535085</v>
      </c>
      <c r="AF229" s="78">
        <f>Tabela3[[#This Row],[Lucro Líquido]]/Tabela3[[#This Row],[Total Ações]]</f>
        <v>1.2104321179501734</v>
      </c>
      <c r="AG229" s="78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0.28747762801316618</v>
      </c>
      <c r="AH229" s="78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229" s="78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229" s="78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0.28747762801316618</v>
      </c>
      <c r="AK229" s="13">
        <f>[Div Base]*[Ações]</f>
        <v>9421862.5</v>
      </c>
      <c r="AL229" s="13">
        <f>SUMPRODUCT(N([Nome]=Tabela3[[#This Row],[Nome]]),[Div Base]*[Ações])</f>
        <v>9421862.5</v>
      </c>
      <c r="AM229" s="6">
        <f>[Patrimônio Líquido]/[Total Ações]</f>
        <v>-63.448233103516706</v>
      </c>
      <c r="AN229" s="48">
        <f>MAX(Tabela3[[#This Row],[Cotação 1]:[Cotação 5]])</f>
        <v>15</v>
      </c>
      <c r="AO229" s="44">
        <f>[Cotação]/[VPA]</f>
        <v>-0.2364132027999469</v>
      </c>
      <c r="AP229" s="40">
        <f>IF(Tabela3[[#This Row],[Lucro/Ação]]&gt;0,Tabela3[[#This Row],[Cotação]]/(Tabela3[[#This Row],[Lucro/Ação]]/[Ref]*4),0)</f>
        <v>9.2942014947946863</v>
      </c>
      <c r="AQ229" s="78">
        <f>[Lucro Distribuir]/[Total Ações]</f>
        <v>1.1499105120526647</v>
      </c>
      <c r="AR229" s="78">
        <f>IF([Unit ON]&gt;0,SUMPRODUCT(N([Nome]=Tabela3[[#This Row],[Nome]]),N(RIGHT([PAPEL],1)="3"),[Div Base])*[Unit ON]+SUMPRODUCT(N([Nome]=Tabela3[[#This Row],[Nome]]),N(RIGHT([PAPEL],1)="4"),[Div Base])*[Unit PN],[Div Base])</f>
        <v>0.28747762801316618</v>
      </c>
      <c r="AS229" s="14" t="str">
        <f>IF(AND([% A.A.]&gt;=6%,SUMPRODUCT(N([Nome]=Tabela3[[#This Row],[Nome]]),[PL])&gt;0,[Rentabilidade s/ PL]&gt;=[Rentabilidade s/ PL Média]),"Sim","Não")</f>
        <v>Não</v>
      </c>
      <c r="AT229" s="42">
        <f>IF([Cotação]&gt;0,Tabela3[[#This Row],[Lucro]]/Tabela3[[#This Row],[Cotação]],0)</f>
        <v>1.9165175200877745E-2</v>
      </c>
      <c r="AU229" s="42">
        <f>((1+Tabela3[[#This Row],[% Yield]])^(1/(3*Tabela3[[#This Row],[Ref]])))^(12)-1</f>
        <v>2.5634845153429398E-2</v>
      </c>
      <c r="AV229" s="14">
        <f>IF([Cotação]&gt;0,($BH$1/Tabela3[[#This Row],[Cotação]]-MOD($BH$1/Tabela3[[#This Row],[Cotação]],100)),)</f>
        <v>0</v>
      </c>
      <c r="AW229" s="17">
        <f>Tabela3[[#This Row],[Ativos]]*[Lucro]</f>
        <v>0</v>
      </c>
      <c r="AX229" s="17">
        <f>SUMPRODUCT(N(Tabela1[Código]=Tabela3[[#This Row],[PAPEL]]),Tabela1[Fechamento])</f>
        <v>0</v>
      </c>
      <c r="AY229" s="17">
        <f>SUMPRODUCT(N(Tabela17[Código]=Tabela3[[#This Row],[PAPEL]]),Tabela17[Fechamento])</f>
        <v>15</v>
      </c>
      <c r="AZ229" s="7">
        <f>SUMPRODUCT(N(Tabela176[Código]=Tabela3[[#This Row],[PAPEL]]),Tabela176[Fechamento])</f>
        <v>0</v>
      </c>
      <c r="BA229" s="7">
        <f>SUMPRODUCT(N(Tabela1768[Código]=Tabela3[[#This Row],[PAPEL]]),Tabela1768[Fechamento])</f>
        <v>0</v>
      </c>
      <c r="BB229" s="7">
        <f>SUMPRODUCT(N(Tabela17683[Código]=Tabela3[[#This Row],[PAPEL]]),Tabela17683[Fechamento])</f>
        <v>0</v>
      </c>
    </row>
    <row r="230" spans="1:54" hidden="1">
      <c r="A230" s="4" t="s">
        <v>362</v>
      </c>
      <c r="B230" s="57" t="s">
        <v>366</v>
      </c>
      <c r="C230" s="82" t="str">
        <f>LEFT([PAPEL],LEN([PAPEL])-(LEN([PAPEL])-4))</f>
        <v>CRIV</v>
      </c>
      <c r="D230" s="15">
        <v>3</v>
      </c>
      <c r="E230" s="6">
        <v>331000000</v>
      </c>
      <c r="F230" s="8">
        <v>59439005</v>
      </c>
      <c r="G230" s="81">
        <v>0.25</v>
      </c>
      <c r="H230" s="15"/>
      <c r="I230" s="19"/>
      <c r="J230" s="19"/>
      <c r="K230" s="88"/>
      <c r="L230" s="88"/>
      <c r="M230" s="13">
        <v>6125481000</v>
      </c>
      <c r="N230" s="13">
        <v>3927516000</v>
      </c>
      <c r="O230" s="13">
        <v>2307942000</v>
      </c>
      <c r="P230" s="6">
        <v>735745000</v>
      </c>
      <c r="Q230" s="6">
        <v>39503000</v>
      </c>
      <c r="R230" s="6">
        <f>IF(Tabela3[[#This Row],[Ativo || Passivo]]&gt;0,Tabela3[[#This Row],[Ativo || Passivo]]-Tabela3[[#This Row],[Patrimônio Líquido]],0)</f>
        <v>5389736000</v>
      </c>
      <c r="S230" s="6">
        <f>Tabela3[[#This Row],[Cotação]]*Tabela3[[#This Row],[Total Ações]]</f>
        <v>420948293.94</v>
      </c>
      <c r="T230" s="132">
        <f>IF(Tabela3[[#This Row],[Passivo Circulante]]&gt;0,Tabela3[[#This Row],[Ativo Circulante]]/Tabela3[[#This Row],[Passivo Circulante]],0)</f>
        <v>1.7017394717891525</v>
      </c>
      <c r="U230" s="132">
        <f>SUMPRODUCT(N([Liquidez Corrente]&gt;0),N(RIGHT([PAPEL],LEN([PAPEL])-(LEN([PAPEL])-1))="3"),[Liquidez Corrente])/SUMPRODUCT(N([Liquidez Corrente]&gt;0),N(RIGHT([PAPEL],LEN([PAPEL])-(LEN([PAPEL])-1))="3"))</f>
        <v>2.331224473064915</v>
      </c>
      <c r="V230" s="19">
        <f>IF(Tabela3[[#This Row],[Lucro Líquido]]&gt;0,Tabela3[[#This Row],[Lucro Líquido]]/Tabela3[[#This Row],[Patrimônio Líquido]],0)</f>
        <v>5.3691156582783436E-2</v>
      </c>
      <c r="W230" s="19">
        <f>SUMPRODUCT(N([Rentabilidade s/ PL]&gt;0),N(RIGHT([PAPEL],LEN([PAPEL])-(LEN([PAPEL])-1))="3"),[Rentabilidade s/ PL])/SUMPRODUCT(N([Rentabilidade s/ PL]&gt;0),N(RIGHT([PAPEL],LEN([PAPEL])-(LEN([PAPEL])-1))="3"))</f>
        <v>0.1261051308670782</v>
      </c>
      <c r="X230" s="19">
        <f>IF(Tabela3[[#This Row],[Dívida]]&gt;0,Tabela3[[#This Row],[Dívida]]/Tabela3[[#This Row],[Patrimônio Líquido]],0)</f>
        <v>7.3255489333940425</v>
      </c>
      <c r="Y230" s="19">
        <f>SUMPRODUCT(N([Dívida / PL]&gt;0),N(RIGHT([PAPEL],LEN([PAPEL])-(LEN([PAPEL])-1))="3"),[Dívida / PL])/SUMPRODUCT(N([Dívida / PL]&gt;0),N(RIGHT([PAPEL],LEN([PAPEL])-(LEN([PAPEL])-1))="3"))</f>
        <v>2.1510410379481146</v>
      </c>
      <c r="Z230" s="6">
        <f>Tabela3[[#This Row],[Capital Social]]*20%</f>
        <v>66200000</v>
      </c>
      <c r="AA230" s="6">
        <f>IF(([Lucro Líquido]*5%)&gt;[Teto R. Legal],[Teto R. Legal],[Lucro Líquido]*5%)</f>
        <v>1975150</v>
      </c>
      <c r="AB230" s="6">
        <f>IF([Lucro Líquido]&lt;0,0,[Lucro Líquido]-[Reserva Legal])</f>
        <v>37527850</v>
      </c>
      <c r="AC230" s="6">
        <f>Tabela3[[#This Row],[Lucro Distribuir]]*[%Div]</f>
        <v>9381962.5</v>
      </c>
      <c r="AD230" s="56">
        <f>SUMPRODUCT(N([Nome]=Tabela3[[#This Row],[Nome]]),[Ações])</f>
        <v>105765903</v>
      </c>
      <c r="AE230" s="6">
        <f>[Capital Social]/[Total Ações]</f>
        <v>3.1295530091583483</v>
      </c>
      <c r="AF230" s="78">
        <f>Tabela3[[#This Row],[Lucro Líquido]]/Tabela3[[#This Row],[Total Ações]]</f>
        <v>0.37349466018363214</v>
      </c>
      <c r="AG230" s="78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8.8704981793612636E-2</v>
      </c>
      <c r="AH230" s="78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230" s="78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230" s="78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</v>
      </c>
      <c r="AK230" s="6">
        <f>[Div Base]*[Ações]</f>
        <v>0</v>
      </c>
      <c r="AL230" s="6">
        <f>SUMPRODUCT(N([Nome]=Tabela3[[#This Row],[Nome]]),[Div Base]*[Ações])</f>
        <v>11598598.643269751</v>
      </c>
      <c r="AM230" s="6">
        <f>[Patrimônio Líquido]/[Total Ações]</f>
        <v>6.9563534100399069</v>
      </c>
      <c r="AN230" s="48">
        <f>MAX(Tabela3[[#This Row],[Cotação 1]:[Cotação 5]])</f>
        <v>3.98</v>
      </c>
      <c r="AO230" s="44">
        <f>[Cotação]/[VPA]</f>
        <v>0.57213884421912486</v>
      </c>
      <c r="AP230" s="40">
        <f>IF(Tabela3[[#This Row],[Lucro/Ação]]&gt;0,Tabela3[[#This Row],[Cotação]]/(Tabela3[[#This Row],[Lucro/Ação]]/[Ref]*4),0)</f>
        <v>7.9920821318634028</v>
      </c>
      <c r="AQ230" s="78">
        <f>[Lucro Distribuir]/[Total Ações]</f>
        <v>0.35481992717445054</v>
      </c>
      <c r="AR230" s="78">
        <f>IF([Unit ON]&gt;0,SUMPRODUCT(N([Nome]=Tabela3[[#This Row],[Nome]]),N(RIGHT([PAPEL],1)="3"),[Div Base])*[Unit ON]+SUMPRODUCT(N([Nome]=Tabela3[[#This Row],[Nome]]),N(RIGHT([PAPEL],1)="4"),[Div Base])*[Unit PN],[Div Base])</f>
        <v>0</v>
      </c>
      <c r="AS230" s="15" t="str">
        <f>IF(AND([% A.A.]&gt;=6%,SUMPRODUCT(N([Nome]=Tabela3[[#This Row],[Nome]]),[PL])&gt;0,[Rentabilidade s/ PL]&gt;=[Rentabilidade s/ PL Média]),"Sim","Não")</f>
        <v>Não</v>
      </c>
      <c r="AT230" s="42">
        <f>IF([Cotação]&gt;0,Tabela3[[#This Row],[Lucro]]/Tabela3[[#This Row],[Cotação]],0)</f>
        <v>0</v>
      </c>
      <c r="AU230" s="19">
        <f>((1+Tabela3[[#This Row],[% Yield]])^(1/(3*Tabela3[[#This Row],[Ref]])))^(12)-1</f>
        <v>0</v>
      </c>
      <c r="AV230" s="14">
        <f>IF([Cotação]&gt;0,($BH$1/Tabela3[[#This Row],[Cotação]]-MOD($BH$1/Tabela3[[#This Row],[Cotação]],100)),)</f>
        <v>100</v>
      </c>
      <c r="AW230" s="17">
        <f>Tabela3[[#This Row],[Ativos]]*[Lucro]</f>
        <v>0</v>
      </c>
      <c r="AX230" s="13">
        <f>SUMPRODUCT(N(Tabela1[Código]=Tabela3[[#This Row],[PAPEL]]),Tabela1[Fechamento])</f>
        <v>0</v>
      </c>
      <c r="AY230" s="55">
        <f>SUMPRODUCT(N(Tabela17[Código]=Tabela3[[#This Row],[PAPEL]]),Tabela17[Fechamento])</f>
        <v>3.98</v>
      </c>
      <c r="AZ230" s="7">
        <f>SUMPRODUCT(N(Tabela176[Código]=Tabela3[[#This Row],[PAPEL]]),Tabela176[Fechamento])</f>
        <v>0</v>
      </c>
      <c r="BA230" s="7">
        <f>SUMPRODUCT(N(Tabela1768[Código]=Tabela3[[#This Row],[PAPEL]]),Tabela1768[Fechamento])</f>
        <v>0</v>
      </c>
      <c r="BB230" s="7">
        <f>SUMPRODUCT(N(Tabela17683[Código]=Tabela3[[#This Row],[PAPEL]]),Tabela17683[Fechamento])</f>
        <v>0</v>
      </c>
    </row>
    <row r="231" spans="1:54" hidden="1">
      <c r="A231" s="4" t="s">
        <v>362</v>
      </c>
      <c r="B231" s="57" t="s">
        <v>367</v>
      </c>
      <c r="C231" s="82" t="str">
        <f>LEFT([PAPEL],LEN([PAPEL])-(LEN([PAPEL])-4))</f>
        <v>CRIV</v>
      </c>
      <c r="D231" s="15">
        <v>3</v>
      </c>
      <c r="E231" s="6">
        <v>331000000</v>
      </c>
      <c r="F231" s="8">
        <v>46326898</v>
      </c>
      <c r="G231" s="86">
        <v>0.25</v>
      </c>
      <c r="H231" s="15"/>
      <c r="I231" s="19">
        <v>0.08</v>
      </c>
      <c r="J231" s="19"/>
      <c r="K231" s="88"/>
      <c r="L231" s="88"/>
      <c r="M231" s="13">
        <v>6125481000</v>
      </c>
      <c r="N231" s="13">
        <v>3927516000</v>
      </c>
      <c r="O231" s="13">
        <v>2307942000</v>
      </c>
      <c r="P231" s="6">
        <v>735745000</v>
      </c>
      <c r="Q231" s="6">
        <v>39503000</v>
      </c>
      <c r="R231" s="6">
        <f>IF(Tabela3[[#This Row],[Ativo || Passivo]]&gt;0,Tabela3[[#This Row],[Ativo || Passivo]]-Tabela3[[#This Row],[Patrimônio Líquido]],0)</f>
        <v>5389736000</v>
      </c>
      <c r="S231" s="13">
        <f>Tabela3[[#This Row],[Cotação]]*Tabela3[[#This Row],[Total Ações]]</f>
        <v>412487021.69999999</v>
      </c>
      <c r="T231" s="132">
        <f>IF(Tabela3[[#This Row],[Passivo Circulante]]&gt;0,Tabela3[[#This Row],[Ativo Circulante]]/Tabela3[[#This Row],[Passivo Circulante]],0)</f>
        <v>1.7017394717891525</v>
      </c>
      <c r="U231" s="132">
        <f>SUMPRODUCT(N([Liquidez Corrente]&gt;0),N(RIGHT([PAPEL],LEN([PAPEL])-(LEN([PAPEL])-1))="3"),[Liquidez Corrente])/SUMPRODUCT(N([Liquidez Corrente]&gt;0),N(RIGHT([PAPEL],LEN([PAPEL])-(LEN([PAPEL])-1))="3"))</f>
        <v>2.331224473064915</v>
      </c>
      <c r="V231" s="19">
        <f>IF(Tabela3[[#This Row],[Lucro Líquido]]&gt;0,Tabela3[[#This Row],[Lucro Líquido]]/Tabela3[[#This Row],[Patrimônio Líquido]],0)</f>
        <v>5.3691156582783436E-2</v>
      </c>
      <c r="W231" s="19">
        <f>SUMPRODUCT(N([Rentabilidade s/ PL]&gt;0),N(RIGHT([PAPEL],LEN([PAPEL])-(LEN([PAPEL])-1))="3"),[Rentabilidade s/ PL])/SUMPRODUCT(N([Rentabilidade s/ PL]&gt;0),N(RIGHT([PAPEL],LEN([PAPEL])-(LEN([PAPEL])-1))="3"))</f>
        <v>0.1261051308670782</v>
      </c>
      <c r="X231" s="19">
        <f>IF(Tabela3[[#This Row],[Dívida]]&gt;0,Tabela3[[#This Row],[Dívida]]/Tabela3[[#This Row],[Patrimônio Líquido]],0)</f>
        <v>7.3255489333940425</v>
      </c>
      <c r="Y231" s="19">
        <f>SUMPRODUCT(N([Dívida / PL]&gt;0),N(RIGHT([PAPEL],LEN([PAPEL])-(LEN([PAPEL])-1))="3"),[Dívida / PL])/SUMPRODUCT(N([Dívida / PL]&gt;0),N(RIGHT([PAPEL],LEN([PAPEL])-(LEN([PAPEL])-1))="3"))</f>
        <v>2.1510410379481146</v>
      </c>
      <c r="Z231" s="6">
        <f>Tabela3[[#This Row],[Capital Social]]*20%</f>
        <v>66200000</v>
      </c>
      <c r="AA231" s="6">
        <f>IF(([Lucro Líquido]*5%)&gt;[Teto R. Legal],[Teto R. Legal],[Lucro Líquido]*5%)</f>
        <v>1975150</v>
      </c>
      <c r="AB231" s="6">
        <f>IF([Lucro Líquido]&lt;0,0,[Lucro Líquido]-[Reserva Legal])</f>
        <v>37527850</v>
      </c>
      <c r="AC231" s="6">
        <f>Tabela3[[#This Row],[Lucro Distribuir]]*[%Div]</f>
        <v>9381962.5</v>
      </c>
      <c r="AD231" s="56">
        <f>SUMPRODUCT(N([Nome]=Tabela3[[#This Row],[Nome]]),[Ações])</f>
        <v>105765903</v>
      </c>
      <c r="AE231" s="6">
        <f>[Capital Social]/[Total Ações]</f>
        <v>3.1295530091583483</v>
      </c>
      <c r="AF231" s="78">
        <f>Tabela3[[#This Row],[Lucro Líquido]]/Tabela3[[#This Row],[Total Ações]]</f>
        <v>0.37349466018363214</v>
      </c>
      <c r="AG231" s="78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8.8704981793612636E-2</v>
      </c>
      <c r="AH231" s="78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231" s="78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0.25036424073266789</v>
      </c>
      <c r="AJ231" s="78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0.25036424073266789</v>
      </c>
      <c r="AK231" s="6">
        <f>[Div Base]*[Ações]</f>
        <v>11598598.643269751</v>
      </c>
      <c r="AL231" s="6">
        <f>SUMPRODUCT(N([Nome]=Tabela3[[#This Row],[Nome]]),[Div Base]*[Ações])</f>
        <v>11598598.643269751</v>
      </c>
      <c r="AM231" s="6">
        <f>[Patrimônio Líquido]/[Total Ações]</f>
        <v>6.9563534100399069</v>
      </c>
      <c r="AN231" s="48">
        <f>MAX(Tabela3[[#This Row],[Cotação 1]:[Cotação 5]])</f>
        <v>3.9</v>
      </c>
      <c r="AO231" s="44">
        <f>[Cotação]/[VPA]</f>
        <v>0.56063856594336348</v>
      </c>
      <c r="AP231" s="40">
        <f>IF(Tabela3[[#This Row],[Lucro/Ação]]&gt;0,Tabela3[[#This Row],[Cotação]]/(Tabela3[[#This Row],[Lucro/Ação]]/[Ref]*4),0)</f>
        <v>7.8314372648912745</v>
      </c>
      <c r="AQ231" s="78">
        <f>[Lucro Distribuir]/[Total Ações]</f>
        <v>0.35481992717445054</v>
      </c>
      <c r="AR231" s="78">
        <f>IF([Unit ON]&gt;0,SUMPRODUCT(N([Nome]=Tabela3[[#This Row],[Nome]]),N(RIGHT([PAPEL],1)="3"),[Div Base])*[Unit ON]+SUMPRODUCT(N([Nome]=Tabela3[[#This Row],[Nome]]),N(RIGHT([PAPEL],1)="4"),[Div Base])*[Unit PN],[Div Base])</f>
        <v>0.25036424073266789</v>
      </c>
      <c r="AS231" s="15" t="str">
        <f>IF(AND([% A.A.]&gt;=6%,SUMPRODUCT(N([Nome]=Tabela3[[#This Row],[Nome]]),[PL])&gt;0,[Rentabilidade s/ PL]&gt;=[Rentabilidade s/ PL Média]),"Sim","Não")</f>
        <v>Não</v>
      </c>
      <c r="AT231" s="42">
        <f>IF([Cotação]&gt;0,Tabela3[[#This Row],[Lucro]]/Tabela3[[#This Row],[Cotação]],0)</f>
        <v>6.4195959162222538E-2</v>
      </c>
      <c r="AU231" s="19">
        <f>((1+Tabela3[[#This Row],[% Yield]])^(1/(3*Tabela3[[#This Row],[Ref]])))^(12)-1</f>
        <v>8.6497690206354561E-2</v>
      </c>
      <c r="AV231" s="14">
        <f>IF([Cotação]&gt;0,($BH$1/Tabela3[[#This Row],[Cotação]]-MOD($BH$1/Tabela3[[#This Row],[Cotação]],100)),)</f>
        <v>100</v>
      </c>
      <c r="AW231" s="17">
        <f>Tabela3[[#This Row],[Ativos]]*[Lucro]</f>
        <v>25.03642407326679</v>
      </c>
      <c r="AX231" s="13">
        <f>SUMPRODUCT(N(Tabela1[Código]=Tabela3[[#This Row],[PAPEL]]),Tabela1[Fechamento])</f>
        <v>0</v>
      </c>
      <c r="AY231" s="55">
        <f>SUMPRODUCT(N(Tabela17[Código]=Tabela3[[#This Row],[PAPEL]]),Tabela17[Fechamento])</f>
        <v>3.9</v>
      </c>
      <c r="AZ231" s="7">
        <f>SUMPRODUCT(N(Tabela176[Código]=Tabela3[[#This Row],[PAPEL]]),Tabela176[Fechamento])</f>
        <v>0</v>
      </c>
      <c r="BA231" s="7">
        <f>SUMPRODUCT(N(Tabela1768[Código]=Tabela3[[#This Row],[PAPEL]]),Tabela1768[Fechamento])</f>
        <v>0</v>
      </c>
      <c r="BB231" s="7">
        <f>SUMPRODUCT(N(Tabela17683[Código]=Tabela3[[#This Row],[PAPEL]]),Tabela17683[Fechamento])</f>
        <v>0</v>
      </c>
    </row>
    <row r="232" spans="1:54">
      <c r="A232" s="3" t="s">
        <v>40</v>
      </c>
      <c r="B232" s="57" t="s">
        <v>258</v>
      </c>
      <c r="C232" s="14" t="str">
        <f>LEFT([PAPEL],LEN([PAPEL])-(LEN([PAPEL])-4))</f>
        <v>ELEK</v>
      </c>
      <c r="D232" s="16">
        <v>4</v>
      </c>
      <c r="E232" s="5">
        <v>321000000</v>
      </c>
      <c r="F232" s="56">
        <v>14518150</v>
      </c>
      <c r="G232" s="86">
        <v>0.25</v>
      </c>
      <c r="H232" s="16"/>
      <c r="J232" s="18"/>
      <c r="K232" s="87"/>
      <c r="L232" s="87"/>
      <c r="M232" s="54"/>
      <c r="N232" s="54"/>
      <c r="O232" s="54"/>
      <c r="P232" s="5">
        <v>504080000</v>
      </c>
      <c r="Q232" s="5">
        <v>39390000</v>
      </c>
      <c r="R232" s="5">
        <f>IF(Tabela3[[#This Row],[Ativo || Passivo]]&gt;0,Tabela3[[#This Row],[Ativo || Passivo]]-Tabela3[[#This Row],[Patrimônio Líquido]],0)</f>
        <v>0</v>
      </c>
      <c r="S232" s="5">
        <f>Tabela3[[#This Row],[Cotação]]*Tabela3[[#This Row],[Total Ações]]</f>
        <v>286515047</v>
      </c>
      <c r="T232" s="130">
        <f>IF(Tabela3[[#This Row],[Passivo Circulante]]&gt;0,Tabela3[[#This Row],[Ativo Circulante]]/Tabela3[[#This Row],[Passivo Circulante]],0)</f>
        <v>0</v>
      </c>
      <c r="U232" s="130">
        <f>SUMPRODUCT(N([Liquidez Corrente]&gt;0),N(RIGHT([PAPEL],LEN([PAPEL])-(LEN([PAPEL])-1))="3"),[Liquidez Corrente])/SUMPRODUCT(N([Liquidez Corrente]&gt;0),N(RIGHT([PAPEL],LEN([PAPEL])-(LEN([PAPEL])-1))="3"))</f>
        <v>2.331224473064915</v>
      </c>
      <c r="V232" s="18">
        <f>IF(Tabela3[[#This Row],[Lucro Líquido]]&gt;0,Tabela3[[#This Row],[Lucro Líquido]]/Tabela3[[#This Row],[Patrimônio Líquido]],0)</f>
        <v>7.8142358355816538E-2</v>
      </c>
      <c r="W232" s="18">
        <f>SUMPRODUCT(N([Rentabilidade s/ PL]&gt;0),N(RIGHT([PAPEL],LEN([PAPEL])-(LEN([PAPEL])-1))="3"),[Rentabilidade s/ PL])/SUMPRODUCT(N([Rentabilidade s/ PL]&gt;0),N(RIGHT([PAPEL],LEN([PAPEL])-(LEN([PAPEL])-1))="3"))</f>
        <v>0.1261051308670782</v>
      </c>
      <c r="X232" s="18">
        <f>IF(Tabela3[[#This Row],[Dívida]]&gt;0,Tabela3[[#This Row],[Dívida]]/Tabela3[[#This Row],[Patrimônio Líquido]],0)</f>
        <v>0</v>
      </c>
      <c r="Y232" s="18">
        <f>SUMPRODUCT(N([Dívida / PL]&gt;0),N(RIGHT([PAPEL],LEN([PAPEL])-(LEN([PAPEL])-1))="3"),[Dívida / PL])/SUMPRODUCT(N([Dívida / PL]&gt;0),N(RIGHT([PAPEL],LEN([PAPEL])-(LEN([PAPEL])-1))="3"))</f>
        <v>2.1510410379481146</v>
      </c>
      <c r="Z232" s="5">
        <f>Tabela3[[#This Row],[Capital Social]]*20%</f>
        <v>64200000</v>
      </c>
      <c r="AA232" s="5">
        <f>IF(([Lucro Líquido]*5%)&gt;[Teto R. Legal],[Teto R. Legal],[Lucro Líquido]*5%)</f>
        <v>1969500</v>
      </c>
      <c r="AB232" s="5">
        <f>IF([Lucro Líquido]&lt;0,0,[Lucro Líquido]-[Reserva Legal])</f>
        <v>37420500</v>
      </c>
      <c r="AC232" s="5">
        <f>Tabela3[[#This Row],[Lucro Distribuir]]*[%Div]</f>
        <v>9355125</v>
      </c>
      <c r="AD232" s="21">
        <f>SUMPRODUCT(N([Nome]=Tabela3[[#This Row],[Nome]]),[Ações])</f>
        <v>31485170</v>
      </c>
      <c r="AE232" s="5">
        <f>[Capital Social]/[Total Ações]</f>
        <v>10.195276061714134</v>
      </c>
      <c r="AF232" s="77">
        <f>Tabela3[[#This Row],[Lucro Líquido]]/Tabela3[[#This Row],[Total Ações]]</f>
        <v>1.2510651840215568</v>
      </c>
      <c r="AG232" s="77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0.29712798120511974</v>
      </c>
      <c r="AH232" s="77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232" s="77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232" s="77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0.29712798120511974</v>
      </c>
      <c r="AK232" s="5">
        <f>[Div Base]*[Ações]</f>
        <v>4313748.6003331095</v>
      </c>
      <c r="AL232" s="5">
        <f>SUMPRODUCT(N([Nome]=Tabela3[[#This Row],[Nome]]),[Div Base]*[Ações])</f>
        <v>9355125</v>
      </c>
      <c r="AM232" s="5">
        <f>[Patrimônio Líquido]/[Total Ações]</f>
        <v>16.010077125198944</v>
      </c>
      <c r="AN232" s="52">
        <f>MAX(Tabela3[[#This Row],[Cotação 1]:[Cotação 5]])</f>
        <v>9.1</v>
      </c>
      <c r="AO232" s="53">
        <f>[Cotação]/[VPA]</f>
        <v>0.56839201515632432</v>
      </c>
      <c r="AP232" s="37">
        <f>IF(Tabela3[[#This Row],[Lucro/Ação]]&gt;0,Tabela3[[#This Row],[Cotação]]/(Tabela3[[#This Row],[Lucro/Ação]]/[Ref]*4),0)</f>
        <v>7.2738016501650167</v>
      </c>
      <c r="AQ232" s="77">
        <f>[Lucro Distribuir]/[Total Ações]</f>
        <v>1.188511924820479</v>
      </c>
      <c r="AR232" s="77">
        <f>IF([Unit ON]&gt;0,SUMPRODUCT(N([Nome]=Tabela3[[#This Row],[Nome]]),N(RIGHT([PAPEL],1)="3"),[Div Base])*[Unit ON]+SUMPRODUCT(N([Nome]=Tabela3[[#This Row],[Nome]]),N(RIGHT([PAPEL],1)="4"),[Div Base])*[Unit PN],[Div Base])</f>
        <v>0.29712798120511974</v>
      </c>
      <c r="AS232" s="16" t="str">
        <f>IF(AND([% A.A.]&gt;=6%,SUMPRODUCT(N([Nome]=Tabela3[[#This Row],[Nome]]),[PL])&gt;0,[Rentabilidade s/ PL]&gt;=[Rentabilidade s/ PL Média]),"Sim","Não")</f>
        <v>Não</v>
      </c>
      <c r="AT232" s="22">
        <f>IF([Cotação]&gt;0,Tabela3[[#This Row],[Lucro]]/Tabela3[[#This Row],[Cotação]],0)</f>
        <v>3.2651426506057117E-2</v>
      </c>
      <c r="AU232" s="18">
        <f>((1+Tabela3[[#This Row],[% Yield]])^(1/(3*Tabela3[[#This Row],[Ref]])))^(12)-1</f>
        <v>3.265142650605668E-2</v>
      </c>
      <c r="AV232" s="10">
        <f>IF([Cotação]&gt;0,($BH$1/Tabela3[[#This Row],[Cotação]]-MOD($BH$1/Tabela3[[#This Row],[Cotação]],100)),)</f>
        <v>0</v>
      </c>
      <c r="AW232" s="7">
        <f>Tabela3[[#This Row],[Ativos]]*[Lucro]</f>
        <v>0</v>
      </c>
      <c r="AX232" s="47">
        <f>SUMPRODUCT(N(Tabela1[Código]=Tabela3[[#This Row],[PAPEL]]),Tabela1[Fechamento])</f>
        <v>0</v>
      </c>
      <c r="AY232" s="47">
        <f>SUMPRODUCT(N(Tabela17[Código]=Tabela3[[#This Row],[PAPEL]]),Tabela17[Fechamento])</f>
        <v>9.1</v>
      </c>
      <c r="AZ232" s="7">
        <f>SUMPRODUCT(N(Tabela176[Código]=Tabela3[[#This Row],[PAPEL]]),Tabela176[Fechamento])</f>
        <v>0</v>
      </c>
      <c r="BA232" s="7">
        <f>SUMPRODUCT(N(Tabela1768[Código]=Tabela3[[#This Row],[PAPEL]]),Tabela1768[Fechamento])</f>
        <v>0</v>
      </c>
      <c r="BB232" s="7">
        <f>SUMPRODUCT(N(Tabela17683[Código]=Tabela3[[#This Row],[PAPEL]]),Tabela17683[Fechamento])</f>
        <v>0</v>
      </c>
    </row>
    <row r="233" spans="1:54">
      <c r="A233" s="4" t="s">
        <v>40</v>
      </c>
      <c r="B233" s="57" t="s">
        <v>259</v>
      </c>
      <c r="C233" s="14" t="str">
        <f>LEFT([PAPEL],LEN([PAPEL])-(LEN([PAPEL])-4))</f>
        <v>ELEK</v>
      </c>
      <c r="D233" s="15">
        <v>4</v>
      </c>
      <c r="E233" s="5">
        <v>321000000</v>
      </c>
      <c r="F233" s="8">
        <v>16967020</v>
      </c>
      <c r="G233" s="81">
        <v>0.25</v>
      </c>
      <c r="H233" s="15"/>
      <c r="I233" s="19"/>
      <c r="J233" s="19"/>
      <c r="K233" s="88"/>
      <c r="L233" s="88"/>
      <c r="M233" s="55"/>
      <c r="N233" s="55"/>
      <c r="O233" s="55"/>
      <c r="P233" s="5">
        <v>504080000</v>
      </c>
      <c r="Q233" s="5">
        <v>39390000</v>
      </c>
      <c r="R233" s="5">
        <f>IF(Tabela3[[#This Row],[Ativo || Passivo]]&gt;0,Tabela3[[#This Row],[Ativo || Passivo]]-Tabela3[[#This Row],[Patrimônio Líquido]],0)</f>
        <v>0</v>
      </c>
      <c r="S233" s="5">
        <f>Tabela3[[#This Row],[Cotação]]*Tabela3[[#This Row],[Total Ações]]</f>
        <v>286515047</v>
      </c>
      <c r="T233" s="130">
        <f>IF(Tabela3[[#This Row],[Passivo Circulante]]&gt;0,Tabela3[[#This Row],[Ativo Circulante]]/Tabela3[[#This Row],[Passivo Circulante]],0)</f>
        <v>0</v>
      </c>
      <c r="U233" s="130">
        <f>SUMPRODUCT(N([Liquidez Corrente]&gt;0),N(RIGHT([PAPEL],LEN([PAPEL])-(LEN([PAPEL])-1))="3"),[Liquidez Corrente])/SUMPRODUCT(N([Liquidez Corrente]&gt;0),N(RIGHT([PAPEL],LEN([PAPEL])-(LEN([PAPEL])-1))="3"))</f>
        <v>2.331224473064915</v>
      </c>
      <c r="V233" s="18">
        <f>IF(Tabela3[[#This Row],[Lucro Líquido]]&gt;0,Tabela3[[#This Row],[Lucro Líquido]]/Tabela3[[#This Row],[Patrimônio Líquido]],0)</f>
        <v>7.8142358355816538E-2</v>
      </c>
      <c r="W233" s="18">
        <f>SUMPRODUCT(N([Rentabilidade s/ PL]&gt;0),N(RIGHT([PAPEL],LEN([PAPEL])-(LEN([PAPEL])-1))="3"),[Rentabilidade s/ PL])/SUMPRODUCT(N([Rentabilidade s/ PL]&gt;0),N(RIGHT([PAPEL],LEN([PAPEL])-(LEN([PAPEL])-1))="3"))</f>
        <v>0.1261051308670782</v>
      </c>
      <c r="X233" s="18">
        <f>IF(Tabela3[[#This Row],[Dívida]]&gt;0,Tabela3[[#This Row],[Dívida]]/Tabela3[[#This Row],[Patrimônio Líquido]],0)</f>
        <v>0</v>
      </c>
      <c r="Y233" s="18">
        <f>SUMPRODUCT(N([Dívida / PL]&gt;0),N(RIGHT([PAPEL],LEN([PAPEL])-(LEN([PAPEL])-1))="3"),[Dívida / PL])/SUMPRODUCT(N([Dívida / PL]&gt;0),N(RIGHT([PAPEL],LEN([PAPEL])-(LEN([PAPEL])-1))="3"))</f>
        <v>2.1510410379481146</v>
      </c>
      <c r="Z233" s="5">
        <f>Tabela3[[#This Row],[Capital Social]]*20%</f>
        <v>64200000</v>
      </c>
      <c r="AA233" s="5">
        <f>IF(([Lucro Líquido]*5%)&gt;[Teto R. Legal],[Teto R. Legal],[Lucro Líquido]*5%)</f>
        <v>1969500</v>
      </c>
      <c r="AB233" s="5">
        <f>IF([Lucro Líquido]&lt;0,0,[Lucro Líquido]-[Reserva Legal])</f>
        <v>37420500</v>
      </c>
      <c r="AC233" s="5">
        <f>Tabela3[[#This Row],[Lucro Distribuir]]*[%Div]</f>
        <v>9355125</v>
      </c>
      <c r="AD233" s="21">
        <f>SUMPRODUCT(N([Nome]=Tabela3[[#This Row],[Nome]]),[Ações])</f>
        <v>31485170</v>
      </c>
      <c r="AE233" s="5">
        <f>[Capital Social]/[Total Ações]</f>
        <v>10.195276061714134</v>
      </c>
      <c r="AF233" s="78">
        <f>Tabela3[[#This Row],[Lucro Líquido]]/Tabela3[[#This Row],[Total Ações]]</f>
        <v>1.2510651840215568</v>
      </c>
      <c r="AG233" s="78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0.29712798120511974</v>
      </c>
      <c r="AH233" s="77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233" s="77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233" s="77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0.29712798120511974</v>
      </c>
      <c r="AK233" s="5">
        <f>[Div Base]*[Ações]</f>
        <v>5041376.3996668905</v>
      </c>
      <c r="AL233" s="5">
        <f>SUMPRODUCT(N([Nome]=Tabela3[[#This Row],[Nome]]),[Div Base]*[Ações])</f>
        <v>9355125</v>
      </c>
      <c r="AM233" s="6">
        <f>[Patrimônio Líquido]/[Total Ações]</f>
        <v>16.010077125198944</v>
      </c>
      <c r="AN233" s="48">
        <f>MAX(Tabela3[[#This Row],[Cotação 1]:[Cotação 5]])</f>
        <v>9.1</v>
      </c>
      <c r="AO233" s="44">
        <f>[Cotação]/[VPA]</f>
        <v>0.56839201515632432</v>
      </c>
      <c r="AP233" s="40">
        <f>IF(Tabela3[[#This Row],[Lucro/Ação]]&gt;0,Tabela3[[#This Row],[Cotação]]/(Tabela3[[#This Row],[Lucro/Ação]]/[Ref]*4),0)</f>
        <v>7.2738016501650167</v>
      </c>
      <c r="AQ233" s="78">
        <f>[Lucro Distribuir]/[Total Ações]</f>
        <v>1.188511924820479</v>
      </c>
      <c r="AR233" s="78">
        <f>IF([Unit ON]&gt;0,SUMPRODUCT(N([Nome]=Tabela3[[#This Row],[Nome]]),N(RIGHT([PAPEL],1)="3"),[Div Base])*[Unit ON]+SUMPRODUCT(N([Nome]=Tabela3[[#This Row],[Nome]]),N(RIGHT([PAPEL],1)="4"),[Div Base])*[Unit PN],[Div Base])</f>
        <v>0.29712798120511974</v>
      </c>
      <c r="AS233" s="15" t="str">
        <f>IF(AND([% A.A.]&gt;=6%,SUMPRODUCT(N([Nome]=Tabela3[[#This Row],[Nome]]),[PL])&gt;0,[Rentabilidade s/ PL]&gt;=[Rentabilidade s/ PL Média]),"Sim","Não")</f>
        <v>Não</v>
      </c>
      <c r="AT233" s="42">
        <f>IF([Cotação]&gt;0,Tabela3[[#This Row],[Lucro]]/Tabela3[[#This Row],[Cotação]],0)</f>
        <v>3.2651426506057117E-2</v>
      </c>
      <c r="AU233" s="19">
        <f>((1+Tabela3[[#This Row],[% Yield]])^(1/(3*Tabela3[[#This Row],[Ref]])))^(12)-1</f>
        <v>3.265142650605668E-2</v>
      </c>
      <c r="AV233" s="14">
        <f>IF([Cotação]&gt;0,($BH$1/Tabela3[[#This Row],[Cotação]]-MOD($BH$1/Tabela3[[#This Row],[Cotação]],100)),)</f>
        <v>0</v>
      </c>
      <c r="AW233" s="17">
        <f>Tabela3[[#This Row],[Ativos]]*[Lucro]</f>
        <v>0</v>
      </c>
      <c r="AX233" s="13">
        <f>SUMPRODUCT(N(Tabela1[Código]=Tabela3[[#This Row],[PAPEL]]),Tabela1[Fechamento])</f>
        <v>0</v>
      </c>
      <c r="AY233" s="13">
        <f>SUMPRODUCT(N(Tabela17[Código]=Tabela3[[#This Row],[PAPEL]]),Tabela17[Fechamento])</f>
        <v>9.1</v>
      </c>
      <c r="AZ233" s="7">
        <f>SUMPRODUCT(N(Tabela176[Código]=Tabela3[[#This Row],[PAPEL]]),Tabela176[Fechamento])</f>
        <v>0</v>
      </c>
      <c r="BA233" s="7">
        <f>SUMPRODUCT(N(Tabela1768[Código]=Tabela3[[#This Row],[PAPEL]]),Tabela1768[Fechamento])</f>
        <v>0</v>
      </c>
      <c r="BB233" s="7">
        <f>SUMPRODUCT(N(Tabela17683[Código]=Tabela3[[#This Row],[PAPEL]]),Tabela17683[Fechamento])</f>
        <v>0</v>
      </c>
    </row>
    <row r="234" spans="1:54" hidden="1">
      <c r="A234" s="3" t="s">
        <v>1196</v>
      </c>
      <c r="B234" s="57" t="s">
        <v>1227</v>
      </c>
      <c r="C234" s="16" t="str">
        <f>LEFT([PAPEL],LEN([PAPEL])-(LEN([PAPEL])-4))</f>
        <v>RSID</v>
      </c>
      <c r="D234" s="16">
        <v>3</v>
      </c>
      <c r="E234" s="5">
        <v>2633562618.8600001</v>
      </c>
      <c r="F234" s="56">
        <v>428833420</v>
      </c>
      <c r="G234" s="81">
        <v>0.25</v>
      </c>
      <c r="H234" s="87"/>
      <c r="J234" s="18"/>
      <c r="K234" s="16"/>
      <c r="L234" s="87"/>
      <c r="M234" s="54"/>
      <c r="N234" s="54"/>
      <c r="O234" s="54"/>
      <c r="P234" s="91">
        <v>2386747000</v>
      </c>
      <c r="Q234" s="73">
        <v>38536000</v>
      </c>
      <c r="R234" s="73">
        <f>IF(Tabela3[[#This Row],[Ativo || Passivo]]&gt;0,Tabela3[[#This Row],[Ativo || Passivo]]-Tabela3[[#This Row],[Patrimônio Líquido]],0)</f>
        <v>0</v>
      </c>
      <c r="S234" s="73">
        <f>Tabela3[[#This Row],[Cotação]]*Tabela3[[#This Row],[Total Ações]]</f>
        <v>737593482.39999998</v>
      </c>
      <c r="T234" s="37">
        <f>IF(Tabela3[[#This Row],[Passivo Circulante]]&gt;0,Tabela3[[#This Row],[Ativo Circulante]]/Tabela3[[#This Row],[Passivo Circulante]],0)</f>
        <v>0</v>
      </c>
      <c r="U234" s="37">
        <f>SUMPRODUCT(N([Liquidez Corrente]&gt;0),N(RIGHT([PAPEL],LEN([PAPEL])-(LEN([PAPEL])-1))="3"),[Liquidez Corrente])/SUMPRODUCT(N([Liquidez Corrente]&gt;0),N(RIGHT([PAPEL],LEN([PAPEL])-(LEN([PAPEL])-1))="3"))</f>
        <v>2.331224473064915</v>
      </c>
      <c r="V234" s="18">
        <f>IF(Tabela3[[#This Row],[Lucro Líquido]]&gt;0,Tabela3[[#This Row],[Lucro Líquido]]/Tabela3[[#This Row],[Patrimônio Líquido]],0)</f>
        <v>1.6145825259233592E-2</v>
      </c>
      <c r="W234" s="18">
        <f>SUMPRODUCT(N([Rentabilidade s/ PL]&gt;0),N(RIGHT([PAPEL],LEN([PAPEL])-(LEN([PAPEL])-1))="3"),[Rentabilidade s/ PL])/SUMPRODUCT(N([Rentabilidade s/ PL]&gt;0),N(RIGHT([PAPEL],LEN([PAPEL])-(LEN([PAPEL])-1))="3"))</f>
        <v>0.1261051308670782</v>
      </c>
      <c r="X234" s="18">
        <f>IF(Tabela3[[#This Row],[Dívida]]&gt;0,Tabela3[[#This Row],[Dívida]]/Tabela3[[#This Row],[Patrimônio Líquido]],0)</f>
        <v>0</v>
      </c>
      <c r="Y234" s="18">
        <f>SUMPRODUCT(N([Dívida / PL]&gt;0),N(RIGHT([PAPEL],LEN([PAPEL])-(LEN([PAPEL])-1))="3"),[Dívida / PL])/SUMPRODUCT(N([Dívida / PL]&gt;0),N(RIGHT([PAPEL],LEN([PAPEL])-(LEN([PAPEL])-1))="3"))</f>
        <v>2.1510410379481146</v>
      </c>
      <c r="Z234" s="7">
        <f>Tabela3[[#This Row],[Capital Social]]*20%</f>
        <v>526712523.77200007</v>
      </c>
      <c r="AA234" s="47">
        <f>IF(([Lucro Líquido]*5%)&gt;[Teto R. Legal],[Teto R. Legal],[Lucro Líquido]*5%)</f>
        <v>1926800</v>
      </c>
      <c r="AB234" s="47">
        <f>IF([Lucro Líquido]&lt;0,0,[Lucro Líquido]-[Reserva Legal])</f>
        <v>36609200</v>
      </c>
      <c r="AC234" s="47">
        <f>Tabela3[[#This Row],[Lucro Distribuir]]*[%Div]</f>
        <v>9152300</v>
      </c>
      <c r="AD234" s="56">
        <f>SUMPRODUCT(N([Nome]=Tabela3[[#This Row],[Nome]]),[Ações])</f>
        <v>428833420</v>
      </c>
      <c r="AE234" s="85">
        <f>[Capital Social]/[Total Ações]</f>
        <v>6.1412252311398685</v>
      </c>
      <c r="AF234" s="85">
        <f>Tabela3[[#This Row],[Lucro Líquido]]/Tabela3[[#This Row],[Total Ações]]</f>
        <v>8.9862399250506181E-2</v>
      </c>
      <c r="AG234" s="85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2.1342319821995217E-2</v>
      </c>
      <c r="AH234" s="85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234" s="77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234" s="85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2.1342319821995217E-2</v>
      </c>
      <c r="AK234" s="7">
        <f>[Div Base]*[Ações]</f>
        <v>9152300</v>
      </c>
      <c r="AL234" s="120">
        <f>SUMPRODUCT(N([Nome]=Tabela3[[#This Row],[Nome]]),[Div Base]*[Ações])</f>
        <v>9152300</v>
      </c>
      <c r="AM234" s="5">
        <f>[Patrimônio Líquido]/[Total Ações]</f>
        <v>5.5656739626309912</v>
      </c>
      <c r="AN234" s="52">
        <f>MAX(Tabela3[[#This Row],[Cotação 1]:[Cotação 5]])</f>
        <v>1.72</v>
      </c>
      <c r="AO234" s="53">
        <f>[Cotação]/[VPA]</f>
        <v>0.30903714654297249</v>
      </c>
      <c r="AP234" s="37">
        <f>IF(Tabela3[[#This Row],[Lucro/Ação]]&gt;0,Tabela3[[#This Row],[Cotação]]/(Tabela3[[#This Row],[Lucro/Ação]]/[Ref]*4),0)</f>
        <v>14.355281082624039</v>
      </c>
      <c r="AQ234" s="85">
        <f>[Lucro Distribuir]/[Total Ações]</f>
        <v>8.5369279287980868E-2</v>
      </c>
      <c r="AR234" s="85">
        <f>IF([Unit ON]&gt;0,SUMPRODUCT(N([Nome]=Tabela3[[#This Row],[Nome]]),N(RIGHT([PAPEL],1)="3"),[Div Base])*[Unit ON]+SUMPRODUCT(N([Nome]=Tabela3[[#This Row],[Nome]]),N(RIGHT([PAPEL],1)="4"),[Div Base])*[Unit PN],[Div Base])</f>
        <v>2.1342319821995217E-2</v>
      </c>
      <c r="AS234" s="10" t="str">
        <f>IF(AND([% A.A.]&gt;=6%,SUMPRODUCT(N([Nome]=Tabela3[[#This Row],[Nome]]),[PL])&gt;0,[Rentabilidade s/ PL]&gt;=[Rentabilidade s/ PL Média]),"Sim","Não")</f>
        <v>Não</v>
      </c>
      <c r="AT234" s="22">
        <f>IF([Cotação]&gt;0,Tabela3[[#This Row],[Lucro]]/Tabela3[[#This Row],[Cotação]],0)</f>
        <v>1.2408325477904197E-2</v>
      </c>
      <c r="AU234" s="22">
        <f>((1+Tabela3[[#This Row],[% Yield]])^(1/(3*Tabela3[[#This Row],[Ref]])))^(12)-1</f>
        <v>1.6578554897983988E-2</v>
      </c>
      <c r="AV234" s="10">
        <f>IF([Cotação]&gt;0,($BH$1/Tabela3[[#This Row],[Cotação]]-MOD($BH$1/Tabela3[[#This Row],[Cotação]],100)),)</f>
        <v>200</v>
      </c>
      <c r="AW234" s="7">
        <f>Tabela3[[#This Row],[Ativos]]*[Lucro]</f>
        <v>4.268463964399043</v>
      </c>
      <c r="AX234" s="7">
        <f>SUMPRODUCT(N(Tabela1[Código]=Tabela3[[#This Row],[PAPEL]]),Tabela1[Fechamento])</f>
        <v>0</v>
      </c>
      <c r="AY234" s="7">
        <f>SUMPRODUCT(N(Tabela17[Código]=Tabela3[[#This Row],[PAPEL]]),Tabela17[Fechamento])</f>
        <v>0</v>
      </c>
      <c r="AZ234" s="7">
        <f>SUMPRODUCT(N(Tabela176[Código]=Tabela3[[#This Row],[PAPEL]]),Tabela176[Fechamento])</f>
        <v>0</v>
      </c>
      <c r="BA234" s="7">
        <f>SUMPRODUCT(N(Tabela1768[Código]=Tabela3[[#This Row],[PAPEL]]),Tabela1768[Fechamento])</f>
        <v>1.72</v>
      </c>
      <c r="BB234" s="7">
        <f>SUMPRODUCT(N(Tabela17683[Código]=Tabela3[[#This Row],[PAPEL]]),Tabela17683[Fechamento])</f>
        <v>0</v>
      </c>
    </row>
    <row r="235" spans="1:54" hidden="1">
      <c r="A235" s="3" t="s">
        <v>275</v>
      </c>
      <c r="B235" s="58" t="s">
        <v>272</v>
      </c>
      <c r="C235" s="83" t="str">
        <f>LEFT([PAPEL],LEN([PAPEL])-(LEN([PAPEL])-4))</f>
        <v>CIQU</v>
      </c>
      <c r="D235" s="16">
        <v>3</v>
      </c>
      <c r="E235" s="5">
        <v>173000000</v>
      </c>
      <c r="F235" s="56">
        <v>8316000</v>
      </c>
      <c r="G235" s="86">
        <v>0.25</v>
      </c>
      <c r="H235" s="16"/>
      <c r="J235" s="18"/>
      <c r="K235" s="87"/>
      <c r="L235" s="87"/>
      <c r="M235" s="54">
        <v>571642000</v>
      </c>
      <c r="N235" s="54">
        <v>361717000</v>
      </c>
      <c r="O235" s="54">
        <v>263730000</v>
      </c>
      <c r="P235" s="5">
        <v>264517000</v>
      </c>
      <c r="Q235" s="5">
        <v>37183000</v>
      </c>
      <c r="R235" s="5">
        <f>IF(Tabela3[[#This Row],[Ativo || Passivo]]&gt;0,Tabela3[[#This Row],[Ativo || Passivo]]-Tabela3[[#This Row],[Patrimônio Líquido]],0)</f>
        <v>307125000</v>
      </c>
      <c r="S235" s="5">
        <f>Tabela3[[#This Row],[Cotação]]*Tabela3[[#This Row],[Total Ações]]</f>
        <v>176631840</v>
      </c>
      <c r="T235" s="130">
        <f>IF(Tabela3[[#This Row],[Passivo Circulante]]&gt;0,Tabela3[[#This Row],[Ativo Circulante]]/Tabela3[[#This Row],[Passivo Circulante]],0)</f>
        <v>1.3715428658097297</v>
      </c>
      <c r="U235" s="130">
        <f>SUMPRODUCT(N([Liquidez Corrente]&gt;0),N(RIGHT([PAPEL],LEN([PAPEL])-(LEN([PAPEL])-1))="3"),[Liquidez Corrente])/SUMPRODUCT(N([Liquidez Corrente]&gt;0),N(RIGHT([PAPEL],LEN([PAPEL])-(LEN([PAPEL])-1))="3"))</f>
        <v>2.331224473064915</v>
      </c>
      <c r="V235" s="18">
        <f>IF(Tabela3[[#This Row],[Lucro Líquido]]&gt;0,Tabela3[[#This Row],[Lucro Líquido]]/Tabela3[[#This Row],[Patrimônio Líquido]],0)</f>
        <v>0.14056941519826702</v>
      </c>
      <c r="W235" s="18">
        <f>SUMPRODUCT(N([Rentabilidade s/ PL]&gt;0),N(RIGHT([PAPEL],LEN([PAPEL])-(LEN([PAPEL])-1))="3"),[Rentabilidade s/ PL])/SUMPRODUCT(N([Rentabilidade s/ PL]&gt;0),N(RIGHT([PAPEL],LEN([PAPEL])-(LEN([PAPEL])-1))="3"))</f>
        <v>0.1261051308670782</v>
      </c>
      <c r="X235" s="18">
        <f>IF(Tabela3[[#This Row],[Dívida]]&gt;0,Tabela3[[#This Row],[Dívida]]/Tabela3[[#This Row],[Patrimônio Líquido]],0)</f>
        <v>1.1610784940098369</v>
      </c>
      <c r="Y235" s="18">
        <f>SUMPRODUCT(N([Dívida / PL]&gt;0),N(RIGHT([PAPEL],LEN([PAPEL])-(LEN([PAPEL])-1))="3"),[Dívida / PL])/SUMPRODUCT(N([Dívida / PL]&gt;0),N(RIGHT([PAPEL],LEN([PAPEL])-(LEN([PAPEL])-1))="3"))</f>
        <v>2.1510410379481146</v>
      </c>
      <c r="Z235" s="5">
        <f>Tabela3[[#This Row],[Capital Social]]*20%</f>
        <v>34600000</v>
      </c>
      <c r="AA235" s="5">
        <f>IF(([Lucro Líquido]*5%)&gt;[Teto R. Legal],[Teto R. Legal],[Lucro Líquido]*5%)</f>
        <v>1859150</v>
      </c>
      <c r="AB235" s="5">
        <f>IF([Lucro Líquido]&lt;0,0,[Lucro Líquido]-[Reserva Legal])</f>
        <v>35323850</v>
      </c>
      <c r="AC235" s="5">
        <f>Tabela3[[#This Row],[Lucro Distribuir]]*[%Div]</f>
        <v>8830962.5</v>
      </c>
      <c r="AD235" s="56">
        <f>SUMPRODUCT(N([Nome]=Tabela3[[#This Row],[Nome]]),[Ações])</f>
        <v>24948000</v>
      </c>
      <c r="AE235" s="5">
        <f>[Capital Social]/[Total Ações]</f>
        <v>6.934423601090268</v>
      </c>
      <c r="AF235" s="77">
        <f>Tabela3[[#This Row],[Lucro Líquido]]/Tabela3[[#This Row],[Total Ações]]</f>
        <v>1.490420073753407</v>
      </c>
      <c r="AG235" s="77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0.342961266474547</v>
      </c>
      <c r="AH235" s="77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235" s="77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235" s="77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0.342961266474547</v>
      </c>
      <c r="AK235" s="5">
        <f>[Div Base]*[Ações]</f>
        <v>2852065.892002333</v>
      </c>
      <c r="AL235" s="5">
        <f>SUMPRODUCT(N([Nome]=Tabela3[[#This Row],[Nome]]),[Div Base]*[Ações])</f>
        <v>9126610.8630029354</v>
      </c>
      <c r="AM235" s="5">
        <f>[Patrimônio Líquido]/[Total Ações]</f>
        <v>10.602733686067019</v>
      </c>
      <c r="AN235" s="52">
        <f>MAX(Tabela3[[#This Row],[Cotação 1]:[Cotação 5]])</f>
        <v>7.08</v>
      </c>
      <c r="AO235" s="53">
        <f>[Cotação]/[VPA]</f>
        <v>0.66775231837651272</v>
      </c>
      <c r="AP235" s="37">
        <f>IF(Tabela3[[#This Row],[Lucro/Ação]]&gt;0,Tabela3[[#This Row],[Cotação]]/(Tabela3[[#This Row],[Lucro/Ação]]/[Ref]*4),0)</f>
        <v>3.5627539466960707</v>
      </c>
      <c r="AQ235" s="77">
        <f>[Lucro Distribuir]/[Total Ações]</f>
        <v>1.4158990700657368</v>
      </c>
      <c r="AR235" s="77">
        <f>IF([Unit ON]&gt;0,SUMPRODUCT(N([Nome]=Tabela3[[#This Row],[Nome]]),N(RIGHT([PAPEL],1)="3"),[Div Base])*[Unit ON]+SUMPRODUCT(N([Nome]=Tabela3[[#This Row],[Nome]]),N(RIGHT([PAPEL],1)="4"),[Div Base])*[Unit PN],[Div Base])</f>
        <v>0.342961266474547</v>
      </c>
      <c r="AS235" s="16" t="str">
        <f>IF(AND([% A.A.]&gt;=6%,SUMPRODUCT(N([Nome]=Tabela3[[#This Row],[Nome]]),[PL])&gt;0,[Rentabilidade s/ PL]&gt;=[Rentabilidade s/ PL Média]),"Sim","Não")</f>
        <v>Sim</v>
      </c>
      <c r="AT235" s="22">
        <f>IF([Cotação]&gt;0,Tabela3[[#This Row],[Lucro]]/Tabela3[[#This Row],[Cotação]],0)</f>
        <v>4.8440856846687426E-2</v>
      </c>
      <c r="AU235" s="18">
        <f>((1+Tabela3[[#This Row],[% Yield]])^(1/(3*Tabela3[[#This Row],[Ref]])))^(12)-1</f>
        <v>6.510375451816186E-2</v>
      </c>
      <c r="AV235" s="14">
        <f>IF([Cotação]&gt;0,($BH$1/Tabela3[[#This Row],[Cotação]]-MOD($BH$1/Tabela3[[#This Row],[Cotação]],100)),)</f>
        <v>0</v>
      </c>
      <c r="AW235" s="7">
        <f>Tabela3[[#This Row],[Ativos]]*[Lucro]</f>
        <v>0</v>
      </c>
      <c r="AX235" s="47">
        <f>SUMPRODUCT(N(Tabela1[Código]=Tabela3[[#This Row],[PAPEL]]),Tabela1[Fechamento])</f>
        <v>0</v>
      </c>
      <c r="AY235" s="54">
        <f>SUMPRODUCT(N(Tabela17[Código]=Tabela3[[#This Row],[PAPEL]]),Tabela17[Fechamento])</f>
        <v>7.08</v>
      </c>
      <c r="AZ235" s="7">
        <f>SUMPRODUCT(N(Tabela176[Código]=Tabela3[[#This Row],[PAPEL]]),Tabela176[Fechamento])</f>
        <v>0</v>
      </c>
      <c r="BA235" s="7">
        <f>SUMPRODUCT(N(Tabela1768[Código]=Tabela3[[#This Row],[PAPEL]]),Tabela1768[Fechamento])</f>
        <v>0</v>
      </c>
      <c r="BB235" s="7">
        <f>SUMPRODUCT(N(Tabela17683[Código]=Tabela3[[#This Row],[PAPEL]]),Tabela17683[Fechamento])</f>
        <v>0</v>
      </c>
    </row>
    <row r="236" spans="1:54" hidden="1">
      <c r="A236" s="3" t="s">
        <v>275</v>
      </c>
      <c r="B236" s="58" t="s">
        <v>273</v>
      </c>
      <c r="C236" s="83" t="str">
        <f>LEFT([PAPEL],LEN([PAPEL])-(LEN([PAPEL])-4))</f>
        <v>CIQU</v>
      </c>
      <c r="D236" s="16">
        <v>3</v>
      </c>
      <c r="E236" s="5">
        <v>173000000</v>
      </c>
      <c r="F236" s="56">
        <v>16632000</v>
      </c>
      <c r="G236" s="81">
        <v>0.25</v>
      </c>
      <c r="H236" s="16"/>
      <c r="J236" s="18">
        <v>0.1</v>
      </c>
      <c r="K236" s="87"/>
      <c r="L236" s="87"/>
      <c r="M236" s="54">
        <v>571642000</v>
      </c>
      <c r="N236" s="54">
        <v>361717000</v>
      </c>
      <c r="O236" s="54">
        <v>263730000</v>
      </c>
      <c r="P236" s="5">
        <v>264517000</v>
      </c>
      <c r="Q236" s="5">
        <v>37183000</v>
      </c>
      <c r="R236" s="5">
        <f>IF(Tabela3[[#This Row],[Ativo || Passivo]]&gt;0,Tabela3[[#This Row],[Ativo || Passivo]]-Tabela3[[#This Row],[Patrimônio Líquido]],0)</f>
        <v>307125000</v>
      </c>
      <c r="S236" s="5">
        <f>Tabela3[[#This Row],[Cotação]]*Tabela3[[#This Row],[Total Ações]]</f>
        <v>311850000</v>
      </c>
      <c r="T236" s="130">
        <f>IF(Tabela3[[#This Row],[Passivo Circulante]]&gt;0,Tabela3[[#This Row],[Ativo Circulante]]/Tabela3[[#This Row],[Passivo Circulante]],0)</f>
        <v>1.3715428658097297</v>
      </c>
      <c r="U236" s="130">
        <f>SUMPRODUCT(N([Liquidez Corrente]&gt;0),N(RIGHT([PAPEL],LEN([PAPEL])-(LEN([PAPEL])-1))="3"),[Liquidez Corrente])/SUMPRODUCT(N([Liquidez Corrente]&gt;0),N(RIGHT([PAPEL],LEN([PAPEL])-(LEN([PAPEL])-1))="3"))</f>
        <v>2.331224473064915</v>
      </c>
      <c r="V236" s="18">
        <f>IF(Tabela3[[#This Row],[Lucro Líquido]]&gt;0,Tabela3[[#This Row],[Lucro Líquido]]/Tabela3[[#This Row],[Patrimônio Líquido]],0)</f>
        <v>0.14056941519826702</v>
      </c>
      <c r="W236" s="18">
        <f>SUMPRODUCT(N([Rentabilidade s/ PL]&gt;0),N(RIGHT([PAPEL],LEN([PAPEL])-(LEN([PAPEL])-1))="3"),[Rentabilidade s/ PL])/SUMPRODUCT(N([Rentabilidade s/ PL]&gt;0),N(RIGHT([PAPEL],LEN([PAPEL])-(LEN([PAPEL])-1))="3"))</f>
        <v>0.1261051308670782</v>
      </c>
      <c r="X236" s="18">
        <f>IF(Tabela3[[#This Row],[Dívida]]&gt;0,Tabela3[[#This Row],[Dívida]]/Tabela3[[#This Row],[Patrimônio Líquido]],0)</f>
        <v>1.1610784940098369</v>
      </c>
      <c r="Y236" s="18">
        <f>SUMPRODUCT(N([Dívida / PL]&gt;0),N(RIGHT([PAPEL],LEN([PAPEL])-(LEN([PAPEL])-1))="3"),[Dívida / PL])/SUMPRODUCT(N([Dívida / PL]&gt;0),N(RIGHT([PAPEL],LEN([PAPEL])-(LEN([PAPEL])-1))="3"))</f>
        <v>2.1510410379481146</v>
      </c>
      <c r="Z236" s="5">
        <f>Tabela3[[#This Row],[Capital Social]]*20%</f>
        <v>34600000</v>
      </c>
      <c r="AA236" s="5">
        <f>IF(([Lucro Líquido]*5%)&gt;[Teto R. Legal],[Teto R. Legal],[Lucro Líquido]*5%)</f>
        <v>1859150</v>
      </c>
      <c r="AB236" s="5">
        <f>IF([Lucro Líquido]&lt;0,0,[Lucro Líquido]-[Reserva Legal])</f>
        <v>35323850</v>
      </c>
      <c r="AC236" s="5">
        <f>Tabela3[[#This Row],[Lucro Distribuir]]*[%Div]</f>
        <v>8830962.5</v>
      </c>
      <c r="AD236" s="56">
        <f>SUMPRODUCT(N([Nome]=Tabela3[[#This Row],[Nome]]),[Ações])</f>
        <v>24948000</v>
      </c>
      <c r="AE236" s="5">
        <f>[Capital Social]/[Total Ações]</f>
        <v>6.934423601090268</v>
      </c>
      <c r="AF236" s="77">
        <f>Tabela3[[#This Row],[Lucro Líquido]]/Tabela3[[#This Row],[Total Ações]]</f>
        <v>1.490420073753407</v>
      </c>
      <c r="AG236" s="77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0.37725739363880484</v>
      </c>
      <c r="AH236" s="77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236" s="77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236" s="77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0.37725739363880484</v>
      </c>
      <c r="AK236" s="5">
        <f>[Div Base]*[Ações]</f>
        <v>6274544.9710006025</v>
      </c>
      <c r="AL236" s="5">
        <f>SUMPRODUCT(N([Nome]=Tabela3[[#This Row],[Nome]]),[Div Base]*[Ações])</f>
        <v>9126610.8630029354</v>
      </c>
      <c r="AM236" s="5">
        <f>[Patrimônio Líquido]/[Total Ações]</f>
        <v>10.602733686067019</v>
      </c>
      <c r="AN236" s="52">
        <f>MAX(Tabela3[[#This Row],[Cotação 1]:[Cotação 5]])</f>
        <v>12.5</v>
      </c>
      <c r="AO236" s="53">
        <f>[Cotação]/[VPA]</f>
        <v>1.1789412400715267</v>
      </c>
      <c r="AP236" s="37">
        <f>IF(Tabela3[[#This Row],[Lucro/Ação]]&gt;0,Tabela3[[#This Row],[Cotação]]/(Tabela3[[#This Row],[Lucro/Ação]]/[Ref]*4),0)</f>
        <v>6.2901729284888255</v>
      </c>
      <c r="AQ236" s="77">
        <f>[Lucro Distribuir]/[Total Ações]</f>
        <v>1.4158990700657368</v>
      </c>
      <c r="AR236" s="77">
        <f>IF([Unit ON]&gt;0,SUMPRODUCT(N([Nome]=Tabela3[[#This Row],[Nome]]),N(RIGHT([PAPEL],1)="3"),[Div Base])*[Unit ON]+SUMPRODUCT(N([Nome]=Tabela3[[#This Row],[Nome]]),N(RIGHT([PAPEL],1)="4"),[Div Base])*[Unit PN],[Div Base])</f>
        <v>0.37725739363880484</v>
      </c>
      <c r="AS236" s="16" t="str">
        <f>IF(AND([% A.A.]&gt;=6%,SUMPRODUCT(N([Nome]=Tabela3[[#This Row],[Nome]]),[PL])&gt;0,[Rentabilidade s/ PL]&gt;=[Rentabilidade s/ PL Média]),"Sim","Não")</f>
        <v>Não</v>
      </c>
      <c r="AT236" s="22">
        <f>IF([Cotação]&gt;0,Tabela3[[#This Row],[Lucro]]/Tabela3[[#This Row],[Cotação]],0)</f>
        <v>3.0180591491104386E-2</v>
      </c>
      <c r="AU236" s="18">
        <f>((1+Tabela3[[#This Row],[% Yield]])^(1/(3*Tabela3[[#This Row],[Ref]])))^(12)-1</f>
        <v>4.0441863033111147E-2</v>
      </c>
      <c r="AV236" s="10">
        <f>IF([Cotação]&gt;0,($BH$1/Tabela3[[#This Row],[Cotação]]-MOD($BH$1/Tabela3[[#This Row],[Cotação]],100)),)</f>
        <v>0</v>
      </c>
      <c r="AW236" s="7">
        <f>Tabela3[[#This Row],[Ativos]]*[Lucro]</f>
        <v>0</v>
      </c>
      <c r="AX236" s="47">
        <f>SUMPRODUCT(N(Tabela1[Código]=Tabela3[[#This Row],[PAPEL]]),Tabela1[Fechamento])</f>
        <v>0</v>
      </c>
      <c r="AY236" s="54">
        <f>SUMPRODUCT(N(Tabela17[Código]=Tabela3[[#This Row],[PAPEL]]),Tabela17[Fechamento])</f>
        <v>12.5</v>
      </c>
      <c r="AZ236" s="7">
        <f>SUMPRODUCT(N(Tabela176[Código]=Tabela3[[#This Row],[PAPEL]]),Tabela176[Fechamento])</f>
        <v>0</v>
      </c>
      <c r="BA236" s="7">
        <f>SUMPRODUCT(N(Tabela1768[Código]=Tabela3[[#This Row],[PAPEL]]),Tabela1768[Fechamento])</f>
        <v>0</v>
      </c>
      <c r="BB236" s="7">
        <f>SUMPRODUCT(N(Tabela17683[Código]=Tabela3[[#This Row],[PAPEL]]),Tabela17683[Fechamento])</f>
        <v>0</v>
      </c>
    </row>
    <row r="237" spans="1:54" hidden="1">
      <c r="A237" s="3" t="s">
        <v>1440</v>
      </c>
      <c r="B237" s="57" t="s">
        <v>1422</v>
      </c>
      <c r="C237" s="16" t="str">
        <f>LEFT([PAPEL],LEN([PAPEL])-(LEN([PAPEL])-4))</f>
        <v>KEPL</v>
      </c>
      <c r="D237" s="16">
        <v>3</v>
      </c>
      <c r="E237" s="5">
        <v>230635729.90000001</v>
      </c>
      <c r="F237" s="56">
        <v>26185106</v>
      </c>
      <c r="G237" s="81">
        <v>0.25</v>
      </c>
      <c r="H237" s="87"/>
      <c r="J237" s="18"/>
      <c r="K237" s="16"/>
      <c r="L237" s="87"/>
      <c r="M237" s="54"/>
      <c r="N237" s="54"/>
      <c r="O237" s="54"/>
      <c r="P237" s="91">
        <v>351730000</v>
      </c>
      <c r="Q237" s="73">
        <v>37050000</v>
      </c>
      <c r="R237" s="73">
        <f>IF(Tabela3[[#This Row],[Ativo || Passivo]]&gt;0,Tabela3[[#This Row],[Ativo || Passivo]]-Tabela3[[#This Row],[Patrimônio Líquido]],0)</f>
        <v>0</v>
      </c>
      <c r="S237" s="73">
        <f>Tabela3[[#This Row],[Cotação]]*Tabela3[[#This Row],[Total Ações]]</f>
        <v>998961793.89999998</v>
      </c>
      <c r="T237" s="37">
        <f>IF(Tabela3[[#This Row],[Passivo Circulante]]&gt;0,Tabela3[[#This Row],[Ativo Circulante]]/Tabela3[[#This Row],[Passivo Circulante]],0)</f>
        <v>0</v>
      </c>
      <c r="U237" s="37">
        <f>SUMPRODUCT(N([Liquidez Corrente]&gt;0),N(RIGHT([PAPEL],LEN([PAPEL])-(LEN([PAPEL])-1))="3"),[Liquidez Corrente])/SUMPRODUCT(N([Liquidez Corrente]&gt;0),N(RIGHT([PAPEL],LEN([PAPEL])-(LEN([PAPEL])-1))="3"))</f>
        <v>2.331224473064915</v>
      </c>
      <c r="V237" s="18">
        <f>IF(Tabela3[[#This Row],[Lucro Líquido]]&gt;0,Tabela3[[#This Row],[Lucro Líquido]]/Tabela3[[#This Row],[Patrimônio Líquido]],0)</f>
        <v>0.10533647968612288</v>
      </c>
      <c r="W237" s="18">
        <f>SUMPRODUCT(N([Rentabilidade s/ PL]&gt;0),N(RIGHT([PAPEL],LEN([PAPEL])-(LEN([PAPEL])-1))="3"),[Rentabilidade s/ PL])/SUMPRODUCT(N([Rentabilidade s/ PL]&gt;0),N(RIGHT([PAPEL],LEN([PAPEL])-(LEN([PAPEL])-1))="3"))</f>
        <v>0.1261051308670782</v>
      </c>
      <c r="X237" s="18">
        <f>IF(Tabela3[[#This Row],[Dívida]]&gt;0,Tabela3[[#This Row],[Dívida]]/Tabela3[[#This Row],[Patrimônio Líquido]],0)</f>
        <v>0</v>
      </c>
      <c r="Y237" s="18">
        <f>SUMPRODUCT(N([Dívida / PL]&gt;0),N(RIGHT([PAPEL],LEN([PAPEL])-(LEN([PAPEL])-1))="3"),[Dívida / PL])/SUMPRODUCT(N([Dívida / PL]&gt;0),N(RIGHT([PAPEL],LEN([PAPEL])-(LEN([PAPEL])-1))="3"))</f>
        <v>2.1510410379481146</v>
      </c>
      <c r="Z237" s="7">
        <f>Tabela3[[#This Row],[Capital Social]]*20%</f>
        <v>46127145.980000004</v>
      </c>
      <c r="AA237" s="47">
        <f>IF(([Lucro Líquido]*5%)&gt;[Teto R. Legal],[Teto R. Legal],[Lucro Líquido]*5%)</f>
        <v>1852500</v>
      </c>
      <c r="AB237" s="47">
        <f>IF([Lucro Líquido]&lt;0,0,[Lucro Líquido]-[Reserva Legal])</f>
        <v>35197500</v>
      </c>
      <c r="AC237" s="47">
        <f>Tabela3[[#This Row],[Lucro Distribuir]]*[%Div]</f>
        <v>8799375</v>
      </c>
      <c r="AD237" s="56">
        <f>SUMPRODUCT(N([Nome]=Tabela3[[#This Row],[Nome]]),[Ações])</f>
        <v>26185106</v>
      </c>
      <c r="AE237" s="85">
        <f>[Capital Social]/[Total Ações]</f>
        <v>8.8078975086066098</v>
      </c>
      <c r="AF237" s="85">
        <f>Tabela3[[#This Row],[Lucro Líquido]]/Tabela3[[#This Row],[Total Ações]]</f>
        <v>1.4149264853080985</v>
      </c>
      <c r="AG237" s="85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0.33604504026067339</v>
      </c>
      <c r="AH237" s="85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237" s="77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237" s="85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0.33604504026067339</v>
      </c>
      <c r="AK237" s="7">
        <f>[Div Base]*[Ações]</f>
        <v>8799375</v>
      </c>
      <c r="AL237" s="120">
        <f>SUMPRODUCT(N([Nome]=Tabela3[[#This Row],[Nome]]),[Div Base]*[Ações])</f>
        <v>8799375</v>
      </c>
      <c r="AM237" s="5">
        <f>[Patrimônio Líquido]/[Total Ações]</f>
        <v>13.432445146489</v>
      </c>
      <c r="AN237" s="52">
        <f>MAX(Tabela3[[#This Row],[Cotação 1]:[Cotação 5]])</f>
        <v>38.15</v>
      </c>
      <c r="AO237" s="53">
        <f>[Cotação]/[VPA]</f>
        <v>2.8401381568248372</v>
      </c>
      <c r="AP237" s="37">
        <f>IF(Tabela3[[#This Row],[Lucro/Ação]]&gt;0,Tabela3[[#This Row],[Cotação]]/(Tabela3[[#This Row],[Lucro/Ação]]/[Ref]*4),0)</f>
        <v>20.221898661943317</v>
      </c>
      <c r="AQ237" s="85">
        <f>[Lucro Distribuir]/[Total Ações]</f>
        <v>1.3441801610426936</v>
      </c>
      <c r="AR237" s="85">
        <f>IF([Unit ON]&gt;0,SUMPRODUCT(N([Nome]=Tabela3[[#This Row],[Nome]]),N(RIGHT([PAPEL],1)="3"),[Div Base])*[Unit ON]+SUMPRODUCT(N([Nome]=Tabela3[[#This Row],[Nome]]),N(RIGHT([PAPEL],1)="4"),[Div Base])*[Unit PN],[Div Base])</f>
        <v>0.33604504026067339</v>
      </c>
      <c r="AS237" s="10" t="str">
        <f>IF(AND([% A.A.]&gt;=6%,SUMPRODUCT(N([Nome]=Tabela3[[#This Row],[Nome]]),[PL])&gt;0,[Rentabilidade s/ PL]&gt;=[Rentabilidade s/ PL Média]),"Sim","Não")</f>
        <v>Não</v>
      </c>
      <c r="AT237" s="22">
        <f>IF([Cotação]&gt;0,Tabela3[[#This Row],[Lucro]]/Tabela3[[#This Row],[Cotação]],0)</f>
        <v>8.808520059257495E-3</v>
      </c>
      <c r="AU237" s="22">
        <f>((1+Tabela3[[#This Row],[% Yield]])^(1/(3*Tabela3[[#This Row],[Ref]])))^(12)-1</f>
        <v>1.176190201277505E-2</v>
      </c>
      <c r="AV237" s="10">
        <f>IF([Cotação]&gt;0,($BH$1/Tabela3[[#This Row],[Cotação]]-MOD($BH$1/Tabela3[[#This Row],[Cotação]],100)),)</f>
        <v>0</v>
      </c>
      <c r="AW237" s="7">
        <f>Tabela3[[#This Row],[Ativos]]*[Lucro]</f>
        <v>0</v>
      </c>
      <c r="AX237" s="7">
        <f>SUMPRODUCT(N(Tabela1[Código]=Tabela3[[#This Row],[PAPEL]]),Tabela1[Fechamento])</f>
        <v>0</v>
      </c>
      <c r="AY237" s="7">
        <f>SUMPRODUCT(N(Tabela17[Código]=Tabela3[[#This Row],[PAPEL]]),Tabela17[Fechamento])</f>
        <v>0</v>
      </c>
      <c r="AZ237" s="7">
        <f>SUMPRODUCT(N(Tabela176[Código]=Tabela3[[#This Row],[PAPEL]]),Tabela176[Fechamento])</f>
        <v>0</v>
      </c>
      <c r="BA237" s="7">
        <f>SUMPRODUCT(N(Tabela1768[Código]=Tabela3[[#This Row],[PAPEL]]),Tabela1768[Fechamento])</f>
        <v>0</v>
      </c>
      <c r="BB237" s="7">
        <f>SUMPRODUCT(N(Tabela17683[Código]=Tabela3[[#This Row],[PAPEL]]),Tabela17683[Fechamento])</f>
        <v>38.15</v>
      </c>
    </row>
    <row r="238" spans="1:54" hidden="1">
      <c r="A238" s="3" t="s">
        <v>828</v>
      </c>
      <c r="B238" s="58" t="s">
        <v>830</v>
      </c>
      <c r="C238" s="16" t="str">
        <f>LEFT([PAPEL],LEN([PAPEL])-(LEN([PAPEL])-4))</f>
        <v>BPHA</v>
      </c>
      <c r="D238" s="16">
        <v>3</v>
      </c>
      <c r="E238" s="5">
        <v>1441641845.74</v>
      </c>
      <c r="F238" s="56">
        <v>256384419</v>
      </c>
      <c r="G238" s="81">
        <v>0.25</v>
      </c>
      <c r="H238" s="87"/>
      <c r="J238" s="18"/>
      <c r="K238" s="16"/>
      <c r="L238" s="87"/>
      <c r="M238" s="54"/>
      <c r="N238" s="54"/>
      <c r="O238" s="54"/>
      <c r="P238" s="91">
        <v>1592861000</v>
      </c>
      <c r="Q238" s="73">
        <v>36867000</v>
      </c>
      <c r="R238" s="73">
        <f>IF(Tabela3[[#This Row],[Ativo || Passivo]]&gt;0,Tabela3[[#This Row],[Ativo || Passivo]]-Tabela3[[#This Row],[Patrimônio Líquido]],0)</f>
        <v>0</v>
      </c>
      <c r="S238" s="73">
        <f>Tabela3[[#This Row],[Cotação]]*Tabela3[[#This Row],[Total Ações]]</f>
        <v>1197315236.73</v>
      </c>
      <c r="T238" s="37">
        <f>IF(Tabela3[[#This Row],[Passivo Circulante]]&gt;0,Tabela3[[#This Row],[Ativo Circulante]]/Tabela3[[#This Row],[Passivo Circulante]],0)</f>
        <v>0</v>
      </c>
      <c r="U238" s="37">
        <f>SUMPRODUCT(N([Liquidez Corrente]&gt;0),N(RIGHT([PAPEL],LEN([PAPEL])-(LEN([PAPEL])-1))="3"),[Liquidez Corrente])/SUMPRODUCT(N([Liquidez Corrente]&gt;0),N(RIGHT([PAPEL],LEN([PAPEL])-(LEN([PAPEL])-1))="3"))</f>
        <v>2.331224473064915</v>
      </c>
      <c r="V238" s="18">
        <f>IF(Tabela3[[#This Row],[Lucro Líquido]]&gt;0,Tabela3[[#This Row],[Lucro Líquido]]/Tabela3[[#This Row],[Patrimônio Líquido]],0)</f>
        <v>2.3145145747180702E-2</v>
      </c>
      <c r="W238" s="18">
        <f>SUMPRODUCT(N([Rentabilidade s/ PL]&gt;0),N(RIGHT([PAPEL],LEN([PAPEL])-(LEN([PAPEL])-1))="3"),[Rentabilidade s/ PL])/SUMPRODUCT(N([Rentabilidade s/ PL]&gt;0),N(RIGHT([PAPEL],LEN([PAPEL])-(LEN([PAPEL])-1))="3"))</f>
        <v>0.1261051308670782</v>
      </c>
      <c r="X238" s="18">
        <f>IF(Tabela3[[#This Row],[Dívida]]&gt;0,Tabela3[[#This Row],[Dívida]]/Tabela3[[#This Row],[Patrimônio Líquido]],0)</f>
        <v>0</v>
      </c>
      <c r="Y238" s="18">
        <f>SUMPRODUCT(N([Dívida / PL]&gt;0),N(RIGHT([PAPEL],LEN([PAPEL])-(LEN([PAPEL])-1))="3"),[Dívida / PL])/SUMPRODUCT(N([Dívida / PL]&gt;0),N(RIGHT([PAPEL],LEN([PAPEL])-(LEN([PAPEL])-1))="3"))</f>
        <v>2.1510410379481146</v>
      </c>
      <c r="Z238" s="7">
        <f>Tabela3[[#This Row],[Capital Social]]*20%</f>
        <v>288328369.148</v>
      </c>
      <c r="AA238" s="47">
        <f>IF(([Lucro Líquido]*5%)&gt;[Teto R. Legal],[Teto R. Legal],[Lucro Líquido]*5%)</f>
        <v>1843350</v>
      </c>
      <c r="AB238" s="47">
        <f>IF([Lucro Líquido]&lt;0,0,[Lucro Líquido]-[Reserva Legal])</f>
        <v>35023650</v>
      </c>
      <c r="AC238" s="47">
        <f>Tabela3[[#This Row],[Lucro Distribuir]]*[%Div]</f>
        <v>8755912.5</v>
      </c>
      <c r="AD238" s="56">
        <f>SUMPRODUCT(N([Nome]=Tabela3[[#This Row],[Nome]]),[Ações])</f>
        <v>256384419</v>
      </c>
      <c r="AE238" s="85">
        <f>[Capital Social]/[Total Ações]</f>
        <v>5.6229698019987708</v>
      </c>
      <c r="AF238" s="85">
        <f>Tabela3[[#This Row],[Lucro Líquido]]/Tabela3[[#This Row],[Total Ações]]</f>
        <v>0.14379578971216656</v>
      </c>
      <c r="AG238" s="85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3.4151500056639555E-2</v>
      </c>
      <c r="AH238" s="85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238" s="77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238" s="85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3.4151500056639555E-2</v>
      </c>
      <c r="AK238" s="7">
        <f>[Div Base]*[Ações]</f>
        <v>8755912.5</v>
      </c>
      <c r="AL238" s="7">
        <f>SUMPRODUCT(N([Nome]=Tabela3[[#This Row],[Nome]]),[Div Base]*[Ações])</f>
        <v>8755912.5</v>
      </c>
      <c r="AM238" s="5">
        <f>[Patrimônio Líquido]/[Total Ações]</f>
        <v>6.212783936764894</v>
      </c>
      <c r="AN238" s="52">
        <f>MAX(Tabela3[[#This Row],[Cotação 1]:[Cotação 5]])</f>
        <v>4.67</v>
      </c>
      <c r="AO238" s="53">
        <f>[Cotação]/[VPA]</f>
        <v>0.75167590689331953</v>
      </c>
      <c r="AP238" s="37">
        <f>IF(Tabela3[[#This Row],[Lucro/Ação]]&gt;0,Tabela3[[#This Row],[Cotação]]/(Tabela3[[#This Row],[Lucro/Ação]]/[Ref]*4),0)</f>
        <v>24.35745863638213</v>
      </c>
      <c r="AQ238" s="85">
        <f>[Lucro Distribuir]/[Total Ações]</f>
        <v>0.13660600022655822</v>
      </c>
      <c r="AR238" s="85">
        <f>IF([Unit ON]&gt;0,SUMPRODUCT(N([Nome]=Tabela3[[#This Row],[Nome]]),N(RIGHT([PAPEL],1)="3"),[Div Base])*[Unit ON]+SUMPRODUCT(N([Nome]=Tabela3[[#This Row],[Nome]]),N(RIGHT([PAPEL],1)="4"),[Div Base])*[Unit PN],[Div Base])</f>
        <v>3.4151500056639555E-2</v>
      </c>
      <c r="AS238" s="10" t="str">
        <f>IF(AND([% A.A.]&gt;=6%,SUMPRODUCT(N([Nome]=Tabela3[[#This Row],[Nome]]),[PL])&gt;0,[Rentabilidade s/ PL]&gt;=[Rentabilidade s/ PL Média]),"Sim","Não")</f>
        <v>Não</v>
      </c>
      <c r="AT238" s="22">
        <f>IF([Cotação]&gt;0,Tabela3[[#This Row],[Lucro]]/Tabela3[[#This Row],[Cotação]],0)</f>
        <v>7.3129550442482989E-3</v>
      </c>
      <c r="AU238" s="22">
        <f>((1+Tabela3[[#This Row],[% Yield]])^(1/(3*Tabela3[[#This Row],[Ref]])))^(12)-1</f>
        <v>9.7624717625492963E-3</v>
      </c>
      <c r="AV238" s="10">
        <f>IF([Cotação]&gt;0,($BH$1/Tabela3[[#This Row],[Cotação]]-MOD($BH$1/Tabela3[[#This Row],[Cotação]],100)),)</f>
        <v>100</v>
      </c>
      <c r="AW238" s="7">
        <f>Tabela3[[#This Row],[Ativos]]*[Lucro]</f>
        <v>3.4151500056639557</v>
      </c>
      <c r="AX238" s="7">
        <f>SUMPRODUCT(N(Tabela1[Código]=Tabela3[[#This Row],[PAPEL]]),Tabela1[Fechamento])</f>
        <v>0</v>
      </c>
      <c r="AY238" s="7">
        <f>SUMPRODUCT(N(Tabela17[Código]=Tabela3[[#This Row],[PAPEL]]),Tabela17[Fechamento])</f>
        <v>0</v>
      </c>
      <c r="AZ238" s="7">
        <f>SUMPRODUCT(N(Tabela176[Código]=Tabela3[[#This Row],[PAPEL]]),Tabela176[Fechamento])</f>
        <v>4.67</v>
      </c>
      <c r="BA238" s="7">
        <f>SUMPRODUCT(N(Tabela1768[Código]=Tabela3[[#This Row],[PAPEL]]),Tabela1768[Fechamento])</f>
        <v>0</v>
      </c>
      <c r="BB238" s="7">
        <f>SUMPRODUCT(N(Tabela17683[Código]=Tabela3[[#This Row],[PAPEL]]),Tabela17683[Fechamento])</f>
        <v>0</v>
      </c>
    </row>
    <row r="239" spans="1:54" hidden="1">
      <c r="A239" s="4" t="s">
        <v>14</v>
      </c>
      <c r="B239" s="57" t="s">
        <v>222</v>
      </c>
      <c r="C239" s="15" t="str">
        <f>LEFT([PAPEL],LEN([PAPEL])-(LEN([PAPEL])-4))</f>
        <v>BRGE</v>
      </c>
      <c r="D239" s="16">
        <v>3</v>
      </c>
      <c r="E239" s="5">
        <v>303375520</v>
      </c>
      <c r="F239" s="56">
        <v>6759345</v>
      </c>
      <c r="G239" s="86">
        <v>0.25</v>
      </c>
      <c r="H239" s="16"/>
      <c r="I239" s="18">
        <v>0.06</v>
      </c>
      <c r="J239" s="18"/>
      <c r="K239" s="87"/>
      <c r="L239" s="87"/>
      <c r="M239" s="47">
        <v>847911000</v>
      </c>
      <c r="N239" s="47">
        <v>3497000</v>
      </c>
      <c r="O239" s="47">
        <v>3890000</v>
      </c>
      <c r="P239" s="5">
        <v>843867000</v>
      </c>
      <c r="Q239" s="5">
        <v>34502000</v>
      </c>
      <c r="R239" s="5">
        <f>IF(Tabela3[[#This Row],[Ativo || Passivo]]&gt;0,Tabela3[[#This Row],[Ativo || Passivo]]-Tabela3[[#This Row],[Patrimônio Líquido]],0)</f>
        <v>4044000</v>
      </c>
      <c r="S239" s="47">
        <f>Tabela3[[#This Row],[Cotação]]*Tabela3[[#This Row],[Total Ações]]</f>
        <v>285011521.56</v>
      </c>
      <c r="T239" s="130">
        <f>IF(Tabela3[[#This Row],[Passivo Circulante]]&gt;0,Tabela3[[#This Row],[Ativo Circulante]]/Tabela3[[#This Row],[Passivo Circulante]],0)</f>
        <v>0.89897172236503853</v>
      </c>
      <c r="U239" s="130">
        <f>SUMPRODUCT(N([Liquidez Corrente]&gt;0),N(RIGHT([PAPEL],LEN([PAPEL])-(LEN([PAPEL])-1))="3"),[Liquidez Corrente])/SUMPRODUCT(N([Liquidez Corrente]&gt;0),N(RIGHT([PAPEL],LEN([PAPEL])-(LEN([PAPEL])-1))="3"))</f>
        <v>2.331224473064915</v>
      </c>
      <c r="V239" s="18">
        <f>IF(Tabela3[[#This Row],[Lucro Líquido]]&gt;0,Tabela3[[#This Row],[Lucro Líquido]]/Tabela3[[#This Row],[Patrimônio Líquido]],0)</f>
        <v>4.0885589790808266E-2</v>
      </c>
      <c r="W239" s="18">
        <f>SUMPRODUCT(N([Rentabilidade s/ PL]&gt;0),N(RIGHT([PAPEL],LEN([PAPEL])-(LEN([PAPEL])-1))="3"),[Rentabilidade s/ PL])/SUMPRODUCT(N([Rentabilidade s/ PL]&gt;0),N(RIGHT([PAPEL],LEN([PAPEL])-(LEN([PAPEL])-1))="3"))</f>
        <v>0.1261051308670782</v>
      </c>
      <c r="X239" s="18">
        <f>IF(Tabela3[[#This Row],[Dívida]]&gt;0,Tabela3[[#This Row],[Dívida]]/Tabela3[[#This Row],[Patrimônio Líquido]],0)</f>
        <v>4.7922243671099833E-3</v>
      </c>
      <c r="Y239" s="18">
        <f>SUMPRODUCT(N([Dívida / PL]&gt;0),N(RIGHT([PAPEL],LEN([PAPEL])-(LEN([PAPEL])-1))="3"),[Dívida / PL])/SUMPRODUCT(N([Dívida / PL]&gt;0),N(RIGHT([PAPEL],LEN([PAPEL])-(LEN([PAPEL])-1))="3"))</f>
        <v>2.1510410379481146</v>
      </c>
      <c r="Z239" s="5">
        <f>Tabela3[[#This Row],[Capital Social]]*20%</f>
        <v>60675104</v>
      </c>
      <c r="AA239" s="5">
        <f>IF(([Lucro Líquido]*5%)&gt;[Teto R. Legal],[Teto R. Legal],[Lucro Líquido]*5%)</f>
        <v>1725100</v>
      </c>
      <c r="AB239" s="5">
        <f>IF([Lucro Líquido]&lt;0,0,[Lucro Líquido]-[Reserva Legal])</f>
        <v>32776900</v>
      </c>
      <c r="AC239" s="5">
        <f>Tabela3[[#This Row],[Lucro Distribuir]]*[%Div]</f>
        <v>8194225</v>
      </c>
      <c r="AD239" s="21">
        <f>SUMPRODUCT(N([Nome]=Tabela3[[#This Row],[Nome]]),[Ações])</f>
        <v>73646388</v>
      </c>
      <c r="AE239" s="5">
        <f>[Capital Social]/[Total Ações]</f>
        <v>4.1193536877871049</v>
      </c>
      <c r="AF239" s="77">
        <f>Tabela3[[#This Row],[Lucro Líquido]]/Tabela3[[#This Row],[Total Ações]]</f>
        <v>0.46848190300928266</v>
      </c>
      <c r="AG239" s="77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0.11126445196470464</v>
      </c>
      <c r="AH239" s="77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239" s="77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0.24716122126722628</v>
      </c>
      <c r="AJ239" s="77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0.24716122126722628</v>
      </c>
      <c r="AK239" s="5">
        <f>[Div Base]*[Ações]</f>
        <v>1670647.9651665196</v>
      </c>
      <c r="AL239" s="5">
        <f>SUMPRODUCT(N([Nome]=Tabela3[[#This Row],[Nome]]),[Div Base]*[Ações])</f>
        <v>8194225.0000000019</v>
      </c>
      <c r="AM239" s="5">
        <f>[Patrimônio Líquido]/[Total Ações]</f>
        <v>11.45836235716</v>
      </c>
      <c r="AN239" s="52">
        <f>MAX(Tabela3[[#This Row],[Cotação 1]:[Cotação 5]])</f>
        <v>3.87</v>
      </c>
      <c r="AO239" s="53">
        <f>[Cotação]/[VPA]</f>
        <v>0.33774459904226617</v>
      </c>
      <c r="AP239" s="37">
        <f>IF(Tabela3[[#This Row],[Lucro/Ação]]&gt;0,Tabela3[[#This Row],[Cotação]]/(Tabela3[[#This Row],[Lucro/Ação]]/[Ref]*4),0)</f>
        <v>6.195543480667788</v>
      </c>
      <c r="AQ239" s="77">
        <f>[Lucro Distribuir]/[Total Ações]</f>
        <v>0.44505780785881854</v>
      </c>
      <c r="AR239" s="77">
        <f>IF([Unit ON]&gt;0,SUMPRODUCT(N([Nome]=Tabela3[[#This Row],[Nome]]),N(RIGHT([PAPEL],1)="3"),[Div Base])*[Unit ON]+SUMPRODUCT(N([Nome]=Tabela3[[#This Row],[Nome]]),N(RIGHT([PAPEL],1)="4"),[Div Base])*[Unit PN],[Div Base])</f>
        <v>0.24716122126722628</v>
      </c>
      <c r="AS239" s="16" t="str">
        <f>IF(AND([% A.A.]&gt;=6%,SUMPRODUCT(N([Nome]=Tabela3[[#This Row],[Nome]]),[PL])&gt;0,[Rentabilidade s/ PL]&gt;=[Rentabilidade s/ PL Média]),"Sim","Não")</f>
        <v>Não</v>
      </c>
      <c r="AT239" s="22">
        <f>IF([Cotação]&gt;0,Tabela3[[#This Row],[Lucro]]/Tabela3[[#This Row],[Cotação]],0)</f>
        <v>6.3865948647862089E-2</v>
      </c>
      <c r="AU239" s="18">
        <f>((1+Tabela3[[#This Row],[% Yield]])^(1/(3*Tabela3[[#This Row],[Ref]])))^(12)-1</f>
        <v>8.6048478291082642E-2</v>
      </c>
      <c r="AV239" s="10">
        <f>IF([Cotação]&gt;0,($BH$1/Tabela3[[#This Row],[Cotação]]-MOD($BH$1/Tabela3[[#This Row],[Cotação]],100)),)</f>
        <v>100</v>
      </c>
      <c r="AW239" s="7">
        <f>Tabela3[[#This Row],[Ativos]]*[Lucro]</f>
        <v>24.716122126722627</v>
      </c>
      <c r="AX239" s="5">
        <f>SUMPRODUCT(N(Tabela1[Código]=Tabela3[[#This Row],[PAPEL]]),Tabela1[Fechamento])</f>
        <v>3.87</v>
      </c>
      <c r="AY239" s="5">
        <f>SUMPRODUCT(N(Tabela17[Código]=Tabela3[[#This Row],[PAPEL]]),Tabela17[Fechamento])</f>
        <v>0</v>
      </c>
      <c r="AZ239" s="7">
        <f>SUMPRODUCT(N(Tabela176[Código]=Tabela3[[#This Row],[PAPEL]]),Tabela176[Fechamento])</f>
        <v>0</v>
      </c>
      <c r="BA239" s="7">
        <f>SUMPRODUCT(N(Tabela1768[Código]=Tabela3[[#This Row],[PAPEL]]),Tabela1768[Fechamento])</f>
        <v>0</v>
      </c>
      <c r="BB239" s="7">
        <f>SUMPRODUCT(N(Tabela17683[Código]=Tabela3[[#This Row],[PAPEL]]),Tabela17683[Fechamento])</f>
        <v>0</v>
      </c>
    </row>
    <row r="240" spans="1:54" hidden="1">
      <c r="A240" s="4" t="s">
        <v>14</v>
      </c>
      <c r="B240" s="57" t="s">
        <v>223</v>
      </c>
      <c r="C240" s="14" t="str">
        <f>LEFT([PAPEL],LEN([PAPEL])-(LEN([PAPEL])-4))</f>
        <v>BRGE</v>
      </c>
      <c r="D240" s="15">
        <v>3</v>
      </c>
      <c r="E240" s="5">
        <v>303375520</v>
      </c>
      <c r="F240" s="8">
        <v>21717524</v>
      </c>
      <c r="G240" s="81">
        <v>0.25</v>
      </c>
      <c r="H240" s="15"/>
      <c r="I240" s="19"/>
      <c r="J240" s="19"/>
      <c r="K240" s="88"/>
      <c r="L240" s="88"/>
      <c r="M240" s="47">
        <v>847911000</v>
      </c>
      <c r="N240" s="47">
        <v>3497000</v>
      </c>
      <c r="O240" s="47">
        <v>3890000</v>
      </c>
      <c r="P240" s="5">
        <v>843867000</v>
      </c>
      <c r="Q240" s="5">
        <v>34502000</v>
      </c>
      <c r="R240" s="5">
        <f>IF(Tabela3[[#This Row],[Ativo || Passivo]]&gt;0,Tabela3[[#This Row],[Ativo || Passivo]]-Tabela3[[#This Row],[Patrimônio Líquido]],0)</f>
        <v>4044000</v>
      </c>
      <c r="S240" s="5">
        <f>Tabela3[[#This Row],[Cotação]]*Tabela3[[#This Row],[Total Ações]]</f>
        <v>280592738.28000003</v>
      </c>
      <c r="T240" s="130">
        <f>IF(Tabela3[[#This Row],[Passivo Circulante]]&gt;0,Tabela3[[#This Row],[Ativo Circulante]]/Tabela3[[#This Row],[Passivo Circulante]],0)</f>
        <v>0.89897172236503853</v>
      </c>
      <c r="U240" s="130">
        <f>SUMPRODUCT(N([Liquidez Corrente]&gt;0),N(RIGHT([PAPEL],LEN([PAPEL])-(LEN([PAPEL])-1))="3"),[Liquidez Corrente])/SUMPRODUCT(N([Liquidez Corrente]&gt;0),N(RIGHT([PAPEL],LEN([PAPEL])-(LEN([PAPEL])-1))="3"))</f>
        <v>2.331224473064915</v>
      </c>
      <c r="V240" s="18">
        <f>IF(Tabela3[[#This Row],[Lucro Líquido]]&gt;0,Tabela3[[#This Row],[Lucro Líquido]]/Tabela3[[#This Row],[Patrimônio Líquido]],0)</f>
        <v>4.0885589790808266E-2</v>
      </c>
      <c r="W240" s="18">
        <f>SUMPRODUCT(N([Rentabilidade s/ PL]&gt;0),N(RIGHT([PAPEL],LEN([PAPEL])-(LEN([PAPEL])-1))="3"),[Rentabilidade s/ PL])/SUMPRODUCT(N([Rentabilidade s/ PL]&gt;0),N(RIGHT([PAPEL],LEN([PAPEL])-(LEN([PAPEL])-1))="3"))</f>
        <v>0.1261051308670782</v>
      </c>
      <c r="X240" s="18">
        <f>IF(Tabela3[[#This Row],[Dívida]]&gt;0,Tabela3[[#This Row],[Dívida]]/Tabela3[[#This Row],[Patrimônio Líquido]],0)</f>
        <v>4.7922243671099833E-3</v>
      </c>
      <c r="Y240" s="18">
        <f>SUMPRODUCT(N([Dívida / PL]&gt;0),N(RIGHT([PAPEL],LEN([PAPEL])-(LEN([PAPEL])-1))="3"),[Dívida / PL])/SUMPRODUCT(N([Dívida / PL]&gt;0),N(RIGHT([PAPEL],LEN([PAPEL])-(LEN([PAPEL])-1))="3"))</f>
        <v>2.1510410379481146</v>
      </c>
      <c r="Z240" s="5">
        <f>Tabela3[[#This Row],[Capital Social]]*20%</f>
        <v>60675104</v>
      </c>
      <c r="AA240" s="5">
        <f>IF(([Lucro Líquido]*5%)&gt;[Teto R. Legal],[Teto R. Legal],[Lucro Líquido]*5%)</f>
        <v>1725100</v>
      </c>
      <c r="AB240" s="5">
        <f>IF([Lucro Líquido]&lt;0,0,[Lucro Líquido]-[Reserva Legal])</f>
        <v>32776900</v>
      </c>
      <c r="AC240" s="5">
        <f>Tabela3[[#This Row],[Lucro Distribuir]]*[%Div]</f>
        <v>8194225</v>
      </c>
      <c r="AD240" s="21">
        <f>SUMPRODUCT(N([Nome]=Tabela3[[#This Row],[Nome]]),[Ações])</f>
        <v>73646388</v>
      </c>
      <c r="AE240" s="5">
        <f>[Capital Social]/[Total Ações]</f>
        <v>4.1193536877871049</v>
      </c>
      <c r="AF240" s="78">
        <f>Tabela3[[#This Row],[Lucro Líquido]]/Tabela3[[#This Row],[Total Ações]]</f>
        <v>0.46848190300928266</v>
      </c>
      <c r="AG240" s="78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0.11126445196470464</v>
      </c>
      <c r="AH240" s="77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240" s="77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7.8085912537628047E-2</v>
      </c>
      <c r="AJ240" s="77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7.8085912537628047E-2</v>
      </c>
      <c r="AK240" s="5">
        <f>[Div Base]*[Ações]</f>
        <v>1695832.6795978381</v>
      </c>
      <c r="AL240" s="5">
        <f>SUMPRODUCT(N([Nome]=Tabela3[[#This Row],[Nome]]),[Div Base]*[Ações])</f>
        <v>8194225.0000000019</v>
      </c>
      <c r="AM240" s="6">
        <f>[Patrimônio Líquido]/[Total Ações]</f>
        <v>11.45836235716</v>
      </c>
      <c r="AN240" s="48">
        <f>MAX(Tabela3[[#This Row],[Cotação 1]:[Cotação 5]])</f>
        <v>3.81</v>
      </c>
      <c r="AO240" s="44">
        <f>[Cotação]/[VPA]</f>
        <v>0.33250824866951784</v>
      </c>
      <c r="AP240" s="40">
        <f>IF(Tabela3[[#This Row],[Lucro/Ação]]&gt;0,Tabela3[[#This Row],[Cotação]]/(Tabela3[[#This Row],[Lucro/Ação]]/[Ref]*4),0)</f>
        <v>6.0994885429830159</v>
      </c>
      <c r="AQ240" s="78">
        <f>[Lucro Distribuir]/[Total Ações]</f>
        <v>0.44505780785881854</v>
      </c>
      <c r="AR240" s="78">
        <f>IF([Unit ON]&gt;0,SUMPRODUCT(N([Nome]=Tabela3[[#This Row],[Nome]]),N(RIGHT([PAPEL],1)="3"),[Div Base])*[Unit ON]+SUMPRODUCT(N([Nome]=Tabela3[[#This Row],[Nome]]),N(RIGHT([PAPEL],1)="4"),[Div Base])*[Unit PN],[Div Base])</f>
        <v>7.8085912537628047E-2</v>
      </c>
      <c r="AS240" s="15" t="str">
        <f>IF(AND([% A.A.]&gt;=6%,SUMPRODUCT(N([Nome]=Tabela3[[#This Row],[Nome]]),[PL])&gt;0,[Rentabilidade s/ PL]&gt;=[Rentabilidade s/ PL Média]),"Sim","Não")</f>
        <v>Não</v>
      </c>
      <c r="AT240" s="42">
        <f>IF([Cotação]&gt;0,Tabela3[[#This Row],[Lucro]]/Tabela3[[#This Row],[Cotação]],0)</f>
        <v>2.0494990167356442E-2</v>
      </c>
      <c r="AU240" s="19">
        <f>((1+Tabela3[[#This Row],[% Yield]])^(1/(3*Tabela3[[#This Row],[Ref]])))^(12)-1</f>
        <v>2.7419575270568153E-2</v>
      </c>
      <c r="AV240" s="14">
        <f>IF([Cotação]&gt;0,($BH$1/Tabela3[[#This Row],[Cotação]]-MOD($BH$1/Tabela3[[#This Row],[Cotação]],100)),)</f>
        <v>100</v>
      </c>
      <c r="AW240" s="17">
        <f>Tabela3[[#This Row],[Ativos]]*[Lucro]</f>
        <v>7.8085912537628044</v>
      </c>
      <c r="AX240" s="5">
        <f>SUMPRODUCT(N(Tabela1[Código]=Tabela3[[#This Row],[PAPEL]]),Tabela1[Fechamento])</f>
        <v>3.81</v>
      </c>
      <c r="AY240" s="5">
        <f>SUMPRODUCT(N(Tabela17[Código]=Tabela3[[#This Row],[PAPEL]]),Tabela17[Fechamento])</f>
        <v>0</v>
      </c>
      <c r="AZ240" s="7">
        <f>SUMPRODUCT(N(Tabela176[Código]=Tabela3[[#This Row],[PAPEL]]),Tabela176[Fechamento])</f>
        <v>0</v>
      </c>
      <c r="BA240" s="7">
        <f>SUMPRODUCT(N(Tabela1768[Código]=Tabela3[[#This Row],[PAPEL]]),Tabela1768[Fechamento])</f>
        <v>0</v>
      </c>
      <c r="BB240" s="7">
        <f>SUMPRODUCT(N(Tabela17683[Código]=Tabela3[[#This Row],[PAPEL]]),Tabela17683[Fechamento])</f>
        <v>0</v>
      </c>
    </row>
    <row r="241" spans="1:54" hidden="1">
      <c r="A241" s="4" t="s">
        <v>14</v>
      </c>
      <c r="B241" s="57" t="s">
        <v>218</v>
      </c>
      <c r="C241" s="15" t="str">
        <f>LEFT([PAPEL],LEN([PAPEL])-(LEN([PAPEL])-4))</f>
        <v>BRGE</v>
      </c>
      <c r="D241" s="16">
        <v>3</v>
      </c>
      <c r="E241" s="5">
        <v>303375520</v>
      </c>
      <c r="F241" s="56">
        <v>40394932</v>
      </c>
      <c r="G241" s="86">
        <v>0.25</v>
      </c>
      <c r="H241" s="16"/>
      <c r="J241" s="18"/>
      <c r="K241" s="87"/>
      <c r="L241" s="87"/>
      <c r="M241" s="47">
        <v>847911000</v>
      </c>
      <c r="N241" s="47">
        <v>3497000</v>
      </c>
      <c r="O241" s="47">
        <v>3890000</v>
      </c>
      <c r="P241" s="5">
        <v>843867000</v>
      </c>
      <c r="Q241" s="5">
        <v>34502000</v>
      </c>
      <c r="R241" s="5">
        <f>IF(Tabela3[[#This Row],[Ativo || Passivo]]&gt;0,Tabela3[[#This Row],[Ativo || Passivo]]-Tabela3[[#This Row],[Patrimônio Líquido]],0)</f>
        <v>4044000</v>
      </c>
      <c r="S241" s="5">
        <f>Tabela3[[#This Row],[Cotação]]*Tabela3[[#This Row],[Total Ações]]</f>
        <v>285011521.56</v>
      </c>
      <c r="T241" s="130">
        <f>IF(Tabela3[[#This Row],[Passivo Circulante]]&gt;0,Tabela3[[#This Row],[Ativo Circulante]]/Tabela3[[#This Row],[Passivo Circulante]],0)</f>
        <v>0.89897172236503853</v>
      </c>
      <c r="U241" s="130">
        <f>SUMPRODUCT(N([Liquidez Corrente]&gt;0),N(RIGHT([PAPEL],LEN([PAPEL])-(LEN([PAPEL])-1))="3"),[Liquidez Corrente])/SUMPRODUCT(N([Liquidez Corrente]&gt;0),N(RIGHT([PAPEL],LEN([PAPEL])-(LEN([PAPEL])-1))="3"))</f>
        <v>2.331224473064915</v>
      </c>
      <c r="V241" s="18">
        <f>IF(Tabela3[[#This Row],[Lucro Líquido]]&gt;0,Tabela3[[#This Row],[Lucro Líquido]]/Tabela3[[#This Row],[Patrimônio Líquido]],0)</f>
        <v>4.0885589790808266E-2</v>
      </c>
      <c r="W241" s="18">
        <f>SUMPRODUCT(N([Rentabilidade s/ PL]&gt;0),N(RIGHT([PAPEL],LEN([PAPEL])-(LEN([PAPEL])-1))="3"),[Rentabilidade s/ PL])/SUMPRODUCT(N([Rentabilidade s/ PL]&gt;0),N(RIGHT([PAPEL],LEN([PAPEL])-(LEN([PAPEL])-1))="3"))</f>
        <v>0.1261051308670782</v>
      </c>
      <c r="X241" s="18">
        <f>IF(Tabela3[[#This Row],[Dívida]]&gt;0,Tabela3[[#This Row],[Dívida]]/Tabela3[[#This Row],[Patrimônio Líquido]],0)</f>
        <v>4.7922243671099833E-3</v>
      </c>
      <c r="Y241" s="18">
        <f>SUMPRODUCT(N([Dívida / PL]&gt;0),N(RIGHT([PAPEL],LEN([PAPEL])-(LEN([PAPEL])-1))="3"),[Dívida / PL])/SUMPRODUCT(N([Dívida / PL]&gt;0),N(RIGHT([PAPEL],LEN([PAPEL])-(LEN([PAPEL])-1))="3"))</f>
        <v>2.1510410379481146</v>
      </c>
      <c r="Z241" s="5">
        <f>Tabela3[[#This Row],[Capital Social]]*20%</f>
        <v>60675104</v>
      </c>
      <c r="AA241" s="5">
        <f>IF(([Lucro Líquido]*5%)&gt;[Teto R. Legal],[Teto R. Legal],[Lucro Líquido]*5%)</f>
        <v>1725100</v>
      </c>
      <c r="AB241" s="5">
        <f>IF([Lucro Líquido]&lt;0,0,[Lucro Líquido]-[Reserva Legal])</f>
        <v>32776900</v>
      </c>
      <c r="AC241" s="5">
        <f>Tabela3[[#This Row],[Lucro Distribuir]]*[%Div]</f>
        <v>8194225</v>
      </c>
      <c r="AD241" s="21">
        <f>SUMPRODUCT(N([Nome]=Tabela3[[#This Row],[Nome]]),[Ações])</f>
        <v>73646388</v>
      </c>
      <c r="AE241" s="5">
        <f>[Capital Social]/[Total Ações]</f>
        <v>4.1193536877871049</v>
      </c>
      <c r="AF241" s="77">
        <f>Tabela3[[#This Row],[Lucro Líquido]]/Tabela3[[#This Row],[Total Ações]]</f>
        <v>0.46848190300928266</v>
      </c>
      <c r="AG241" s="77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0.11126445196470464</v>
      </c>
      <c r="AH241" s="77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241" s="77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7.8085912537628047E-2</v>
      </c>
      <c r="AJ241" s="77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7.8085912537628047E-2</v>
      </c>
      <c r="AK241" s="5">
        <f>[Div Base]*[Ações]</f>
        <v>3154275.1271154322</v>
      </c>
      <c r="AL241" s="5">
        <f>SUMPRODUCT(N([Nome]=Tabela3[[#This Row],[Nome]]),[Div Base]*[Ações])</f>
        <v>8194225.0000000019</v>
      </c>
      <c r="AM241" s="5">
        <f>[Patrimônio Líquido]/[Total Ações]</f>
        <v>11.45836235716</v>
      </c>
      <c r="AN241" s="52">
        <f>MAX(Tabela3[[#This Row],[Cotação 1]:[Cotação 5]])</f>
        <v>3.87</v>
      </c>
      <c r="AO241" s="53">
        <f>[Cotação]/[VPA]</f>
        <v>0.33774459904226617</v>
      </c>
      <c r="AP241" s="37">
        <f>IF(Tabela3[[#This Row],[Lucro/Ação]]&gt;0,Tabela3[[#This Row],[Cotação]]/(Tabela3[[#This Row],[Lucro/Ação]]/[Ref]*4),0)</f>
        <v>6.195543480667788</v>
      </c>
      <c r="AQ241" s="77">
        <f>[Lucro Distribuir]/[Total Ações]</f>
        <v>0.44505780785881854</v>
      </c>
      <c r="AR241" s="77">
        <f>IF([Unit ON]&gt;0,SUMPRODUCT(N([Nome]=Tabela3[[#This Row],[Nome]]),N(RIGHT([PAPEL],1)="3"),[Div Base])*[Unit ON]+SUMPRODUCT(N([Nome]=Tabela3[[#This Row],[Nome]]),N(RIGHT([PAPEL],1)="4"),[Div Base])*[Unit PN],[Div Base])</f>
        <v>7.8085912537628047E-2</v>
      </c>
      <c r="AS241" s="16" t="str">
        <f>IF(AND([% A.A.]&gt;=6%,SUMPRODUCT(N([Nome]=Tabela3[[#This Row],[Nome]]),[PL])&gt;0,[Rentabilidade s/ PL]&gt;=[Rentabilidade s/ PL Média]),"Sim","Não")</f>
        <v>Não</v>
      </c>
      <c r="AT241" s="22">
        <f>IF([Cotação]&gt;0,Tabela3[[#This Row],[Lucro]]/Tabela3[[#This Row],[Cotação]],0)</f>
        <v>2.0177238381816034E-2</v>
      </c>
      <c r="AU241" s="18">
        <f>((1+Tabela3[[#This Row],[% Yield]])^(1/(3*Tabela3[[#This Row],[Ref]])))^(12)-1</f>
        <v>2.6993053547117007E-2</v>
      </c>
      <c r="AV241" s="10">
        <f>IF([Cotação]&gt;0,($BH$1/Tabela3[[#This Row],[Cotação]]-MOD($BH$1/Tabela3[[#This Row],[Cotação]],100)),)</f>
        <v>100</v>
      </c>
      <c r="AW241" s="7">
        <f>Tabela3[[#This Row],[Ativos]]*[Lucro]</f>
        <v>7.8085912537628044</v>
      </c>
      <c r="AX241" s="5">
        <f>SUMPRODUCT(N(Tabela1[Código]=Tabela3[[#This Row],[PAPEL]]),Tabela1[Fechamento])</f>
        <v>3.87</v>
      </c>
      <c r="AY241" s="5">
        <f>SUMPRODUCT(N(Tabela17[Código]=Tabela3[[#This Row],[PAPEL]]),Tabela17[Fechamento])</f>
        <v>0</v>
      </c>
      <c r="AZ241" s="7">
        <f>SUMPRODUCT(N(Tabela176[Código]=Tabela3[[#This Row],[PAPEL]]),Tabela176[Fechamento])</f>
        <v>0</v>
      </c>
      <c r="BA241" s="7">
        <f>SUMPRODUCT(N(Tabela1768[Código]=Tabela3[[#This Row],[PAPEL]]),Tabela1768[Fechamento])</f>
        <v>0</v>
      </c>
      <c r="BB241" s="7">
        <f>SUMPRODUCT(N(Tabela17683[Código]=Tabela3[[#This Row],[PAPEL]]),Tabela17683[Fechamento])</f>
        <v>0</v>
      </c>
    </row>
    <row r="242" spans="1:54" hidden="1">
      <c r="A242" s="4" t="s">
        <v>14</v>
      </c>
      <c r="B242" s="57" t="s">
        <v>219</v>
      </c>
      <c r="C242" s="10" t="str">
        <f>LEFT([PAPEL],LEN([PAPEL])-(LEN([PAPEL])-4))</f>
        <v>BRGE</v>
      </c>
      <c r="D242" s="16">
        <v>3</v>
      </c>
      <c r="E242" s="5">
        <v>303375520</v>
      </c>
      <c r="F242" s="56">
        <v>164936</v>
      </c>
      <c r="G242" s="81">
        <v>0.25</v>
      </c>
      <c r="H242" s="16"/>
      <c r="I242" s="18">
        <v>0.05</v>
      </c>
      <c r="J242" s="18"/>
      <c r="K242" s="87"/>
      <c r="L242" s="87"/>
      <c r="M242" s="47">
        <v>847911000</v>
      </c>
      <c r="N242" s="47">
        <v>3497000</v>
      </c>
      <c r="O242" s="47">
        <v>3890000</v>
      </c>
      <c r="P242" s="5">
        <v>843867000</v>
      </c>
      <c r="Q242" s="5">
        <v>34502000</v>
      </c>
      <c r="R242" s="5">
        <f>IF(Tabela3[[#This Row],[Ativo || Passivo]]&gt;0,Tabela3[[#This Row],[Ativo || Passivo]]-Tabela3[[#This Row],[Patrimônio Líquido]],0)</f>
        <v>4044000</v>
      </c>
      <c r="S242" s="47">
        <f>Tabela3[[#This Row],[Cotação]]*Tabela3[[#This Row],[Total Ações]]</f>
        <v>240823688.75999999</v>
      </c>
      <c r="T242" s="130">
        <f>IF(Tabela3[[#This Row],[Passivo Circulante]]&gt;0,Tabela3[[#This Row],[Ativo Circulante]]/Tabela3[[#This Row],[Passivo Circulante]],0)</f>
        <v>0.89897172236503853</v>
      </c>
      <c r="U242" s="130">
        <f>SUMPRODUCT(N([Liquidez Corrente]&gt;0),N(RIGHT([PAPEL],LEN([PAPEL])-(LEN([PAPEL])-1))="3"),[Liquidez Corrente])/SUMPRODUCT(N([Liquidez Corrente]&gt;0),N(RIGHT([PAPEL],LEN([PAPEL])-(LEN([PAPEL])-1))="3"))</f>
        <v>2.331224473064915</v>
      </c>
      <c r="V242" s="18">
        <f>IF(Tabela3[[#This Row],[Lucro Líquido]]&gt;0,Tabela3[[#This Row],[Lucro Líquido]]/Tabela3[[#This Row],[Patrimônio Líquido]],0)</f>
        <v>4.0885589790808266E-2</v>
      </c>
      <c r="W242" s="18">
        <f>SUMPRODUCT(N([Rentabilidade s/ PL]&gt;0),N(RIGHT([PAPEL],LEN([PAPEL])-(LEN([PAPEL])-1))="3"),[Rentabilidade s/ PL])/SUMPRODUCT(N([Rentabilidade s/ PL]&gt;0),N(RIGHT([PAPEL],LEN([PAPEL])-(LEN([PAPEL])-1))="3"))</f>
        <v>0.1261051308670782</v>
      </c>
      <c r="X242" s="18">
        <f>IF(Tabela3[[#This Row],[Dívida]]&gt;0,Tabela3[[#This Row],[Dívida]]/Tabela3[[#This Row],[Patrimônio Líquido]],0)</f>
        <v>4.7922243671099833E-3</v>
      </c>
      <c r="Y242" s="18">
        <f>SUMPRODUCT(N([Dívida / PL]&gt;0),N(RIGHT([PAPEL],LEN([PAPEL])-(LEN([PAPEL])-1))="3"),[Dívida / PL])/SUMPRODUCT(N([Dívida / PL]&gt;0),N(RIGHT([PAPEL],LEN([PAPEL])-(LEN([PAPEL])-1))="3"))</f>
        <v>2.1510410379481146</v>
      </c>
      <c r="Z242" s="5">
        <f>Tabela3[[#This Row],[Capital Social]]*20%</f>
        <v>60675104</v>
      </c>
      <c r="AA242" s="5">
        <f>IF(([Lucro Líquido]*5%)&gt;[Teto R. Legal],[Teto R. Legal],[Lucro Líquido]*5%)</f>
        <v>1725100</v>
      </c>
      <c r="AB242" s="5">
        <f>IF([Lucro Líquido]&lt;0,0,[Lucro Líquido]-[Reserva Legal])</f>
        <v>32776900</v>
      </c>
      <c r="AC242" s="5">
        <f>Tabela3[[#This Row],[Lucro Distribuir]]*[%Div]</f>
        <v>8194225</v>
      </c>
      <c r="AD242" s="21">
        <f>SUMPRODUCT(N([Nome]=Tabela3[[#This Row],[Nome]]),[Ações])</f>
        <v>73646388</v>
      </c>
      <c r="AE242" s="5">
        <f>[Capital Social]/[Total Ações]</f>
        <v>4.1193536877871049</v>
      </c>
      <c r="AF242" s="77">
        <f>Tabela3[[#This Row],[Lucro Líquido]]/Tabela3[[#This Row],[Total Ações]]</f>
        <v>0.46848190300928266</v>
      </c>
      <c r="AG242" s="77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0.11126445196470464</v>
      </c>
      <c r="AH242" s="77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242" s="77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0.20596768438935525</v>
      </c>
      <c r="AJ242" s="77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0.20596768438935525</v>
      </c>
      <c r="AK242" s="5">
        <f>[Div Base]*[Ações]</f>
        <v>33971.4859924427</v>
      </c>
      <c r="AL242" s="5">
        <f>SUMPRODUCT(N([Nome]=Tabela3[[#This Row],[Nome]]),[Div Base]*[Ações])</f>
        <v>8194225.0000000019</v>
      </c>
      <c r="AM242" s="5">
        <f>[Patrimônio Líquido]/[Total Ações]</f>
        <v>11.45836235716</v>
      </c>
      <c r="AN242" s="52">
        <f>MAX(Tabela3[[#This Row],[Cotação 1]:[Cotação 5]])</f>
        <v>3.27</v>
      </c>
      <c r="AO242" s="53">
        <f>[Cotação]/[VPA]</f>
        <v>0.28538109531478301</v>
      </c>
      <c r="AP242" s="37">
        <f>IF(Tabela3[[#This Row],[Lucro/Ação]]&gt;0,Tabela3[[#This Row],[Cotação]]/(Tabela3[[#This Row],[Lucro/Ação]]/[Ref]*4),0)</f>
        <v>5.2349941038200694</v>
      </c>
      <c r="AQ242" s="77">
        <f>[Lucro Distribuir]/[Total Ações]</f>
        <v>0.44505780785881854</v>
      </c>
      <c r="AR242" s="77">
        <f>IF([Unit ON]&gt;0,SUMPRODUCT(N([Nome]=Tabela3[[#This Row],[Nome]]),N(RIGHT([PAPEL],1)="3"),[Div Base])*[Unit ON]+SUMPRODUCT(N([Nome]=Tabela3[[#This Row],[Nome]]),N(RIGHT([PAPEL],1)="4"),[Div Base])*[Unit PN],[Div Base])</f>
        <v>0.20596768438935525</v>
      </c>
      <c r="AS242" s="16" t="str">
        <f>IF(AND([% A.A.]&gt;=6%,SUMPRODUCT(N([Nome]=Tabela3[[#This Row],[Nome]]),[PL])&gt;0,[Rentabilidade s/ PL]&gt;=[Rentabilidade s/ PL Média]),"Sim","Não")</f>
        <v>Não</v>
      </c>
      <c r="AT242" s="22">
        <f>IF([Cotação]&gt;0,Tabela3[[#This Row],[Lucro]]/Tabela3[[#This Row],[Cotação]],0)</f>
        <v>6.2987059446286006E-2</v>
      </c>
      <c r="AU242" s="18">
        <f>((1+Tabela3[[#This Row],[% Yield]])^(1/(3*Tabela3[[#This Row],[Ref]])))^(12)-1</f>
        <v>8.4852356628532188E-2</v>
      </c>
      <c r="AV242" s="10">
        <f>IF([Cotação]&gt;0,($BH$1/Tabela3[[#This Row],[Cotação]]-MOD($BH$1/Tabela3[[#This Row],[Cotação]],100)),)</f>
        <v>100</v>
      </c>
      <c r="AW242" s="7">
        <f>Tabela3[[#This Row],[Ativos]]*[Lucro]</f>
        <v>20.596768438935527</v>
      </c>
      <c r="AX242" s="5">
        <f>SUMPRODUCT(N(Tabela1[Código]=Tabela3[[#This Row],[PAPEL]]),Tabela1[Fechamento])</f>
        <v>3.27</v>
      </c>
      <c r="AY242" s="5">
        <f>SUMPRODUCT(N(Tabela17[Código]=Tabela3[[#This Row],[PAPEL]]),Tabela17[Fechamento])</f>
        <v>0</v>
      </c>
      <c r="AZ242" s="7">
        <f>SUMPRODUCT(N(Tabela176[Código]=Tabela3[[#This Row],[PAPEL]]),Tabela176[Fechamento])</f>
        <v>0</v>
      </c>
      <c r="BA242" s="7">
        <f>SUMPRODUCT(N(Tabela1768[Código]=Tabela3[[#This Row],[PAPEL]]),Tabela1768[Fechamento])</f>
        <v>0</v>
      </c>
      <c r="BB242" s="7">
        <f>SUMPRODUCT(N(Tabela17683[Código]=Tabela3[[#This Row],[PAPEL]]),Tabela17683[Fechamento])</f>
        <v>0</v>
      </c>
    </row>
    <row r="243" spans="1:54" hidden="1">
      <c r="A243" s="4" t="s">
        <v>14</v>
      </c>
      <c r="B243" s="57" t="s">
        <v>77</v>
      </c>
      <c r="C243" s="15" t="str">
        <f>LEFT([PAPEL],LEN([PAPEL])-(LEN([PAPEL])-4))</f>
        <v>BRGE</v>
      </c>
      <c r="D243" s="16">
        <v>3</v>
      </c>
      <c r="E243" s="5">
        <v>303375520</v>
      </c>
      <c r="F243" s="56">
        <v>2330271</v>
      </c>
      <c r="G243" s="86">
        <v>0.25</v>
      </c>
      <c r="H243" s="16"/>
      <c r="I243" s="18">
        <v>0.12</v>
      </c>
      <c r="J243" s="18"/>
      <c r="K243" s="87"/>
      <c r="L243" s="87"/>
      <c r="M243" s="47">
        <v>847911000</v>
      </c>
      <c r="N243" s="47">
        <v>3497000</v>
      </c>
      <c r="O243" s="47">
        <v>3890000</v>
      </c>
      <c r="P243" s="5">
        <v>843867000</v>
      </c>
      <c r="Q243" s="5">
        <v>34502000</v>
      </c>
      <c r="R243" s="5">
        <f>IF(Tabela3[[#This Row],[Ativo || Passivo]]&gt;0,Tabela3[[#This Row],[Ativo || Passivo]]-Tabela3[[#This Row],[Patrimônio Líquido]],0)</f>
        <v>4044000</v>
      </c>
      <c r="S243" s="47">
        <f>Tabela3[[#This Row],[Cotação]]*Tabela3[[#This Row],[Total Ações]]</f>
        <v>438932472.48000002</v>
      </c>
      <c r="T243" s="130">
        <f>IF(Tabela3[[#This Row],[Passivo Circulante]]&gt;0,Tabela3[[#This Row],[Ativo Circulante]]/Tabela3[[#This Row],[Passivo Circulante]],0)</f>
        <v>0.89897172236503853</v>
      </c>
      <c r="U243" s="130">
        <f>SUMPRODUCT(N([Liquidez Corrente]&gt;0),N(RIGHT([PAPEL],LEN([PAPEL])-(LEN([PAPEL])-1))="3"),[Liquidez Corrente])/SUMPRODUCT(N([Liquidez Corrente]&gt;0),N(RIGHT([PAPEL],LEN([PAPEL])-(LEN([PAPEL])-1))="3"))</f>
        <v>2.331224473064915</v>
      </c>
      <c r="V243" s="18">
        <f>IF(Tabela3[[#This Row],[Lucro Líquido]]&gt;0,Tabela3[[#This Row],[Lucro Líquido]]/Tabela3[[#This Row],[Patrimônio Líquido]],0)</f>
        <v>4.0885589790808266E-2</v>
      </c>
      <c r="W243" s="18">
        <f>SUMPRODUCT(N([Rentabilidade s/ PL]&gt;0),N(RIGHT([PAPEL],LEN([PAPEL])-(LEN([PAPEL])-1))="3"),[Rentabilidade s/ PL])/SUMPRODUCT(N([Rentabilidade s/ PL]&gt;0),N(RIGHT([PAPEL],LEN([PAPEL])-(LEN([PAPEL])-1))="3"))</f>
        <v>0.1261051308670782</v>
      </c>
      <c r="X243" s="18">
        <f>IF(Tabela3[[#This Row],[Dívida]]&gt;0,Tabela3[[#This Row],[Dívida]]/Tabela3[[#This Row],[Patrimônio Líquido]],0)</f>
        <v>4.7922243671099833E-3</v>
      </c>
      <c r="Y243" s="18">
        <f>SUMPRODUCT(N([Dívida / PL]&gt;0),N(RIGHT([PAPEL],LEN([PAPEL])-(LEN([PAPEL])-1))="3"),[Dívida / PL])/SUMPRODUCT(N([Dívida / PL]&gt;0),N(RIGHT([PAPEL],LEN([PAPEL])-(LEN([PAPEL])-1))="3"))</f>
        <v>2.1510410379481146</v>
      </c>
      <c r="Z243" s="5">
        <f>Tabela3[[#This Row],[Capital Social]]*20%</f>
        <v>60675104</v>
      </c>
      <c r="AA243" s="5">
        <f>IF(([Lucro Líquido]*5%)&gt;[Teto R. Legal],[Teto R. Legal],[Lucro Líquido]*5%)</f>
        <v>1725100</v>
      </c>
      <c r="AB243" s="5">
        <f>IF([Lucro Líquido]&lt;0,0,[Lucro Líquido]-[Reserva Legal])</f>
        <v>32776900</v>
      </c>
      <c r="AC243" s="5">
        <f>Tabela3[[#This Row],[Lucro Distribuir]]*[%Div]</f>
        <v>8194225</v>
      </c>
      <c r="AD243" s="21">
        <f>SUMPRODUCT(N([Nome]=Tabela3[[#This Row],[Nome]]),[Ações])</f>
        <v>73646388</v>
      </c>
      <c r="AE243" s="5">
        <f>[Capital Social]/[Total Ações]</f>
        <v>4.1193536877871049</v>
      </c>
      <c r="AF243" s="77">
        <f>Tabela3[[#This Row],[Lucro Líquido]]/Tabela3[[#This Row],[Total Ações]]</f>
        <v>0.46848190300928266</v>
      </c>
      <c r="AG243" s="77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0.11126445196470464</v>
      </c>
      <c r="AH243" s="77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243" s="77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0.49432244253445257</v>
      </c>
      <c r="AJ243" s="77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0.49432244253445257</v>
      </c>
      <c r="AK243" s="5">
        <f>[Div Base]*[Ações]</f>
        <v>1151905.2524872012</v>
      </c>
      <c r="AL243" s="5">
        <f>SUMPRODUCT(N([Nome]=Tabela3[[#This Row],[Nome]]),[Div Base]*[Ações])</f>
        <v>8194225.0000000019</v>
      </c>
      <c r="AM243" s="5">
        <f>[Patrimônio Líquido]/[Total Ações]</f>
        <v>11.45836235716</v>
      </c>
      <c r="AN243" s="52">
        <f>MAX(Tabela3[[#This Row],[Cotação 1]:[Cotação 5]])</f>
        <v>5.96</v>
      </c>
      <c r="AO243" s="53">
        <f>[Cotação]/[VPA]</f>
        <v>0.52014413702633233</v>
      </c>
      <c r="AP243" s="37">
        <f>IF(Tabela3[[#This Row],[Lucro/Ação]]&gt;0,Tabela3[[#This Row],[Cotação]]/(Tabela3[[#This Row],[Lucro/Ação]]/[Ref]*4),0)</f>
        <v>9.541457143354009</v>
      </c>
      <c r="AQ243" s="77">
        <f>[Lucro Distribuir]/[Total Ações]</f>
        <v>0.44505780785881854</v>
      </c>
      <c r="AR243" s="77">
        <f>IF([Unit ON]&gt;0,SUMPRODUCT(N([Nome]=Tabela3[[#This Row],[Nome]]),N(RIGHT([PAPEL],1)="3"),[Div Base])*[Unit ON]+SUMPRODUCT(N([Nome]=Tabela3[[#This Row],[Nome]]),N(RIGHT([PAPEL],1)="4"),[Div Base])*[Unit PN],[Div Base])</f>
        <v>0.49432244253445257</v>
      </c>
      <c r="AS243" s="16" t="str">
        <f>IF(AND([% A.A.]&gt;=6%,SUMPRODUCT(N([Nome]=Tabela3[[#This Row],[Nome]]),[PL])&gt;0,[Rentabilidade s/ PL]&gt;=[Rentabilidade s/ PL Média]),"Sim","Não")</f>
        <v>Não</v>
      </c>
      <c r="AT243" s="22">
        <f>IF([Cotação]&gt;0,Tabela3[[#This Row],[Lucro]]/Tabela3[[#This Row],[Cotação]],0)</f>
        <v>8.2940007136653116E-2</v>
      </c>
      <c r="AU243" s="18">
        <f>((1+Tabela3[[#This Row],[% Yield]])^(1/(3*Tabela3[[#This Row],[Ref]])))^(12)-1</f>
        <v>0.11208811027646859</v>
      </c>
      <c r="AV243" s="10">
        <f>IF([Cotação]&gt;0,($BH$1/Tabela3[[#This Row],[Cotação]]-MOD($BH$1/Tabela3[[#This Row],[Cotação]],100)),)</f>
        <v>0</v>
      </c>
      <c r="AW243" s="7">
        <f>Tabela3[[#This Row],[Ativos]]*[Lucro]</f>
        <v>0</v>
      </c>
      <c r="AX243" s="5">
        <f>SUMPRODUCT(N(Tabela1[Código]=Tabela3[[#This Row],[PAPEL]]),Tabela1[Fechamento])</f>
        <v>5.96</v>
      </c>
      <c r="AY243" s="5">
        <f>SUMPRODUCT(N(Tabela17[Código]=Tabela3[[#This Row],[PAPEL]]),Tabela17[Fechamento])</f>
        <v>0</v>
      </c>
      <c r="AZ243" s="7">
        <f>SUMPRODUCT(N(Tabela176[Código]=Tabela3[[#This Row],[PAPEL]]),Tabela176[Fechamento])</f>
        <v>0</v>
      </c>
      <c r="BA243" s="7">
        <f>SUMPRODUCT(N(Tabela1768[Código]=Tabela3[[#This Row],[PAPEL]]),Tabela1768[Fechamento])</f>
        <v>0</v>
      </c>
      <c r="BB243" s="7">
        <f>SUMPRODUCT(N(Tabela17683[Código]=Tabela3[[#This Row],[PAPEL]]),Tabela17683[Fechamento])</f>
        <v>0</v>
      </c>
    </row>
    <row r="244" spans="1:54" hidden="1">
      <c r="A244" s="4" t="s">
        <v>14</v>
      </c>
      <c r="B244" s="57" t="s">
        <v>220</v>
      </c>
      <c r="C244" s="15" t="str">
        <f>LEFT([PAPEL],LEN([PAPEL])-(LEN([PAPEL])-4))</f>
        <v>BRGE</v>
      </c>
      <c r="D244" s="16">
        <v>3</v>
      </c>
      <c r="E244" s="5">
        <v>303375520</v>
      </c>
      <c r="F244" s="56">
        <v>219863</v>
      </c>
      <c r="G244" s="81">
        <v>0.25</v>
      </c>
      <c r="H244" s="16"/>
      <c r="I244" s="18">
        <v>7.0000000000000007E-2</v>
      </c>
      <c r="J244" s="18"/>
      <c r="K244" s="87"/>
      <c r="L244" s="87"/>
      <c r="M244" s="47">
        <v>847911000</v>
      </c>
      <c r="N244" s="47">
        <v>3497000</v>
      </c>
      <c r="O244" s="47">
        <v>3890000</v>
      </c>
      <c r="P244" s="5">
        <v>843867000</v>
      </c>
      <c r="Q244" s="6">
        <v>34502000</v>
      </c>
      <c r="R244" s="6">
        <f>IF(Tabela3[[#This Row],[Ativo || Passivo]]&gt;0,Tabela3[[#This Row],[Ativo || Passivo]]-Tabela3[[#This Row],[Patrimônio Líquido]],0)</f>
        <v>4044000</v>
      </c>
      <c r="S244" s="13">
        <f>Tabela3[[#This Row],[Cotação]]*Tabela3[[#This Row],[Total Ações]]</f>
        <v>265126996.80000001</v>
      </c>
      <c r="T244" s="132">
        <f>IF(Tabela3[[#This Row],[Passivo Circulante]]&gt;0,Tabela3[[#This Row],[Ativo Circulante]]/Tabela3[[#This Row],[Passivo Circulante]],0)</f>
        <v>0.89897172236503853</v>
      </c>
      <c r="U244" s="132">
        <f>SUMPRODUCT(N([Liquidez Corrente]&gt;0),N(RIGHT([PAPEL],LEN([PAPEL])-(LEN([PAPEL])-1))="3"),[Liquidez Corrente])/SUMPRODUCT(N([Liquidez Corrente]&gt;0),N(RIGHT([PAPEL],LEN([PAPEL])-(LEN([PAPEL])-1))="3"))</f>
        <v>2.331224473064915</v>
      </c>
      <c r="V244" s="19">
        <f>IF(Tabela3[[#This Row],[Lucro Líquido]]&gt;0,Tabela3[[#This Row],[Lucro Líquido]]/Tabela3[[#This Row],[Patrimônio Líquido]],0)</f>
        <v>4.0885589790808266E-2</v>
      </c>
      <c r="W244" s="19">
        <f>SUMPRODUCT(N([Rentabilidade s/ PL]&gt;0),N(RIGHT([PAPEL],LEN([PAPEL])-(LEN([PAPEL])-1))="3"),[Rentabilidade s/ PL])/SUMPRODUCT(N([Rentabilidade s/ PL]&gt;0),N(RIGHT([PAPEL],LEN([PAPEL])-(LEN([PAPEL])-1))="3"))</f>
        <v>0.1261051308670782</v>
      </c>
      <c r="X244" s="19">
        <f>IF(Tabela3[[#This Row],[Dívida]]&gt;0,Tabela3[[#This Row],[Dívida]]/Tabela3[[#This Row],[Patrimônio Líquido]],0)</f>
        <v>4.7922243671099833E-3</v>
      </c>
      <c r="Y244" s="19">
        <f>SUMPRODUCT(N([Dívida / PL]&gt;0),N(RIGHT([PAPEL],LEN([PAPEL])-(LEN([PAPEL])-1))="3"),[Dívida / PL])/SUMPRODUCT(N([Dívida / PL]&gt;0),N(RIGHT([PAPEL],LEN([PAPEL])-(LEN([PAPEL])-1))="3"))</f>
        <v>2.1510410379481146</v>
      </c>
      <c r="Z244" s="5">
        <f>Tabela3[[#This Row],[Capital Social]]*20%</f>
        <v>60675104</v>
      </c>
      <c r="AA244" s="5">
        <f>IF(([Lucro Líquido]*5%)&gt;[Teto R. Legal],[Teto R. Legal],[Lucro Líquido]*5%)</f>
        <v>1725100</v>
      </c>
      <c r="AB244" s="5">
        <f>IF([Lucro Líquido]&lt;0,0,[Lucro Líquido]-[Reserva Legal])</f>
        <v>32776900</v>
      </c>
      <c r="AC244" s="5">
        <f>Tabela3[[#This Row],[Lucro Distribuir]]*[%Div]</f>
        <v>8194225</v>
      </c>
      <c r="AD244" s="21">
        <f>SUMPRODUCT(N([Nome]=Tabela3[[#This Row],[Nome]]),[Ações])</f>
        <v>73646388</v>
      </c>
      <c r="AE244" s="5">
        <f>[Capital Social]/[Total Ações]</f>
        <v>4.1193536877871049</v>
      </c>
      <c r="AF244" s="77">
        <f>Tabela3[[#This Row],[Lucro Líquido]]/Tabela3[[#This Row],[Total Ações]]</f>
        <v>0.46848190300928266</v>
      </c>
      <c r="AG244" s="77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0.11126445196470464</v>
      </c>
      <c r="AH244" s="77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244" s="77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0.28835475814509737</v>
      </c>
      <c r="AJ244" s="77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0.28835475814509737</v>
      </c>
      <c r="AK244" s="5">
        <f>[Div Base]*[Ações]</f>
        <v>63398.542190055545</v>
      </c>
      <c r="AL244" s="5">
        <f>SUMPRODUCT(N([Nome]=Tabela3[[#This Row],[Nome]]),[Div Base]*[Ações])</f>
        <v>8194225.0000000019</v>
      </c>
      <c r="AM244" s="5">
        <f>[Patrimônio Líquido]/[Total Ações]</f>
        <v>11.45836235716</v>
      </c>
      <c r="AN244" s="52">
        <f>MAX(Tabela3[[#This Row],[Cotação 1]:[Cotação 5]])</f>
        <v>3.6</v>
      </c>
      <c r="AO244" s="53">
        <f>[Cotação]/[VPA]</f>
        <v>0.31418102236489875</v>
      </c>
      <c r="AP244" s="37">
        <f>IF(Tabela3[[#This Row],[Lucro/Ação]]&gt;0,Tabela3[[#This Row],[Cotação]]/(Tabela3[[#This Row],[Lucro/Ação]]/[Ref]*4),0)</f>
        <v>5.7632962610863148</v>
      </c>
      <c r="AQ244" s="77">
        <f>[Lucro Distribuir]/[Total Ações]</f>
        <v>0.44505780785881854</v>
      </c>
      <c r="AR244" s="77">
        <f>IF([Unit ON]&gt;0,SUMPRODUCT(N([Nome]=Tabela3[[#This Row],[Nome]]),N(RIGHT([PAPEL],1)="3"),[Div Base])*[Unit ON]+SUMPRODUCT(N([Nome]=Tabela3[[#This Row],[Nome]]),N(RIGHT([PAPEL],1)="4"),[Div Base])*[Unit PN],[Div Base])</f>
        <v>0.28835475814509737</v>
      </c>
      <c r="AS244" s="16" t="str">
        <f>IF(AND([% A.A.]&gt;=6%,SUMPRODUCT(N([Nome]=Tabela3[[#This Row],[Nome]]),[PL])&gt;0,[Rentabilidade s/ PL]&gt;=[Rentabilidade s/ PL Média]),"Sim","Não")</f>
        <v>Não</v>
      </c>
      <c r="AT244" s="22">
        <f>IF([Cotação]&gt;0,Tabela3[[#This Row],[Lucro]]/Tabela3[[#This Row],[Cotação]],0)</f>
        <v>8.0098543929193716E-2</v>
      </c>
      <c r="AU244" s="18">
        <f>((1+Tabela3[[#This Row],[% Yield]])^(1/(3*Tabela3[[#This Row],[Ref]])))^(12)-1</f>
        <v>0.10819922169540064</v>
      </c>
      <c r="AV244" s="10">
        <f>IF([Cotação]&gt;0,($BH$1/Tabela3[[#This Row],[Cotação]]-MOD($BH$1/Tabela3[[#This Row],[Cotação]],100)),)</f>
        <v>100</v>
      </c>
      <c r="AW244" s="7">
        <f>Tabela3[[#This Row],[Ativos]]*[Lucro]</f>
        <v>28.835475814509735</v>
      </c>
      <c r="AX244" s="5">
        <f>SUMPRODUCT(N(Tabela1[Código]=Tabela3[[#This Row],[PAPEL]]),Tabela1[Fechamento])</f>
        <v>3.6</v>
      </c>
      <c r="AY244" s="5">
        <f>SUMPRODUCT(N(Tabela17[Código]=Tabela3[[#This Row],[PAPEL]]),Tabela17[Fechamento])</f>
        <v>0</v>
      </c>
      <c r="AZ244" s="7">
        <f>SUMPRODUCT(N(Tabela176[Código]=Tabela3[[#This Row],[PAPEL]]),Tabela176[Fechamento])</f>
        <v>0</v>
      </c>
      <c r="BA244" s="7">
        <f>SUMPRODUCT(N(Tabela1768[Código]=Tabela3[[#This Row],[PAPEL]]),Tabela1768[Fechamento])</f>
        <v>0</v>
      </c>
      <c r="BB244" s="7">
        <f>SUMPRODUCT(N(Tabela17683[Código]=Tabela3[[#This Row],[PAPEL]]),Tabela17683[Fechamento])</f>
        <v>0</v>
      </c>
    </row>
    <row r="245" spans="1:54" hidden="1">
      <c r="A245" s="4" t="s">
        <v>14</v>
      </c>
      <c r="B245" s="57" t="s">
        <v>221</v>
      </c>
      <c r="C245" s="15" t="str">
        <f>LEFT([PAPEL],LEN([PAPEL])-(LEN([PAPEL])-4))</f>
        <v>BRGE</v>
      </c>
      <c r="D245" s="16">
        <v>3</v>
      </c>
      <c r="E245" s="5">
        <v>303375520</v>
      </c>
      <c r="F245" s="56">
        <v>2059517</v>
      </c>
      <c r="G245" s="86">
        <v>0.25</v>
      </c>
      <c r="H245" s="16"/>
      <c r="I245" s="18">
        <v>0.05</v>
      </c>
      <c r="J245" s="18"/>
      <c r="K245" s="87"/>
      <c r="L245" s="87"/>
      <c r="M245" s="47">
        <v>847911000</v>
      </c>
      <c r="N245" s="47">
        <v>3497000</v>
      </c>
      <c r="O245" s="47">
        <v>3890000</v>
      </c>
      <c r="P245" s="5">
        <v>843867000</v>
      </c>
      <c r="Q245" s="5">
        <v>34502000</v>
      </c>
      <c r="R245" s="5">
        <f>IF(Tabela3[[#This Row],[Ativo || Passivo]]&gt;0,Tabela3[[#This Row],[Ativo || Passivo]]-Tabela3[[#This Row],[Patrimônio Líquido]],0)</f>
        <v>4044000</v>
      </c>
      <c r="S245" s="47">
        <f>Tabela3[[#This Row],[Cotação]]*Tabela3[[#This Row],[Total Ações]]</f>
        <v>278383346.63999999</v>
      </c>
      <c r="T245" s="130">
        <f>IF(Tabela3[[#This Row],[Passivo Circulante]]&gt;0,Tabela3[[#This Row],[Ativo Circulante]]/Tabela3[[#This Row],[Passivo Circulante]],0)</f>
        <v>0.89897172236503853</v>
      </c>
      <c r="U245" s="130">
        <f>SUMPRODUCT(N([Liquidez Corrente]&gt;0),N(RIGHT([PAPEL],LEN([PAPEL])-(LEN([PAPEL])-1))="3"),[Liquidez Corrente])/SUMPRODUCT(N([Liquidez Corrente]&gt;0),N(RIGHT([PAPEL],LEN([PAPEL])-(LEN([PAPEL])-1))="3"))</f>
        <v>2.331224473064915</v>
      </c>
      <c r="V245" s="18">
        <f>IF(Tabela3[[#This Row],[Lucro Líquido]]&gt;0,Tabela3[[#This Row],[Lucro Líquido]]/Tabela3[[#This Row],[Patrimônio Líquido]],0)</f>
        <v>4.0885589790808266E-2</v>
      </c>
      <c r="W245" s="18">
        <f>SUMPRODUCT(N([Rentabilidade s/ PL]&gt;0),N(RIGHT([PAPEL],LEN([PAPEL])-(LEN([PAPEL])-1))="3"),[Rentabilidade s/ PL])/SUMPRODUCT(N([Rentabilidade s/ PL]&gt;0),N(RIGHT([PAPEL],LEN([PAPEL])-(LEN([PAPEL])-1))="3"))</f>
        <v>0.1261051308670782</v>
      </c>
      <c r="X245" s="18">
        <f>IF(Tabela3[[#This Row],[Dívida]]&gt;0,Tabela3[[#This Row],[Dívida]]/Tabela3[[#This Row],[Patrimônio Líquido]],0)</f>
        <v>4.7922243671099833E-3</v>
      </c>
      <c r="Y245" s="18">
        <f>SUMPRODUCT(N([Dívida / PL]&gt;0),N(RIGHT([PAPEL],LEN([PAPEL])-(LEN([PAPEL])-1))="3"),[Dívida / PL])/SUMPRODUCT(N([Dívida / PL]&gt;0),N(RIGHT([PAPEL],LEN([PAPEL])-(LEN([PAPEL])-1))="3"))</f>
        <v>2.1510410379481146</v>
      </c>
      <c r="Z245" s="5">
        <f>Tabela3[[#This Row],[Capital Social]]*20%</f>
        <v>60675104</v>
      </c>
      <c r="AA245" s="5">
        <f>IF(([Lucro Líquido]*5%)&gt;[Teto R. Legal],[Teto R. Legal],[Lucro Líquido]*5%)</f>
        <v>1725100</v>
      </c>
      <c r="AB245" s="5">
        <f>IF([Lucro Líquido]&lt;0,0,[Lucro Líquido]-[Reserva Legal])</f>
        <v>32776900</v>
      </c>
      <c r="AC245" s="5">
        <f>Tabela3[[#This Row],[Lucro Distribuir]]*[%Div]</f>
        <v>8194225</v>
      </c>
      <c r="AD245" s="21">
        <f>SUMPRODUCT(N([Nome]=Tabela3[[#This Row],[Nome]]),[Ações])</f>
        <v>73646388</v>
      </c>
      <c r="AE245" s="5">
        <f>[Capital Social]/[Total Ações]</f>
        <v>4.1193536877871049</v>
      </c>
      <c r="AF245" s="77">
        <f>Tabela3[[#This Row],[Lucro Líquido]]/Tabela3[[#This Row],[Total Ações]]</f>
        <v>0.46848190300928266</v>
      </c>
      <c r="AG245" s="77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0.11126445196470464</v>
      </c>
      <c r="AH245" s="77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245" s="77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0.20596768438935525</v>
      </c>
      <c r="AJ245" s="77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0.20596768438935525</v>
      </c>
      <c r="AK245" s="5">
        <f>[Div Base]*[Ações]</f>
        <v>424193.94745051174</v>
      </c>
      <c r="AL245" s="5">
        <f>SUMPRODUCT(N([Nome]=Tabela3[[#This Row],[Nome]]),[Div Base]*[Ações])</f>
        <v>8194225.0000000019</v>
      </c>
      <c r="AM245" s="5">
        <f>[Patrimônio Líquido]/[Total Ações]</f>
        <v>11.45836235716</v>
      </c>
      <c r="AN245" s="52">
        <f>MAX(Tabela3[[#This Row],[Cotação 1]:[Cotação 5]])</f>
        <v>3.78</v>
      </c>
      <c r="AO245" s="53">
        <f>[Cotação]/[VPA]</f>
        <v>0.32989007348314364</v>
      </c>
      <c r="AP245" s="37">
        <f>IF(Tabela3[[#This Row],[Lucro/Ação]]&gt;0,Tabela3[[#This Row],[Cotação]]/(Tabela3[[#This Row],[Lucro/Ação]]/[Ref]*4),0)</f>
        <v>6.0514610741406294</v>
      </c>
      <c r="AQ245" s="77">
        <f>[Lucro Distribuir]/[Total Ações]</f>
        <v>0.44505780785881854</v>
      </c>
      <c r="AR245" s="77">
        <f>IF([Unit ON]&gt;0,SUMPRODUCT(N([Nome]=Tabela3[[#This Row],[Nome]]),N(RIGHT([PAPEL],1)="3"),[Div Base])*[Unit ON]+SUMPRODUCT(N([Nome]=Tabela3[[#This Row],[Nome]]),N(RIGHT([PAPEL],1)="4"),[Div Base])*[Unit PN],[Div Base])</f>
        <v>0.20596768438935525</v>
      </c>
      <c r="AS245" s="16" t="str">
        <f>IF(AND([% A.A.]&gt;=6%,SUMPRODUCT(N([Nome]=Tabela3[[#This Row],[Nome]]),[PL])&gt;0,[Rentabilidade s/ PL]&gt;=[Rentabilidade s/ PL Média]),"Sim","Não")</f>
        <v>Não</v>
      </c>
      <c r="AT245" s="22">
        <f>IF([Cotação]&gt;0,Tabela3[[#This Row],[Lucro]]/Tabela3[[#This Row],[Cotação]],0)</f>
        <v>5.4488805394009326E-2</v>
      </c>
      <c r="AU245" s="18">
        <f>((1+Tabela3[[#This Row],[% Yield]])^(1/(3*Tabela3[[#This Row],[Ref]])))^(12)-1</f>
        <v>7.3303712149136002E-2</v>
      </c>
      <c r="AV245" s="10">
        <f>IF([Cotação]&gt;0,($BH$1/Tabela3[[#This Row],[Cotação]]-MOD($BH$1/Tabela3[[#This Row],[Cotação]],100)),)</f>
        <v>100</v>
      </c>
      <c r="AW245" s="7">
        <f>Tabela3[[#This Row],[Ativos]]*[Lucro]</f>
        <v>20.596768438935527</v>
      </c>
      <c r="AX245" s="5">
        <f>SUMPRODUCT(N(Tabela1[Código]=Tabela3[[#This Row],[PAPEL]]),Tabela1[Fechamento])</f>
        <v>3.78</v>
      </c>
      <c r="AY245" s="5">
        <f>SUMPRODUCT(N(Tabela17[Código]=Tabela3[[#This Row],[PAPEL]]),Tabela17[Fechamento])</f>
        <v>0</v>
      </c>
      <c r="AZ245" s="7">
        <f>SUMPRODUCT(N(Tabela176[Código]=Tabela3[[#This Row],[PAPEL]]),Tabela176[Fechamento])</f>
        <v>0</v>
      </c>
      <c r="BA245" s="7">
        <f>SUMPRODUCT(N(Tabela1768[Código]=Tabela3[[#This Row],[PAPEL]]),Tabela1768[Fechamento])</f>
        <v>0</v>
      </c>
      <c r="BB245" s="7">
        <f>SUMPRODUCT(N(Tabela17683[Código]=Tabela3[[#This Row],[PAPEL]]),Tabela17683[Fechamento])</f>
        <v>0</v>
      </c>
    </row>
    <row r="246" spans="1:54" hidden="1">
      <c r="A246" s="3" t="s">
        <v>1497</v>
      </c>
      <c r="B246" s="58" t="s">
        <v>1462</v>
      </c>
      <c r="C246" s="16" t="str">
        <f>LEFT([PAPEL],LEN([PAPEL])-(LEN([PAPEL])-4))</f>
        <v>FRAS</v>
      </c>
      <c r="D246" s="16">
        <v>3</v>
      </c>
      <c r="E246" s="5">
        <v>170000000</v>
      </c>
      <c r="F246" s="56">
        <v>99981000</v>
      </c>
      <c r="G246" s="81">
        <v>0.25</v>
      </c>
      <c r="H246" s="87"/>
      <c r="J246" s="18"/>
      <c r="K246" s="16"/>
      <c r="L246" s="87"/>
      <c r="M246" s="54"/>
      <c r="N246" s="54"/>
      <c r="O246" s="54"/>
      <c r="P246" s="91">
        <v>393117000</v>
      </c>
      <c r="Q246" s="73">
        <v>33150000</v>
      </c>
      <c r="R246" s="73">
        <f>IF(Tabela3[[#This Row],[Ativo || Passivo]]&gt;0,Tabela3[[#This Row],[Ativo || Passivo]]-Tabela3[[#This Row],[Patrimônio Líquido]],0)</f>
        <v>0</v>
      </c>
      <c r="S246" s="73">
        <f>Tabela3[[#This Row],[Cotação]]*Tabela3[[#This Row],[Total Ações]]</f>
        <v>509903099.99999994</v>
      </c>
      <c r="T246" s="37">
        <f>IF(Tabela3[[#This Row],[Passivo Circulante]]&gt;0,Tabela3[[#This Row],[Ativo Circulante]]/Tabela3[[#This Row],[Passivo Circulante]],0)</f>
        <v>0</v>
      </c>
      <c r="U246" s="37">
        <f>SUMPRODUCT(N([Liquidez Corrente]&gt;0),N(RIGHT([PAPEL],LEN([PAPEL])-(LEN([PAPEL])-1))="3"),[Liquidez Corrente])/SUMPRODUCT(N([Liquidez Corrente]&gt;0),N(RIGHT([PAPEL],LEN([PAPEL])-(LEN([PAPEL])-1))="3"))</f>
        <v>2.331224473064915</v>
      </c>
      <c r="V246" s="18">
        <f>IF(Tabela3[[#This Row],[Lucro Líquido]]&gt;0,Tabela3[[#This Row],[Lucro Líquido]]/Tabela3[[#This Row],[Patrimônio Líquido]],0)</f>
        <v>8.4326040339135683E-2</v>
      </c>
      <c r="W246" s="18">
        <f>SUMPRODUCT(N([Rentabilidade s/ PL]&gt;0),N(RIGHT([PAPEL],LEN([PAPEL])-(LEN([PAPEL])-1))="3"),[Rentabilidade s/ PL])/SUMPRODUCT(N([Rentabilidade s/ PL]&gt;0),N(RIGHT([PAPEL],LEN([PAPEL])-(LEN([PAPEL])-1))="3"))</f>
        <v>0.1261051308670782</v>
      </c>
      <c r="X246" s="18">
        <f>IF(Tabela3[[#This Row],[Dívida]]&gt;0,Tabela3[[#This Row],[Dívida]]/Tabela3[[#This Row],[Patrimônio Líquido]],0)</f>
        <v>0</v>
      </c>
      <c r="Y246" s="18">
        <f>SUMPRODUCT(N([Dívida / PL]&gt;0),N(RIGHT([PAPEL],LEN([PAPEL])-(LEN([PAPEL])-1))="3"),[Dívida / PL])/SUMPRODUCT(N([Dívida / PL]&gt;0),N(RIGHT([PAPEL],LEN([PAPEL])-(LEN([PAPEL])-1))="3"))</f>
        <v>2.1510410379481146</v>
      </c>
      <c r="Z246" s="7">
        <f>Tabela3[[#This Row],[Capital Social]]*20%</f>
        <v>34000000</v>
      </c>
      <c r="AA246" s="47">
        <f>IF(([Lucro Líquido]*5%)&gt;[Teto R. Legal],[Teto R. Legal],[Lucro Líquido]*5%)</f>
        <v>1657500</v>
      </c>
      <c r="AB246" s="47">
        <f>IF([Lucro Líquido]&lt;0,0,[Lucro Líquido]-[Reserva Legal])</f>
        <v>31492500</v>
      </c>
      <c r="AC246" s="47">
        <f>Tabela3[[#This Row],[Lucro Distribuir]]*[%Div]</f>
        <v>7873125</v>
      </c>
      <c r="AD246" s="56">
        <f>SUMPRODUCT(N([Nome]=Tabela3[[#This Row],[Nome]]),[Ações])</f>
        <v>99981000</v>
      </c>
      <c r="AE246" s="85">
        <f>[Capital Social]/[Total Ações]</f>
        <v>1.7003230613816624</v>
      </c>
      <c r="AF246" s="85">
        <f>Tabela3[[#This Row],[Lucro Líquido]]/Tabela3[[#This Row],[Total Ações]]</f>
        <v>0.33156299696942421</v>
      </c>
      <c r="AG246" s="85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7.8746211780238246E-2</v>
      </c>
      <c r="AH246" s="85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246" s="77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246" s="85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7.8746211780238246E-2</v>
      </c>
      <c r="AK246" s="7">
        <f>[Div Base]*[Ações]</f>
        <v>7873125</v>
      </c>
      <c r="AL246" s="120">
        <f>SUMPRODUCT(N([Nome]=Tabela3[[#This Row],[Nome]]),[Div Base]*[Ações])</f>
        <v>7873125</v>
      </c>
      <c r="AM246" s="5">
        <f>[Patrimônio Líquido]/[Total Ações]</f>
        <v>3.9319170642422061</v>
      </c>
      <c r="AN246" s="52">
        <f>MAX(Tabela3[[#This Row],[Cotação 1]:[Cotação 5]])</f>
        <v>5.0999999999999996</v>
      </c>
      <c r="AO246" s="53">
        <f>[Cotação]/[VPA]</f>
        <v>1.2970772060226343</v>
      </c>
      <c r="AP246" s="37">
        <f>IF(Tabela3[[#This Row],[Lucro/Ação]]&gt;0,Tabela3[[#This Row],[Cotação]]/(Tabela3[[#This Row],[Lucro/Ação]]/[Ref]*4),0)</f>
        <v>11.53626923076923</v>
      </c>
      <c r="AQ246" s="85">
        <f>[Lucro Distribuir]/[Total Ações]</f>
        <v>0.31498484712095298</v>
      </c>
      <c r="AR246" s="85">
        <f>IF([Unit ON]&gt;0,SUMPRODUCT(N([Nome]=Tabela3[[#This Row],[Nome]]),N(RIGHT([PAPEL],1)="3"),[Div Base])*[Unit ON]+SUMPRODUCT(N([Nome]=Tabela3[[#This Row],[Nome]]),N(RIGHT([PAPEL],1)="4"),[Div Base])*[Unit PN],[Div Base])</f>
        <v>7.8746211780238246E-2</v>
      </c>
      <c r="AS246" s="10" t="str">
        <f>IF(AND([% A.A.]&gt;=6%,SUMPRODUCT(N([Nome]=Tabela3[[#This Row],[Nome]]),[PL])&gt;0,[Rentabilidade s/ PL]&gt;=[Rentabilidade s/ PL Média]),"Sim","Não")</f>
        <v>Não</v>
      </c>
      <c r="AT246" s="22">
        <f>IF([Cotação]&gt;0,Tabela3[[#This Row],[Lucro]]/Tabela3[[#This Row],[Cotação]],0)</f>
        <v>1.5440433682399658E-2</v>
      </c>
      <c r="AU246" s="22">
        <f>((1+Tabela3[[#This Row],[% Yield]])^(1/(3*Tabela3[[#This Row],[Ref]])))^(12)-1</f>
        <v>2.0640043618373793E-2</v>
      </c>
      <c r="AV246" s="10">
        <f>IF([Cotação]&gt;0,($BH$1/Tabela3[[#This Row],[Cotação]]-MOD($BH$1/Tabela3[[#This Row],[Cotação]],100)),)</f>
        <v>0</v>
      </c>
      <c r="AW246" s="7">
        <f>Tabela3[[#This Row],[Ativos]]*[Lucro]</f>
        <v>0</v>
      </c>
      <c r="AX246" s="7">
        <f>SUMPRODUCT(N(Tabela1[Código]=Tabela3[[#This Row],[PAPEL]]),Tabela1[Fechamento])</f>
        <v>0</v>
      </c>
      <c r="AY246" s="7">
        <f>SUMPRODUCT(N(Tabela17[Código]=Tabela3[[#This Row],[PAPEL]]),Tabela17[Fechamento])</f>
        <v>0</v>
      </c>
      <c r="AZ246" s="7">
        <f>SUMPRODUCT(N(Tabela176[Código]=Tabela3[[#This Row],[PAPEL]]),Tabela176[Fechamento])</f>
        <v>0</v>
      </c>
      <c r="BA246" s="7">
        <f>SUMPRODUCT(N(Tabela1768[Código]=Tabela3[[#This Row],[PAPEL]]),Tabela1768[Fechamento])</f>
        <v>0</v>
      </c>
      <c r="BB246" s="7">
        <f>SUMPRODUCT(N(Tabela17683[Código]=Tabela3[[#This Row],[PAPEL]]),Tabela17683[Fechamento])</f>
        <v>5.0999999999999996</v>
      </c>
    </row>
    <row r="247" spans="1:54" hidden="1">
      <c r="A247" s="3" t="s">
        <v>929</v>
      </c>
      <c r="B247" s="58" t="s">
        <v>1039</v>
      </c>
      <c r="C247" s="16" t="str">
        <f>LEFT([PAPEL],LEN([PAPEL])-(LEN([PAPEL])-4))</f>
        <v>CTSA</v>
      </c>
      <c r="D247" s="16">
        <v>3</v>
      </c>
      <c r="E247" s="5">
        <v>101921764.5</v>
      </c>
      <c r="F247" s="56">
        <v>38041111</v>
      </c>
      <c r="G247" s="81">
        <v>0.25</v>
      </c>
      <c r="H247" s="87"/>
      <c r="J247" s="18"/>
      <c r="K247" s="16"/>
      <c r="L247" s="87"/>
      <c r="M247" s="54"/>
      <c r="N247" s="54"/>
      <c r="O247" s="54"/>
      <c r="P247" s="91">
        <v>277004000</v>
      </c>
      <c r="Q247" s="73">
        <v>31976000</v>
      </c>
      <c r="R247" s="73">
        <f>IF(Tabela3[[#This Row],[Ativo || Passivo]]&gt;0,Tabela3[[#This Row],[Ativo || Passivo]]-Tabela3[[#This Row],[Patrimônio Líquido]],0)</f>
        <v>0</v>
      </c>
      <c r="S247" s="73">
        <f>Tabela3[[#This Row],[Cotação]]*Tabela3[[#This Row],[Total Ações]]</f>
        <v>196102908.20000002</v>
      </c>
      <c r="T247" s="37">
        <f>IF(Tabela3[[#This Row],[Passivo Circulante]]&gt;0,Tabela3[[#This Row],[Ativo Circulante]]/Tabela3[[#This Row],[Passivo Circulante]],0)</f>
        <v>0</v>
      </c>
      <c r="U247" s="37">
        <f>SUMPRODUCT(N([Liquidez Corrente]&gt;0),N(RIGHT([PAPEL],LEN([PAPEL])-(LEN([PAPEL])-1))="3"),[Liquidez Corrente])/SUMPRODUCT(N([Liquidez Corrente]&gt;0),N(RIGHT([PAPEL],LEN([PAPEL])-(LEN([PAPEL])-1))="3"))</f>
        <v>2.331224473064915</v>
      </c>
      <c r="V247" s="18">
        <f>IF(Tabela3[[#This Row],[Lucro Líquido]]&gt;0,Tabela3[[#This Row],[Lucro Líquido]]/Tabela3[[#This Row],[Patrimônio Líquido]],0)</f>
        <v>0.11543515617103002</v>
      </c>
      <c r="W247" s="18">
        <f>SUMPRODUCT(N([Rentabilidade s/ PL]&gt;0),N(RIGHT([PAPEL],LEN([PAPEL])-(LEN([PAPEL])-1))="3"),[Rentabilidade s/ PL])/SUMPRODUCT(N([Rentabilidade s/ PL]&gt;0),N(RIGHT([PAPEL],LEN([PAPEL])-(LEN([PAPEL])-1))="3"))</f>
        <v>0.1261051308670782</v>
      </c>
      <c r="X247" s="18">
        <f>IF(Tabela3[[#This Row],[Dívida]]&gt;0,Tabela3[[#This Row],[Dívida]]/Tabela3[[#This Row],[Patrimônio Líquido]],0)</f>
        <v>0</v>
      </c>
      <c r="Y247" s="18">
        <f>SUMPRODUCT(N([Dívida / PL]&gt;0),N(RIGHT([PAPEL],LEN([PAPEL])-(LEN([PAPEL])-1))="3"),[Dívida / PL])/SUMPRODUCT(N([Dívida / PL]&gt;0),N(RIGHT([PAPEL],LEN([PAPEL])-(LEN([PAPEL])-1))="3"))</f>
        <v>2.1510410379481146</v>
      </c>
      <c r="Z247" s="7">
        <f>Tabela3[[#This Row],[Capital Social]]*20%</f>
        <v>20384352.900000002</v>
      </c>
      <c r="AA247" s="47">
        <f>IF(([Lucro Líquido]*5%)&gt;[Teto R. Legal],[Teto R. Legal],[Lucro Líquido]*5%)</f>
        <v>1598800</v>
      </c>
      <c r="AB247" s="47">
        <f>IF([Lucro Líquido]&lt;0,0,[Lucro Líquido]-[Reserva Legal])</f>
        <v>30377200</v>
      </c>
      <c r="AC247" s="47">
        <f>Tabela3[[#This Row],[Lucro Distribuir]]*[%Div]</f>
        <v>7594300</v>
      </c>
      <c r="AD247" s="56">
        <f>SUMPRODUCT(N([Nome]=Tabela3[[#This Row],[Nome]]),[Ações])</f>
        <v>39299180</v>
      </c>
      <c r="AE247" s="85">
        <f>[Capital Social]/[Total Ações]</f>
        <v>2.5934832355280695</v>
      </c>
      <c r="AF247" s="85">
        <f>Tabela3[[#This Row],[Lucro Líquido]]/Tabela3[[#This Row],[Total Ações]]</f>
        <v>0.8136556538838724</v>
      </c>
      <c r="AG247" s="85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0.18723068646508195</v>
      </c>
      <c r="AH247" s="85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247" s="77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247" s="85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0.18723068646508195</v>
      </c>
      <c r="AK247" s="7">
        <f>[Div Base]*[Ações]</f>
        <v>7122463.3264243798</v>
      </c>
      <c r="AL247" s="7">
        <f>SUMPRODUCT(N([Nome]=Tabela3[[#This Row],[Nome]]),[Div Base]*[Ações])</f>
        <v>7358036.3582738405</v>
      </c>
      <c r="AM247" s="5">
        <f>[Patrimônio Líquido]/[Total Ações]</f>
        <v>7.0485949070693081</v>
      </c>
      <c r="AN247" s="52">
        <f>MAX(Tabela3[[#This Row],[Cotação 1]:[Cotação 5]])</f>
        <v>4.99</v>
      </c>
      <c r="AO247" s="53">
        <f>[Cotação]/[VPA]</f>
        <v>0.70794251418752074</v>
      </c>
      <c r="AP247" s="37">
        <f>IF(Tabela3[[#This Row],[Lucro/Ação]]&gt;0,Tabela3[[#This Row],[Cotação]]/(Tabela3[[#This Row],[Lucro/Ação]]/[Ref]*4),0)</f>
        <v>4.5996116196522392</v>
      </c>
      <c r="AQ247" s="85">
        <f>[Lucro Distribuir]/[Total Ações]</f>
        <v>0.77297287118967872</v>
      </c>
      <c r="AR247" s="85">
        <f>IF([Unit ON]&gt;0,SUMPRODUCT(N([Nome]=Tabela3[[#This Row],[Nome]]),N(RIGHT([PAPEL],1)="3"),[Div Base])*[Unit ON]+SUMPRODUCT(N([Nome]=Tabela3[[#This Row],[Nome]]),N(RIGHT([PAPEL],1)="4"),[Div Base])*[Unit PN],[Div Base])</f>
        <v>0.18723068646508195</v>
      </c>
      <c r="AS247" s="10" t="str">
        <f>IF(AND([% A.A.]&gt;=6%,SUMPRODUCT(N([Nome]=Tabela3[[#This Row],[Nome]]),[PL])&gt;0,[Rentabilidade s/ PL]&gt;=[Rentabilidade s/ PL Média]),"Sim","Não")</f>
        <v>Não</v>
      </c>
      <c r="AT247" s="22">
        <f>IF([Cotação]&gt;0,Tabela3[[#This Row],[Lucro]]/Tabela3[[#This Row],[Cotação]],0)</f>
        <v>3.7521179652321032E-2</v>
      </c>
      <c r="AU247" s="22">
        <f>((1+Tabela3[[#This Row],[% Yield]])^(1/(3*Tabela3[[#This Row],[Ref]])))^(12)-1</f>
        <v>5.0338524032992771E-2</v>
      </c>
      <c r="AV247" s="10">
        <f>IF([Cotação]&gt;0,($BH$1/Tabela3[[#This Row],[Cotação]]-MOD($BH$1/Tabela3[[#This Row],[Cotação]],100)),)</f>
        <v>100</v>
      </c>
      <c r="AW247" s="7">
        <f>Tabela3[[#This Row],[Ativos]]*[Lucro]</f>
        <v>18.723068646508196</v>
      </c>
      <c r="AX247" s="7">
        <f>SUMPRODUCT(N(Tabela1[Código]=Tabela3[[#This Row],[PAPEL]]),Tabela1[Fechamento])</f>
        <v>0</v>
      </c>
      <c r="AY247" s="7">
        <f>SUMPRODUCT(N(Tabela17[Código]=Tabela3[[#This Row],[PAPEL]]),Tabela17[Fechamento])</f>
        <v>0</v>
      </c>
      <c r="AZ247" s="7">
        <f>SUMPRODUCT(N(Tabela176[Código]=Tabela3[[#This Row],[PAPEL]]),Tabela176[Fechamento])</f>
        <v>0</v>
      </c>
      <c r="BA247" s="7">
        <f>SUMPRODUCT(N(Tabela1768[Código]=Tabela3[[#This Row],[PAPEL]]),Tabela1768[Fechamento])</f>
        <v>4.99</v>
      </c>
      <c r="BB247" s="7">
        <f>SUMPRODUCT(N(Tabela17683[Código]=Tabela3[[#This Row],[PAPEL]]),Tabela17683[Fechamento])</f>
        <v>0</v>
      </c>
    </row>
    <row r="248" spans="1:54" hidden="1">
      <c r="A248" s="3" t="s">
        <v>929</v>
      </c>
      <c r="B248" s="58" t="s">
        <v>1040</v>
      </c>
      <c r="C248" s="16" t="str">
        <f>LEFT([PAPEL],LEN([PAPEL])-(LEN([PAPEL])-4))</f>
        <v>CTSA</v>
      </c>
      <c r="D248" s="16">
        <v>3</v>
      </c>
      <c r="E248" s="5">
        <v>101921764.5</v>
      </c>
      <c r="F248" s="56">
        <v>1256792</v>
      </c>
      <c r="G248" s="81">
        <v>0.25</v>
      </c>
      <c r="H248" s="87"/>
      <c r="J248" s="18"/>
      <c r="K248" s="16"/>
      <c r="L248" s="87"/>
      <c r="M248" s="54"/>
      <c r="N248" s="54"/>
      <c r="O248" s="54"/>
      <c r="P248" s="91">
        <v>277004000</v>
      </c>
      <c r="Q248" s="73">
        <v>31976000</v>
      </c>
      <c r="R248" s="73">
        <f>IF(Tabela3[[#This Row],[Ativo || Passivo]]&gt;0,Tabela3[[#This Row],[Ativo || Passivo]]-Tabela3[[#This Row],[Patrimônio Líquido]],0)</f>
        <v>0</v>
      </c>
      <c r="S248" s="73">
        <f>Tabela3[[#This Row],[Cotação]]*Tabela3[[#This Row],[Total Ações]]</f>
        <v>234616104.59999999</v>
      </c>
      <c r="T248" s="37">
        <f>IF(Tabela3[[#This Row],[Passivo Circulante]]&gt;0,Tabela3[[#This Row],[Ativo Circulante]]/Tabela3[[#This Row],[Passivo Circulante]],0)</f>
        <v>0</v>
      </c>
      <c r="U248" s="37">
        <f>SUMPRODUCT(N([Liquidez Corrente]&gt;0),N(RIGHT([PAPEL],LEN([PAPEL])-(LEN([PAPEL])-1))="3"),[Liquidez Corrente])/SUMPRODUCT(N([Liquidez Corrente]&gt;0),N(RIGHT([PAPEL],LEN([PAPEL])-(LEN([PAPEL])-1))="3"))</f>
        <v>2.331224473064915</v>
      </c>
      <c r="V248" s="18">
        <f>IF(Tabela3[[#This Row],[Lucro Líquido]]&gt;0,Tabela3[[#This Row],[Lucro Líquido]]/Tabela3[[#This Row],[Patrimônio Líquido]],0)</f>
        <v>0.11543515617103002</v>
      </c>
      <c r="W248" s="18">
        <f>SUMPRODUCT(N([Rentabilidade s/ PL]&gt;0),N(RIGHT([PAPEL],LEN([PAPEL])-(LEN([PAPEL])-1))="3"),[Rentabilidade s/ PL])/SUMPRODUCT(N([Rentabilidade s/ PL]&gt;0),N(RIGHT([PAPEL],LEN([PAPEL])-(LEN([PAPEL])-1))="3"))</f>
        <v>0.1261051308670782</v>
      </c>
      <c r="X248" s="18">
        <f>IF(Tabela3[[#This Row],[Dívida]]&gt;0,Tabela3[[#This Row],[Dívida]]/Tabela3[[#This Row],[Patrimônio Líquido]],0)</f>
        <v>0</v>
      </c>
      <c r="Y248" s="18">
        <f>SUMPRODUCT(N([Dívida / PL]&gt;0),N(RIGHT([PAPEL],LEN([PAPEL])-(LEN([PAPEL])-1))="3"),[Dívida / PL])/SUMPRODUCT(N([Dívida / PL]&gt;0),N(RIGHT([PAPEL],LEN([PAPEL])-(LEN([PAPEL])-1))="3"))</f>
        <v>2.1510410379481146</v>
      </c>
      <c r="Z248" s="7">
        <f>Tabela3[[#This Row],[Capital Social]]*20%</f>
        <v>20384352.900000002</v>
      </c>
      <c r="AA248" s="47">
        <f>IF(([Lucro Líquido]*5%)&gt;[Teto R. Legal],[Teto R. Legal],[Lucro Líquido]*5%)</f>
        <v>1598800</v>
      </c>
      <c r="AB248" s="47">
        <f>IF([Lucro Líquido]&lt;0,0,[Lucro Líquido]-[Reserva Legal])</f>
        <v>30377200</v>
      </c>
      <c r="AC248" s="47">
        <f>Tabela3[[#This Row],[Lucro Distribuir]]*[%Div]</f>
        <v>7594300</v>
      </c>
      <c r="AD248" s="56">
        <f>SUMPRODUCT(N([Nome]=Tabela3[[#This Row],[Nome]]),[Ações])</f>
        <v>39299180</v>
      </c>
      <c r="AE248" s="85">
        <f>[Capital Social]/[Total Ações]</f>
        <v>2.5934832355280695</v>
      </c>
      <c r="AF248" s="85">
        <f>Tabela3[[#This Row],[Lucro Líquido]]/Tabela3[[#This Row],[Total Ações]]</f>
        <v>0.8136556538838724</v>
      </c>
      <c r="AG248" s="85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0.18723068646508195</v>
      </c>
      <c r="AH248" s="85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248" s="77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248" s="85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0.18723068646508195</v>
      </c>
      <c r="AK248" s="7">
        <f>[Div Base]*[Ações]</f>
        <v>235310.02890382329</v>
      </c>
      <c r="AL248" s="7">
        <f>SUMPRODUCT(N([Nome]=Tabela3[[#This Row],[Nome]]),[Div Base]*[Ações])</f>
        <v>7358036.3582738405</v>
      </c>
      <c r="AM248" s="5">
        <f>[Patrimônio Líquido]/[Total Ações]</f>
        <v>7.0485949070693081</v>
      </c>
      <c r="AN248" s="52">
        <f>MAX(Tabela3[[#This Row],[Cotação 1]:[Cotação 5]])</f>
        <v>5.97</v>
      </c>
      <c r="AO248" s="53">
        <f>[Cotação]/[VPA]</f>
        <v>0.84697731657304576</v>
      </c>
      <c r="AP248" s="37">
        <f>IF(Tabela3[[#This Row],[Lucro/Ação]]&gt;0,Tabela3[[#This Row],[Cotação]]/(Tabela3[[#This Row],[Lucro/Ação]]/[Ref]*4),0)</f>
        <v>5.5029421581811357</v>
      </c>
      <c r="AQ248" s="85">
        <f>[Lucro Distribuir]/[Total Ações]</f>
        <v>0.77297287118967872</v>
      </c>
      <c r="AR248" s="85">
        <f>IF([Unit ON]&gt;0,SUMPRODUCT(N([Nome]=Tabela3[[#This Row],[Nome]]),N(RIGHT([PAPEL],1)="3"),[Div Base])*[Unit ON]+SUMPRODUCT(N([Nome]=Tabela3[[#This Row],[Nome]]),N(RIGHT([PAPEL],1)="4"),[Div Base])*[Unit PN],[Div Base])</f>
        <v>0.18723068646508195</v>
      </c>
      <c r="AS248" s="10" t="str">
        <f>IF(AND([% A.A.]&gt;=6%,SUMPRODUCT(N([Nome]=Tabela3[[#This Row],[Nome]]),[PL])&gt;0,[Rentabilidade s/ PL]&gt;=[Rentabilidade s/ PL Média]),"Sim","Não")</f>
        <v>Não</v>
      </c>
      <c r="AT248" s="22">
        <f>IF([Cotação]&gt;0,Tabela3[[#This Row],[Lucro]]/Tabela3[[#This Row],[Cotação]],0)</f>
        <v>3.1361924031002006E-2</v>
      </c>
      <c r="AU248" s="22">
        <f>((1+Tabela3[[#This Row],[% Yield]])^(1/(3*Tabela3[[#This Row],[Ref]])))^(12)-1</f>
        <v>4.203296616829344E-2</v>
      </c>
      <c r="AV248" s="10">
        <f>IF([Cotação]&gt;0,($BH$1/Tabela3[[#This Row],[Cotação]]-MOD($BH$1/Tabela3[[#This Row],[Cotação]],100)),)</f>
        <v>0</v>
      </c>
      <c r="AW248" s="7">
        <f>Tabela3[[#This Row],[Ativos]]*[Lucro]</f>
        <v>0</v>
      </c>
      <c r="AX248" s="7">
        <f>SUMPRODUCT(N(Tabela1[Código]=Tabela3[[#This Row],[PAPEL]]),Tabela1[Fechamento])</f>
        <v>0</v>
      </c>
      <c r="AY248" s="7">
        <f>SUMPRODUCT(N(Tabela17[Código]=Tabela3[[#This Row],[PAPEL]]),Tabela17[Fechamento])</f>
        <v>0</v>
      </c>
      <c r="AZ248" s="7">
        <f>SUMPRODUCT(N(Tabela176[Código]=Tabela3[[#This Row],[PAPEL]]),Tabela176[Fechamento])</f>
        <v>0</v>
      </c>
      <c r="BA248" s="7">
        <f>SUMPRODUCT(N(Tabela1768[Código]=Tabela3[[#This Row],[PAPEL]]),Tabela1768[Fechamento])</f>
        <v>5.97</v>
      </c>
      <c r="BB248" s="7">
        <f>SUMPRODUCT(N(Tabela17683[Código]=Tabela3[[#This Row],[PAPEL]]),Tabela17683[Fechamento])</f>
        <v>0</v>
      </c>
    </row>
    <row r="249" spans="1:54" hidden="1">
      <c r="A249" s="3" t="s">
        <v>929</v>
      </c>
      <c r="B249" s="58" t="s">
        <v>1043</v>
      </c>
      <c r="C249" s="16" t="str">
        <f>LEFT([PAPEL],LEN([PAPEL])-(LEN([PAPEL])-4))</f>
        <v>CTSA</v>
      </c>
      <c r="D249" s="16">
        <v>3</v>
      </c>
      <c r="E249" s="5">
        <v>101921764.5</v>
      </c>
      <c r="F249" s="56">
        <v>1277</v>
      </c>
      <c r="G249" s="81">
        <v>0.25</v>
      </c>
      <c r="H249" s="87"/>
      <c r="J249" s="18">
        <v>0.1</v>
      </c>
      <c r="K249" s="16"/>
      <c r="L249" s="87"/>
      <c r="M249" s="54"/>
      <c r="N249" s="54"/>
      <c r="O249" s="54"/>
      <c r="P249" s="91">
        <v>277004000</v>
      </c>
      <c r="Q249" s="73">
        <v>31976000</v>
      </c>
      <c r="R249" s="73">
        <f>IF(Tabela3[[#This Row],[Ativo || Passivo]]&gt;0,Tabela3[[#This Row],[Ativo || Passivo]]-Tabela3[[#This Row],[Patrimônio Líquido]],0)</f>
        <v>0</v>
      </c>
      <c r="S249" s="73">
        <f>Tabela3[[#This Row],[Cotação]]*Tabela3[[#This Row],[Total Ações]]</f>
        <v>0</v>
      </c>
      <c r="T249" s="37">
        <f>IF(Tabela3[[#This Row],[Passivo Circulante]]&gt;0,Tabela3[[#This Row],[Ativo Circulante]]/Tabela3[[#This Row],[Passivo Circulante]],0)</f>
        <v>0</v>
      </c>
      <c r="U249" s="37">
        <f>SUMPRODUCT(N([Liquidez Corrente]&gt;0),N(RIGHT([PAPEL],LEN([PAPEL])-(LEN([PAPEL])-1))="3"),[Liquidez Corrente])/SUMPRODUCT(N([Liquidez Corrente]&gt;0),N(RIGHT([PAPEL],LEN([PAPEL])-(LEN([PAPEL])-1))="3"))</f>
        <v>2.331224473064915</v>
      </c>
      <c r="V249" s="18">
        <f>IF(Tabela3[[#This Row],[Lucro Líquido]]&gt;0,Tabela3[[#This Row],[Lucro Líquido]]/Tabela3[[#This Row],[Patrimônio Líquido]],0)</f>
        <v>0.11543515617103002</v>
      </c>
      <c r="W249" s="18">
        <f>SUMPRODUCT(N([Rentabilidade s/ PL]&gt;0),N(RIGHT([PAPEL],LEN([PAPEL])-(LEN([PAPEL])-1))="3"),[Rentabilidade s/ PL])/SUMPRODUCT(N([Rentabilidade s/ PL]&gt;0),N(RIGHT([PAPEL],LEN([PAPEL])-(LEN([PAPEL])-1))="3"))</f>
        <v>0.1261051308670782</v>
      </c>
      <c r="X249" s="18">
        <f>IF(Tabela3[[#This Row],[Dívida]]&gt;0,Tabela3[[#This Row],[Dívida]]/Tabela3[[#This Row],[Patrimônio Líquido]],0)</f>
        <v>0</v>
      </c>
      <c r="Y249" s="18">
        <f>SUMPRODUCT(N([Dívida / PL]&gt;0),N(RIGHT([PAPEL],LEN([PAPEL])-(LEN([PAPEL])-1))="3"),[Dívida / PL])/SUMPRODUCT(N([Dívida / PL]&gt;0),N(RIGHT([PAPEL],LEN([PAPEL])-(LEN([PAPEL])-1))="3"))</f>
        <v>2.1510410379481146</v>
      </c>
      <c r="Z249" s="7">
        <f>Tabela3[[#This Row],[Capital Social]]*20%</f>
        <v>20384352.900000002</v>
      </c>
      <c r="AA249" s="47">
        <f>IF(([Lucro Líquido]*5%)&gt;[Teto R. Legal],[Teto R. Legal],[Lucro Líquido]*5%)</f>
        <v>1598800</v>
      </c>
      <c r="AB249" s="47">
        <f>IF([Lucro Líquido]&lt;0,0,[Lucro Líquido]-[Reserva Legal])</f>
        <v>30377200</v>
      </c>
      <c r="AC249" s="47">
        <f>Tabela3[[#This Row],[Lucro Distribuir]]*[%Div]</f>
        <v>7594300</v>
      </c>
      <c r="AD249" s="56">
        <f>SUMPRODUCT(N([Nome]=Tabela3[[#This Row],[Nome]]),[Ações])</f>
        <v>39299180</v>
      </c>
      <c r="AE249" s="85">
        <f>[Capital Social]/[Total Ações]</f>
        <v>2.5934832355280695</v>
      </c>
      <c r="AF249" s="85">
        <f>Tabela3[[#This Row],[Lucro Líquido]]/Tabela3[[#This Row],[Total Ações]]</f>
        <v>0.8136556538838724</v>
      </c>
      <c r="AG249" s="85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0.20595375539372526</v>
      </c>
      <c r="AH249" s="85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249" s="77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249" s="85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0.20595375539372526</v>
      </c>
      <c r="AK249" s="7">
        <f>[Div Base]*[Ações]</f>
        <v>263.00294563778715</v>
      </c>
      <c r="AL249" s="7">
        <f>SUMPRODUCT(N([Nome]=Tabela3[[#This Row],[Nome]]),[Div Base]*[Ações])</f>
        <v>7358036.3582738405</v>
      </c>
      <c r="AM249" s="5">
        <f>[Patrimônio Líquido]/[Total Ações]</f>
        <v>7.0485949070693081</v>
      </c>
      <c r="AN249" s="52">
        <f>MAX(Tabela3[[#This Row],[Cotação 1]:[Cotação 5]])</f>
        <v>0</v>
      </c>
      <c r="AO249" s="53">
        <f>[Cotação]/[VPA]</f>
        <v>0</v>
      </c>
      <c r="AP249" s="37">
        <f>IF(Tabela3[[#This Row],[Lucro/Ação]]&gt;0,Tabela3[[#This Row],[Cotação]]/(Tabela3[[#This Row],[Lucro/Ação]]/[Ref]*4),0)</f>
        <v>0</v>
      </c>
      <c r="AQ249" s="85">
        <f>[Lucro Distribuir]/[Total Ações]</f>
        <v>0.77297287118967872</v>
      </c>
      <c r="AR249" s="85">
        <f>IF([Unit ON]&gt;0,SUMPRODUCT(N([Nome]=Tabela3[[#This Row],[Nome]]),N(RIGHT([PAPEL],1)="3"),[Div Base])*[Unit ON]+SUMPRODUCT(N([Nome]=Tabela3[[#This Row],[Nome]]),N(RIGHT([PAPEL],1)="4"),[Div Base])*[Unit PN],[Div Base])</f>
        <v>0.20595375539372526</v>
      </c>
      <c r="AS249" s="10" t="str">
        <f>IF(AND([% A.A.]&gt;=6%,SUMPRODUCT(N([Nome]=Tabela3[[#This Row],[Nome]]),[PL])&gt;0,[Rentabilidade s/ PL]&gt;=[Rentabilidade s/ PL Média]),"Sim","Não")</f>
        <v>Não</v>
      </c>
      <c r="AT249" s="22">
        <f>IF([Cotação]&gt;0,Tabela3[[#This Row],[Lucro]]/Tabela3[[#This Row],[Cotação]],0)</f>
        <v>0</v>
      </c>
      <c r="AU249" s="22">
        <f>((1+Tabela3[[#This Row],[% Yield]])^(1/(3*Tabela3[[#This Row],[Ref]])))^(12)-1</f>
        <v>0</v>
      </c>
      <c r="AV249" s="10">
        <f>IF([Cotação]&gt;0,($BH$1/Tabela3[[#This Row],[Cotação]]-MOD($BH$1/Tabela3[[#This Row],[Cotação]],100)),)</f>
        <v>0</v>
      </c>
      <c r="AW249" s="7">
        <f>Tabela3[[#This Row],[Ativos]]*[Lucro]</f>
        <v>0</v>
      </c>
      <c r="AX249" s="7">
        <f>SUMPRODUCT(N(Tabela1[Código]=Tabela3[[#This Row],[PAPEL]]),Tabela1[Fechamento])</f>
        <v>0</v>
      </c>
      <c r="AY249" s="7">
        <f>SUMPRODUCT(N(Tabela17[Código]=Tabela3[[#This Row],[PAPEL]]),Tabela17[Fechamento])</f>
        <v>0</v>
      </c>
      <c r="AZ249" s="7">
        <f>SUMPRODUCT(N(Tabela176[Código]=Tabela3[[#This Row],[PAPEL]]),Tabela176[Fechamento])</f>
        <v>0</v>
      </c>
      <c r="BA249" s="7">
        <f>SUMPRODUCT(N(Tabela1768[Código]=Tabela3[[#This Row],[PAPEL]]),Tabela1768[Fechamento])</f>
        <v>0</v>
      </c>
      <c r="BB249" s="7">
        <f>SUMPRODUCT(N(Tabela17683[Código]=Tabela3[[#This Row],[PAPEL]]),Tabela17683[Fechamento])</f>
        <v>0</v>
      </c>
    </row>
    <row r="250" spans="1:54" hidden="1">
      <c r="A250" s="4" t="s">
        <v>14</v>
      </c>
      <c r="B250" s="57" t="s">
        <v>191</v>
      </c>
      <c r="C250" s="14" t="str">
        <f>LEFT([PAPEL],LEN([PAPEL])-(LEN([PAPEL])-4))</f>
        <v>RPAD</v>
      </c>
      <c r="D250" s="15">
        <v>3</v>
      </c>
      <c r="E250" s="6">
        <v>267646990</v>
      </c>
      <c r="F250" s="8">
        <v>46011632</v>
      </c>
      <c r="G250" s="86">
        <v>0.25</v>
      </c>
      <c r="H250" s="15"/>
      <c r="I250" s="19"/>
      <c r="J250" s="19"/>
      <c r="K250" s="88"/>
      <c r="L250" s="88"/>
      <c r="M250" s="13">
        <v>731259000</v>
      </c>
      <c r="N250" s="13">
        <v>6491000</v>
      </c>
      <c r="O250" s="13">
        <v>4087000</v>
      </c>
      <c r="P250" s="6">
        <v>727021000</v>
      </c>
      <c r="Q250" s="6">
        <v>31097000</v>
      </c>
      <c r="R250" s="6">
        <f>IF(Tabela3[[#This Row],[Ativo || Passivo]]&gt;0,Tabela3[[#This Row],[Ativo || Passivo]]-Tabela3[[#This Row],[Patrimônio Líquido]],0)</f>
        <v>4238000</v>
      </c>
      <c r="S250" s="6">
        <f>Tabela3[[#This Row],[Cotação]]*Tabela3[[#This Row],[Total Ações]]</f>
        <v>260821388.52000001</v>
      </c>
      <c r="T250" s="132">
        <f>IF(Tabela3[[#This Row],[Passivo Circulante]]&gt;0,Tabela3[[#This Row],[Ativo Circulante]]/Tabela3[[#This Row],[Passivo Circulante]],0)</f>
        <v>1.5882065084413997</v>
      </c>
      <c r="U250" s="132">
        <f>SUMPRODUCT(N([Liquidez Corrente]&gt;0),N(RIGHT([PAPEL],LEN([PAPEL])-(LEN([PAPEL])-1))="3"),[Liquidez Corrente])/SUMPRODUCT(N([Liquidez Corrente]&gt;0),N(RIGHT([PAPEL],LEN([PAPEL])-(LEN([PAPEL])-1))="3"))</f>
        <v>2.331224473064915</v>
      </c>
      <c r="V250" s="19">
        <f>IF(Tabela3[[#This Row],[Lucro Líquido]]&gt;0,Tabela3[[#This Row],[Lucro Líquido]]/Tabela3[[#This Row],[Patrimônio Líquido]],0)</f>
        <v>4.2773179866881422E-2</v>
      </c>
      <c r="W250" s="19">
        <f>SUMPRODUCT(N([Rentabilidade s/ PL]&gt;0),N(RIGHT([PAPEL],LEN([PAPEL])-(LEN([PAPEL])-1))="3"),[Rentabilidade s/ PL])/SUMPRODUCT(N([Rentabilidade s/ PL]&gt;0),N(RIGHT([PAPEL],LEN([PAPEL])-(LEN([PAPEL])-1))="3"))</f>
        <v>0.1261051308670782</v>
      </c>
      <c r="X250" s="19">
        <f>IF(Tabela3[[#This Row],[Dívida]]&gt;0,Tabela3[[#This Row],[Dívida]]/Tabela3[[#This Row],[Patrimônio Líquido]],0)</f>
        <v>5.829267655267179E-3</v>
      </c>
      <c r="Y250" s="19">
        <f>SUMPRODUCT(N([Dívida / PL]&gt;0),N(RIGHT([PAPEL],LEN([PAPEL])-(LEN([PAPEL])-1))="3"),[Dívida / PL])/SUMPRODUCT(N([Dívida / PL]&gt;0),N(RIGHT([PAPEL],LEN([PAPEL])-(LEN([PAPEL])-1))="3"))</f>
        <v>2.1510410379481146</v>
      </c>
      <c r="Z250" s="6">
        <f>Tabela3[[#This Row],[Capital Social]]*20%</f>
        <v>53529398</v>
      </c>
      <c r="AA250" s="6">
        <f>IF(([Lucro Líquido]*5%)&gt;[Teto R. Legal],[Teto R. Legal],[Lucro Líquido]*5%)</f>
        <v>1554850</v>
      </c>
      <c r="AB250" s="6">
        <f>IF([Lucro Líquido]&lt;0,0,[Lucro Líquido]-[Reserva Legal])</f>
        <v>29542150</v>
      </c>
      <c r="AC250" s="6">
        <f>Tabela3[[#This Row],[Lucro Distribuir]]*[%Div]</f>
        <v>7385537.5</v>
      </c>
      <c r="AD250" s="21">
        <f>SUMPRODUCT(N([Nome]=Tabela3[[#This Row],[Nome]]),[Ações])</f>
        <v>84682269</v>
      </c>
      <c r="AE250" s="6">
        <f>[Capital Social]/[Total Ações]</f>
        <v>3.1606024869267495</v>
      </c>
      <c r="AF250" s="78">
        <f>Tabela3[[#This Row],[Lucro Líquido]]/Tabela3[[#This Row],[Total Ações]]</f>
        <v>0.36721973049635692</v>
      </c>
      <c r="AG250" s="78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8.7214685992884775E-2</v>
      </c>
      <c r="AH250" s="78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250" s="78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2.7806221078407752E-2</v>
      </c>
      <c r="AJ250" s="78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2.7806221078407752E-2</v>
      </c>
      <c r="AK250" s="6">
        <f>[Div Base]*[Ações]</f>
        <v>1279409.6115703406</v>
      </c>
      <c r="AL250" s="6">
        <f>SUMPRODUCT(N([Nome]=Tabela3[[#This Row],[Nome]]),[Div Base]*[Ações])</f>
        <v>7385537.5</v>
      </c>
      <c r="AM250" s="6">
        <f>[Patrimônio Líquido]/[Total Ações]</f>
        <v>8.5852801133611578</v>
      </c>
      <c r="AN250" s="48">
        <f>MAX(Tabela3[[#This Row],[Cotação 1]:[Cotação 5]])</f>
        <v>3.08</v>
      </c>
      <c r="AO250" s="44">
        <f>[Cotação]/[VPA]</f>
        <v>0.35875358279884623</v>
      </c>
      <c r="AP250" s="40">
        <f>IF(Tabela3[[#This Row],[Lucro/Ação]]&gt;0,Tabela3[[#This Row],[Cotação]]/(Tabela3[[#This Row],[Lucro/Ação]]/[Ref]*4),0)</f>
        <v>6.2905116696144328</v>
      </c>
      <c r="AQ250" s="78">
        <f>[Lucro Distribuir]/[Total Ações]</f>
        <v>0.3488587439715391</v>
      </c>
      <c r="AR250" s="78">
        <f>IF([Unit ON]&gt;0,SUMPRODUCT(N([Nome]=Tabela3[[#This Row],[Nome]]),N(RIGHT([PAPEL],1)="3"),[Div Base])*[Unit ON]+SUMPRODUCT(N([Nome]=Tabela3[[#This Row],[Nome]]),N(RIGHT([PAPEL],1)="4"),[Div Base])*[Unit PN],[Div Base])</f>
        <v>2.7806221078407752E-2</v>
      </c>
      <c r="AS250" s="15" t="str">
        <f>IF(AND([% A.A.]&gt;=6%,SUMPRODUCT(N([Nome]=Tabela3[[#This Row],[Nome]]),[PL])&gt;0,[Rentabilidade s/ PL]&gt;=[Rentabilidade s/ PL Média]),"Sim","Não")</f>
        <v>Não</v>
      </c>
      <c r="AT250" s="42">
        <f>IF([Cotação]&gt;0,Tabela3[[#This Row],[Lucro]]/Tabela3[[#This Row],[Cotação]],0)</f>
        <v>9.0279938566258933E-3</v>
      </c>
      <c r="AU250" s="19">
        <f>((1+Tabela3[[#This Row],[% Yield]])^(1/(3*Tabela3[[#This Row],[Ref]])))^(12)-1</f>
        <v>1.2055401090800499E-2</v>
      </c>
      <c r="AV250" s="14">
        <f>IF([Cotação]&gt;0,($BH$1/Tabela3[[#This Row],[Cotação]]-MOD($BH$1/Tabela3[[#This Row],[Cotação]],100)),)</f>
        <v>100</v>
      </c>
      <c r="AW250" s="17">
        <f>Tabela3[[#This Row],[Ativos]]*[Lucro]</f>
        <v>2.7806221078407751</v>
      </c>
      <c r="AX250" s="5">
        <f>SUMPRODUCT(N(Tabela1[Código]=Tabela3[[#This Row],[PAPEL]]),Tabela1[Fechamento])</f>
        <v>3.08</v>
      </c>
      <c r="AY250" s="5">
        <f>SUMPRODUCT(N(Tabela17[Código]=Tabela3[[#This Row],[PAPEL]]),Tabela17[Fechamento])</f>
        <v>0</v>
      </c>
      <c r="AZ250" s="7">
        <f>SUMPRODUCT(N(Tabela176[Código]=Tabela3[[#This Row],[PAPEL]]),Tabela176[Fechamento])</f>
        <v>0</v>
      </c>
      <c r="BA250" s="7">
        <f>SUMPRODUCT(N(Tabela1768[Código]=Tabela3[[#This Row],[PAPEL]]),Tabela1768[Fechamento])</f>
        <v>0</v>
      </c>
      <c r="BB250" s="7">
        <f>SUMPRODUCT(N(Tabela17683[Código]=Tabela3[[#This Row],[PAPEL]]),Tabela17683[Fechamento])</f>
        <v>0</v>
      </c>
    </row>
    <row r="251" spans="1:54" hidden="1">
      <c r="A251" s="4" t="s">
        <v>14</v>
      </c>
      <c r="B251" s="57" t="s">
        <v>76</v>
      </c>
      <c r="C251" s="14" t="str">
        <f>LEFT([PAPEL],LEN([PAPEL])-(LEN([PAPEL])-4))</f>
        <v>RPAD</v>
      </c>
      <c r="D251" s="15">
        <v>3</v>
      </c>
      <c r="E251" s="6">
        <v>267646990</v>
      </c>
      <c r="F251" s="8">
        <v>14313881</v>
      </c>
      <c r="G251" s="81">
        <v>0.25</v>
      </c>
      <c r="H251" s="15"/>
      <c r="I251" s="19">
        <v>0.12</v>
      </c>
      <c r="J251" s="19"/>
      <c r="K251" s="88"/>
      <c r="L251" s="88"/>
      <c r="M251" s="13">
        <v>731259000</v>
      </c>
      <c r="N251" s="13">
        <v>6491000</v>
      </c>
      <c r="O251" s="13">
        <v>4087000</v>
      </c>
      <c r="P251" s="6">
        <v>727021000</v>
      </c>
      <c r="Q251" s="6">
        <v>31097000</v>
      </c>
      <c r="R251" s="6">
        <f>IF(Tabela3[[#This Row],[Ativo || Passivo]]&gt;0,Tabela3[[#This Row],[Ativo || Passivo]]-Tabela3[[#This Row],[Patrimônio Líquido]],0)</f>
        <v>4238000</v>
      </c>
      <c r="S251" s="13">
        <f>Tabela3[[#This Row],[Cotação]]*Tabela3[[#This Row],[Total Ações]]</f>
        <v>455590607.21999997</v>
      </c>
      <c r="T251" s="132">
        <f>IF(Tabela3[[#This Row],[Passivo Circulante]]&gt;0,Tabela3[[#This Row],[Ativo Circulante]]/Tabela3[[#This Row],[Passivo Circulante]],0)</f>
        <v>1.5882065084413997</v>
      </c>
      <c r="U251" s="132">
        <f>SUMPRODUCT(N([Liquidez Corrente]&gt;0),N(RIGHT([PAPEL],LEN([PAPEL])-(LEN([PAPEL])-1))="3"),[Liquidez Corrente])/SUMPRODUCT(N([Liquidez Corrente]&gt;0),N(RIGHT([PAPEL],LEN([PAPEL])-(LEN([PAPEL])-1))="3"))</f>
        <v>2.331224473064915</v>
      </c>
      <c r="V251" s="19">
        <f>IF(Tabela3[[#This Row],[Lucro Líquido]]&gt;0,Tabela3[[#This Row],[Lucro Líquido]]/Tabela3[[#This Row],[Patrimônio Líquido]],0)</f>
        <v>4.2773179866881422E-2</v>
      </c>
      <c r="W251" s="19">
        <f>SUMPRODUCT(N([Rentabilidade s/ PL]&gt;0),N(RIGHT([PAPEL],LEN([PAPEL])-(LEN([PAPEL])-1))="3"),[Rentabilidade s/ PL])/SUMPRODUCT(N([Rentabilidade s/ PL]&gt;0),N(RIGHT([PAPEL],LEN([PAPEL])-(LEN([PAPEL])-1))="3"))</f>
        <v>0.1261051308670782</v>
      </c>
      <c r="X251" s="19">
        <f>IF(Tabela3[[#This Row],[Dívida]]&gt;0,Tabela3[[#This Row],[Dívida]]/Tabela3[[#This Row],[Patrimônio Líquido]],0)</f>
        <v>5.829267655267179E-3</v>
      </c>
      <c r="Y251" s="19">
        <f>SUMPRODUCT(N([Dívida / PL]&gt;0),N(RIGHT([PAPEL],LEN([PAPEL])-(LEN([PAPEL])-1))="3"),[Dívida / PL])/SUMPRODUCT(N([Dívida / PL]&gt;0),N(RIGHT([PAPEL],LEN([PAPEL])-(LEN([PAPEL])-1))="3"))</f>
        <v>2.1510410379481146</v>
      </c>
      <c r="Z251" s="6">
        <f>Tabela3[[#This Row],[Capital Social]]*20%</f>
        <v>53529398</v>
      </c>
      <c r="AA251" s="6">
        <f>IF(([Lucro Líquido]*5%)&gt;[Teto R. Legal],[Teto R. Legal],[Lucro Líquido]*5%)</f>
        <v>1554850</v>
      </c>
      <c r="AB251" s="6">
        <f>IF([Lucro Líquido]&lt;0,0,[Lucro Líquido]-[Reserva Legal])</f>
        <v>29542150</v>
      </c>
      <c r="AC251" s="6">
        <f>Tabela3[[#This Row],[Lucro Distribuir]]*[%Div]</f>
        <v>7385537.5</v>
      </c>
      <c r="AD251" s="21">
        <f>SUMPRODUCT(N([Nome]=Tabela3[[#This Row],[Nome]]),[Ações])</f>
        <v>84682269</v>
      </c>
      <c r="AE251" s="6">
        <f>[Capital Social]/[Total Ações]</f>
        <v>3.1606024869267495</v>
      </c>
      <c r="AF251" s="78">
        <f>Tabela3[[#This Row],[Lucro Líquido]]/Tabela3[[#This Row],[Total Ações]]</f>
        <v>0.36721973049635692</v>
      </c>
      <c r="AG251" s="78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8.7214685992884775E-2</v>
      </c>
      <c r="AH251" s="78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251" s="78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0.37927229843120991</v>
      </c>
      <c r="AJ251" s="78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0.37927229843120991</v>
      </c>
      <c r="AK251" s="6">
        <f>[Div Base]*[Ações]</f>
        <v>5428858.546340825</v>
      </c>
      <c r="AL251" s="6">
        <f>SUMPRODUCT(N([Nome]=Tabela3[[#This Row],[Nome]]),[Div Base]*[Ações])</f>
        <v>7385537.5</v>
      </c>
      <c r="AM251" s="6">
        <f>[Patrimônio Líquido]/[Total Ações]</f>
        <v>8.5852801133611578</v>
      </c>
      <c r="AN251" s="48">
        <f>MAX(Tabela3[[#This Row],[Cotação 1]:[Cotação 5]])</f>
        <v>5.38</v>
      </c>
      <c r="AO251" s="44">
        <f>[Cotação]/[VPA]</f>
        <v>0.62665398553824436</v>
      </c>
      <c r="AP251" s="40">
        <f>IF(Tabela3[[#This Row],[Lucro/Ação]]&gt;0,Tabela3[[#This Row],[Cotação]]/(Tabela3[[#This Row],[Lucro/Ação]]/[Ref]*4),0)</f>
        <v>10.987971682638197</v>
      </c>
      <c r="AQ251" s="78">
        <f>[Lucro Distribuir]/[Total Ações]</f>
        <v>0.3488587439715391</v>
      </c>
      <c r="AR251" s="78">
        <f>IF([Unit ON]&gt;0,SUMPRODUCT(N([Nome]=Tabela3[[#This Row],[Nome]]),N(RIGHT([PAPEL],1)="3"),[Div Base])*[Unit ON]+SUMPRODUCT(N([Nome]=Tabela3[[#This Row],[Nome]]),N(RIGHT([PAPEL],1)="4"),[Div Base])*[Unit PN],[Div Base])</f>
        <v>0.37927229843120991</v>
      </c>
      <c r="AS251" s="15" t="str">
        <f>IF(AND([% A.A.]&gt;=6%,SUMPRODUCT(N([Nome]=Tabela3[[#This Row],[Nome]]),[PL])&gt;0,[Rentabilidade s/ PL]&gt;=[Rentabilidade s/ PL Média]),"Sim","Não")</f>
        <v>Não</v>
      </c>
      <c r="AT251" s="42">
        <f>IF([Cotação]&gt;0,Tabela3[[#This Row],[Lucro]]/Tabela3[[#This Row],[Cotação]],0)</f>
        <v>7.0496709745578048E-2</v>
      </c>
      <c r="AU251" s="19">
        <f>((1+Tabela3[[#This Row],[% Yield]])^(1/(3*Tabela3[[#This Row],[Ref]])))^(12)-1</f>
        <v>9.5083198375075062E-2</v>
      </c>
      <c r="AV251" s="14">
        <f>IF([Cotação]&gt;0,($BH$1/Tabela3[[#This Row],[Cotação]]-MOD($BH$1/Tabela3[[#This Row],[Cotação]],100)),)</f>
        <v>0</v>
      </c>
      <c r="AW251" s="17">
        <f>Tabela3[[#This Row],[Ativos]]*[Lucro]</f>
        <v>0</v>
      </c>
      <c r="AX251" s="5">
        <f>SUMPRODUCT(N(Tabela1[Código]=Tabela3[[#This Row],[PAPEL]]),Tabela1[Fechamento])</f>
        <v>5.38</v>
      </c>
      <c r="AY251" s="5">
        <f>SUMPRODUCT(N(Tabela17[Código]=Tabela3[[#This Row],[PAPEL]]),Tabela17[Fechamento])</f>
        <v>0</v>
      </c>
      <c r="AZ251" s="7">
        <f>SUMPRODUCT(N(Tabela176[Código]=Tabela3[[#This Row],[PAPEL]]),Tabela176[Fechamento])</f>
        <v>0</v>
      </c>
      <c r="BA251" s="7">
        <f>SUMPRODUCT(N(Tabela1768[Código]=Tabela3[[#This Row],[PAPEL]]),Tabela1768[Fechamento])</f>
        <v>0</v>
      </c>
      <c r="BB251" s="7">
        <f>SUMPRODUCT(N(Tabela17683[Código]=Tabela3[[#This Row],[PAPEL]]),Tabela17683[Fechamento])</f>
        <v>0</v>
      </c>
    </row>
    <row r="252" spans="1:54" hidden="1">
      <c r="A252" s="4" t="s">
        <v>14</v>
      </c>
      <c r="B252" s="57" t="s">
        <v>192</v>
      </c>
      <c r="C252" s="14" t="str">
        <f>LEFT([PAPEL],LEN([PAPEL])-(LEN([PAPEL])-4))</f>
        <v>RPAD</v>
      </c>
      <c r="D252" s="15">
        <v>3</v>
      </c>
      <c r="E252" s="6">
        <v>267646990</v>
      </c>
      <c r="F252" s="8">
        <v>24356756</v>
      </c>
      <c r="G252" s="86">
        <v>0.25</v>
      </c>
      <c r="H252" s="15"/>
      <c r="I252" s="19"/>
      <c r="J252" s="19"/>
      <c r="K252" s="88"/>
      <c r="L252" s="88"/>
      <c r="M252" s="13">
        <v>731259000</v>
      </c>
      <c r="N252" s="13">
        <v>6491000</v>
      </c>
      <c r="O252" s="13">
        <v>4087000</v>
      </c>
      <c r="P252" s="6">
        <v>727021000</v>
      </c>
      <c r="Q252" s="6">
        <v>31097000</v>
      </c>
      <c r="R252" s="6">
        <f>IF(Tabela3[[#This Row],[Ativo || Passivo]]&gt;0,Tabela3[[#This Row],[Ativo || Passivo]]-Tabela3[[#This Row],[Patrimônio Líquido]],0)</f>
        <v>4238000</v>
      </c>
      <c r="S252" s="6">
        <f>Tabela3[[#This Row],[Cotação]]*Tabela3[[#This Row],[Total Ações]]</f>
        <v>188841459.87</v>
      </c>
      <c r="T252" s="132">
        <f>IF(Tabela3[[#This Row],[Passivo Circulante]]&gt;0,Tabela3[[#This Row],[Ativo Circulante]]/Tabela3[[#This Row],[Passivo Circulante]],0)</f>
        <v>1.5882065084413997</v>
      </c>
      <c r="U252" s="132">
        <f>SUMPRODUCT(N([Liquidez Corrente]&gt;0),N(RIGHT([PAPEL],LEN([PAPEL])-(LEN([PAPEL])-1))="3"),[Liquidez Corrente])/SUMPRODUCT(N([Liquidez Corrente]&gt;0),N(RIGHT([PAPEL],LEN([PAPEL])-(LEN([PAPEL])-1))="3"))</f>
        <v>2.331224473064915</v>
      </c>
      <c r="V252" s="19">
        <f>IF(Tabela3[[#This Row],[Lucro Líquido]]&gt;0,Tabela3[[#This Row],[Lucro Líquido]]/Tabela3[[#This Row],[Patrimônio Líquido]],0)</f>
        <v>4.2773179866881422E-2</v>
      </c>
      <c r="W252" s="19">
        <f>SUMPRODUCT(N([Rentabilidade s/ PL]&gt;0),N(RIGHT([PAPEL],LEN([PAPEL])-(LEN([PAPEL])-1))="3"),[Rentabilidade s/ PL])/SUMPRODUCT(N([Rentabilidade s/ PL]&gt;0),N(RIGHT([PAPEL],LEN([PAPEL])-(LEN([PAPEL])-1))="3"))</f>
        <v>0.1261051308670782</v>
      </c>
      <c r="X252" s="19">
        <f>IF(Tabela3[[#This Row],[Dívida]]&gt;0,Tabela3[[#This Row],[Dívida]]/Tabela3[[#This Row],[Patrimônio Líquido]],0)</f>
        <v>5.829267655267179E-3</v>
      </c>
      <c r="Y252" s="19">
        <f>SUMPRODUCT(N([Dívida / PL]&gt;0),N(RIGHT([PAPEL],LEN([PAPEL])-(LEN([PAPEL])-1))="3"),[Dívida / PL])/SUMPRODUCT(N([Dívida / PL]&gt;0),N(RIGHT([PAPEL],LEN([PAPEL])-(LEN([PAPEL])-1))="3"))</f>
        <v>2.1510410379481146</v>
      </c>
      <c r="Z252" s="6">
        <f>Tabela3[[#This Row],[Capital Social]]*20%</f>
        <v>53529398</v>
      </c>
      <c r="AA252" s="6">
        <f>IF(([Lucro Líquido]*5%)&gt;[Teto R. Legal],[Teto R. Legal],[Lucro Líquido]*5%)</f>
        <v>1554850</v>
      </c>
      <c r="AB252" s="6">
        <f>IF([Lucro Líquido]&lt;0,0,[Lucro Líquido]-[Reserva Legal])</f>
        <v>29542150</v>
      </c>
      <c r="AC252" s="6">
        <f>Tabela3[[#This Row],[Lucro Distribuir]]*[%Div]</f>
        <v>7385537.5</v>
      </c>
      <c r="AD252" s="21">
        <f>SUMPRODUCT(N([Nome]=Tabela3[[#This Row],[Nome]]),[Ações])</f>
        <v>84682269</v>
      </c>
      <c r="AE252" s="6">
        <f>[Capital Social]/[Total Ações]</f>
        <v>3.1606024869267495</v>
      </c>
      <c r="AF252" s="78">
        <f>Tabela3[[#This Row],[Lucro Líquido]]/Tabela3[[#This Row],[Total Ações]]</f>
        <v>0.36721973049635692</v>
      </c>
      <c r="AG252" s="78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8.7214685992884775E-2</v>
      </c>
      <c r="AH252" s="78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252" s="78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2.7806221078407752E-2</v>
      </c>
      <c r="AJ252" s="78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2.7806221078407752E-2</v>
      </c>
      <c r="AK252" s="6">
        <f>[Div Base]*[Ações]</f>
        <v>677269.3420888345</v>
      </c>
      <c r="AL252" s="6">
        <f>SUMPRODUCT(N([Nome]=Tabela3[[#This Row],[Nome]]),[Div Base]*[Ações])</f>
        <v>7385537.5</v>
      </c>
      <c r="AM252" s="6">
        <f>[Patrimônio Líquido]/[Total Ações]</f>
        <v>8.5852801133611578</v>
      </c>
      <c r="AN252" s="48">
        <f>MAX(Tabela3[[#This Row],[Cotação 1]:[Cotação 5]])</f>
        <v>2.23</v>
      </c>
      <c r="AO252" s="44">
        <f>[Cotação]/[VPA]</f>
        <v>0.25974691222124258</v>
      </c>
      <c r="AP252" s="40">
        <f>IF(Tabela3[[#This Row],[Lucro/Ação]]&gt;0,Tabela3[[#This Row],[Cotação]]/(Tabela3[[#This Row],[Lucro/Ação]]/[Ref]*4),0)</f>
        <v>4.554493838714345</v>
      </c>
      <c r="AQ252" s="78">
        <f>[Lucro Distribuir]/[Total Ações]</f>
        <v>0.3488587439715391</v>
      </c>
      <c r="AR252" s="78">
        <f>IF([Unit ON]&gt;0,SUMPRODUCT(N([Nome]=Tabela3[[#This Row],[Nome]]),N(RIGHT([PAPEL],1)="3"),[Div Base])*[Unit ON]+SUMPRODUCT(N([Nome]=Tabela3[[#This Row],[Nome]]),N(RIGHT([PAPEL],1)="4"),[Div Base])*[Unit PN],[Div Base])</f>
        <v>2.7806221078407752E-2</v>
      </c>
      <c r="AS252" s="15" t="str">
        <f>IF(AND([% A.A.]&gt;=6%,SUMPRODUCT(N([Nome]=Tabela3[[#This Row],[Nome]]),[PL])&gt;0,[Rentabilidade s/ PL]&gt;=[Rentabilidade s/ PL Média]),"Sim","Não")</f>
        <v>Não</v>
      </c>
      <c r="AT252" s="42">
        <f>IF([Cotação]&gt;0,Tabela3[[#This Row],[Lucro]]/Tabela3[[#This Row],[Cotação]],0)</f>
        <v>1.2469157434263566E-2</v>
      </c>
      <c r="AU252" s="19">
        <f>((1+Tabela3[[#This Row],[% Yield]])^(1/(3*Tabela3[[#This Row],[Ref]])))^(12)-1</f>
        <v>1.6659999087406341E-2</v>
      </c>
      <c r="AV252" s="14">
        <f>IF([Cotação]&gt;0,($BH$1/Tabela3[[#This Row],[Cotação]]-MOD($BH$1/Tabela3[[#This Row],[Cotação]],100)),)</f>
        <v>200</v>
      </c>
      <c r="AW252" s="17">
        <f>Tabela3[[#This Row],[Ativos]]*[Lucro]</f>
        <v>5.5612442156815503</v>
      </c>
      <c r="AX252" s="5">
        <f>SUMPRODUCT(N(Tabela1[Código]=Tabela3[[#This Row],[PAPEL]]),Tabela1[Fechamento])</f>
        <v>2.23</v>
      </c>
      <c r="AY252" s="5">
        <f>SUMPRODUCT(N(Tabela17[Código]=Tabela3[[#This Row],[PAPEL]]),Tabela17[Fechamento])</f>
        <v>0</v>
      </c>
      <c r="AZ252" s="7">
        <f>SUMPRODUCT(N(Tabela176[Código]=Tabela3[[#This Row],[PAPEL]]),Tabela176[Fechamento])</f>
        <v>0</v>
      </c>
      <c r="BA252" s="7">
        <f>SUMPRODUCT(N(Tabela1768[Código]=Tabela3[[#This Row],[PAPEL]]),Tabela1768[Fechamento])</f>
        <v>0</v>
      </c>
      <c r="BB252" s="7">
        <f>SUMPRODUCT(N(Tabela17683[Código]=Tabela3[[#This Row],[PAPEL]]),Tabela17683[Fechamento])</f>
        <v>0</v>
      </c>
    </row>
    <row r="253" spans="1:54" hidden="1">
      <c r="A253" s="3" t="s">
        <v>1168</v>
      </c>
      <c r="B253" s="58" t="s">
        <v>1171</v>
      </c>
      <c r="C253" s="16" t="str">
        <f>LEFT([PAPEL],LEN([PAPEL])-(LEN([PAPEL])-4))</f>
        <v>CGRA</v>
      </c>
      <c r="D253" s="16">
        <v>3</v>
      </c>
      <c r="E253" s="5">
        <v>140950811.59999999</v>
      </c>
      <c r="F253" s="56">
        <v>8759925</v>
      </c>
      <c r="G253" s="81">
        <v>0.25</v>
      </c>
      <c r="H253" s="87"/>
      <c r="J253" s="18"/>
      <c r="K253" s="16"/>
      <c r="L253" s="87"/>
      <c r="M253" s="54"/>
      <c r="N253" s="54"/>
      <c r="O253" s="54"/>
      <c r="P253" s="91">
        <v>349991830</v>
      </c>
      <c r="Q253" s="73">
        <v>30763168</v>
      </c>
      <c r="R253" s="73">
        <f>IF(Tabela3[[#This Row],[Ativo || Passivo]]&gt;0,Tabela3[[#This Row],[Ativo || Passivo]]-Tabela3[[#This Row],[Patrimônio Líquido]],0)</f>
        <v>0</v>
      </c>
      <c r="S253" s="73">
        <f>Tabela3[[#This Row],[Cotação]]*Tabela3[[#This Row],[Total Ações]]</f>
        <v>354822393.5</v>
      </c>
      <c r="T253" s="37">
        <f>IF(Tabela3[[#This Row],[Passivo Circulante]]&gt;0,Tabela3[[#This Row],[Ativo Circulante]]/Tabela3[[#This Row],[Passivo Circulante]],0)</f>
        <v>0</v>
      </c>
      <c r="U253" s="37">
        <f>SUMPRODUCT(N([Liquidez Corrente]&gt;0),N(RIGHT([PAPEL],LEN([PAPEL])-(LEN([PAPEL])-1))="3"),[Liquidez Corrente])/SUMPRODUCT(N([Liquidez Corrente]&gt;0),N(RIGHT([PAPEL],LEN([PAPEL])-(LEN([PAPEL])-1))="3"))</f>
        <v>2.331224473064915</v>
      </c>
      <c r="V253" s="18">
        <f>IF(Tabela3[[#This Row],[Lucro Líquido]]&gt;0,Tabela3[[#This Row],[Lucro Líquido]]/Tabela3[[#This Row],[Patrimônio Líquido]],0)</f>
        <v>8.78968174771394E-2</v>
      </c>
      <c r="W253" s="18">
        <f>SUMPRODUCT(N([Rentabilidade s/ PL]&gt;0),N(RIGHT([PAPEL],LEN([PAPEL])-(LEN([PAPEL])-1))="3"),[Rentabilidade s/ PL])/SUMPRODUCT(N([Rentabilidade s/ PL]&gt;0),N(RIGHT([PAPEL],LEN([PAPEL])-(LEN([PAPEL])-1))="3"))</f>
        <v>0.1261051308670782</v>
      </c>
      <c r="X253" s="18">
        <f>IF(Tabela3[[#This Row],[Dívida]]&gt;0,Tabela3[[#This Row],[Dívida]]/Tabela3[[#This Row],[Patrimônio Líquido]],0)</f>
        <v>0</v>
      </c>
      <c r="Y253" s="18">
        <f>SUMPRODUCT(N([Dívida / PL]&gt;0),N(RIGHT([PAPEL],LEN([PAPEL])-(LEN([PAPEL])-1))="3"),[Dívida / PL])/SUMPRODUCT(N([Dívida / PL]&gt;0),N(RIGHT([PAPEL],LEN([PAPEL])-(LEN([PAPEL])-1))="3"))</f>
        <v>2.1510410379481146</v>
      </c>
      <c r="Z253" s="7">
        <f>Tabela3[[#This Row],[Capital Social]]*20%</f>
        <v>28190162.32</v>
      </c>
      <c r="AA253" s="47">
        <f>IF(([Lucro Líquido]*5%)&gt;[Teto R. Legal],[Teto R. Legal],[Lucro Líquido]*5%)</f>
        <v>1538158.4000000001</v>
      </c>
      <c r="AB253" s="47">
        <f>IF([Lucro Líquido]&lt;0,0,[Lucro Líquido]-[Reserva Legal])</f>
        <v>29225009.600000001</v>
      </c>
      <c r="AC253" s="47">
        <f>Tabela3[[#This Row],[Lucro Distribuir]]*[%Div]</f>
        <v>7306252.4000000004</v>
      </c>
      <c r="AD253" s="56">
        <f>SUMPRODUCT(N([Nome]=Tabela3[[#This Row],[Nome]]),[Ações])</f>
        <v>21768245</v>
      </c>
      <c r="AE253" s="85">
        <f>[Capital Social]/[Total Ações]</f>
        <v>6.4750654726644248</v>
      </c>
      <c r="AF253" s="85">
        <f>Tabela3[[#This Row],[Lucro Líquido]]/Tabela3[[#This Row],[Total Ações]]</f>
        <v>1.4132130541529646</v>
      </c>
      <c r="AG253" s="85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0.33563810036132907</v>
      </c>
      <c r="AH253" s="85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253" s="77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253" s="85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0.33563810036132907</v>
      </c>
      <c r="AK253" s="7">
        <f>[Div Base]*[Ações]</f>
        <v>2940164.5863077156</v>
      </c>
      <c r="AL253" s="120">
        <f>SUMPRODUCT(N([Nome]=Tabela3[[#This Row],[Nome]]),[Div Base]*[Ações])</f>
        <v>7306252.3999999994</v>
      </c>
      <c r="AM253" s="5">
        <f>[Patrimônio Líquido]/[Total Ações]</f>
        <v>16.078091274698533</v>
      </c>
      <c r="AN253" s="52">
        <f>MAX(Tabela3[[#This Row],[Cotação 1]:[Cotação 5]])</f>
        <v>16.3</v>
      </c>
      <c r="AO253" s="53">
        <f>[Cotação]/[VPA]</f>
        <v>1.0138019321765313</v>
      </c>
      <c r="AP253" s="37">
        <f>IF(Tabela3[[#This Row],[Lucro/Ação]]&gt;0,Tabela3[[#This Row],[Cotação]]/(Tabela3[[#This Row],[Lucro/Ação]]/[Ref]*4),0)</f>
        <v>8.6505003361487347</v>
      </c>
      <c r="AQ253" s="85">
        <f>[Lucro Distribuir]/[Total Ações]</f>
        <v>1.3425524014453163</v>
      </c>
      <c r="AR253" s="85">
        <f>IF([Unit ON]&gt;0,SUMPRODUCT(N([Nome]=Tabela3[[#This Row],[Nome]]),N(RIGHT([PAPEL],1)="3"),[Div Base])*[Unit ON]+SUMPRODUCT(N([Nome]=Tabela3[[#This Row],[Nome]]),N(RIGHT([PAPEL],1)="4"),[Div Base])*[Unit PN],[Div Base])</f>
        <v>0.33563810036132907</v>
      </c>
      <c r="AS253" s="10" t="str">
        <f>IF(AND([% A.A.]&gt;=6%,SUMPRODUCT(N([Nome]=Tabela3[[#This Row],[Nome]]),[PL])&gt;0,[Rentabilidade s/ PL]&gt;=[Rentabilidade s/ PL Média]),"Sim","Não")</f>
        <v>Não</v>
      </c>
      <c r="AT253" s="22">
        <f>IF([Cotação]&gt;0,Tabela3[[#This Row],[Lucro]]/Tabela3[[#This Row],[Cotação]],0)</f>
        <v>2.0591294500695034E-2</v>
      </c>
      <c r="AU253" s="22">
        <f>((1+Tabela3[[#This Row],[% Yield]])^(1/(3*Tabela3[[#This Row],[Ref]])))^(12)-1</f>
        <v>2.7548854381090226E-2</v>
      </c>
      <c r="AV253" s="10">
        <f>IF([Cotação]&gt;0,($BH$1/Tabela3[[#This Row],[Cotação]]-MOD($BH$1/Tabela3[[#This Row],[Cotação]],100)),)</f>
        <v>0</v>
      </c>
      <c r="AW253" s="7">
        <f>Tabela3[[#This Row],[Ativos]]*[Lucro]</f>
        <v>0</v>
      </c>
      <c r="AX253" s="7">
        <f>SUMPRODUCT(N(Tabela1[Código]=Tabela3[[#This Row],[PAPEL]]),Tabela1[Fechamento])</f>
        <v>0</v>
      </c>
      <c r="AY253" s="7">
        <f>SUMPRODUCT(N(Tabela17[Código]=Tabela3[[#This Row],[PAPEL]]),Tabela17[Fechamento])</f>
        <v>0</v>
      </c>
      <c r="AZ253" s="7">
        <f>SUMPRODUCT(N(Tabela176[Código]=Tabela3[[#This Row],[PAPEL]]),Tabela176[Fechamento])</f>
        <v>0</v>
      </c>
      <c r="BA253" s="7">
        <f>SUMPRODUCT(N(Tabela1768[Código]=Tabela3[[#This Row],[PAPEL]]),Tabela1768[Fechamento])</f>
        <v>16.3</v>
      </c>
      <c r="BB253" s="7">
        <f>SUMPRODUCT(N(Tabela17683[Código]=Tabela3[[#This Row],[PAPEL]]),Tabela17683[Fechamento])</f>
        <v>0</v>
      </c>
    </row>
    <row r="254" spans="1:54" hidden="1">
      <c r="A254" s="3" t="s">
        <v>1168</v>
      </c>
      <c r="B254" s="58" t="s">
        <v>1172</v>
      </c>
      <c r="C254" s="16" t="str">
        <f>LEFT([PAPEL],LEN([PAPEL])-(LEN([PAPEL])-4))</f>
        <v>CGRA</v>
      </c>
      <c r="D254" s="16">
        <v>3</v>
      </c>
      <c r="E254" s="5">
        <v>140950811.59999999</v>
      </c>
      <c r="F254" s="56">
        <v>13008320</v>
      </c>
      <c r="G254" s="81">
        <v>0.25</v>
      </c>
      <c r="H254" s="87"/>
      <c r="J254" s="18"/>
      <c r="K254" s="16"/>
      <c r="L254" s="87"/>
      <c r="M254" s="54"/>
      <c r="N254" s="54"/>
      <c r="O254" s="54"/>
      <c r="P254" s="91">
        <v>349991830</v>
      </c>
      <c r="Q254" s="73">
        <v>30763168</v>
      </c>
      <c r="R254" s="73">
        <f>IF(Tabela3[[#This Row],[Ativo || Passivo]]&gt;0,Tabela3[[#This Row],[Ativo || Passivo]]-Tabela3[[#This Row],[Patrimônio Líquido]],0)</f>
        <v>0</v>
      </c>
      <c r="S254" s="73">
        <f>Tabela3[[#This Row],[Cotação]]*Tabela3[[#This Row],[Total Ações]]</f>
        <v>358087630.25</v>
      </c>
      <c r="T254" s="37">
        <f>IF(Tabela3[[#This Row],[Passivo Circulante]]&gt;0,Tabela3[[#This Row],[Ativo Circulante]]/Tabela3[[#This Row],[Passivo Circulante]],0)</f>
        <v>0</v>
      </c>
      <c r="U254" s="37">
        <f>SUMPRODUCT(N([Liquidez Corrente]&gt;0),N(RIGHT([PAPEL],LEN([PAPEL])-(LEN([PAPEL])-1))="3"),[Liquidez Corrente])/SUMPRODUCT(N([Liquidez Corrente]&gt;0),N(RIGHT([PAPEL],LEN([PAPEL])-(LEN([PAPEL])-1))="3"))</f>
        <v>2.331224473064915</v>
      </c>
      <c r="V254" s="18">
        <f>IF(Tabela3[[#This Row],[Lucro Líquido]]&gt;0,Tabela3[[#This Row],[Lucro Líquido]]/Tabela3[[#This Row],[Patrimônio Líquido]],0)</f>
        <v>8.78968174771394E-2</v>
      </c>
      <c r="W254" s="18">
        <f>SUMPRODUCT(N([Rentabilidade s/ PL]&gt;0),N(RIGHT([PAPEL],LEN([PAPEL])-(LEN([PAPEL])-1))="3"),[Rentabilidade s/ PL])/SUMPRODUCT(N([Rentabilidade s/ PL]&gt;0),N(RIGHT([PAPEL],LEN([PAPEL])-(LEN([PAPEL])-1))="3"))</f>
        <v>0.1261051308670782</v>
      </c>
      <c r="X254" s="18">
        <f>IF(Tabela3[[#This Row],[Dívida]]&gt;0,Tabela3[[#This Row],[Dívida]]/Tabela3[[#This Row],[Patrimônio Líquido]],0)</f>
        <v>0</v>
      </c>
      <c r="Y254" s="18">
        <f>SUMPRODUCT(N([Dívida / PL]&gt;0),N(RIGHT([PAPEL],LEN([PAPEL])-(LEN([PAPEL])-1))="3"),[Dívida / PL])/SUMPRODUCT(N([Dívida / PL]&gt;0),N(RIGHT([PAPEL],LEN([PAPEL])-(LEN([PAPEL])-1))="3"))</f>
        <v>2.1510410379481146</v>
      </c>
      <c r="Z254" s="7">
        <f>Tabela3[[#This Row],[Capital Social]]*20%</f>
        <v>28190162.32</v>
      </c>
      <c r="AA254" s="47">
        <f>IF(([Lucro Líquido]*5%)&gt;[Teto R. Legal],[Teto R. Legal],[Lucro Líquido]*5%)</f>
        <v>1538158.4000000001</v>
      </c>
      <c r="AB254" s="47">
        <f>IF([Lucro Líquido]&lt;0,0,[Lucro Líquido]-[Reserva Legal])</f>
        <v>29225009.600000001</v>
      </c>
      <c r="AC254" s="47">
        <f>Tabela3[[#This Row],[Lucro Distribuir]]*[%Div]</f>
        <v>7306252.4000000004</v>
      </c>
      <c r="AD254" s="56">
        <f>SUMPRODUCT(N([Nome]=Tabela3[[#This Row],[Nome]]),[Ações])</f>
        <v>21768245</v>
      </c>
      <c r="AE254" s="85">
        <f>[Capital Social]/[Total Ações]</f>
        <v>6.4750654726644248</v>
      </c>
      <c r="AF254" s="85">
        <f>Tabela3[[#This Row],[Lucro Líquido]]/Tabela3[[#This Row],[Total Ações]]</f>
        <v>1.4132130541529646</v>
      </c>
      <c r="AG254" s="85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0.33563810036132907</v>
      </c>
      <c r="AH254" s="85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254" s="77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254" s="85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0.33563810036132907</v>
      </c>
      <c r="AK254" s="7">
        <f>[Div Base]*[Ações]</f>
        <v>4366087.8136922838</v>
      </c>
      <c r="AL254" s="120">
        <f>SUMPRODUCT(N([Nome]=Tabela3[[#This Row],[Nome]]),[Div Base]*[Ações])</f>
        <v>7306252.3999999994</v>
      </c>
      <c r="AM254" s="5">
        <f>[Patrimônio Líquido]/[Total Ações]</f>
        <v>16.078091274698533</v>
      </c>
      <c r="AN254" s="52">
        <f>MAX(Tabela3[[#This Row],[Cotação 1]:[Cotação 5]])</f>
        <v>16.45</v>
      </c>
      <c r="AO254" s="53">
        <f>[Cotação]/[VPA]</f>
        <v>1.0231313978100576</v>
      </c>
      <c r="AP254" s="37">
        <f>IF(Tabela3[[#This Row],[Lucro/Ação]]&gt;0,Tabela3[[#This Row],[Cotação]]/(Tabela3[[#This Row],[Lucro/Ação]]/[Ref]*4),0)</f>
        <v>8.7301061674629867</v>
      </c>
      <c r="AQ254" s="85">
        <f>[Lucro Distribuir]/[Total Ações]</f>
        <v>1.3425524014453163</v>
      </c>
      <c r="AR254" s="85">
        <f>IF([Unit ON]&gt;0,SUMPRODUCT(N([Nome]=Tabela3[[#This Row],[Nome]]),N(RIGHT([PAPEL],1)="3"),[Div Base])*[Unit ON]+SUMPRODUCT(N([Nome]=Tabela3[[#This Row],[Nome]]),N(RIGHT([PAPEL],1)="4"),[Div Base])*[Unit PN],[Div Base])</f>
        <v>0.33563810036132907</v>
      </c>
      <c r="AS254" s="10" t="str">
        <f>IF(AND([% A.A.]&gt;=6%,SUMPRODUCT(N([Nome]=Tabela3[[#This Row],[Nome]]),[PL])&gt;0,[Rentabilidade s/ PL]&gt;=[Rentabilidade s/ PL Média]),"Sim","Não")</f>
        <v>Não</v>
      </c>
      <c r="AT254" s="22">
        <f>IF([Cotação]&gt;0,Tabela3[[#This Row],[Lucro]]/Tabela3[[#This Row],[Cotação]],0)</f>
        <v>2.0403531936858912E-2</v>
      </c>
      <c r="AU254" s="22">
        <f>((1+Tabela3[[#This Row],[% Yield]])^(1/(3*Tabela3[[#This Row],[Ref]])))^(12)-1</f>
        <v>2.7296805342053476E-2</v>
      </c>
      <c r="AV254" s="10">
        <f>IF([Cotação]&gt;0,($BH$1/Tabela3[[#This Row],[Cotação]]-MOD($BH$1/Tabela3[[#This Row],[Cotação]],100)),)</f>
        <v>0</v>
      </c>
      <c r="AW254" s="7">
        <f>Tabela3[[#This Row],[Ativos]]*[Lucro]</f>
        <v>0</v>
      </c>
      <c r="AX254" s="7">
        <f>SUMPRODUCT(N(Tabela1[Código]=Tabela3[[#This Row],[PAPEL]]),Tabela1[Fechamento])</f>
        <v>0</v>
      </c>
      <c r="AY254" s="7">
        <f>SUMPRODUCT(N(Tabela17[Código]=Tabela3[[#This Row],[PAPEL]]),Tabela17[Fechamento])</f>
        <v>0</v>
      </c>
      <c r="AZ254" s="7">
        <f>SUMPRODUCT(N(Tabela176[Código]=Tabela3[[#This Row],[PAPEL]]),Tabela176[Fechamento])</f>
        <v>0</v>
      </c>
      <c r="BA254" s="7">
        <f>SUMPRODUCT(N(Tabela1768[Código]=Tabela3[[#This Row],[PAPEL]]),Tabela1768[Fechamento])</f>
        <v>16.45</v>
      </c>
      <c r="BB254" s="7">
        <f>SUMPRODUCT(N(Tabela17683[Código]=Tabela3[[#This Row],[PAPEL]]),Tabela17683[Fechamento])</f>
        <v>0</v>
      </c>
    </row>
    <row r="255" spans="1:54" hidden="1">
      <c r="A255" s="4" t="s">
        <v>590</v>
      </c>
      <c r="B255" s="57" t="s">
        <v>591</v>
      </c>
      <c r="C255" s="15" t="str">
        <f>LEFT([PAPEL],LEN([PAPEL])-(LEN([PAPEL])-4))</f>
        <v>BEMA</v>
      </c>
      <c r="D255" s="15">
        <v>3</v>
      </c>
      <c r="E255" s="6">
        <v>344601120.56</v>
      </c>
      <c r="F255" s="8">
        <v>51568270</v>
      </c>
      <c r="G255" s="86">
        <v>0.25</v>
      </c>
      <c r="H255" s="15"/>
      <c r="I255" s="19"/>
      <c r="J255" s="19"/>
      <c r="K255" s="88"/>
      <c r="L255" s="88"/>
      <c r="M255" s="55"/>
      <c r="N255" s="55"/>
      <c r="O255" s="55"/>
      <c r="P255" s="92">
        <v>399626000</v>
      </c>
      <c r="Q255" s="93">
        <v>30584000</v>
      </c>
      <c r="R255" s="93">
        <f>IF(Tabela3[[#This Row],[Ativo || Passivo]]&gt;0,Tabela3[[#This Row],[Ativo || Passivo]]-Tabela3[[#This Row],[Patrimônio Líquido]],0)</f>
        <v>0</v>
      </c>
      <c r="S255" s="93">
        <f>Tabela3[[#This Row],[Cotação]]*Tabela3[[#This Row],[Total Ações]]</f>
        <v>397591361.69999999</v>
      </c>
      <c r="T255" s="40">
        <f>IF(Tabela3[[#This Row],[Passivo Circulante]]&gt;0,Tabela3[[#This Row],[Ativo Circulante]]/Tabela3[[#This Row],[Passivo Circulante]],0)</f>
        <v>0</v>
      </c>
      <c r="U255" s="40">
        <f>SUMPRODUCT(N([Liquidez Corrente]&gt;0),N(RIGHT([PAPEL],LEN([PAPEL])-(LEN([PAPEL])-1))="3"),[Liquidez Corrente])/SUMPRODUCT(N([Liquidez Corrente]&gt;0),N(RIGHT([PAPEL],LEN([PAPEL])-(LEN([PAPEL])-1))="3"))</f>
        <v>2.331224473064915</v>
      </c>
      <c r="V255" s="19">
        <f>IF(Tabela3[[#This Row],[Lucro Líquido]]&gt;0,Tabela3[[#This Row],[Lucro Líquido]]/Tabela3[[#This Row],[Patrimônio Líquido]],0)</f>
        <v>7.653155700580043E-2</v>
      </c>
      <c r="W255" s="19">
        <f>SUMPRODUCT(N([Rentabilidade s/ PL]&gt;0),N(RIGHT([PAPEL],LEN([PAPEL])-(LEN([PAPEL])-1))="3"),[Rentabilidade s/ PL])/SUMPRODUCT(N([Rentabilidade s/ PL]&gt;0),N(RIGHT([PAPEL],LEN([PAPEL])-(LEN([PAPEL])-1))="3"))</f>
        <v>0.1261051308670782</v>
      </c>
      <c r="X255" s="19">
        <f>IF(Tabela3[[#This Row],[Dívida]]&gt;0,Tabela3[[#This Row],[Dívida]]/Tabela3[[#This Row],[Patrimônio Líquido]],0)</f>
        <v>0</v>
      </c>
      <c r="Y255" s="19">
        <f>SUMPRODUCT(N([Dívida / PL]&gt;0),N(RIGHT([PAPEL],LEN([PAPEL])-(LEN([PAPEL])-1))="3"),[Dívida / PL])/SUMPRODUCT(N([Dívida / PL]&gt;0),N(RIGHT([PAPEL],LEN([PAPEL])-(LEN([PAPEL])-1))="3"))</f>
        <v>2.1510410379481146</v>
      </c>
      <c r="Z255" s="13">
        <f>Tabela3[[#This Row],[Capital Social]]*20%</f>
        <v>68920224.112000003</v>
      </c>
      <c r="AA255" s="13">
        <f>IF(([Lucro Líquido]*5%)&gt;[Teto R. Legal],[Teto R. Legal],[Lucro Líquido]*5%)</f>
        <v>1529200</v>
      </c>
      <c r="AB255" s="13">
        <f>IF([Lucro Líquido]&lt;0,0,[Lucro Líquido]-[Reserva Legal])</f>
        <v>29054800</v>
      </c>
      <c r="AC255" s="13">
        <f>Tabela3[[#This Row],[Lucro Distribuir]]*[%Div]</f>
        <v>7263700</v>
      </c>
      <c r="AD255" s="56">
        <f>SUMPRODUCT(N([Nome]=Tabela3[[#This Row],[Nome]]),[Ações])</f>
        <v>51568270</v>
      </c>
      <c r="AE255" s="6">
        <f>[Capital Social]/[Total Ações]</f>
        <v>6.682425463565095</v>
      </c>
      <c r="AF255" s="78">
        <f>Tabela3[[#This Row],[Lucro Líquido]]/Tabela3[[#This Row],[Total Ações]]</f>
        <v>0.59307787521280042</v>
      </c>
      <c r="AG255" s="78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0.14085599536304011</v>
      </c>
      <c r="AH255" s="78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255" s="78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255" s="78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0.14085599536304011</v>
      </c>
      <c r="AK255" s="13">
        <f>[Div Base]*[Ações]</f>
        <v>7263700</v>
      </c>
      <c r="AL255" s="13">
        <f>SUMPRODUCT(N([Nome]=Tabela3[[#This Row],[Nome]]),[Div Base]*[Ações])</f>
        <v>7263700</v>
      </c>
      <c r="AM255" s="6">
        <f>[Patrimônio Líquido]/[Total Ações]</f>
        <v>7.7494552367182381</v>
      </c>
      <c r="AN255" s="48">
        <f>MAX(Tabela3[[#This Row],[Cotação 1]:[Cotação 5]])</f>
        <v>7.71</v>
      </c>
      <c r="AO255" s="44">
        <f>[Cotação]/[VPA]</f>
        <v>0.99490864383198285</v>
      </c>
      <c r="AP255" s="40">
        <f>IF(Tabela3[[#This Row],[Lucro/Ação]]&gt;0,Tabela3[[#This Row],[Cotação]]/(Tabela3[[#This Row],[Lucro/Ação]]/[Ref]*4),0)</f>
        <v>9.7499843472076915</v>
      </c>
      <c r="AQ255" s="78">
        <f>[Lucro Distribuir]/[Total Ações]</f>
        <v>0.56342398145216044</v>
      </c>
      <c r="AR255" s="78">
        <f>IF([Unit ON]&gt;0,SUMPRODUCT(N([Nome]=Tabela3[[#This Row],[Nome]]),N(RIGHT([PAPEL],1)="3"),[Div Base])*[Unit ON]+SUMPRODUCT(N([Nome]=Tabela3[[#This Row],[Nome]]),N(RIGHT([PAPEL],1)="4"),[Div Base])*[Unit PN],[Div Base])</f>
        <v>0.14085599536304011</v>
      </c>
      <c r="AS255" s="14" t="str">
        <f>IF(AND([% A.A.]&gt;=6%,SUMPRODUCT(N([Nome]=Tabela3[[#This Row],[Nome]]),[PL])&gt;0,[Rentabilidade s/ PL]&gt;=[Rentabilidade s/ PL Média]),"Sim","Não")</f>
        <v>Não</v>
      </c>
      <c r="AT255" s="42">
        <f>IF([Cotação]&gt;0,Tabela3[[#This Row],[Lucro]]/Tabela3[[#This Row],[Cotação]],0)</f>
        <v>1.826926009896759E-2</v>
      </c>
      <c r="AU255" s="42">
        <f>((1+Tabela3[[#This Row],[% Yield]])^(1/(3*Tabela3[[#This Row],[Ref]])))^(12)-1</f>
        <v>2.4432884808716304E-2</v>
      </c>
      <c r="AV255" s="14">
        <f>IF([Cotação]&gt;0,($BH$1/Tabela3[[#This Row],[Cotação]]-MOD($BH$1/Tabela3[[#This Row],[Cotação]],100)),)</f>
        <v>0</v>
      </c>
      <c r="AW255" s="17">
        <f>Tabela3[[#This Row],[Ativos]]*[Lucro]</f>
        <v>0</v>
      </c>
      <c r="AX255" s="17">
        <f>SUMPRODUCT(N(Tabela1[Código]=Tabela3[[#This Row],[PAPEL]]),Tabela1[Fechamento])</f>
        <v>0</v>
      </c>
      <c r="AY255" s="17">
        <f>SUMPRODUCT(N(Tabela17[Código]=Tabela3[[#This Row],[PAPEL]]),Tabela17[Fechamento])</f>
        <v>0</v>
      </c>
      <c r="AZ255" s="17">
        <f>SUMPRODUCT(N(Tabela176[Código]=Tabela3[[#This Row],[PAPEL]]),Tabela176[Fechamento])</f>
        <v>7.71</v>
      </c>
      <c r="BA255" s="17">
        <f>SUMPRODUCT(N(Tabela1768[Código]=Tabela3[[#This Row],[PAPEL]]),Tabela1768[Fechamento])</f>
        <v>0</v>
      </c>
      <c r="BB255" s="7">
        <f>SUMPRODUCT(N(Tabela17683[Código]=Tabela3[[#This Row],[PAPEL]]),Tabela17683[Fechamento])</f>
        <v>0</v>
      </c>
    </row>
    <row r="256" spans="1:54" hidden="1">
      <c r="A256" s="3" t="s">
        <v>929</v>
      </c>
      <c r="B256" s="58" t="s">
        <v>1045</v>
      </c>
      <c r="C256" s="16" t="str">
        <f>LEFT([PAPEL],LEN([PAPEL])-(LEN([PAPEL])-4))</f>
        <v>DOHL</v>
      </c>
      <c r="D256" s="16">
        <v>3</v>
      </c>
      <c r="E256" s="5">
        <v>150000000</v>
      </c>
      <c r="F256" s="56">
        <v>36311880</v>
      </c>
      <c r="G256" s="81">
        <v>0.25</v>
      </c>
      <c r="H256" s="87"/>
      <c r="J256" s="18"/>
      <c r="K256" s="16"/>
      <c r="L256" s="87"/>
      <c r="M256" s="54"/>
      <c r="N256" s="54"/>
      <c r="O256" s="54"/>
      <c r="P256" s="91">
        <v>439187000</v>
      </c>
      <c r="Q256" s="73">
        <v>27944000</v>
      </c>
      <c r="R256" s="73">
        <f>IF(Tabela3[[#This Row],[Ativo || Passivo]]&gt;0,Tabela3[[#This Row],[Ativo || Passivo]]-Tabela3[[#This Row],[Patrimônio Líquido]],0)</f>
        <v>0</v>
      </c>
      <c r="S256" s="73">
        <f>Tabela3[[#This Row],[Cotação]]*Tabela3[[#This Row],[Total Ações]]</f>
        <v>277366045</v>
      </c>
      <c r="T256" s="37">
        <f>IF(Tabela3[[#This Row],[Passivo Circulante]]&gt;0,Tabela3[[#This Row],[Ativo Circulante]]/Tabela3[[#This Row],[Passivo Circulante]],0)</f>
        <v>0</v>
      </c>
      <c r="U256" s="37">
        <f>SUMPRODUCT(N([Liquidez Corrente]&gt;0),N(RIGHT([PAPEL],LEN([PAPEL])-(LEN([PAPEL])-1))="3"),[Liquidez Corrente])/SUMPRODUCT(N([Liquidez Corrente]&gt;0),N(RIGHT([PAPEL],LEN([PAPEL])-(LEN([PAPEL])-1))="3"))</f>
        <v>2.331224473064915</v>
      </c>
      <c r="V256" s="18">
        <f>IF(Tabela3[[#This Row],[Lucro Líquido]]&gt;0,Tabela3[[#This Row],[Lucro Líquido]]/Tabela3[[#This Row],[Patrimônio Líquido]],0)</f>
        <v>6.362665561594491E-2</v>
      </c>
      <c r="W256" s="18">
        <f>SUMPRODUCT(N([Rentabilidade s/ PL]&gt;0),N(RIGHT([PAPEL],LEN([PAPEL])-(LEN([PAPEL])-1))="3"),[Rentabilidade s/ PL])/SUMPRODUCT(N([Rentabilidade s/ PL]&gt;0),N(RIGHT([PAPEL],LEN([PAPEL])-(LEN([PAPEL])-1))="3"))</f>
        <v>0.1261051308670782</v>
      </c>
      <c r="X256" s="18">
        <f>IF(Tabela3[[#This Row],[Dívida]]&gt;0,Tabela3[[#This Row],[Dívida]]/Tabela3[[#This Row],[Patrimônio Líquido]],0)</f>
        <v>0</v>
      </c>
      <c r="Y256" s="18">
        <f>SUMPRODUCT(N([Dívida / PL]&gt;0),N(RIGHT([PAPEL],LEN([PAPEL])-(LEN([PAPEL])-1))="3"),[Dívida / PL])/SUMPRODUCT(N([Dívida / PL]&gt;0),N(RIGHT([PAPEL],LEN([PAPEL])-(LEN([PAPEL])-1))="3"))</f>
        <v>2.1510410379481146</v>
      </c>
      <c r="Z256" s="7">
        <f>Tabela3[[#This Row],[Capital Social]]*20%</f>
        <v>30000000</v>
      </c>
      <c r="AA256" s="47">
        <f>IF(([Lucro Líquido]*5%)&gt;[Teto R. Legal],[Teto R. Legal],[Lucro Líquido]*5%)</f>
        <v>1397200</v>
      </c>
      <c r="AB256" s="47">
        <f>IF([Lucro Líquido]&lt;0,0,[Lucro Líquido]-[Reserva Legal])</f>
        <v>26546800</v>
      </c>
      <c r="AC256" s="47">
        <f>Tabela3[[#This Row],[Lucro Distribuir]]*[%Div]</f>
        <v>6636700</v>
      </c>
      <c r="AD256" s="56">
        <f>SUMPRODUCT(N([Nome]=Tabela3[[#This Row],[Nome]]),[Ações])</f>
        <v>50430190</v>
      </c>
      <c r="AE256" s="85">
        <f>[Capital Social]/[Total Ações]</f>
        <v>2.9744087817238047</v>
      </c>
      <c r="AF256" s="85">
        <f>Tabela3[[#This Row],[Lucro Líquido]]/Tabela3[[#This Row],[Total Ações]]</f>
        <v>0.55411252664326671</v>
      </c>
      <c r="AG256" s="85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0.12750709498188645</v>
      </c>
      <c r="AH256" s="85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256" s="77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256" s="85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0.12750709498188645</v>
      </c>
      <c r="AK256" s="7">
        <f>[Div Base]*[Ações]</f>
        <v>4630022.3321308633</v>
      </c>
      <c r="AL256" s="7">
        <f>SUMPRODUCT(N([Nome]=Tabela3[[#This Row],[Nome]]),[Div Base]*[Ações])</f>
        <v>6610225.498412624</v>
      </c>
      <c r="AM256" s="5">
        <f>[Patrimônio Líquido]/[Total Ações]</f>
        <v>8.7088111307928848</v>
      </c>
      <c r="AN256" s="52">
        <f>MAX(Tabela3[[#This Row],[Cotação 1]:[Cotação 5]])</f>
        <v>5.5</v>
      </c>
      <c r="AO256" s="53">
        <f>[Cotação]/[VPA]</f>
        <v>0.63154429662080158</v>
      </c>
      <c r="AP256" s="37">
        <f>IF(Tabela3[[#This Row],[Lucro/Ação]]&gt;0,Tabela3[[#This Row],[Cotação]]/(Tabela3[[#This Row],[Lucro/Ação]]/[Ref]*4),0)</f>
        <v>7.4443363065416541</v>
      </c>
      <c r="AQ256" s="85">
        <f>[Lucro Distribuir]/[Total Ações]</f>
        <v>0.52640690031110338</v>
      </c>
      <c r="AR256" s="85">
        <f>IF([Unit ON]&gt;0,SUMPRODUCT(N([Nome]=Tabela3[[#This Row],[Nome]]),N(RIGHT([PAPEL],1)="3"),[Div Base])*[Unit ON]+SUMPRODUCT(N([Nome]=Tabela3[[#This Row],[Nome]]),N(RIGHT([PAPEL],1)="4"),[Div Base])*[Unit PN],[Div Base])</f>
        <v>0.12750709498188645</v>
      </c>
      <c r="AS256" s="10" t="str">
        <f>IF(AND([% A.A.]&gt;=6%,SUMPRODUCT(N([Nome]=Tabela3[[#This Row],[Nome]]),[PL])&gt;0,[Rentabilidade s/ PL]&gt;=[Rentabilidade s/ PL Média]),"Sim","Não")</f>
        <v>Não</v>
      </c>
      <c r="AT256" s="22">
        <f>IF([Cotação]&gt;0,Tabela3[[#This Row],[Lucro]]/Tabela3[[#This Row],[Cotação]],0)</f>
        <v>2.318310817852481E-2</v>
      </c>
      <c r="AU256" s="22">
        <f>((1+Tabela3[[#This Row],[% Yield]])^(1/(3*Tabela3[[#This Row],[Ref]])))^(12)-1</f>
        <v>3.1029636250386128E-2</v>
      </c>
      <c r="AV256" s="10">
        <f>IF([Cotação]&gt;0,($BH$1/Tabela3[[#This Row],[Cotação]]-MOD($BH$1/Tabela3[[#This Row],[Cotação]],100)),)</f>
        <v>0</v>
      </c>
      <c r="AW256" s="7">
        <f>Tabela3[[#This Row],[Ativos]]*[Lucro]</f>
        <v>0</v>
      </c>
      <c r="AX256" s="7">
        <f>SUMPRODUCT(N(Tabela1[Código]=Tabela3[[#This Row],[PAPEL]]),Tabela1[Fechamento])</f>
        <v>0</v>
      </c>
      <c r="AY256" s="7">
        <f>SUMPRODUCT(N(Tabela17[Código]=Tabela3[[#This Row],[PAPEL]]),Tabela17[Fechamento])</f>
        <v>0</v>
      </c>
      <c r="AZ256" s="7">
        <f>SUMPRODUCT(N(Tabela176[Código]=Tabela3[[#This Row],[PAPEL]]),Tabela176[Fechamento])</f>
        <v>0</v>
      </c>
      <c r="BA256" s="7">
        <f>SUMPRODUCT(N(Tabela1768[Código]=Tabela3[[#This Row],[PAPEL]]),Tabela1768[Fechamento])</f>
        <v>5.5</v>
      </c>
      <c r="BB256" s="7">
        <f>SUMPRODUCT(N(Tabela17683[Código]=Tabela3[[#This Row],[PAPEL]]),Tabela17683[Fechamento])</f>
        <v>0</v>
      </c>
    </row>
    <row r="257" spans="1:54" hidden="1">
      <c r="A257" s="3" t="s">
        <v>929</v>
      </c>
      <c r="B257" s="58" t="s">
        <v>1046</v>
      </c>
      <c r="C257" s="16" t="str">
        <f>LEFT([PAPEL],LEN([PAPEL])-(LEN([PAPEL])-4))</f>
        <v>DOHL</v>
      </c>
      <c r="D257" s="16">
        <v>3</v>
      </c>
      <c r="E257" s="5">
        <v>150000000</v>
      </c>
      <c r="F257" s="56">
        <v>14118310</v>
      </c>
      <c r="G257" s="81">
        <v>0.25</v>
      </c>
      <c r="H257" s="87"/>
      <c r="J257" s="18">
        <v>0.1</v>
      </c>
      <c r="K257" s="16"/>
      <c r="L257" s="87"/>
      <c r="M257" s="54"/>
      <c r="N257" s="54"/>
      <c r="O257" s="54"/>
      <c r="P257" s="91">
        <v>439187000</v>
      </c>
      <c r="Q257" s="93">
        <v>27944000</v>
      </c>
      <c r="R257" s="93">
        <f>IF(Tabela3[[#This Row],[Ativo || Passivo]]&gt;0,Tabela3[[#This Row],[Ativo || Passivo]]-Tabela3[[#This Row],[Patrimônio Líquido]],0)</f>
        <v>0</v>
      </c>
      <c r="S257" s="93">
        <f>Tabela3[[#This Row],[Cotação]]*Tabela3[[#This Row],[Total Ações]]</f>
        <v>261732686.10000002</v>
      </c>
      <c r="T257" s="40">
        <f>IF(Tabela3[[#This Row],[Passivo Circulante]]&gt;0,Tabela3[[#This Row],[Ativo Circulante]]/Tabela3[[#This Row],[Passivo Circulante]],0)</f>
        <v>0</v>
      </c>
      <c r="U257" s="40">
        <f>SUMPRODUCT(N([Liquidez Corrente]&gt;0),N(RIGHT([PAPEL],LEN([PAPEL])-(LEN([PAPEL])-1))="3"),[Liquidez Corrente])/SUMPRODUCT(N([Liquidez Corrente]&gt;0),N(RIGHT([PAPEL],LEN([PAPEL])-(LEN([PAPEL])-1))="3"))</f>
        <v>2.331224473064915</v>
      </c>
      <c r="V257" s="19">
        <f>IF(Tabela3[[#This Row],[Lucro Líquido]]&gt;0,Tabela3[[#This Row],[Lucro Líquido]]/Tabela3[[#This Row],[Patrimônio Líquido]],0)</f>
        <v>6.362665561594491E-2</v>
      </c>
      <c r="W257" s="19">
        <f>SUMPRODUCT(N([Rentabilidade s/ PL]&gt;0),N(RIGHT([PAPEL],LEN([PAPEL])-(LEN([PAPEL])-1))="3"),[Rentabilidade s/ PL])/SUMPRODUCT(N([Rentabilidade s/ PL]&gt;0),N(RIGHT([PAPEL],LEN([PAPEL])-(LEN([PAPEL])-1))="3"))</f>
        <v>0.1261051308670782</v>
      </c>
      <c r="X257" s="19">
        <f>IF(Tabela3[[#This Row],[Dívida]]&gt;0,Tabela3[[#This Row],[Dívida]]/Tabela3[[#This Row],[Patrimônio Líquido]],0)</f>
        <v>0</v>
      </c>
      <c r="Y257" s="19">
        <f>SUMPRODUCT(N([Dívida / PL]&gt;0),N(RIGHT([PAPEL],LEN([PAPEL])-(LEN([PAPEL])-1))="3"),[Dívida / PL])/SUMPRODUCT(N([Dívida / PL]&gt;0),N(RIGHT([PAPEL],LEN([PAPEL])-(LEN([PAPEL])-1))="3"))</f>
        <v>2.1510410379481146</v>
      </c>
      <c r="Z257" s="7">
        <f>Tabela3[[#This Row],[Capital Social]]*20%</f>
        <v>30000000</v>
      </c>
      <c r="AA257" s="47">
        <f>IF(([Lucro Líquido]*5%)&gt;[Teto R. Legal],[Teto R. Legal],[Lucro Líquido]*5%)</f>
        <v>1397200</v>
      </c>
      <c r="AB257" s="47">
        <f>IF([Lucro Líquido]&lt;0,0,[Lucro Líquido]-[Reserva Legal])</f>
        <v>26546800</v>
      </c>
      <c r="AC257" s="47">
        <f>Tabela3[[#This Row],[Lucro Distribuir]]*[%Div]</f>
        <v>6636700</v>
      </c>
      <c r="AD257" s="56">
        <f>SUMPRODUCT(N([Nome]=Tabela3[[#This Row],[Nome]]),[Ações])</f>
        <v>50430190</v>
      </c>
      <c r="AE257" s="85">
        <f>[Capital Social]/[Total Ações]</f>
        <v>2.9744087817238047</v>
      </c>
      <c r="AF257" s="85">
        <f>Tabela3[[#This Row],[Lucro Líquido]]/Tabela3[[#This Row],[Total Ações]]</f>
        <v>0.55411252664326671</v>
      </c>
      <c r="AG257" s="85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0.14025780467221363</v>
      </c>
      <c r="AH257" s="85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257" s="77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257" s="85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0.14025780467221363</v>
      </c>
      <c r="AK257" s="7">
        <f>[Div Base]*[Ações]</f>
        <v>1980203.1662817604</v>
      </c>
      <c r="AL257" s="7">
        <f>SUMPRODUCT(N([Nome]=Tabela3[[#This Row],[Nome]]),[Div Base]*[Ações])</f>
        <v>6610225.498412624</v>
      </c>
      <c r="AM257" s="5">
        <f>[Patrimônio Líquido]/[Total Ações]</f>
        <v>8.7088111307928848</v>
      </c>
      <c r="AN257" s="52">
        <f>MAX(Tabela3[[#This Row],[Cotação 1]:[Cotação 5]])</f>
        <v>5.19</v>
      </c>
      <c r="AO257" s="53">
        <f>[Cotação]/[VPA]</f>
        <v>0.5959481635385383</v>
      </c>
      <c r="AP257" s="37">
        <f>IF(Tabela3[[#This Row],[Lucro/Ação]]&gt;0,Tabela3[[#This Row],[Cotação]]/(Tabela3[[#This Row],[Lucro/Ação]]/[Ref]*4),0)</f>
        <v>7.024746441991125</v>
      </c>
      <c r="AQ257" s="85">
        <f>[Lucro Distribuir]/[Total Ações]</f>
        <v>0.52640690031110338</v>
      </c>
      <c r="AR257" s="85">
        <f>IF([Unit ON]&gt;0,SUMPRODUCT(N([Nome]=Tabela3[[#This Row],[Nome]]),N(RIGHT([PAPEL],1)="3"),[Div Base])*[Unit ON]+SUMPRODUCT(N([Nome]=Tabela3[[#This Row],[Nome]]),N(RIGHT([PAPEL],1)="4"),[Div Base])*[Unit PN],[Div Base])</f>
        <v>0.14025780467221363</v>
      </c>
      <c r="AS257" s="10" t="str">
        <f>IF(AND([% A.A.]&gt;=6%,SUMPRODUCT(N([Nome]=Tabela3[[#This Row],[Nome]]),[PL])&gt;0,[Rentabilidade s/ PL]&gt;=[Rentabilidade s/ PL Média]),"Sim","Não")</f>
        <v>Não</v>
      </c>
      <c r="AT257" s="22">
        <f>IF([Cotação]&gt;0,Tabela3[[#This Row],[Lucro]]/Tabela3[[#This Row],[Cotação]],0)</f>
        <v>2.7024625177690487E-2</v>
      </c>
      <c r="AU257" s="22">
        <f>((1+Tabela3[[#This Row],[% Yield]])^(1/(3*Tabela3[[#This Row],[Ref]])))^(12)-1</f>
        <v>3.6194165364527908E-2</v>
      </c>
      <c r="AV257" s="10">
        <f>IF([Cotação]&gt;0,($BH$1/Tabela3[[#This Row],[Cotação]]-MOD($BH$1/Tabela3[[#This Row],[Cotação]],100)),)</f>
        <v>0</v>
      </c>
      <c r="AW257" s="7">
        <f>Tabela3[[#This Row],[Ativos]]*[Lucro]</f>
        <v>0</v>
      </c>
      <c r="AX257" s="7">
        <f>SUMPRODUCT(N(Tabela1[Código]=Tabela3[[#This Row],[PAPEL]]),Tabela1[Fechamento])</f>
        <v>0</v>
      </c>
      <c r="AY257" s="7">
        <f>SUMPRODUCT(N(Tabela17[Código]=Tabela3[[#This Row],[PAPEL]]),Tabela17[Fechamento])</f>
        <v>0</v>
      </c>
      <c r="AZ257" s="7">
        <f>SUMPRODUCT(N(Tabela176[Código]=Tabela3[[#This Row],[PAPEL]]),Tabela176[Fechamento])</f>
        <v>0</v>
      </c>
      <c r="BA257" s="7">
        <f>SUMPRODUCT(N(Tabela1768[Código]=Tabela3[[#This Row],[PAPEL]]),Tabela1768[Fechamento])</f>
        <v>5.19</v>
      </c>
      <c r="BB257" s="7">
        <f>SUMPRODUCT(N(Tabela17683[Código]=Tabela3[[#This Row],[PAPEL]]),Tabela17683[Fechamento])</f>
        <v>0</v>
      </c>
    </row>
    <row r="258" spans="1:54" hidden="1">
      <c r="A258" s="4" t="s">
        <v>767</v>
      </c>
      <c r="B258" s="57" t="s">
        <v>765</v>
      </c>
      <c r="C258" s="15" t="str">
        <f>LEFT([PAPEL],LEN([PAPEL])-(LEN([PAPEL])-4))</f>
        <v>CREM</v>
      </c>
      <c r="D258" s="15">
        <v>3</v>
      </c>
      <c r="E258" s="6">
        <v>98407570.090000004</v>
      </c>
      <c r="F258" s="8">
        <v>29286632</v>
      </c>
      <c r="G258" s="86">
        <v>0.35</v>
      </c>
      <c r="H258" s="15"/>
      <c r="I258" s="19"/>
      <c r="J258" s="19"/>
      <c r="K258" s="88"/>
      <c r="L258" s="88"/>
      <c r="M258" s="55"/>
      <c r="N258" s="55"/>
      <c r="O258" s="55"/>
      <c r="P258" s="92">
        <v>285071000</v>
      </c>
      <c r="Q258" s="93">
        <v>27479000</v>
      </c>
      <c r="R258" s="93">
        <f>IF(Tabela3[[#This Row],[Ativo || Passivo]]&gt;0,Tabela3[[#This Row],[Ativo || Passivo]]-Tabela3[[#This Row],[Patrimônio Líquido]],0)</f>
        <v>0</v>
      </c>
      <c r="S258" s="93">
        <f>Tabela3[[#This Row],[Cotação]]*Tabela3[[#This Row],[Total Ações]]</f>
        <v>388340740.31999999</v>
      </c>
      <c r="T258" s="40">
        <f>IF(Tabela3[[#This Row],[Passivo Circulante]]&gt;0,Tabela3[[#This Row],[Ativo Circulante]]/Tabela3[[#This Row],[Passivo Circulante]],0)</f>
        <v>0</v>
      </c>
      <c r="U258" s="40">
        <f>SUMPRODUCT(N([Liquidez Corrente]&gt;0),N(RIGHT([PAPEL],LEN([PAPEL])-(LEN([PAPEL])-1))="3"),[Liquidez Corrente])/SUMPRODUCT(N([Liquidez Corrente]&gt;0),N(RIGHT([PAPEL],LEN([PAPEL])-(LEN([PAPEL])-1))="3"))</f>
        <v>2.331224473064915</v>
      </c>
      <c r="V258" s="19">
        <f>IF(Tabela3[[#This Row],[Lucro Líquido]]&gt;0,Tabela3[[#This Row],[Lucro Líquido]]/Tabela3[[#This Row],[Patrimônio Líquido]],0)</f>
        <v>9.6393530032869004E-2</v>
      </c>
      <c r="W258" s="19">
        <f>SUMPRODUCT(N([Rentabilidade s/ PL]&gt;0),N(RIGHT([PAPEL],LEN([PAPEL])-(LEN([PAPEL])-1))="3"),[Rentabilidade s/ PL])/SUMPRODUCT(N([Rentabilidade s/ PL]&gt;0),N(RIGHT([PAPEL],LEN([PAPEL])-(LEN([PAPEL])-1))="3"))</f>
        <v>0.1261051308670782</v>
      </c>
      <c r="X258" s="19">
        <f>IF(Tabela3[[#This Row],[Dívida]]&gt;0,Tabela3[[#This Row],[Dívida]]/Tabela3[[#This Row],[Patrimônio Líquido]],0)</f>
        <v>0</v>
      </c>
      <c r="Y258" s="19">
        <f>SUMPRODUCT(N([Dívida / PL]&gt;0),N(RIGHT([PAPEL],LEN([PAPEL])-(LEN([PAPEL])-1))="3"),[Dívida / PL])/SUMPRODUCT(N([Dívida / PL]&gt;0),N(RIGHT([PAPEL],LEN([PAPEL])-(LEN([PAPEL])-1))="3"))</f>
        <v>2.1510410379481146</v>
      </c>
      <c r="Z258" s="13">
        <f>Tabela3[[#This Row],[Capital Social]]*20%</f>
        <v>19681514.018000003</v>
      </c>
      <c r="AA258" s="13">
        <f>IF(([Lucro Líquido]*5%)&gt;[Teto R. Legal],[Teto R. Legal],[Lucro Líquido]*5%)</f>
        <v>1373950</v>
      </c>
      <c r="AB258" s="13">
        <f>IF([Lucro Líquido]&lt;0,0,[Lucro Líquido]-[Reserva Legal])</f>
        <v>26105050</v>
      </c>
      <c r="AC258" s="13">
        <f>Tabela3[[#This Row],[Lucro Distribuir]]*[%Div]</f>
        <v>9136767.5</v>
      </c>
      <c r="AD258" s="56">
        <f>SUMPRODUCT(N([Nome]=Tabela3[[#This Row],[Nome]]),[Ações])</f>
        <v>29286632</v>
      </c>
      <c r="AE258" s="6">
        <f>[Capital Social]/[Total Ações]</f>
        <v>3.3601531951506067</v>
      </c>
      <c r="AF258" s="78">
        <f>Tabela3[[#This Row],[Lucro Líquido]]/Tabela3[[#This Row],[Total Ações]]</f>
        <v>0.93827791464720145</v>
      </c>
      <c r="AG258" s="78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0.31197740662019452</v>
      </c>
      <c r="AH258" s="78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258" s="78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258" s="78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0.31197740662019452</v>
      </c>
      <c r="AK258" s="13">
        <f>[Div Base]*[Ações]</f>
        <v>9136767.5</v>
      </c>
      <c r="AL258" s="13">
        <f>SUMPRODUCT(N([Nome]=Tabela3[[#This Row],[Nome]]),[Div Base]*[Ações])</f>
        <v>9136767.5</v>
      </c>
      <c r="AM258" s="6">
        <f>[Patrimônio Líquido]/[Total Ações]</f>
        <v>9.7338266824263027</v>
      </c>
      <c r="AN258" s="48">
        <f>MAX(Tabela3[[#This Row],[Cotação 1]:[Cotação 5]])</f>
        <v>13.26</v>
      </c>
      <c r="AO258" s="44">
        <f>[Cotação]/[VPA]</f>
        <v>1.3622597188770518</v>
      </c>
      <c r="AP258" s="40">
        <f>IF(Tabela3[[#This Row],[Lucro/Ação]]&gt;0,Tabela3[[#This Row],[Cotação]]/(Tabela3[[#This Row],[Lucro/Ação]]/[Ref]*4),0)</f>
        <v>10.599205038029041</v>
      </c>
      <c r="AQ258" s="78">
        <f>[Lucro Distribuir]/[Total Ações]</f>
        <v>0.89136401891484141</v>
      </c>
      <c r="AR258" s="78">
        <f>IF([Unit ON]&gt;0,SUMPRODUCT(N([Nome]=Tabela3[[#This Row],[Nome]]),N(RIGHT([PAPEL],1)="3"),[Div Base])*[Unit ON]+SUMPRODUCT(N([Nome]=Tabela3[[#This Row],[Nome]]),N(RIGHT([PAPEL],1)="4"),[Div Base])*[Unit PN],[Div Base])</f>
        <v>0.31197740662019452</v>
      </c>
      <c r="AS258" s="14" t="str">
        <f>IF(AND([% A.A.]&gt;=6%,SUMPRODUCT(N([Nome]=Tabela3[[#This Row],[Nome]]),[PL])&gt;0,[Rentabilidade s/ PL]&gt;=[Rentabilidade s/ PL Média]),"Sim","Não")</f>
        <v>Não</v>
      </c>
      <c r="AT258" s="42">
        <f>IF([Cotação]&gt;0,Tabela3[[#This Row],[Lucro]]/Tabela3[[#This Row],[Cotação]],0)</f>
        <v>2.3527707889909089E-2</v>
      </c>
      <c r="AU258" s="42">
        <f>((1+Tabela3[[#This Row],[% Yield]])^(1/(3*Tabela3[[#This Row],[Ref]])))^(12)-1</f>
        <v>3.1492652047546255E-2</v>
      </c>
      <c r="AV258" s="14">
        <f>IF([Cotação]&gt;0,($BH$1/Tabela3[[#This Row],[Cotação]]-MOD($BH$1/Tabela3[[#This Row],[Cotação]],100)),)</f>
        <v>0</v>
      </c>
      <c r="AW258" s="17">
        <f>Tabela3[[#This Row],[Ativos]]*[Lucro]</f>
        <v>0</v>
      </c>
      <c r="AX258" s="17">
        <f>SUMPRODUCT(N(Tabela1[Código]=Tabela3[[#This Row],[PAPEL]]),Tabela1[Fechamento])</f>
        <v>0</v>
      </c>
      <c r="AY258" s="17">
        <f>SUMPRODUCT(N(Tabela17[Código]=Tabela3[[#This Row],[PAPEL]]),Tabela17[Fechamento])</f>
        <v>0</v>
      </c>
      <c r="AZ258" s="17">
        <f>SUMPRODUCT(N(Tabela176[Código]=Tabela3[[#This Row],[PAPEL]]),Tabela176[Fechamento])</f>
        <v>13.26</v>
      </c>
      <c r="BA258" s="17">
        <f>SUMPRODUCT(N(Tabela1768[Código]=Tabela3[[#This Row],[PAPEL]]),Tabela1768[Fechamento])</f>
        <v>0</v>
      </c>
      <c r="BB258" s="7">
        <f>SUMPRODUCT(N(Tabela17683[Código]=Tabela3[[#This Row],[PAPEL]]),Tabela17683[Fechamento])</f>
        <v>0</v>
      </c>
    </row>
    <row r="259" spans="1:54" hidden="1">
      <c r="A259" s="4" t="s">
        <v>12</v>
      </c>
      <c r="B259" s="57" t="s">
        <v>504</v>
      </c>
      <c r="C259" s="82" t="str">
        <f>LEFT([PAPEL],LEN([PAPEL])-(LEN([PAPEL])-4))</f>
        <v>EMAE</v>
      </c>
      <c r="D259" s="16">
        <v>3</v>
      </c>
      <c r="E259" s="5">
        <v>285411308.35000002</v>
      </c>
      <c r="F259" s="56">
        <v>14705370</v>
      </c>
      <c r="G259" s="81">
        <v>0.25</v>
      </c>
      <c r="H259" s="18"/>
      <c r="J259" s="18"/>
      <c r="K259" s="87"/>
      <c r="L259" s="87"/>
      <c r="M259" s="54"/>
      <c r="N259" s="54"/>
      <c r="O259" s="54"/>
      <c r="P259" s="89">
        <v>672379000</v>
      </c>
      <c r="Q259" s="89">
        <v>25747000</v>
      </c>
      <c r="R259" s="89">
        <f>IF(Tabela3[[#This Row],[Ativo || Passivo]]&gt;0,Tabela3[[#This Row],[Ativo || Passivo]]-Tabela3[[#This Row],[Patrimônio Líquido]],0)</f>
        <v>0</v>
      </c>
      <c r="S259" s="89">
        <f>Tabela3[[#This Row],[Cotação]]*Tabela3[[#This Row],[Total Ações]]</f>
        <v>0</v>
      </c>
      <c r="T259" s="132">
        <f>IF(Tabela3[[#This Row],[Passivo Circulante]]&gt;0,Tabela3[[#This Row],[Ativo Circulante]]/Tabela3[[#This Row],[Passivo Circulante]],0)</f>
        <v>0</v>
      </c>
      <c r="U259" s="132">
        <f>SUMPRODUCT(N([Liquidez Corrente]&gt;0),N(RIGHT([PAPEL],LEN([PAPEL])-(LEN([PAPEL])-1))="3"),[Liquidez Corrente])/SUMPRODUCT(N([Liquidez Corrente]&gt;0),N(RIGHT([PAPEL],LEN([PAPEL])-(LEN([PAPEL])-1))="3"))</f>
        <v>2.331224473064915</v>
      </c>
      <c r="V259" s="19">
        <f>IF(Tabela3[[#This Row],[Lucro Líquido]]&gt;0,Tabela3[[#This Row],[Lucro Líquido]]/Tabela3[[#This Row],[Patrimônio Líquido]],0)</f>
        <v>3.8292391642213694E-2</v>
      </c>
      <c r="W259" s="19">
        <f>SUMPRODUCT(N([Rentabilidade s/ PL]&gt;0),N(RIGHT([PAPEL],LEN([PAPEL])-(LEN([PAPEL])-1))="3"),[Rentabilidade s/ PL])/SUMPRODUCT(N([Rentabilidade s/ PL]&gt;0),N(RIGHT([PAPEL],LEN([PAPEL])-(LEN([PAPEL])-1))="3"))</f>
        <v>0.1261051308670782</v>
      </c>
      <c r="X259" s="19">
        <f>IF(Tabela3[[#This Row],[Dívida]]&gt;0,Tabela3[[#This Row],[Dívida]]/Tabela3[[#This Row],[Patrimônio Líquido]],0)</f>
        <v>0</v>
      </c>
      <c r="Y259" s="19">
        <f>SUMPRODUCT(N([Dívida / PL]&gt;0),N(RIGHT([PAPEL],LEN([PAPEL])-(LEN([PAPEL])-1))="3"),[Dívida / PL])/SUMPRODUCT(N([Dívida / PL]&gt;0),N(RIGHT([PAPEL],LEN([PAPEL])-(LEN([PAPEL])-1))="3"))</f>
        <v>2.1510410379481146</v>
      </c>
      <c r="Z259" s="6">
        <f>Tabela3[[#This Row],[Capital Social]]*20%</f>
        <v>57082261.670000009</v>
      </c>
      <c r="AA259" s="6">
        <f>IF(([Lucro Líquido]*5%)&gt;[Teto R. Legal],[Teto R. Legal],[Lucro Líquido]*5%)</f>
        <v>1287350</v>
      </c>
      <c r="AB259" s="89">
        <f>IF([Lucro Líquido]&lt;0,0,[Lucro Líquido]-[Reserva Legal])</f>
        <v>24459650</v>
      </c>
      <c r="AC259" s="89">
        <f>Tabela3[[#This Row],[Lucro Distribuir]]*[%Div]</f>
        <v>6114912.5</v>
      </c>
      <c r="AD259" s="56">
        <f>SUMPRODUCT(N([Nome]=Tabela3[[#This Row],[Nome]]),[Ações])</f>
        <v>36947084</v>
      </c>
      <c r="AE259" s="6">
        <f>[Capital Social]/[Total Ações]</f>
        <v>7.7248669570242683</v>
      </c>
      <c r="AF259" s="78">
        <f>Tabela3[[#This Row],[Lucro Líquido]]/Tabela3[[#This Row],[Total Ações]]</f>
        <v>0.69686148979984452</v>
      </c>
      <c r="AG259" s="78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0.16035512625458417</v>
      </c>
      <c r="AH259" s="78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259" s="78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259" s="78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0.16035512625458417</v>
      </c>
      <c r="AK259" s="6">
        <f>[Div Base]*[Ações]</f>
        <v>2358081.4629703746</v>
      </c>
      <c r="AL259" s="6">
        <f>SUMPRODUCT(N([Nome]=Tabela3[[#This Row],[Nome]]),[Div Base]*[Ações])</f>
        <v>6281311.6105919778</v>
      </c>
      <c r="AM259" s="6">
        <f>[Patrimônio Líquido]/[Total Ações]</f>
        <v>18.198432114426133</v>
      </c>
      <c r="AN259" s="11">
        <f>MAX(Tabela3[[#This Row],[Cotação 1]:[Cotação 5]])</f>
        <v>0</v>
      </c>
      <c r="AO259" s="9">
        <f>[Cotação]/[VPA]</f>
        <v>0</v>
      </c>
      <c r="AP259" s="36">
        <f>IF(Tabela3[[#This Row],[Lucro/Ação]]&gt;0,Tabela3[[#This Row],[Cotação]]/(Tabela3[[#This Row],[Lucro/Ação]]/[Ref]*4),0)</f>
        <v>0</v>
      </c>
      <c r="AQ259" s="78">
        <f>[Lucro Distribuir]/[Total Ações]</f>
        <v>0.66201841530985228</v>
      </c>
      <c r="AR259" s="78">
        <f>IF([Unit ON]&gt;0,SUMPRODUCT(N([Nome]=Tabela3[[#This Row],[Nome]]),N(RIGHT([PAPEL],1)="3"),[Div Base])*[Unit ON]+SUMPRODUCT(N([Nome]=Tabela3[[#This Row],[Nome]]),N(RIGHT([PAPEL],1)="4"),[Div Base])*[Unit PN],[Div Base])</f>
        <v>0.16035512625458417</v>
      </c>
      <c r="AS259" s="14" t="str">
        <f>IF(AND([% A.A.]&gt;=6%,SUMPRODUCT(N([Nome]=Tabela3[[#This Row],[Nome]]),[PL])&gt;0,[Rentabilidade s/ PL]&gt;=[Rentabilidade s/ PL Média]),"Sim","Não")</f>
        <v>Não</v>
      </c>
      <c r="AT259" s="19">
        <f>IF([Cotação]&gt;0,Tabela3[[#This Row],[Lucro]]/Tabela3[[#This Row],[Cotação]],0)</f>
        <v>0</v>
      </c>
      <c r="AU259" s="19">
        <f>((1+Tabela3[[#This Row],[% Yield]])^(1/(3*Tabela3[[#This Row],[Ref]])))^(12)-1</f>
        <v>0</v>
      </c>
      <c r="AV259" s="10">
        <f>IF([Cotação]&gt;0,($BH$1/Tabela3[[#This Row],[Cotação]]-MOD($BH$1/Tabela3[[#This Row],[Cotação]],100)),)</f>
        <v>0</v>
      </c>
      <c r="AW259" s="5">
        <f>Tabela3[[#This Row],[Ativos]]*[Lucro]</f>
        <v>0</v>
      </c>
      <c r="AX259" s="5">
        <f>SUMPRODUCT(N(Tabela1[Código]=Tabela3[[#This Row],[PAPEL]]),Tabela1[Fechamento])</f>
        <v>0</v>
      </c>
      <c r="AY259" s="5">
        <f>SUMPRODUCT(N(Tabela17[Código]=Tabela3[[#This Row],[PAPEL]]),Tabela17[Fechamento])</f>
        <v>0</v>
      </c>
      <c r="AZ259" s="7">
        <f>SUMPRODUCT(N(Tabela176[Código]=Tabela3[[#This Row],[PAPEL]]),Tabela176[Fechamento])</f>
        <v>0</v>
      </c>
      <c r="BA259" s="7">
        <f>SUMPRODUCT(N(Tabela1768[Código]=Tabela3[[#This Row],[PAPEL]]),Tabela1768[Fechamento])</f>
        <v>0</v>
      </c>
      <c r="BB259" s="7">
        <f>SUMPRODUCT(N(Tabela17683[Código]=Tabela3[[#This Row],[PAPEL]]),Tabela17683[Fechamento])</f>
        <v>0</v>
      </c>
    </row>
    <row r="260" spans="1:54" hidden="1">
      <c r="A260" s="4" t="s">
        <v>12</v>
      </c>
      <c r="B260" s="57" t="s">
        <v>168</v>
      </c>
      <c r="C260" s="14" t="str">
        <f>LEFT([PAPEL],LEN([PAPEL])-(LEN([PAPEL])-4))</f>
        <v>EMAE</v>
      </c>
      <c r="D260" s="15">
        <v>3</v>
      </c>
      <c r="E260" s="5">
        <v>285411308.35000002</v>
      </c>
      <c r="F260" s="8">
        <v>22241714</v>
      </c>
      <c r="G260" s="86">
        <v>0.25</v>
      </c>
      <c r="H260" s="15"/>
      <c r="I260" s="19"/>
      <c r="J260" s="19">
        <v>0.1</v>
      </c>
      <c r="K260" s="88"/>
      <c r="L260" s="88"/>
      <c r="M260" s="55"/>
      <c r="N260" s="55"/>
      <c r="O260" s="55"/>
      <c r="P260" s="89">
        <v>672379000</v>
      </c>
      <c r="Q260" s="89">
        <v>25747000</v>
      </c>
      <c r="R260" s="89">
        <f>IF(Tabela3[[#This Row],[Ativo || Passivo]]&gt;0,Tabela3[[#This Row],[Ativo || Passivo]]-Tabela3[[#This Row],[Patrimônio Líquido]],0)</f>
        <v>0</v>
      </c>
      <c r="S260" s="89">
        <f>Tabela3[[#This Row],[Cotação]]*Tabela3[[#This Row],[Total Ações]]</f>
        <v>203208962</v>
      </c>
      <c r="T260" s="132">
        <f>IF(Tabela3[[#This Row],[Passivo Circulante]]&gt;0,Tabela3[[#This Row],[Ativo Circulante]]/Tabela3[[#This Row],[Passivo Circulante]],0)</f>
        <v>0</v>
      </c>
      <c r="U260" s="132">
        <f>SUMPRODUCT(N([Liquidez Corrente]&gt;0),N(RIGHT([PAPEL],LEN([PAPEL])-(LEN([PAPEL])-1))="3"),[Liquidez Corrente])/SUMPRODUCT(N([Liquidez Corrente]&gt;0),N(RIGHT([PAPEL],LEN([PAPEL])-(LEN([PAPEL])-1))="3"))</f>
        <v>2.331224473064915</v>
      </c>
      <c r="V260" s="19">
        <f>IF(Tabela3[[#This Row],[Lucro Líquido]]&gt;0,Tabela3[[#This Row],[Lucro Líquido]]/Tabela3[[#This Row],[Patrimônio Líquido]],0)</f>
        <v>3.8292391642213694E-2</v>
      </c>
      <c r="W260" s="19">
        <f>SUMPRODUCT(N([Rentabilidade s/ PL]&gt;0),N(RIGHT([PAPEL],LEN([PAPEL])-(LEN([PAPEL])-1))="3"),[Rentabilidade s/ PL])/SUMPRODUCT(N([Rentabilidade s/ PL]&gt;0),N(RIGHT([PAPEL],LEN([PAPEL])-(LEN([PAPEL])-1))="3"))</f>
        <v>0.1261051308670782</v>
      </c>
      <c r="X260" s="19">
        <f>IF(Tabela3[[#This Row],[Dívida]]&gt;0,Tabela3[[#This Row],[Dívida]]/Tabela3[[#This Row],[Patrimônio Líquido]],0)</f>
        <v>0</v>
      </c>
      <c r="Y260" s="19">
        <f>SUMPRODUCT(N([Dívida / PL]&gt;0),N(RIGHT([PAPEL],LEN([PAPEL])-(LEN([PAPEL])-1))="3"),[Dívida / PL])/SUMPRODUCT(N([Dívida / PL]&gt;0),N(RIGHT([PAPEL],LEN([PAPEL])-(LEN([PAPEL])-1))="3"))</f>
        <v>2.1510410379481146</v>
      </c>
      <c r="Z260" s="6">
        <f>Tabela3[[#This Row],[Capital Social]]*20%</f>
        <v>57082261.670000009</v>
      </c>
      <c r="AA260" s="6">
        <f>IF(([Lucro Líquido]*5%)&gt;[Teto R. Legal],[Teto R. Legal],[Lucro Líquido]*5%)</f>
        <v>1287350</v>
      </c>
      <c r="AB260" s="89">
        <f>IF([Lucro Líquido]&lt;0,0,[Lucro Líquido]-[Reserva Legal])</f>
        <v>24459650</v>
      </c>
      <c r="AC260" s="89">
        <f>Tabela3[[#This Row],[Lucro Distribuir]]*[%Div]</f>
        <v>6114912.5</v>
      </c>
      <c r="AD260" s="56">
        <f>SUMPRODUCT(N([Nome]=Tabela3[[#This Row],[Nome]]),[Ações])</f>
        <v>36947084</v>
      </c>
      <c r="AE260" s="6">
        <f>[Capital Social]/[Total Ações]</f>
        <v>7.7248669570242683</v>
      </c>
      <c r="AF260" s="78">
        <f>Tabela3[[#This Row],[Lucro Líquido]]/Tabela3[[#This Row],[Total Ações]]</f>
        <v>0.69686148979984452</v>
      </c>
      <c r="AG260" s="78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0.17639063912167932</v>
      </c>
      <c r="AH260" s="78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260" s="78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260" s="78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0.17639063912167932</v>
      </c>
      <c r="AK260" s="6">
        <f>[Div Base]*[Ações]</f>
        <v>3923230.1476216028</v>
      </c>
      <c r="AL260" s="6">
        <f>SUMPRODUCT(N([Nome]=Tabela3[[#This Row],[Nome]]),[Div Base]*[Ações])</f>
        <v>6281311.6105919778</v>
      </c>
      <c r="AM260" s="6">
        <f>[Patrimônio Líquido]/[Total Ações]</f>
        <v>18.198432114426133</v>
      </c>
      <c r="AN260" s="48">
        <f>MAX(Tabela3[[#This Row],[Cotação 1]:[Cotação 5]])</f>
        <v>5.5</v>
      </c>
      <c r="AO260" s="44">
        <f>[Cotação]/[VPA]</f>
        <v>0.30222383804372238</v>
      </c>
      <c r="AP260" s="40">
        <f>IF(Tabela3[[#This Row],[Lucro/Ação]]&gt;0,Tabela3[[#This Row],[Cotação]]/(Tabela3[[#This Row],[Lucro/Ação]]/[Ref]*4),0)</f>
        <v>5.9193972695848069</v>
      </c>
      <c r="AQ260" s="78">
        <f>[Lucro Distribuir]/[Total Ações]</f>
        <v>0.66201841530985228</v>
      </c>
      <c r="AR260" s="78">
        <f>IF([Unit ON]&gt;0,SUMPRODUCT(N([Nome]=Tabela3[[#This Row],[Nome]]),N(RIGHT([PAPEL],1)="3"),[Div Base])*[Unit ON]+SUMPRODUCT(N([Nome]=Tabela3[[#This Row],[Nome]]),N(RIGHT([PAPEL],1)="4"),[Div Base])*[Unit PN],[Div Base])</f>
        <v>0.17639063912167932</v>
      </c>
      <c r="AS260" s="15" t="str">
        <f>IF(AND([% A.A.]&gt;=6%,SUMPRODUCT(N([Nome]=Tabela3[[#This Row],[Nome]]),[PL])&gt;0,[Rentabilidade s/ PL]&gt;=[Rentabilidade s/ PL Média]),"Sim","Não")</f>
        <v>Não</v>
      </c>
      <c r="AT260" s="42">
        <f>IF([Cotação]&gt;0,Tabela3[[#This Row],[Lucro]]/Tabela3[[#This Row],[Cotação]],0)</f>
        <v>3.2071025294850786E-2</v>
      </c>
      <c r="AU260" s="19">
        <f>((1+Tabela3[[#This Row],[% Yield]])^(1/(3*Tabela3[[#This Row],[Ref]])))^(12)-1</f>
        <v>4.2988326304974844E-2</v>
      </c>
      <c r="AV260" s="14">
        <f>IF([Cotação]&gt;0,($BH$1/Tabela3[[#This Row],[Cotação]]-MOD($BH$1/Tabela3[[#This Row],[Cotação]],100)),)</f>
        <v>0</v>
      </c>
      <c r="AW260" s="17">
        <f>Tabela3[[#This Row],[Ativos]]*[Lucro]</f>
        <v>0</v>
      </c>
      <c r="AX260" s="5">
        <f>SUMPRODUCT(N(Tabela1[Código]=Tabela3[[#This Row],[PAPEL]]),Tabela1[Fechamento])</f>
        <v>5.5</v>
      </c>
      <c r="AY260" s="5">
        <f>SUMPRODUCT(N(Tabela17[Código]=Tabela3[[#This Row],[PAPEL]]),Tabela17[Fechamento])</f>
        <v>0</v>
      </c>
      <c r="AZ260" s="7">
        <f>SUMPRODUCT(N(Tabela176[Código]=Tabela3[[#This Row],[PAPEL]]),Tabela176[Fechamento])</f>
        <v>0</v>
      </c>
      <c r="BA260" s="7">
        <f>SUMPRODUCT(N(Tabela1768[Código]=Tabela3[[#This Row],[PAPEL]]),Tabela1768[Fechamento])</f>
        <v>0</v>
      </c>
      <c r="BB260" s="7">
        <f>SUMPRODUCT(N(Tabela17683[Código]=Tabela3[[#This Row],[PAPEL]]),Tabela17683[Fechamento])</f>
        <v>0</v>
      </c>
    </row>
    <row r="261" spans="1:54" hidden="1">
      <c r="A261" s="4" t="s">
        <v>322</v>
      </c>
      <c r="B261" s="57" t="s">
        <v>325</v>
      </c>
      <c r="C261" s="82" t="str">
        <f>LEFT([PAPEL],LEN([PAPEL])-(LEN([PAPEL])-4))</f>
        <v>MAGG</v>
      </c>
      <c r="D261" s="15">
        <v>3</v>
      </c>
      <c r="E261" s="6">
        <v>2528146113.6500001</v>
      </c>
      <c r="F261" s="8">
        <v>291981934</v>
      </c>
      <c r="G261" s="81">
        <v>0.25</v>
      </c>
      <c r="H261" s="15"/>
      <c r="I261" s="19"/>
      <c r="J261" s="19"/>
      <c r="K261" s="88"/>
      <c r="L261" s="88"/>
      <c r="M261" s="55"/>
      <c r="N261" s="55"/>
      <c r="O261" s="55"/>
      <c r="P261" s="6">
        <v>2907030000</v>
      </c>
      <c r="Q261" s="6">
        <v>25088000</v>
      </c>
      <c r="R261" s="6">
        <f>IF(Tabela3[[#This Row],[Ativo || Passivo]]&gt;0,Tabela3[[#This Row],[Ativo || Passivo]]-Tabela3[[#This Row],[Patrimônio Líquido]],0)</f>
        <v>0</v>
      </c>
      <c r="S261" s="6">
        <f>Tabela3[[#This Row],[Cotação]]*Tabela3[[#This Row],[Total Ações]]</f>
        <v>1500787140.76</v>
      </c>
      <c r="T261" s="132">
        <f>IF(Tabela3[[#This Row],[Passivo Circulante]]&gt;0,Tabela3[[#This Row],[Ativo Circulante]]/Tabela3[[#This Row],[Passivo Circulante]],0)</f>
        <v>0</v>
      </c>
      <c r="U261" s="132">
        <f>SUMPRODUCT(N([Liquidez Corrente]&gt;0),N(RIGHT([PAPEL],LEN([PAPEL])-(LEN([PAPEL])-1))="3"),[Liquidez Corrente])/SUMPRODUCT(N([Liquidez Corrente]&gt;0),N(RIGHT([PAPEL],LEN([PAPEL])-(LEN([PAPEL])-1))="3"))</f>
        <v>2.331224473064915</v>
      </c>
      <c r="V261" s="19">
        <f>IF(Tabela3[[#This Row],[Lucro Líquido]]&gt;0,Tabela3[[#This Row],[Lucro Líquido]]/Tabela3[[#This Row],[Patrimônio Líquido]],0)</f>
        <v>8.6301138963134193E-3</v>
      </c>
      <c r="W261" s="19">
        <f>SUMPRODUCT(N([Rentabilidade s/ PL]&gt;0),N(RIGHT([PAPEL],LEN([PAPEL])-(LEN([PAPEL])-1))="3"),[Rentabilidade s/ PL])/SUMPRODUCT(N([Rentabilidade s/ PL]&gt;0),N(RIGHT([PAPEL],LEN([PAPEL])-(LEN([PAPEL])-1))="3"))</f>
        <v>0.1261051308670782</v>
      </c>
      <c r="X261" s="19">
        <f>IF(Tabela3[[#This Row],[Dívida]]&gt;0,Tabela3[[#This Row],[Dívida]]/Tabela3[[#This Row],[Patrimônio Líquido]],0)</f>
        <v>0</v>
      </c>
      <c r="Y261" s="19">
        <f>SUMPRODUCT(N([Dívida / PL]&gt;0),N(RIGHT([PAPEL],LEN([PAPEL])-(LEN([PAPEL])-1))="3"),[Dívida / PL])/SUMPRODUCT(N([Dívida / PL]&gt;0),N(RIGHT([PAPEL],LEN([PAPEL])-(LEN([PAPEL])-1))="3"))</f>
        <v>2.1510410379481146</v>
      </c>
      <c r="Z261" s="6">
        <f>Tabela3[[#This Row],[Capital Social]]*20%</f>
        <v>505629222.73000002</v>
      </c>
      <c r="AA261" s="6">
        <f>IF(([Lucro Líquido]*5%)&gt;[Teto R. Legal],[Teto R. Legal],[Lucro Líquido]*5%)</f>
        <v>1254400</v>
      </c>
      <c r="AB261" s="6">
        <f>IF([Lucro Líquido]&lt;0,0,[Lucro Líquido]-[Reserva Legal])</f>
        <v>23833600</v>
      </c>
      <c r="AC261" s="6">
        <f>Tabela3[[#This Row],[Lucro Distribuir]]*[%Div]</f>
        <v>5958400</v>
      </c>
      <c r="AD261" s="21">
        <f>SUMPRODUCT(N([Nome]=Tabela3[[#This Row],[Nome]]),[Ações])</f>
        <v>291981934</v>
      </c>
      <c r="AE261" s="6">
        <f>[Capital Social]/[Total Ações]</f>
        <v>8.6585703403485237</v>
      </c>
      <c r="AF261" s="78">
        <f>Tabela3[[#This Row],[Lucro Líquido]]/Tabela3[[#This Row],[Total Ações]]</f>
        <v>8.5923124271106446E-2</v>
      </c>
      <c r="AG261" s="78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2.0406742014387781E-2</v>
      </c>
      <c r="AH261" s="78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261" s="78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261" s="78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2.0406742014387781E-2</v>
      </c>
      <c r="AK261" s="6">
        <f>[Div Base]*[Ações]</f>
        <v>5958400</v>
      </c>
      <c r="AL261" s="6">
        <f>SUMPRODUCT(N([Nome]=Tabela3[[#This Row],[Nome]]),[Div Base]*[Ações])</f>
        <v>5958400</v>
      </c>
      <c r="AM261" s="6">
        <f>[Patrimônio Líquido]/[Total Ações]</f>
        <v>9.9561981803983812</v>
      </c>
      <c r="AN261" s="48">
        <f>MAX(Tabela3[[#This Row],[Cotação 1]:[Cotação 5]])</f>
        <v>5.14</v>
      </c>
      <c r="AO261" s="44">
        <f>[Cotação]/[VPA]</f>
        <v>0.51626131851408474</v>
      </c>
      <c r="AP261" s="40">
        <f>IF(Tabela3[[#This Row],[Lucro/Ação]]&gt;0,Tabela3[[#This Row],[Cotação]]/(Tabela3[[#This Row],[Lucro/Ação]]/[Ref]*4),0)</f>
        <v>44.865687004544</v>
      </c>
      <c r="AQ261" s="78">
        <f>[Lucro Distribuir]/[Total Ações]</f>
        <v>8.1626968057551125E-2</v>
      </c>
      <c r="AR261" s="78">
        <f>IF([Unit ON]&gt;0,SUMPRODUCT(N([Nome]=Tabela3[[#This Row],[Nome]]),N(RIGHT([PAPEL],1)="3"),[Div Base])*[Unit ON]+SUMPRODUCT(N([Nome]=Tabela3[[#This Row],[Nome]]),N(RIGHT([PAPEL],1)="4"),[Div Base])*[Unit PN],[Div Base])</f>
        <v>2.0406742014387781E-2</v>
      </c>
      <c r="AS261" s="15" t="str">
        <f>IF(AND([% A.A.]&gt;=6%,SUMPRODUCT(N([Nome]=Tabela3[[#This Row],[Nome]]),[PL])&gt;0,[Rentabilidade s/ PL]&gt;=[Rentabilidade s/ PL Média]),"Sim","Não")</f>
        <v>Não</v>
      </c>
      <c r="AT261" s="42">
        <f>IF([Cotação]&gt;0,Tabela3[[#This Row],[Lucro]]/Tabela3[[#This Row],[Cotação]],0)</f>
        <v>3.9701832712816694E-3</v>
      </c>
      <c r="AU261" s="19">
        <f>((1+Tabela3[[#This Row],[% Yield]])^(1/(3*Tabela3[[#This Row],[Ref]])))^(12)-1</f>
        <v>5.2970773554024131E-3</v>
      </c>
      <c r="AV261" s="14">
        <f>IF([Cotação]&gt;0,($BH$1/Tabela3[[#This Row],[Cotação]]-MOD($BH$1/Tabela3[[#This Row],[Cotação]],100)),)</f>
        <v>0</v>
      </c>
      <c r="AW261" s="17">
        <f>Tabela3[[#This Row],[Ativos]]*[Lucro]</f>
        <v>0</v>
      </c>
      <c r="AX261" s="13">
        <f>SUMPRODUCT(N(Tabela1[Código]=Tabela3[[#This Row],[PAPEL]]),Tabela1[Fechamento])</f>
        <v>0</v>
      </c>
      <c r="AY261" s="55">
        <f>SUMPRODUCT(N(Tabela17[Código]=Tabela3[[#This Row],[PAPEL]]),Tabela17[Fechamento])</f>
        <v>5.14</v>
      </c>
      <c r="AZ261" s="7">
        <f>SUMPRODUCT(N(Tabela176[Código]=Tabela3[[#This Row],[PAPEL]]),Tabela176[Fechamento])</f>
        <v>0</v>
      </c>
      <c r="BA261" s="7">
        <f>SUMPRODUCT(N(Tabela1768[Código]=Tabela3[[#This Row],[PAPEL]]),Tabela1768[Fechamento])</f>
        <v>0</v>
      </c>
      <c r="BB261" s="7">
        <f>SUMPRODUCT(N(Tabela17683[Código]=Tabela3[[#This Row],[PAPEL]]),Tabela17683[Fechamento])</f>
        <v>0</v>
      </c>
    </row>
    <row r="262" spans="1:54" hidden="1">
      <c r="A262" s="3" t="s">
        <v>828</v>
      </c>
      <c r="B262" s="58" t="s">
        <v>838</v>
      </c>
      <c r="C262" s="16" t="str">
        <f>LEFT([PAPEL],LEN([PAPEL])-(LEN([PAPEL])-4))</f>
        <v>PFRM</v>
      </c>
      <c r="D262" s="16">
        <v>3</v>
      </c>
      <c r="E262" s="5">
        <v>400112159.25</v>
      </c>
      <c r="F262" s="56">
        <v>33208341</v>
      </c>
      <c r="G262" s="81">
        <v>0.25</v>
      </c>
      <c r="H262" s="87"/>
      <c r="J262" s="18"/>
      <c r="K262" s="16"/>
      <c r="L262" s="87"/>
      <c r="M262" s="54"/>
      <c r="N262" s="54"/>
      <c r="O262" s="54"/>
      <c r="P262" s="91">
        <v>578216000</v>
      </c>
      <c r="Q262" s="73">
        <v>24956000</v>
      </c>
      <c r="R262" s="73">
        <f>IF(Tabela3[[#This Row],[Ativo || Passivo]]&gt;0,Tabela3[[#This Row],[Ativo || Passivo]]-Tabela3[[#This Row],[Patrimônio Líquido]],0)</f>
        <v>0</v>
      </c>
      <c r="S262" s="73">
        <f>Tabela3[[#This Row],[Cotação]]*Tabela3[[#This Row],[Total Ações]]</f>
        <v>552918877.64999998</v>
      </c>
      <c r="T262" s="37">
        <f>IF(Tabela3[[#This Row],[Passivo Circulante]]&gt;0,Tabela3[[#This Row],[Ativo Circulante]]/Tabela3[[#This Row],[Passivo Circulante]],0)</f>
        <v>0</v>
      </c>
      <c r="U262" s="37">
        <f>SUMPRODUCT(N([Liquidez Corrente]&gt;0),N(RIGHT([PAPEL],LEN([PAPEL])-(LEN([PAPEL])-1))="3"),[Liquidez Corrente])/SUMPRODUCT(N([Liquidez Corrente]&gt;0),N(RIGHT([PAPEL],LEN([PAPEL])-(LEN([PAPEL])-1))="3"))</f>
        <v>2.331224473064915</v>
      </c>
      <c r="V262" s="18">
        <f>IF(Tabela3[[#This Row],[Lucro Líquido]]&gt;0,Tabela3[[#This Row],[Lucro Líquido]]/Tabela3[[#This Row],[Patrimônio Líquido]],0)</f>
        <v>4.3160341464089542E-2</v>
      </c>
      <c r="W262" s="18">
        <f>SUMPRODUCT(N([Rentabilidade s/ PL]&gt;0),N(RIGHT([PAPEL],LEN([PAPEL])-(LEN([PAPEL])-1))="3"),[Rentabilidade s/ PL])/SUMPRODUCT(N([Rentabilidade s/ PL]&gt;0),N(RIGHT([PAPEL],LEN([PAPEL])-(LEN([PAPEL])-1))="3"))</f>
        <v>0.1261051308670782</v>
      </c>
      <c r="X262" s="18">
        <f>IF(Tabela3[[#This Row],[Dívida]]&gt;0,Tabela3[[#This Row],[Dívida]]/Tabela3[[#This Row],[Patrimônio Líquido]],0)</f>
        <v>0</v>
      </c>
      <c r="Y262" s="18">
        <f>SUMPRODUCT(N([Dívida / PL]&gt;0),N(RIGHT([PAPEL],LEN([PAPEL])-(LEN([PAPEL])-1))="3"),[Dívida / PL])/SUMPRODUCT(N([Dívida / PL]&gt;0),N(RIGHT([PAPEL],LEN([PAPEL])-(LEN([PAPEL])-1))="3"))</f>
        <v>2.1510410379481146</v>
      </c>
      <c r="Z262" s="7">
        <f>Tabela3[[#This Row],[Capital Social]]*20%</f>
        <v>80022431.850000009</v>
      </c>
      <c r="AA262" s="47">
        <f>IF(([Lucro Líquido]*5%)&gt;[Teto R. Legal],[Teto R. Legal],[Lucro Líquido]*5%)</f>
        <v>1247800</v>
      </c>
      <c r="AB262" s="47">
        <f>IF([Lucro Líquido]&lt;0,0,[Lucro Líquido]-[Reserva Legal])</f>
        <v>23708200</v>
      </c>
      <c r="AC262" s="47">
        <f>Tabela3[[#This Row],[Lucro Distribuir]]*[%Div]</f>
        <v>5927050</v>
      </c>
      <c r="AD262" s="56">
        <f>SUMPRODUCT(N([Nome]=Tabela3[[#This Row],[Nome]]),[Ações])</f>
        <v>33208341</v>
      </c>
      <c r="AE262" s="85">
        <f>[Capital Social]/[Total Ações]</f>
        <v>12.04854404650928</v>
      </c>
      <c r="AF262" s="85">
        <f>Tabela3[[#This Row],[Lucro Líquido]]/Tabela3[[#This Row],[Total Ações]]</f>
        <v>0.75149794444714957</v>
      </c>
      <c r="AG262" s="85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0.17848076180619804</v>
      </c>
      <c r="AH262" s="85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262" s="77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262" s="85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0.17848076180619804</v>
      </c>
      <c r="AK262" s="7">
        <f>[Div Base]*[Ações]</f>
        <v>5927050</v>
      </c>
      <c r="AL262" s="7">
        <f>SUMPRODUCT(N([Nome]=Tabela3[[#This Row],[Nome]]),[Div Base]*[Ações])</f>
        <v>5927050</v>
      </c>
      <c r="AM262" s="5">
        <f>[Patrimônio Líquido]/[Total Ações]</f>
        <v>17.411770133292716</v>
      </c>
      <c r="AN262" s="52">
        <f>MAX(Tabela3[[#This Row],[Cotação 1]:[Cotação 5]])</f>
        <v>16.649999999999999</v>
      </c>
      <c r="AO262" s="53">
        <f>[Cotação]/[VPA]</f>
        <v>0.95624970192799919</v>
      </c>
      <c r="AP262" s="37">
        <f>IF(Tabela3[[#This Row],[Lucro/Ação]]&gt;0,Tabela3[[#This Row],[Cotação]]/(Tabela3[[#This Row],[Lucro/Ação]]/[Ref]*4),0)</f>
        <v>16.616811918476518</v>
      </c>
      <c r="AQ262" s="85">
        <f>[Lucro Distribuir]/[Total Ações]</f>
        <v>0.71392304722479216</v>
      </c>
      <c r="AR262" s="85">
        <f>IF([Unit ON]&gt;0,SUMPRODUCT(N([Nome]=Tabela3[[#This Row],[Nome]]),N(RIGHT([PAPEL],1)="3"),[Div Base])*[Unit ON]+SUMPRODUCT(N([Nome]=Tabela3[[#This Row],[Nome]]),N(RIGHT([PAPEL],1)="4"),[Div Base])*[Unit PN],[Div Base])</f>
        <v>0.17848076180619804</v>
      </c>
      <c r="AS262" s="10" t="str">
        <f>IF(AND([% A.A.]&gt;=6%,SUMPRODUCT(N([Nome]=Tabela3[[#This Row],[Nome]]),[PL])&gt;0,[Rentabilidade s/ PL]&gt;=[Rentabilidade s/ PL Média]),"Sim","Não")</f>
        <v>Não</v>
      </c>
      <c r="AT262" s="22">
        <f>IF([Cotação]&gt;0,Tabela3[[#This Row],[Lucro]]/Tabela3[[#This Row],[Cotação]],0)</f>
        <v>1.0719565273645528E-2</v>
      </c>
      <c r="AU262" s="22">
        <f>((1+Tabela3[[#This Row],[% Yield]])^(1/(3*Tabela3[[#This Row],[Ref]])))^(12)-1</f>
        <v>1.4318228490961094E-2</v>
      </c>
      <c r="AV262" s="10">
        <f>IF([Cotação]&gt;0,($BH$1/Tabela3[[#This Row],[Cotação]]-MOD($BH$1/Tabela3[[#This Row],[Cotação]],100)),)</f>
        <v>0</v>
      </c>
      <c r="AW262" s="7">
        <f>Tabela3[[#This Row],[Ativos]]*[Lucro]</f>
        <v>0</v>
      </c>
      <c r="AX262" s="7">
        <f>SUMPRODUCT(N(Tabela1[Código]=Tabela3[[#This Row],[PAPEL]]),Tabela1[Fechamento])</f>
        <v>0</v>
      </c>
      <c r="AY262" s="7">
        <f>SUMPRODUCT(N(Tabela17[Código]=Tabela3[[#This Row],[PAPEL]]),Tabela17[Fechamento])</f>
        <v>0</v>
      </c>
      <c r="AZ262" s="7">
        <f>SUMPRODUCT(N(Tabela176[Código]=Tabela3[[#This Row],[PAPEL]]),Tabela176[Fechamento])</f>
        <v>16.649999999999999</v>
      </c>
      <c r="BA262" s="7">
        <f>SUMPRODUCT(N(Tabela1768[Código]=Tabela3[[#This Row],[PAPEL]]),Tabela1768[Fechamento])</f>
        <v>0</v>
      </c>
      <c r="BB262" s="7">
        <f>SUMPRODUCT(N(Tabela17683[Código]=Tabela3[[#This Row],[PAPEL]]),Tabela17683[Fechamento])</f>
        <v>0</v>
      </c>
    </row>
    <row r="263" spans="1:54" hidden="1">
      <c r="A263" s="4" t="s">
        <v>19</v>
      </c>
      <c r="B263" s="57" t="s">
        <v>184</v>
      </c>
      <c r="C263" s="14" t="str">
        <f>LEFT([PAPEL],LEN([PAPEL])-(LEN([PAPEL])-4))</f>
        <v>RANI</v>
      </c>
      <c r="D263" s="15">
        <v>3</v>
      </c>
      <c r="E263" s="6">
        <v>116894847.81</v>
      </c>
      <c r="F263" s="8">
        <v>153909975</v>
      </c>
      <c r="G263" s="81">
        <v>0.25</v>
      </c>
      <c r="H263" s="15"/>
      <c r="I263" s="19"/>
      <c r="J263" s="19"/>
      <c r="K263" s="88"/>
      <c r="L263" s="88"/>
      <c r="M263" s="55"/>
      <c r="N263" s="55"/>
      <c r="O263" s="55"/>
      <c r="P263" s="6">
        <v>460223000</v>
      </c>
      <c r="Q263" s="6">
        <v>24584000</v>
      </c>
      <c r="R263" s="6">
        <f>IF(Tabela3[[#This Row],[Ativo || Passivo]]&gt;0,Tabela3[[#This Row],[Ativo || Passivo]]-Tabela3[[#This Row],[Patrimônio Líquido]],0)</f>
        <v>0</v>
      </c>
      <c r="S263" s="6">
        <f>Tabela3[[#This Row],[Cotação]]*Tabela3[[#This Row],[Total Ações]]</f>
        <v>521834335.55000001</v>
      </c>
      <c r="T263" s="132">
        <f>IF(Tabela3[[#This Row],[Passivo Circulante]]&gt;0,Tabela3[[#This Row],[Ativo Circulante]]/Tabela3[[#This Row],[Passivo Circulante]],0)</f>
        <v>0</v>
      </c>
      <c r="U263" s="132">
        <f>SUMPRODUCT(N([Liquidez Corrente]&gt;0),N(RIGHT([PAPEL],LEN([PAPEL])-(LEN([PAPEL])-1))="3"),[Liquidez Corrente])/SUMPRODUCT(N([Liquidez Corrente]&gt;0),N(RIGHT([PAPEL],LEN([PAPEL])-(LEN([PAPEL])-1))="3"))</f>
        <v>2.331224473064915</v>
      </c>
      <c r="V263" s="19">
        <f>IF(Tabela3[[#This Row],[Lucro Líquido]]&gt;0,Tabela3[[#This Row],[Lucro Líquido]]/Tabela3[[#This Row],[Patrimônio Líquido]],0)</f>
        <v>5.3417582345949684E-2</v>
      </c>
      <c r="W263" s="19">
        <f>SUMPRODUCT(N([Rentabilidade s/ PL]&gt;0),N(RIGHT([PAPEL],LEN([PAPEL])-(LEN([PAPEL])-1))="3"),[Rentabilidade s/ PL])/SUMPRODUCT(N([Rentabilidade s/ PL]&gt;0),N(RIGHT([PAPEL],LEN([PAPEL])-(LEN([PAPEL])-1))="3"))</f>
        <v>0.1261051308670782</v>
      </c>
      <c r="X263" s="19">
        <f>IF(Tabela3[[#This Row],[Dívida]]&gt;0,Tabela3[[#This Row],[Dívida]]/Tabela3[[#This Row],[Patrimônio Líquido]],0)</f>
        <v>0</v>
      </c>
      <c r="Y263" s="19">
        <f>SUMPRODUCT(N([Dívida / PL]&gt;0),N(RIGHT([PAPEL],LEN([PAPEL])-(LEN([PAPEL])-1))="3"),[Dívida / PL])/SUMPRODUCT(N([Dívida / PL]&gt;0),N(RIGHT([PAPEL],LEN([PAPEL])-(LEN([PAPEL])-1))="3"))</f>
        <v>2.1510410379481146</v>
      </c>
      <c r="Z263" s="6">
        <f>Tabela3[[#This Row],[Capital Social]]*20%</f>
        <v>23378969.562000003</v>
      </c>
      <c r="AA263" s="6">
        <f>IF(([Lucro Líquido]*5%)&gt;[Teto R. Legal],[Teto R. Legal],[Lucro Líquido]*5%)</f>
        <v>1229200</v>
      </c>
      <c r="AB263" s="6">
        <f>IF([Lucro Líquido]&lt;0,0,[Lucro Líquido]-[Reserva Legal])</f>
        <v>23354800</v>
      </c>
      <c r="AC263" s="6">
        <f>Tabela3[[#This Row],[Lucro Distribuir]]*[%Div]</f>
        <v>5838700</v>
      </c>
      <c r="AD263" s="56">
        <f>SUMPRODUCT(N([Nome]=Tabela3[[#This Row],[Nome]]),[Ações])</f>
        <v>166720235</v>
      </c>
      <c r="AE263" s="6">
        <f>[Capital Social]/[Total Ações]</f>
        <v>0.70114373225301663</v>
      </c>
      <c r="AF263" s="78">
        <f>Tabela3[[#This Row],[Lucro Líquido]]/Tabela3[[#This Row],[Total Ações]]</f>
        <v>0.14745660597227445</v>
      </c>
      <c r="AG263" s="78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3.5020943918415183E-2</v>
      </c>
      <c r="AH263" s="78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263" s="78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263" s="78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3.5020943918415183E-2</v>
      </c>
      <c r="AK263" s="6">
        <f>[Div Base]*[Ações]</f>
        <v>5390072.6029596832</v>
      </c>
      <c r="AL263" s="6">
        <f>SUMPRODUCT(N([Nome]=Tabela3[[#This Row],[Nome]]),[Div Base]*[Ações])</f>
        <v>5838700</v>
      </c>
      <c r="AM263" s="6">
        <f>[Patrimônio Líquido]/[Total Ações]</f>
        <v>2.760450763520097</v>
      </c>
      <c r="AN263" s="48">
        <f>MAX(Tabela3[[#This Row],[Cotação 1]:[Cotação 5]])</f>
        <v>3.13</v>
      </c>
      <c r="AO263" s="44">
        <f>[Cotação]/[VPA]</f>
        <v>1.1338727867794525</v>
      </c>
      <c r="AP263" s="40">
        <f>IF(Tabela3[[#This Row],[Lucro/Ação]]&gt;0,Tabela3[[#This Row],[Cotação]]/(Tabela3[[#This Row],[Lucro/Ação]]/[Ref]*4),0)</f>
        <v>15.919937832024894</v>
      </c>
      <c r="AQ263" s="78">
        <f>[Lucro Distribuir]/[Total Ações]</f>
        <v>0.14008377567366073</v>
      </c>
      <c r="AR263" s="78">
        <f>IF([Unit ON]&gt;0,SUMPRODUCT(N([Nome]=Tabela3[[#This Row],[Nome]]),N(RIGHT([PAPEL],1)="3"),[Div Base])*[Unit ON]+SUMPRODUCT(N([Nome]=Tabela3[[#This Row],[Nome]]),N(RIGHT([PAPEL],1)="4"),[Div Base])*[Unit PN],[Div Base])</f>
        <v>3.5020943918415183E-2</v>
      </c>
      <c r="AS263" s="15" t="str">
        <f>IF(AND([% A.A.]&gt;=6%,SUMPRODUCT(N([Nome]=Tabela3[[#This Row],[Nome]]),[PL])&gt;0,[Rentabilidade s/ PL]&gt;=[Rentabilidade s/ PL Média]),"Sim","Não")</f>
        <v>Não</v>
      </c>
      <c r="AT263" s="42">
        <f>IF([Cotação]&gt;0,Tabela3[[#This Row],[Lucro]]/Tabela3[[#This Row],[Cotação]],0)</f>
        <v>1.1188799973934564E-2</v>
      </c>
      <c r="AU263" s="19">
        <f>((1+Tabela3[[#This Row],[% Yield]])^(1/(3*Tabela3[[#This Row],[Ref]])))^(12)-1</f>
        <v>1.4946150946771652E-2</v>
      </c>
      <c r="AV263" s="14">
        <f>IF([Cotação]&gt;0,($BH$1/Tabela3[[#This Row],[Cotação]]-MOD($BH$1/Tabela3[[#This Row],[Cotação]],100)),)</f>
        <v>100</v>
      </c>
      <c r="AW263" s="17">
        <f>Tabela3[[#This Row],[Ativos]]*[Lucro]</f>
        <v>3.5020943918415184</v>
      </c>
      <c r="AX263" s="5">
        <f>SUMPRODUCT(N(Tabela1[Código]=Tabela3[[#This Row],[PAPEL]]),Tabela1[Fechamento])</f>
        <v>3.13</v>
      </c>
      <c r="AY263" s="5">
        <f>SUMPRODUCT(N(Tabela17[Código]=Tabela3[[#This Row],[PAPEL]]),Tabela17[Fechamento])</f>
        <v>0</v>
      </c>
      <c r="AZ263" s="7">
        <f>SUMPRODUCT(N(Tabela176[Código]=Tabela3[[#This Row],[PAPEL]]),Tabela176[Fechamento])</f>
        <v>0</v>
      </c>
      <c r="BA263" s="7">
        <f>SUMPRODUCT(N(Tabela1768[Código]=Tabela3[[#This Row],[PAPEL]]),Tabela1768[Fechamento])</f>
        <v>0</v>
      </c>
      <c r="BB263" s="7">
        <f>SUMPRODUCT(N(Tabela17683[Código]=Tabela3[[#This Row],[PAPEL]]),Tabela17683[Fechamento])</f>
        <v>0</v>
      </c>
    </row>
    <row r="264" spans="1:54" hidden="1">
      <c r="A264" s="4" t="s">
        <v>19</v>
      </c>
      <c r="B264" s="57" t="s">
        <v>185</v>
      </c>
      <c r="C264" s="14" t="str">
        <f>LEFT([PAPEL],LEN([PAPEL])-(LEN([PAPEL])-4))</f>
        <v>RANI</v>
      </c>
      <c r="D264" s="15">
        <v>3</v>
      </c>
      <c r="E264" s="6">
        <v>116894847.81</v>
      </c>
      <c r="F264" s="8">
        <v>12810260</v>
      </c>
      <c r="G264" s="86">
        <v>0.25</v>
      </c>
      <c r="H264" s="15"/>
      <c r="I264" s="19"/>
      <c r="J264" s="19"/>
      <c r="K264" s="88"/>
      <c r="L264" s="88"/>
      <c r="M264" s="55"/>
      <c r="N264" s="55"/>
      <c r="O264" s="55"/>
      <c r="P264" s="6">
        <v>460223000</v>
      </c>
      <c r="Q264" s="6">
        <v>24584000</v>
      </c>
      <c r="R264" s="6">
        <f>IF(Tabela3[[#This Row],[Ativo || Passivo]]&gt;0,Tabela3[[#This Row],[Ativo || Passivo]]-Tabela3[[#This Row],[Patrimônio Líquido]],0)</f>
        <v>0</v>
      </c>
      <c r="S264" s="6">
        <f>Tabela3[[#This Row],[Cotação]]*Tabela3[[#This Row],[Total Ações]]</f>
        <v>583520822.5</v>
      </c>
      <c r="T264" s="132">
        <f>IF(Tabela3[[#This Row],[Passivo Circulante]]&gt;0,Tabela3[[#This Row],[Ativo Circulante]]/Tabela3[[#This Row],[Passivo Circulante]],0)</f>
        <v>0</v>
      </c>
      <c r="U264" s="132">
        <f>SUMPRODUCT(N([Liquidez Corrente]&gt;0),N(RIGHT([PAPEL],LEN([PAPEL])-(LEN([PAPEL])-1))="3"),[Liquidez Corrente])/SUMPRODUCT(N([Liquidez Corrente]&gt;0),N(RIGHT([PAPEL],LEN([PAPEL])-(LEN([PAPEL])-1))="3"))</f>
        <v>2.331224473064915</v>
      </c>
      <c r="V264" s="19">
        <f>IF(Tabela3[[#This Row],[Lucro Líquido]]&gt;0,Tabela3[[#This Row],[Lucro Líquido]]/Tabela3[[#This Row],[Patrimônio Líquido]],0)</f>
        <v>5.3417582345949684E-2</v>
      </c>
      <c r="W264" s="19">
        <f>SUMPRODUCT(N([Rentabilidade s/ PL]&gt;0),N(RIGHT([PAPEL],LEN([PAPEL])-(LEN([PAPEL])-1))="3"),[Rentabilidade s/ PL])/SUMPRODUCT(N([Rentabilidade s/ PL]&gt;0),N(RIGHT([PAPEL],LEN([PAPEL])-(LEN([PAPEL])-1))="3"))</f>
        <v>0.1261051308670782</v>
      </c>
      <c r="X264" s="19">
        <f>IF(Tabela3[[#This Row],[Dívida]]&gt;0,Tabela3[[#This Row],[Dívida]]/Tabela3[[#This Row],[Patrimônio Líquido]],0)</f>
        <v>0</v>
      </c>
      <c r="Y264" s="19">
        <f>SUMPRODUCT(N([Dívida / PL]&gt;0),N(RIGHT([PAPEL],LEN([PAPEL])-(LEN([PAPEL])-1))="3"),[Dívida / PL])/SUMPRODUCT(N([Dívida / PL]&gt;0),N(RIGHT([PAPEL],LEN([PAPEL])-(LEN([PAPEL])-1))="3"))</f>
        <v>2.1510410379481146</v>
      </c>
      <c r="Z264" s="6">
        <f>Tabela3[[#This Row],[Capital Social]]*20%</f>
        <v>23378969.562000003</v>
      </c>
      <c r="AA264" s="6">
        <f>IF(([Lucro Líquido]*5%)&gt;[Teto R. Legal],[Teto R. Legal],[Lucro Líquido]*5%)</f>
        <v>1229200</v>
      </c>
      <c r="AB264" s="6">
        <f>IF([Lucro Líquido]&lt;0,0,[Lucro Líquido]-[Reserva Legal])</f>
        <v>23354800</v>
      </c>
      <c r="AC264" s="6">
        <f>Tabela3[[#This Row],[Lucro Distribuir]]*[%Div]</f>
        <v>5838700</v>
      </c>
      <c r="AD264" s="56">
        <f>SUMPRODUCT(N([Nome]=Tabela3[[#This Row],[Nome]]),[Ações])</f>
        <v>166720235</v>
      </c>
      <c r="AE264" s="6">
        <f>[Capital Social]/[Total Ações]</f>
        <v>0.70114373225301663</v>
      </c>
      <c r="AF264" s="78">
        <f>Tabela3[[#This Row],[Lucro Líquido]]/Tabela3[[#This Row],[Total Ações]]</f>
        <v>0.14745660597227445</v>
      </c>
      <c r="AG264" s="78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3.5020943918415183E-2</v>
      </c>
      <c r="AH264" s="78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264" s="78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264" s="78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3.5020943918415183E-2</v>
      </c>
      <c r="AK264" s="6">
        <f>[Div Base]*[Ações]</f>
        <v>448627.3970403173</v>
      </c>
      <c r="AL264" s="6">
        <f>SUMPRODUCT(N([Nome]=Tabela3[[#This Row],[Nome]]),[Div Base]*[Ações])</f>
        <v>5838700</v>
      </c>
      <c r="AM264" s="6">
        <f>[Patrimônio Líquido]/[Total Ações]</f>
        <v>2.760450763520097</v>
      </c>
      <c r="AN264" s="48">
        <f>MAX(Tabela3[[#This Row],[Cotação 1]:[Cotação 5]])</f>
        <v>3.5</v>
      </c>
      <c r="AO264" s="44">
        <f>[Cotação]/[VPA]</f>
        <v>1.2679088670057777</v>
      </c>
      <c r="AP264" s="40">
        <f>IF(Tabela3[[#This Row],[Lucro/Ação]]&gt;0,Tabela3[[#This Row],[Cotação]]/(Tabela3[[#This Row],[Lucro/Ação]]/[Ref]*4),0)</f>
        <v>17.801847416002278</v>
      </c>
      <c r="AQ264" s="78">
        <f>[Lucro Distribuir]/[Total Ações]</f>
        <v>0.14008377567366073</v>
      </c>
      <c r="AR264" s="78">
        <f>IF([Unit ON]&gt;0,SUMPRODUCT(N([Nome]=Tabela3[[#This Row],[Nome]]),N(RIGHT([PAPEL],1)="3"),[Div Base])*[Unit ON]+SUMPRODUCT(N([Nome]=Tabela3[[#This Row],[Nome]]),N(RIGHT([PAPEL],1)="4"),[Div Base])*[Unit PN],[Div Base])</f>
        <v>3.5020943918415183E-2</v>
      </c>
      <c r="AS264" s="15" t="str">
        <f>IF(AND([% A.A.]&gt;=6%,SUMPRODUCT(N([Nome]=Tabela3[[#This Row],[Nome]]),[PL])&gt;0,[Rentabilidade s/ PL]&gt;=[Rentabilidade s/ PL Média]),"Sim","Não")</f>
        <v>Não</v>
      </c>
      <c r="AT264" s="42">
        <f>IF([Cotação]&gt;0,Tabela3[[#This Row],[Lucro]]/Tabela3[[#This Row],[Cotação]],0)</f>
        <v>1.0005983976690053E-2</v>
      </c>
      <c r="AU264" s="19">
        <f>((1+Tabela3[[#This Row],[% Yield]])^(1/(3*Tabela3[[#This Row],[Ref]])))^(12)-1</f>
        <v>1.3363511528291516E-2</v>
      </c>
      <c r="AV264" s="14">
        <f>IF([Cotação]&gt;0,($BH$1/Tabela3[[#This Row],[Cotação]]-MOD($BH$1/Tabela3[[#This Row],[Cotação]],100)),)</f>
        <v>100</v>
      </c>
      <c r="AW264" s="17">
        <f>Tabela3[[#This Row],[Ativos]]*[Lucro]</f>
        <v>3.5020943918415184</v>
      </c>
      <c r="AX264" s="5">
        <f>SUMPRODUCT(N(Tabela1[Código]=Tabela3[[#This Row],[PAPEL]]),Tabela1[Fechamento])</f>
        <v>3.5</v>
      </c>
      <c r="AY264" s="5">
        <f>SUMPRODUCT(N(Tabela17[Código]=Tabela3[[#This Row],[PAPEL]]),Tabela17[Fechamento])</f>
        <v>0</v>
      </c>
      <c r="AZ264" s="7">
        <f>SUMPRODUCT(N(Tabela176[Código]=Tabela3[[#This Row],[PAPEL]]),Tabela176[Fechamento])</f>
        <v>0</v>
      </c>
      <c r="BA264" s="7">
        <f>SUMPRODUCT(N(Tabela1768[Código]=Tabela3[[#This Row],[PAPEL]]),Tabela1768[Fechamento])</f>
        <v>0</v>
      </c>
      <c r="BB264" s="7">
        <f>SUMPRODUCT(N(Tabela17683[Código]=Tabela3[[#This Row],[PAPEL]]),Tabela17683[Fechamento])</f>
        <v>0</v>
      </c>
    </row>
    <row r="265" spans="1:54" hidden="1">
      <c r="A265" s="4" t="s">
        <v>322</v>
      </c>
      <c r="B265" s="57" t="s">
        <v>323</v>
      </c>
      <c r="C265" s="82" t="str">
        <f>LEFT([PAPEL],LEN([PAPEL])-(LEN([PAPEL])-4))</f>
        <v>PRVI</v>
      </c>
      <c r="D265" s="15">
        <v>3</v>
      </c>
      <c r="E265" s="6">
        <v>422268606.5</v>
      </c>
      <c r="F265" s="8">
        <v>80041132</v>
      </c>
      <c r="G265" s="81">
        <v>0.25</v>
      </c>
      <c r="H265" s="15"/>
      <c r="I265" s="19"/>
      <c r="J265" s="19"/>
      <c r="K265" s="88"/>
      <c r="L265" s="88"/>
      <c r="M265" s="55"/>
      <c r="N265" s="55"/>
      <c r="O265" s="55"/>
      <c r="P265" s="6">
        <v>662099000</v>
      </c>
      <c r="Q265" s="6">
        <v>23239000</v>
      </c>
      <c r="R265" s="6">
        <f>IF(Tabela3[[#This Row],[Ativo || Passivo]]&gt;0,Tabela3[[#This Row],[Ativo || Passivo]]-Tabela3[[#This Row],[Patrimônio Líquido]],0)</f>
        <v>0</v>
      </c>
      <c r="S265" s="6">
        <f>Tabela3[[#This Row],[Cotação]]*Tabela3[[#This Row],[Total Ações]]</f>
        <v>656337282.39999998</v>
      </c>
      <c r="T265" s="132">
        <f>IF(Tabela3[[#This Row],[Passivo Circulante]]&gt;0,Tabela3[[#This Row],[Ativo Circulante]]/Tabela3[[#This Row],[Passivo Circulante]],0)</f>
        <v>0</v>
      </c>
      <c r="U265" s="132">
        <f>SUMPRODUCT(N([Liquidez Corrente]&gt;0),N(RIGHT([PAPEL],LEN([PAPEL])-(LEN([PAPEL])-1))="3"),[Liquidez Corrente])/SUMPRODUCT(N([Liquidez Corrente]&gt;0),N(RIGHT([PAPEL],LEN([PAPEL])-(LEN([PAPEL])-1))="3"))</f>
        <v>2.331224473064915</v>
      </c>
      <c r="V265" s="19">
        <f>IF(Tabela3[[#This Row],[Lucro Líquido]]&gt;0,Tabela3[[#This Row],[Lucro Líquido]]/Tabela3[[#This Row],[Patrimônio Líquido]],0)</f>
        <v>3.5098980666033328E-2</v>
      </c>
      <c r="W265" s="19">
        <f>SUMPRODUCT(N([Rentabilidade s/ PL]&gt;0),N(RIGHT([PAPEL],LEN([PAPEL])-(LEN([PAPEL])-1))="3"),[Rentabilidade s/ PL])/SUMPRODUCT(N([Rentabilidade s/ PL]&gt;0),N(RIGHT([PAPEL],LEN([PAPEL])-(LEN([PAPEL])-1))="3"))</f>
        <v>0.1261051308670782</v>
      </c>
      <c r="X265" s="19">
        <f>IF(Tabela3[[#This Row],[Dívida]]&gt;0,Tabela3[[#This Row],[Dívida]]/Tabela3[[#This Row],[Patrimônio Líquido]],0)</f>
        <v>0</v>
      </c>
      <c r="Y265" s="19">
        <f>SUMPRODUCT(N([Dívida / PL]&gt;0),N(RIGHT([PAPEL],LEN([PAPEL])-(LEN([PAPEL])-1))="3"),[Dívida / PL])/SUMPRODUCT(N([Dívida / PL]&gt;0),N(RIGHT([PAPEL],LEN([PAPEL])-(LEN([PAPEL])-1))="3"))</f>
        <v>2.1510410379481146</v>
      </c>
      <c r="Z265" s="6">
        <f>Tabela3[[#This Row],[Capital Social]]*20%</f>
        <v>84453721.300000012</v>
      </c>
      <c r="AA265" s="6">
        <f>IF(([Lucro Líquido]*5%)&gt;[Teto R. Legal],[Teto R. Legal],[Lucro Líquido]*5%)</f>
        <v>1161950</v>
      </c>
      <c r="AB265" s="6">
        <f>IF([Lucro Líquido]&lt;0,0,[Lucro Líquido]-[Reserva Legal])</f>
        <v>22077050</v>
      </c>
      <c r="AC265" s="6">
        <f>Tabela3[[#This Row],[Lucro Distribuir]]*[%Div]</f>
        <v>5519262.5</v>
      </c>
      <c r="AD265" s="56">
        <f>SUMPRODUCT(N([Nome]=Tabela3[[#This Row],[Nome]]),[Ações])</f>
        <v>80041132</v>
      </c>
      <c r="AE265" s="6">
        <f>[Capital Social]/[Total Ações]</f>
        <v>5.2756451083175584</v>
      </c>
      <c r="AF265" s="78">
        <f>Tabela3[[#This Row],[Lucro Líquido]]/Tabela3[[#This Row],[Total Ações]]</f>
        <v>0.29033822260284875</v>
      </c>
      <c r="AG265" s="78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6.8955327868176583E-2</v>
      </c>
      <c r="AH265" s="78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265" s="78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265" s="78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6.8955327868176583E-2</v>
      </c>
      <c r="AK265" s="6">
        <f>[Div Base]*[Ações]</f>
        <v>5519262.5000000009</v>
      </c>
      <c r="AL265" s="6">
        <f>SUMPRODUCT(N([Nome]=Tabela3[[#This Row],[Nome]]),[Div Base]*[Ações])</f>
        <v>5519262.5000000009</v>
      </c>
      <c r="AM265" s="6">
        <f>[Patrimônio Líquido]/[Total Ações]</f>
        <v>8.2719844591903069</v>
      </c>
      <c r="AN265" s="48">
        <f>MAX(Tabela3[[#This Row],[Cotação 1]:[Cotação 5]])</f>
        <v>8.1999999999999993</v>
      </c>
      <c r="AO265" s="44">
        <f>[Cotação]/[VPA]</f>
        <v>0.99129780047998861</v>
      </c>
      <c r="AP265" s="40">
        <f>IF(Tabela3[[#This Row],[Lucro/Ação]]&gt;0,Tabela3[[#This Row],[Cotação]]/(Tabela3[[#This Row],[Lucro/Ação]]/[Ref]*4),0)</f>
        <v>21.182192082275481</v>
      </c>
      <c r="AQ265" s="78">
        <f>[Lucro Distribuir]/[Total Ações]</f>
        <v>0.27582131147270633</v>
      </c>
      <c r="AR265" s="78">
        <f>IF([Unit ON]&gt;0,SUMPRODUCT(N([Nome]=Tabela3[[#This Row],[Nome]]),N(RIGHT([PAPEL],1)="3"),[Div Base])*[Unit ON]+SUMPRODUCT(N([Nome]=Tabela3[[#This Row],[Nome]]),N(RIGHT([PAPEL],1)="4"),[Div Base])*[Unit PN],[Div Base])</f>
        <v>6.8955327868176583E-2</v>
      </c>
      <c r="AS265" s="15" t="str">
        <f>IF(AND([% A.A.]&gt;=6%,SUMPRODUCT(N([Nome]=Tabela3[[#This Row],[Nome]]),[PL])&gt;0,[Rentabilidade s/ PL]&gt;=[Rentabilidade s/ PL Média]),"Sim","Não")</f>
        <v>Não</v>
      </c>
      <c r="AT265" s="42">
        <f>IF([Cotação]&gt;0,Tabela3[[#This Row],[Lucro]]/Tabela3[[#This Row],[Cotação]],0)</f>
        <v>8.4091863253873897E-3</v>
      </c>
      <c r="AU265" s="19">
        <f>((1+Tabela3[[#This Row],[% Yield]])^(1/(3*Tabela3[[#This Row],[Ref]])))^(12)-1</f>
        <v>1.1227933485183472E-2</v>
      </c>
      <c r="AV265" s="14">
        <f>IF([Cotação]&gt;0,($BH$1/Tabela3[[#This Row],[Cotação]]-MOD($BH$1/Tabela3[[#This Row],[Cotação]],100)),)</f>
        <v>0</v>
      </c>
      <c r="AW265" s="17">
        <f>Tabela3[[#This Row],[Ativos]]*[Lucro]</f>
        <v>0</v>
      </c>
      <c r="AX265" s="13">
        <f>SUMPRODUCT(N(Tabela1[Código]=Tabela3[[#This Row],[PAPEL]]),Tabela1[Fechamento])</f>
        <v>0</v>
      </c>
      <c r="AY265" s="55">
        <f>SUMPRODUCT(N(Tabela17[Código]=Tabela3[[#This Row],[PAPEL]]),Tabela17[Fechamento])</f>
        <v>8.1999999999999993</v>
      </c>
      <c r="AZ265" s="7">
        <f>SUMPRODUCT(N(Tabela176[Código]=Tabela3[[#This Row],[PAPEL]]),Tabela176[Fechamento])</f>
        <v>0</v>
      </c>
      <c r="BA265" s="7">
        <f>SUMPRODUCT(N(Tabela1768[Código]=Tabela3[[#This Row],[PAPEL]]),Tabela1768[Fechamento])</f>
        <v>0</v>
      </c>
      <c r="BB265" s="7">
        <f>SUMPRODUCT(N(Tabela17683[Código]=Tabela3[[#This Row],[PAPEL]]),Tabela17683[Fechamento])</f>
        <v>0</v>
      </c>
    </row>
    <row r="266" spans="1:54" hidden="1">
      <c r="A266" s="3" t="s">
        <v>312</v>
      </c>
      <c r="B266" s="58" t="s">
        <v>313</v>
      </c>
      <c r="C266" s="83" t="str">
        <f>LEFT([PAPEL],LEN([PAPEL])-(LEN([PAPEL])-4))</f>
        <v>LCAM</v>
      </c>
      <c r="D266" s="16">
        <v>3</v>
      </c>
      <c r="E266" s="5">
        <v>298927602.41000003</v>
      </c>
      <c r="F266" s="56">
        <v>65075322</v>
      </c>
      <c r="G266" s="86">
        <v>0.25</v>
      </c>
      <c r="H266" s="16"/>
      <c r="J266" s="18"/>
      <c r="K266" s="87"/>
      <c r="L266" s="87"/>
      <c r="M266" s="54"/>
      <c r="N266" s="54"/>
      <c r="O266" s="54"/>
      <c r="P266" s="5">
        <v>314080000</v>
      </c>
      <c r="Q266" s="5">
        <v>22535000</v>
      </c>
      <c r="R266" s="5">
        <f>IF(Tabela3[[#This Row],[Ativo || Passivo]]&gt;0,Tabela3[[#This Row],[Ativo || Passivo]]-Tabela3[[#This Row],[Patrimônio Líquido]],0)</f>
        <v>0</v>
      </c>
      <c r="S266" s="5">
        <f>Tabela3[[#This Row],[Cotação]]*Tabela3[[#This Row],[Total Ações]]</f>
        <v>253793755.79999998</v>
      </c>
      <c r="T266" s="130">
        <f>IF(Tabela3[[#This Row],[Passivo Circulante]]&gt;0,Tabela3[[#This Row],[Ativo Circulante]]/Tabela3[[#This Row],[Passivo Circulante]],0)</f>
        <v>0</v>
      </c>
      <c r="U266" s="130">
        <f>SUMPRODUCT(N([Liquidez Corrente]&gt;0),N(RIGHT([PAPEL],LEN([PAPEL])-(LEN([PAPEL])-1))="3"),[Liquidez Corrente])/SUMPRODUCT(N([Liquidez Corrente]&gt;0),N(RIGHT([PAPEL],LEN([PAPEL])-(LEN([PAPEL])-1))="3"))</f>
        <v>2.331224473064915</v>
      </c>
      <c r="V266" s="18">
        <f>IF(Tabela3[[#This Row],[Lucro Líquido]]&gt;0,Tabela3[[#This Row],[Lucro Líquido]]/Tabela3[[#This Row],[Patrimônio Líquido]],0)</f>
        <v>7.1749235863474273E-2</v>
      </c>
      <c r="W266" s="18">
        <f>SUMPRODUCT(N([Rentabilidade s/ PL]&gt;0),N(RIGHT([PAPEL],LEN([PAPEL])-(LEN([PAPEL])-1))="3"),[Rentabilidade s/ PL])/SUMPRODUCT(N([Rentabilidade s/ PL]&gt;0),N(RIGHT([PAPEL],LEN([PAPEL])-(LEN([PAPEL])-1))="3"))</f>
        <v>0.1261051308670782</v>
      </c>
      <c r="X266" s="18">
        <f>IF(Tabela3[[#This Row],[Dívida]]&gt;0,Tabela3[[#This Row],[Dívida]]/Tabela3[[#This Row],[Patrimônio Líquido]],0)</f>
        <v>0</v>
      </c>
      <c r="Y266" s="18">
        <f>SUMPRODUCT(N([Dívida / PL]&gt;0),N(RIGHT([PAPEL],LEN([PAPEL])-(LEN([PAPEL])-1))="3"),[Dívida / PL])/SUMPRODUCT(N([Dívida / PL]&gt;0),N(RIGHT([PAPEL],LEN([PAPEL])-(LEN([PAPEL])-1))="3"))</f>
        <v>2.1510410379481146</v>
      </c>
      <c r="Z266" s="5">
        <f>Tabela3[[#This Row],[Capital Social]]*20%</f>
        <v>59785520.482000008</v>
      </c>
      <c r="AA266" s="5">
        <f>IF(([Lucro Líquido]*5%)&gt;[Teto R. Legal],[Teto R. Legal],[Lucro Líquido]*5%)</f>
        <v>1126750</v>
      </c>
      <c r="AB266" s="5">
        <f>IF([Lucro Líquido]&lt;0,0,[Lucro Líquido]-[Reserva Legal])</f>
        <v>21408250</v>
      </c>
      <c r="AC266" s="5">
        <f>Tabela3[[#This Row],[Lucro Distribuir]]*[%Div]</f>
        <v>5352062.5</v>
      </c>
      <c r="AD266" s="56">
        <f>SUMPRODUCT(N([Nome]=Tabela3[[#This Row],[Nome]]),[Ações])</f>
        <v>65075322</v>
      </c>
      <c r="AE266" s="5">
        <f>[Capital Social]/[Total Ações]</f>
        <v>4.5935631699217723</v>
      </c>
      <c r="AF266" s="77">
        <f>Tabela3[[#This Row],[Lucro Líquido]]/Tabela3[[#This Row],[Total Ações]]</f>
        <v>0.34629102565178238</v>
      </c>
      <c r="AG266" s="77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8.2244118592298326E-2</v>
      </c>
      <c r="AH266" s="77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266" s="77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266" s="77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8.2244118592298326E-2</v>
      </c>
      <c r="AK266" s="5">
        <f>[Div Base]*[Ações]</f>
        <v>5352062.5</v>
      </c>
      <c r="AL266" s="5">
        <f>SUMPRODUCT(N([Nome]=Tabela3[[#This Row],[Nome]]),[Div Base]*[Ações])</f>
        <v>5352062.5</v>
      </c>
      <c r="AM266" s="5">
        <f>[Patrimônio Líquido]/[Total Ações]</f>
        <v>4.8264071593837059</v>
      </c>
      <c r="AN266" s="52">
        <f>MAX(Tabela3[[#This Row],[Cotação 1]:[Cotação 5]])</f>
        <v>3.9</v>
      </c>
      <c r="AO266" s="53">
        <f>[Cotação]/[VPA]</f>
        <v>0.80805449503311266</v>
      </c>
      <c r="AP266" s="37">
        <f>IF(Tabela3[[#This Row],[Lucro/Ação]]&gt;0,Tabela3[[#This Row],[Cotação]]/(Tabela3[[#This Row],[Lucro/Ação]]/[Ref]*4),0)</f>
        <v>8.4466526225870862</v>
      </c>
      <c r="AQ266" s="77">
        <f>[Lucro Distribuir]/[Total Ações]</f>
        <v>0.32897647436919331</v>
      </c>
      <c r="AR266" s="77">
        <f>IF([Unit ON]&gt;0,SUMPRODUCT(N([Nome]=Tabela3[[#This Row],[Nome]]),N(RIGHT([PAPEL],1)="3"),[Div Base])*[Unit ON]+SUMPRODUCT(N([Nome]=Tabela3[[#This Row],[Nome]]),N(RIGHT([PAPEL],1)="4"),[Div Base])*[Unit PN],[Div Base])</f>
        <v>8.2244118592298326E-2</v>
      </c>
      <c r="AS266" s="16" t="str">
        <f>IF(AND([% A.A.]&gt;=6%,SUMPRODUCT(N([Nome]=Tabela3[[#This Row],[Nome]]),[PL])&gt;0,[Rentabilidade s/ PL]&gt;=[Rentabilidade s/ PL Média]),"Sim","Não")</f>
        <v>Não</v>
      </c>
      <c r="AT266" s="22">
        <f>IF([Cotação]&gt;0,Tabela3[[#This Row],[Lucro]]/Tabela3[[#This Row],[Cotação]],0)</f>
        <v>2.1088235536486751E-2</v>
      </c>
      <c r="AU266" s="18">
        <f>((1+Tabela3[[#This Row],[% Yield]])^(1/(3*Tabela3[[#This Row],[Ref]])))^(12)-1</f>
        <v>2.8216013545619978E-2</v>
      </c>
      <c r="AV266" s="10">
        <f>IF([Cotação]&gt;0,($BH$1/Tabela3[[#This Row],[Cotação]]-MOD($BH$1/Tabela3[[#This Row],[Cotação]],100)),)</f>
        <v>100</v>
      </c>
      <c r="AW266" s="7">
        <f>Tabela3[[#This Row],[Ativos]]*[Lucro]</f>
        <v>8.2244118592298321</v>
      </c>
      <c r="AX266" s="47">
        <f>SUMPRODUCT(N(Tabela1[Código]=Tabela3[[#This Row],[PAPEL]]),Tabela1[Fechamento])</f>
        <v>0</v>
      </c>
      <c r="AY266" s="54">
        <f>SUMPRODUCT(N(Tabela17[Código]=Tabela3[[#This Row],[PAPEL]]),Tabela17[Fechamento])</f>
        <v>3.9</v>
      </c>
      <c r="AZ266" s="7">
        <f>SUMPRODUCT(N(Tabela176[Código]=Tabela3[[#This Row],[PAPEL]]),Tabela176[Fechamento])</f>
        <v>0</v>
      </c>
      <c r="BA266" s="7">
        <f>SUMPRODUCT(N(Tabela1768[Código]=Tabela3[[#This Row],[PAPEL]]),Tabela1768[Fechamento])</f>
        <v>0</v>
      </c>
      <c r="BB266" s="7">
        <f>SUMPRODUCT(N(Tabela17683[Código]=Tabela3[[#This Row],[PAPEL]]),Tabela17683[Fechamento])</f>
        <v>0</v>
      </c>
    </row>
    <row r="267" spans="1:54" hidden="1">
      <c r="A267" s="3" t="s">
        <v>1196</v>
      </c>
      <c r="B267" s="57" t="s">
        <v>1231</v>
      </c>
      <c r="C267" s="16" t="str">
        <f>LEFT([PAPEL],LEN([PAPEL])-(LEN([PAPEL])-4))</f>
        <v>TRIS</v>
      </c>
      <c r="D267" s="16">
        <v>3</v>
      </c>
      <c r="E267" s="5">
        <v>461080000</v>
      </c>
      <c r="F267" s="56">
        <v>81798769</v>
      </c>
      <c r="G267" s="81">
        <v>0.25</v>
      </c>
      <c r="H267" s="87"/>
      <c r="J267" s="18"/>
      <c r="K267" s="16"/>
      <c r="L267" s="87"/>
      <c r="M267" s="54"/>
      <c r="N267" s="54"/>
      <c r="O267" s="54"/>
      <c r="P267" s="91">
        <v>508873000</v>
      </c>
      <c r="Q267" s="73">
        <v>22490000</v>
      </c>
      <c r="R267" s="73">
        <f>IF(Tabela3[[#This Row],[Ativo || Passivo]]&gt;0,Tabela3[[#This Row],[Ativo || Passivo]]-Tabela3[[#This Row],[Patrimônio Líquido]],0)</f>
        <v>0</v>
      </c>
      <c r="S267" s="73">
        <f>Tabela3[[#This Row],[Cotação]]*Tabela3[[#This Row],[Total Ações]]</f>
        <v>295293556.08999997</v>
      </c>
      <c r="T267" s="37">
        <f>IF(Tabela3[[#This Row],[Passivo Circulante]]&gt;0,Tabela3[[#This Row],[Ativo Circulante]]/Tabela3[[#This Row],[Passivo Circulante]],0)</f>
        <v>0</v>
      </c>
      <c r="U267" s="37">
        <f>SUMPRODUCT(N([Liquidez Corrente]&gt;0),N(RIGHT([PAPEL],LEN([PAPEL])-(LEN([PAPEL])-1))="3"),[Liquidez Corrente])/SUMPRODUCT(N([Liquidez Corrente]&gt;0),N(RIGHT([PAPEL],LEN([PAPEL])-(LEN([PAPEL])-1))="3"))</f>
        <v>2.331224473064915</v>
      </c>
      <c r="V267" s="18">
        <f>IF(Tabela3[[#This Row],[Lucro Líquido]]&gt;0,Tabela3[[#This Row],[Lucro Líquido]]/Tabela3[[#This Row],[Patrimônio Líquido]],0)</f>
        <v>4.4195703053610626E-2</v>
      </c>
      <c r="W267" s="18">
        <f>SUMPRODUCT(N([Rentabilidade s/ PL]&gt;0),N(RIGHT([PAPEL],LEN([PAPEL])-(LEN([PAPEL])-1))="3"),[Rentabilidade s/ PL])/SUMPRODUCT(N([Rentabilidade s/ PL]&gt;0),N(RIGHT([PAPEL],LEN([PAPEL])-(LEN([PAPEL])-1))="3"))</f>
        <v>0.1261051308670782</v>
      </c>
      <c r="X267" s="18">
        <f>IF(Tabela3[[#This Row],[Dívida]]&gt;0,Tabela3[[#This Row],[Dívida]]/Tabela3[[#This Row],[Patrimônio Líquido]],0)</f>
        <v>0</v>
      </c>
      <c r="Y267" s="18">
        <f>SUMPRODUCT(N([Dívida / PL]&gt;0),N(RIGHT([PAPEL],LEN([PAPEL])-(LEN([PAPEL])-1))="3"),[Dívida / PL])/SUMPRODUCT(N([Dívida / PL]&gt;0),N(RIGHT([PAPEL],LEN([PAPEL])-(LEN([PAPEL])-1))="3"))</f>
        <v>2.1510410379481146</v>
      </c>
      <c r="Z267" s="7">
        <f>Tabela3[[#This Row],[Capital Social]]*20%</f>
        <v>92216000</v>
      </c>
      <c r="AA267" s="47">
        <f>IF(([Lucro Líquido]*5%)&gt;[Teto R. Legal],[Teto R. Legal],[Lucro Líquido]*5%)</f>
        <v>1124500</v>
      </c>
      <c r="AB267" s="47">
        <f>IF([Lucro Líquido]&lt;0,0,[Lucro Líquido]-[Reserva Legal])</f>
        <v>21365500</v>
      </c>
      <c r="AC267" s="47">
        <f>Tabela3[[#This Row],[Lucro Distribuir]]*[%Div]</f>
        <v>5341375</v>
      </c>
      <c r="AD267" s="56">
        <f>SUMPRODUCT(N([Nome]=Tabela3[[#This Row],[Nome]]),[Ações])</f>
        <v>81798769</v>
      </c>
      <c r="AE267" s="85">
        <f>[Capital Social]/[Total Ações]</f>
        <v>5.63675964365674</v>
      </c>
      <c r="AF267" s="85">
        <f>Tabela3[[#This Row],[Lucro Líquido]]/Tabela3[[#This Row],[Total Ações]]</f>
        <v>0.27494301289546302</v>
      </c>
      <c r="AG267" s="85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6.5298965562672465E-2</v>
      </c>
      <c r="AH267" s="85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267" s="77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267" s="85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6.5298965562672465E-2</v>
      </c>
      <c r="AK267" s="7">
        <f>[Div Base]*[Ações]</f>
        <v>5341375</v>
      </c>
      <c r="AL267" s="120">
        <f>SUMPRODUCT(N([Nome]=Tabela3[[#This Row],[Nome]]),[Div Base]*[Ações])</f>
        <v>5341375</v>
      </c>
      <c r="AM267" s="5">
        <f>[Patrimônio Líquido]/[Total Ações]</f>
        <v>6.2210349400245866</v>
      </c>
      <c r="AN267" s="52">
        <f>MAX(Tabela3[[#This Row],[Cotação 1]:[Cotação 5]])</f>
        <v>3.61</v>
      </c>
      <c r="AO267" s="53">
        <f>[Cotação]/[VPA]</f>
        <v>0.5802892982925012</v>
      </c>
      <c r="AP267" s="37">
        <f>IF(Tabela3[[#This Row],[Lucro/Ação]]&gt;0,Tabela3[[#This Row],[Cotação]]/(Tabela3[[#This Row],[Lucro/Ação]]/[Ref]*4),0)</f>
        <v>9.8474952008670513</v>
      </c>
      <c r="AQ267" s="85">
        <f>[Lucro Distribuir]/[Total Ações]</f>
        <v>0.26119586225068986</v>
      </c>
      <c r="AR267" s="85">
        <f>IF([Unit ON]&gt;0,SUMPRODUCT(N([Nome]=Tabela3[[#This Row],[Nome]]),N(RIGHT([PAPEL],1)="3"),[Div Base])*[Unit ON]+SUMPRODUCT(N([Nome]=Tabela3[[#This Row],[Nome]]),N(RIGHT([PAPEL],1)="4"),[Div Base])*[Unit PN],[Div Base])</f>
        <v>6.5298965562672465E-2</v>
      </c>
      <c r="AS267" s="10" t="str">
        <f>IF(AND([% A.A.]&gt;=6%,SUMPRODUCT(N([Nome]=Tabela3[[#This Row],[Nome]]),[PL])&gt;0,[Rentabilidade s/ PL]&gt;=[Rentabilidade s/ PL Média]),"Sim","Não")</f>
        <v>Não</v>
      </c>
      <c r="AT267" s="22">
        <f>IF([Cotação]&gt;0,Tabela3[[#This Row],[Lucro]]/Tabela3[[#This Row],[Cotação]],0)</f>
        <v>1.8088356111543618E-2</v>
      </c>
      <c r="AU267" s="22">
        <f>((1+Tabela3[[#This Row],[% Yield]])^(1/(3*Tabela3[[#This Row],[Ref]])))^(12)-1</f>
        <v>2.419022665222359E-2</v>
      </c>
      <c r="AV267" s="10">
        <f>IF([Cotação]&gt;0,($BH$1/Tabela3[[#This Row],[Cotação]]-MOD($BH$1/Tabela3[[#This Row],[Cotação]],100)),)</f>
        <v>100</v>
      </c>
      <c r="AW267" s="7">
        <f>Tabela3[[#This Row],[Ativos]]*[Lucro]</f>
        <v>6.5298965562672464</v>
      </c>
      <c r="AX267" s="7">
        <f>SUMPRODUCT(N(Tabela1[Código]=Tabela3[[#This Row],[PAPEL]]),Tabela1[Fechamento])</f>
        <v>0</v>
      </c>
      <c r="AY267" s="7">
        <f>SUMPRODUCT(N(Tabela17[Código]=Tabela3[[#This Row],[PAPEL]]),Tabela17[Fechamento])</f>
        <v>0</v>
      </c>
      <c r="AZ267" s="7">
        <f>SUMPRODUCT(N(Tabela176[Código]=Tabela3[[#This Row],[PAPEL]]),Tabela176[Fechamento])</f>
        <v>0</v>
      </c>
      <c r="BA267" s="7">
        <f>SUMPRODUCT(N(Tabela1768[Código]=Tabela3[[#This Row],[PAPEL]]),Tabela1768[Fechamento])</f>
        <v>3.61</v>
      </c>
      <c r="BB267" s="7">
        <f>SUMPRODUCT(N(Tabela17683[Código]=Tabela3[[#This Row],[PAPEL]]),Tabela17683[Fechamento])</f>
        <v>0</v>
      </c>
    </row>
    <row r="268" spans="1:54" hidden="1">
      <c r="A268" s="3" t="s">
        <v>1196</v>
      </c>
      <c r="B268" s="58" t="s">
        <v>1223</v>
      </c>
      <c r="C268" s="16" t="str">
        <f>LEFT([PAPEL],LEN([PAPEL])-(LEN([PAPEL])-4))</f>
        <v>JFEN</v>
      </c>
      <c r="D268" s="16">
        <v>3</v>
      </c>
      <c r="E268" s="5">
        <v>840888586.38999999</v>
      </c>
      <c r="F268" s="56">
        <v>177770363</v>
      </c>
      <c r="G268" s="81">
        <v>0.25</v>
      </c>
      <c r="H268" s="87"/>
      <c r="J268" s="18"/>
      <c r="K268" s="16"/>
      <c r="L268" s="87"/>
      <c r="M268" s="54"/>
      <c r="N268" s="54"/>
      <c r="O268" s="54"/>
      <c r="P268" s="91">
        <v>872441000</v>
      </c>
      <c r="Q268" s="73">
        <v>22038000</v>
      </c>
      <c r="R268" s="73">
        <f>IF(Tabela3[[#This Row],[Ativo || Passivo]]&gt;0,Tabela3[[#This Row],[Ativo || Passivo]]-Tabela3[[#This Row],[Patrimônio Líquido]],0)</f>
        <v>0</v>
      </c>
      <c r="S268" s="73">
        <f>Tabela3[[#This Row],[Cotação]]*Tabela3[[#This Row],[Total Ações]]</f>
        <v>977736996.5</v>
      </c>
      <c r="T268" s="37">
        <f>IF(Tabela3[[#This Row],[Passivo Circulante]]&gt;0,Tabela3[[#This Row],[Ativo Circulante]]/Tabela3[[#This Row],[Passivo Circulante]],0)</f>
        <v>0</v>
      </c>
      <c r="U268" s="37">
        <f>SUMPRODUCT(N([Liquidez Corrente]&gt;0),N(RIGHT([PAPEL],LEN([PAPEL])-(LEN([PAPEL])-1))="3"),[Liquidez Corrente])/SUMPRODUCT(N([Liquidez Corrente]&gt;0),N(RIGHT([PAPEL],LEN([PAPEL])-(LEN([PAPEL])-1))="3"))</f>
        <v>2.331224473064915</v>
      </c>
      <c r="V268" s="18">
        <f>IF(Tabela3[[#This Row],[Lucro Líquido]]&gt;0,Tabela3[[#This Row],[Lucro Líquido]]/Tabela3[[#This Row],[Patrimônio Líquido]],0)</f>
        <v>2.5260160859015109E-2</v>
      </c>
      <c r="W268" s="18">
        <f>SUMPRODUCT(N([Rentabilidade s/ PL]&gt;0),N(RIGHT([PAPEL],LEN([PAPEL])-(LEN([PAPEL])-1))="3"),[Rentabilidade s/ PL])/SUMPRODUCT(N([Rentabilidade s/ PL]&gt;0),N(RIGHT([PAPEL],LEN([PAPEL])-(LEN([PAPEL])-1))="3"))</f>
        <v>0.1261051308670782</v>
      </c>
      <c r="X268" s="18">
        <f>IF(Tabela3[[#This Row],[Dívida]]&gt;0,Tabela3[[#This Row],[Dívida]]/Tabela3[[#This Row],[Patrimônio Líquido]],0)</f>
        <v>0</v>
      </c>
      <c r="Y268" s="18">
        <f>SUMPRODUCT(N([Dívida / PL]&gt;0),N(RIGHT([PAPEL],LEN([PAPEL])-(LEN([PAPEL])-1))="3"),[Dívida / PL])/SUMPRODUCT(N([Dívida / PL]&gt;0),N(RIGHT([PAPEL],LEN([PAPEL])-(LEN([PAPEL])-1))="3"))</f>
        <v>2.1510410379481146</v>
      </c>
      <c r="Z268" s="7">
        <f>Tabela3[[#This Row],[Capital Social]]*20%</f>
        <v>168177717.278</v>
      </c>
      <c r="AA268" s="47">
        <f>IF(([Lucro Líquido]*5%)&gt;[Teto R. Legal],[Teto R. Legal],[Lucro Líquido]*5%)</f>
        <v>1101900</v>
      </c>
      <c r="AB268" s="47">
        <f>IF([Lucro Líquido]&lt;0,0,[Lucro Líquido]-[Reserva Legal])</f>
        <v>20936100</v>
      </c>
      <c r="AC268" s="47">
        <f>Tabela3[[#This Row],[Lucro Distribuir]]*[%Div]</f>
        <v>5234025</v>
      </c>
      <c r="AD268" s="56">
        <f>SUMPRODUCT(N([Nome]=Tabela3[[#This Row],[Nome]]),[Ações])</f>
        <v>177770363</v>
      </c>
      <c r="AE268" s="85">
        <f>[Capital Social]/[Total Ações]</f>
        <v>4.7301955860325267</v>
      </c>
      <c r="AF268" s="85">
        <f>Tabela3[[#This Row],[Lucro Líquido]]/Tabela3[[#This Row],[Total Ações]]</f>
        <v>0.1239689205112328</v>
      </c>
      <c r="AG268" s="85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2.9442618621417789E-2</v>
      </c>
      <c r="AH268" s="85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268" s="77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268" s="85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2.9442618621417789E-2</v>
      </c>
      <c r="AK268" s="7">
        <f>[Div Base]*[Ações]</f>
        <v>5234025</v>
      </c>
      <c r="AL268" s="120">
        <f>SUMPRODUCT(N([Nome]=Tabela3[[#This Row],[Nome]]),[Div Base]*[Ações])</f>
        <v>5234025</v>
      </c>
      <c r="AM268" s="5">
        <f>[Patrimônio Líquido]/[Total Ações]</f>
        <v>4.9076853153525937</v>
      </c>
      <c r="AN268" s="52">
        <f>MAX(Tabela3[[#This Row],[Cotação 1]:[Cotação 5]])</f>
        <v>5.5</v>
      </c>
      <c r="AO268" s="53">
        <f>[Cotação]/[VPA]</f>
        <v>1.1206912519012746</v>
      </c>
      <c r="AP268" s="37">
        <f>IF(Tabela3[[#This Row],[Lucro/Ação]]&gt;0,Tabela3[[#This Row],[Cotação]]/(Tabela3[[#This Row],[Lucro/Ação]]/[Ref]*4),0)</f>
        <v>33.27446897971685</v>
      </c>
      <c r="AQ268" s="85">
        <f>[Lucro Distribuir]/[Total Ações]</f>
        <v>0.11777047448567116</v>
      </c>
      <c r="AR268" s="85">
        <f>IF([Unit ON]&gt;0,SUMPRODUCT(N([Nome]=Tabela3[[#This Row],[Nome]]),N(RIGHT([PAPEL],1)="3"),[Div Base])*[Unit ON]+SUMPRODUCT(N([Nome]=Tabela3[[#This Row],[Nome]]),N(RIGHT([PAPEL],1)="4"),[Div Base])*[Unit PN],[Div Base])</f>
        <v>2.9442618621417789E-2</v>
      </c>
      <c r="AS268" s="10" t="str">
        <f>IF(AND([% A.A.]&gt;=6%,SUMPRODUCT(N([Nome]=Tabela3[[#This Row],[Nome]]),[PL])&gt;0,[Rentabilidade s/ PL]&gt;=[Rentabilidade s/ PL Média]),"Sim","Não")</f>
        <v>Não</v>
      </c>
      <c r="AT268" s="22">
        <f>IF([Cotação]&gt;0,Tabela3[[#This Row],[Lucro]]/Tabela3[[#This Row],[Cotação]],0)</f>
        <v>5.3532033857123249E-3</v>
      </c>
      <c r="AU268" s="22">
        <f>((1+Tabela3[[#This Row],[% Yield]])^(1/(3*Tabela3[[#This Row],[Ref]])))^(12)-1</f>
        <v>7.1439651303220053E-3</v>
      </c>
      <c r="AV268" s="10">
        <f>IF([Cotação]&gt;0,($BH$1/Tabela3[[#This Row],[Cotação]]-MOD($BH$1/Tabela3[[#This Row],[Cotação]],100)),)</f>
        <v>0</v>
      </c>
      <c r="AW268" s="7">
        <f>Tabela3[[#This Row],[Ativos]]*[Lucro]</f>
        <v>0</v>
      </c>
      <c r="AX268" s="7">
        <f>SUMPRODUCT(N(Tabela1[Código]=Tabela3[[#This Row],[PAPEL]]),Tabela1[Fechamento])</f>
        <v>0</v>
      </c>
      <c r="AY268" s="7">
        <f>SUMPRODUCT(N(Tabela17[Código]=Tabela3[[#This Row],[PAPEL]]),Tabela17[Fechamento])</f>
        <v>0</v>
      </c>
      <c r="AZ268" s="7">
        <f>SUMPRODUCT(N(Tabela176[Código]=Tabela3[[#This Row],[PAPEL]]),Tabela176[Fechamento])</f>
        <v>0</v>
      </c>
      <c r="BA268" s="7">
        <f>SUMPRODUCT(N(Tabela1768[Código]=Tabela3[[#This Row],[PAPEL]]),Tabela1768[Fechamento])</f>
        <v>5.5</v>
      </c>
      <c r="BB268" s="7">
        <f>SUMPRODUCT(N(Tabela17683[Código]=Tabela3[[#This Row],[PAPEL]]),Tabela17683[Fechamento])</f>
        <v>0</v>
      </c>
    </row>
    <row r="269" spans="1:54" hidden="1">
      <c r="A269" s="4" t="s">
        <v>753</v>
      </c>
      <c r="B269" s="57" t="s">
        <v>761</v>
      </c>
      <c r="C269" s="15" t="str">
        <f>LEFT([PAPEL],LEN([PAPEL])-(LEN([PAPEL])-4))</f>
        <v>QUAL</v>
      </c>
      <c r="D269" s="15">
        <v>3</v>
      </c>
      <c r="E269" s="6">
        <v>1875873805.45</v>
      </c>
      <c r="F269" s="8">
        <v>266602637</v>
      </c>
      <c r="G269" s="86">
        <v>0.25</v>
      </c>
      <c r="H269" s="15"/>
      <c r="I269" s="19"/>
      <c r="J269" s="19"/>
      <c r="K269" s="88"/>
      <c r="L269" s="88"/>
      <c r="M269" s="55"/>
      <c r="N269" s="55"/>
      <c r="O269" s="55"/>
      <c r="P269" s="92">
        <v>2050249000</v>
      </c>
      <c r="Q269" s="93">
        <v>19889000</v>
      </c>
      <c r="R269" s="93">
        <f>IF(Tabela3[[#This Row],[Ativo || Passivo]]&gt;0,Tabela3[[#This Row],[Ativo || Passivo]]-Tabela3[[#This Row],[Patrimônio Líquido]],0)</f>
        <v>0</v>
      </c>
      <c r="S269" s="93">
        <f>Tabela3[[#This Row],[Cotação]]*Tabela3[[#This Row],[Total Ações]]</f>
        <v>5222745658.8299999</v>
      </c>
      <c r="T269" s="40">
        <f>IF(Tabela3[[#This Row],[Passivo Circulante]]&gt;0,Tabela3[[#This Row],[Ativo Circulante]]/Tabela3[[#This Row],[Passivo Circulante]],0)</f>
        <v>0</v>
      </c>
      <c r="U269" s="40">
        <f>SUMPRODUCT(N([Liquidez Corrente]&gt;0),N(RIGHT([PAPEL],LEN([PAPEL])-(LEN([PAPEL])-1))="3"),[Liquidez Corrente])/SUMPRODUCT(N([Liquidez Corrente]&gt;0),N(RIGHT([PAPEL],LEN([PAPEL])-(LEN([PAPEL])-1))="3"))</f>
        <v>2.331224473064915</v>
      </c>
      <c r="V269" s="19">
        <f>IF(Tabela3[[#This Row],[Lucro Líquido]]&gt;0,Tabela3[[#This Row],[Lucro Líquido]]/Tabela3[[#This Row],[Patrimônio Líquido]],0)</f>
        <v>9.7007729305074644E-3</v>
      </c>
      <c r="W269" s="19">
        <f>SUMPRODUCT(N([Rentabilidade s/ PL]&gt;0),N(RIGHT([PAPEL],LEN([PAPEL])-(LEN([PAPEL])-1))="3"),[Rentabilidade s/ PL])/SUMPRODUCT(N([Rentabilidade s/ PL]&gt;0),N(RIGHT([PAPEL],LEN([PAPEL])-(LEN([PAPEL])-1))="3"))</f>
        <v>0.1261051308670782</v>
      </c>
      <c r="X269" s="19">
        <f>IF(Tabela3[[#This Row],[Dívida]]&gt;0,Tabela3[[#This Row],[Dívida]]/Tabela3[[#This Row],[Patrimônio Líquido]],0)</f>
        <v>0</v>
      </c>
      <c r="Y269" s="19">
        <f>SUMPRODUCT(N([Dívida / PL]&gt;0),N(RIGHT([PAPEL],LEN([PAPEL])-(LEN([PAPEL])-1))="3"),[Dívida / PL])/SUMPRODUCT(N([Dívida / PL]&gt;0),N(RIGHT([PAPEL],LEN([PAPEL])-(LEN([PAPEL])-1))="3"))</f>
        <v>2.1510410379481146</v>
      </c>
      <c r="Z269" s="13">
        <f>Tabela3[[#This Row],[Capital Social]]*20%</f>
        <v>375174761.09000003</v>
      </c>
      <c r="AA269" s="13">
        <f>IF(([Lucro Líquido]*5%)&gt;[Teto R. Legal],[Teto R. Legal],[Lucro Líquido]*5%)</f>
        <v>994450</v>
      </c>
      <c r="AB269" s="13">
        <f>IF([Lucro Líquido]&lt;0,0,[Lucro Líquido]-[Reserva Legal])</f>
        <v>18894550</v>
      </c>
      <c r="AC269" s="13">
        <f>Tabela3[[#This Row],[Lucro Distribuir]]*[%Div]</f>
        <v>4723637.5</v>
      </c>
      <c r="AD269" s="56">
        <f>SUMPRODUCT(N([Nome]=Tabela3[[#This Row],[Nome]]),[Ações])</f>
        <v>266602637</v>
      </c>
      <c r="AE269" s="6">
        <f>[Capital Social]/[Total Ações]</f>
        <v>7.0362162451153853</v>
      </c>
      <c r="AF269" s="78">
        <f>Tabela3[[#This Row],[Lucro Líquido]]/Tabela3[[#This Row],[Total Ações]]</f>
        <v>7.4601662698482604E-2</v>
      </c>
      <c r="AG269" s="78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1.771789489088962E-2</v>
      </c>
      <c r="AH269" s="78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269" s="78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269" s="78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1.771789489088962E-2</v>
      </c>
      <c r="AK269" s="13">
        <f>[Div Base]*[Ações]</f>
        <v>4723637.5</v>
      </c>
      <c r="AL269" s="13">
        <f>SUMPRODUCT(N([Nome]=Tabela3[[#This Row],[Nome]]),[Div Base]*[Ações])</f>
        <v>4723637.5</v>
      </c>
      <c r="AM269" s="6">
        <f>[Patrimônio Líquido]/[Total Ações]</f>
        <v>7.6902802728091544</v>
      </c>
      <c r="AN269" s="48">
        <f>MAX(Tabela3[[#This Row],[Cotação 1]:[Cotação 5]])</f>
        <v>19.59</v>
      </c>
      <c r="AO269" s="44">
        <f>[Cotação]/[VPA]</f>
        <v>2.5473713967571743</v>
      </c>
      <c r="AP269" s="40">
        <f>IF(Tabela3[[#This Row],[Lucro/Ação]]&gt;0,Tabela3[[#This Row],[Cotação]]/(Tabela3[[#This Row],[Lucro/Ação]]/[Ref]*4),0)</f>
        <v>196.9460125759214</v>
      </c>
      <c r="AQ269" s="78">
        <f>[Lucro Distribuir]/[Total Ações]</f>
        <v>7.0871579563558482E-2</v>
      </c>
      <c r="AR269" s="78">
        <f>IF([Unit ON]&gt;0,SUMPRODUCT(N([Nome]=Tabela3[[#This Row],[Nome]]),N(RIGHT([PAPEL],1)="3"),[Div Base])*[Unit ON]+SUMPRODUCT(N([Nome]=Tabela3[[#This Row],[Nome]]),N(RIGHT([PAPEL],1)="4"),[Div Base])*[Unit PN],[Div Base])</f>
        <v>1.771789489088962E-2</v>
      </c>
      <c r="AS269" s="14" t="str">
        <f>IF(AND([% A.A.]&gt;=6%,SUMPRODUCT(N([Nome]=Tabela3[[#This Row],[Nome]]),[PL])&gt;0,[Rentabilidade s/ PL]&gt;=[Rentabilidade s/ PL Média]),"Sim","Não")</f>
        <v>Não</v>
      </c>
      <c r="AT269" s="42">
        <f>IF([Cotação]&gt;0,Tabela3[[#This Row],[Lucro]]/Tabela3[[#This Row],[Cotação]],0)</f>
        <v>9.0443567590044009E-4</v>
      </c>
      <c r="AU269" s="42">
        <f>((1+Tabela3[[#This Row],[% Yield]])^(1/(3*Tabela3[[#This Row],[Ref]])))^(12)-1</f>
        <v>1.2060959766553303E-3</v>
      </c>
      <c r="AV269" s="14">
        <f>IF([Cotação]&gt;0,($BH$1/Tabela3[[#This Row],[Cotação]]-MOD($BH$1/Tabela3[[#This Row],[Cotação]],100)),)</f>
        <v>0</v>
      </c>
      <c r="AW269" s="17">
        <f>Tabela3[[#This Row],[Ativos]]*[Lucro]</f>
        <v>0</v>
      </c>
      <c r="AX269" s="17">
        <f>SUMPRODUCT(N(Tabela1[Código]=Tabela3[[#This Row],[PAPEL]]),Tabela1[Fechamento])</f>
        <v>0</v>
      </c>
      <c r="AY269" s="17">
        <f>SUMPRODUCT(N(Tabela17[Código]=Tabela3[[#This Row],[PAPEL]]),Tabela17[Fechamento])</f>
        <v>0</v>
      </c>
      <c r="AZ269" s="17">
        <f>SUMPRODUCT(N(Tabela176[Código]=Tabela3[[#This Row],[PAPEL]]),Tabela176[Fechamento])</f>
        <v>19.59</v>
      </c>
      <c r="BA269" s="17">
        <f>SUMPRODUCT(N(Tabela1768[Código]=Tabela3[[#This Row],[PAPEL]]),Tabela1768[Fechamento])</f>
        <v>0</v>
      </c>
      <c r="BB269" s="7">
        <f>SUMPRODUCT(N(Tabela17683[Código]=Tabela3[[#This Row],[PAPEL]]),Tabela17683[Fechamento])</f>
        <v>0</v>
      </c>
    </row>
    <row r="270" spans="1:54" hidden="1">
      <c r="A270" s="4" t="s">
        <v>37</v>
      </c>
      <c r="B270" s="57" t="s">
        <v>178</v>
      </c>
      <c r="C270" s="14" t="str">
        <f>LEFT([PAPEL],LEN([PAPEL])-(LEN([PAPEL])-4))</f>
        <v>CASN</v>
      </c>
      <c r="D270" s="15">
        <v>3</v>
      </c>
      <c r="E270" s="6">
        <v>842266637.82000005</v>
      </c>
      <c r="F270" s="8">
        <v>357547216</v>
      </c>
      <c r="G270" s="81">
        <v>0.25</v>
      </c>
      <c r="H270" s="15"/>
      <c r="I270" s="19"/>
      <c r="J270" s="19"/>
      <c r="K270" s="88"/>
      <c r="L270" s="88"/>
      <c r="M270" s="55"/>
      <c r="N270" s="55"/>
      <c r="O270" s="55"/>
      <c r="P270" s="6">
        <v>1255450000</v>
      </c>
      <c r="Q270" s="6">
        <v>19870000</v>
      </c>
      <c r="R270" s="6">
        <f>IF(Tabela3[[#This Row],[Ativo || Passivo]]&gt;0,Tabela3[[#This Row],[Ativo || Passivo]]-Tabela3[[#This Row],[Patrimônio Líquido]],0)</f>
        <v>0</v>
      </c>
      <c r="S270" s="6">
        <f>Tabela3[[#This Row],[Cotação]]*Tabela3[[#This Row],[Total Ações]]</f>
        <v>2946189059.8400002</v>
      </c>
      <c r="T270" s="132">
        <f>IF(Tabela3[[#This Row],[Passivo Circulante]]&gt;0,Tabela3[[#This Row],[Ativo Circulante]]/Tabela3[[#This Row],[Passivo Circulante]],0)</f>
        <v>0</v>
      </c>
      <c r="U270" s="132">
        <f>SUMPRODUCT(N([Liquidez Corrente]&gt;0),N(RIGHT([PAPEL],LEN([PAPEL])-(LEN([PAPEL])-1))="3"),[Liquidez Corrente])/SUMPRODUCT(N([Liquidez Corrente]&gt;0),N(RIGHT([PAPEL],LEN([PAPEL])-(LEN([PAPEL])-1))="3"))</f>
        <v>2.331224473064915</v>
      </c>
      <c r="V270" s="19">
        <f>IF(Tabela3[[#This Row],[Lucro Líquido]]&gt;0,Tabela3[[#This Row],[Lucro Líquido]]/Tabela3[[#This Row],[Patrimônio Líquido]],0)</f>
        <v>1.5826994304830939E-2</v>
      </c>
      <c r="W270" s="19">
        <f>SUMPRODUCT(N([Rentabilidade s/ PL]&gt;0),N(RIGHT([PAPEL],LEN([PAPEL])-(LEN([PAPEL])-1))="3"),[Rentabilidade s/ PL])/SUMPRODUCT(N([Rentabilidade s/ PL]&gt;0),N(RIGHT([PAPEL],LEN([PAPEL])-(LEN([PAPEL])-1))="3"))</f>
        <v>0.1261051308670782</v>
      </c>
      <c r="X270" s="19">
        <f>IF(Tabela3[[#This Row],[Dívida]]&gt;0,Tabela3[[#This Row],[Dívida]]/Tabela3[[#This Row],[Patrimônio Líquido]],0)</f>
        <v>0</v>
      </c>
      <c r="Y270" s="19">
        <f>SUMPRODUCT(N([Dívida / PL]&gt;0),N(RIGHT([PAPEL],LEN([PAPEL])-(LEN([PAPEL])-1))="3"),[Dívida / PL])/SUMPRODUCT(N([Dívida / PL]&gt;0),N(RIGHT([PAPEL],LEN([PAPEL])-(LEN([PAPEL])-1))="3"))</f>
        <v>2.1510410379481146</v>
      </c>
      <c r="Z270" s="6">
        <f>Tabela3[[#This Row],[Capital Social]]*20%</f>
        <v>168453327.56400001</v>
      </c>
      <c r="AA270" s="6">
        <f>IF(([Lucro Líquido]*5%)&gt;[Teto R. Legal],[Teto R. Legal],[Lucro Líquido]*5%)</f>
        <v>993500</v>
      </c>
      <c r="AB270" s="6">
        <f>IF([Lucro Líquido]&lt;0,0,[Lucro Líquido]-[Reserva Legal])</f>
        <v>18876500</v>
      </c>
      <c r="AC270" s="6">
        <f>Tabela3[[#This Row],[Lucro Distribuir]]*[%Div]</f>
        <v>4719125</v>
      </c>
      <c r="AD270" s="21">
        <f>SUMPRODUCT(N([Nome]=Tabela3[[#This Row],[Nome]]),[Ações])</f>
        <v>715094432</v>
      </c>
      <c r="AE270" s="6">
        <f>[Capital Social]/[Total Ações]</f>
        <v>1.1778397371439748</v>
      </c>
      <c r="AF270" s="78">
        <f>Tabela3[[#This Row],[Lucro Líquido]]/Tabela3[[#This Row],[Total Ações]]</f>
        <v>2.7786539946097637E-2</v>
      </c>
      <c r="AG270" s="78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6.3939738189784639E-3</v>
      </c>
      <c r="AH270" s="78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270" s="78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270" s="78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6.3939738189784639E-3</v>
      </c>
      <c r="AK270" s="6">
        <f>[Div Base]*[Ações]</f>
        <v>2286147.5381526379</v>
      </c>
      <c r="AL270" s="6">
        <f>SUMPRODUCT(N([Nome]=Tabela3[[#This Row],[Nome]]),[Div Base]*[Ações])</f>
        <v>4800909.8335655006</v>
      </c>
      <c r="AM270" s="6">
        <f>[Patrimônio Líquido]/[Total Ações]</f>
        <v>1.7556422534136022</v>
      </c>
      <c r="AN270" s="48">
        <f>MAX(Tabela3[[#This Row],[Cotação 1]:[Cotação 5]])</f>
        <v>4.12</v>
      </c>
      <c r="AO270" s="44">
        <f>[Cotação]/[VPA]</f>
        <v>2.3467195506312479</v>
      </c>
      <c r="AP270" s="40">
        <f>IF(Tabela3[[#This Row],[Lucro/Ação]]&gt;0,Tabela3[[#This Row],[Cotação]]/(Tabela3[[#This Row],[Lucro/Ação]]/[Ref]*4),0)</f>
        <v>111.20492173527931</v>
      </c>
      <c r="AQ270" s="78">
        <f>[Lucro Distribuir]/[Total Ações]</f>
        <v>2.6397212948792756E-2</v>
      </c>
      <c r="AR270" s="78">
        <f>IF([Unit ON]&gt;0,SUMPRODUCT(N([Nome]=Tabela3[[#This Row],[Nome]]),N(RIGHT([PAPEL],1)="3"),[Div Base])*[Unit ON]+SUMPRODUCT(N([Nome]=Tabela3[[#This Row],[Nome]]),N(RIGHT([PAPEL],1)="4"),[Div Base])*[Unit PN],[Div Base])</f>
        <v>6.3939738189784639E-3</v>
      </c>
      <c r="AS270" s="15" t="str">
        <f>IF(AND([% A.A.]&gt;=6%,SUMPRODUCT(N([Nome]=Tabela3[[#This Row],[Nome]]),[PL])&gt;0,[Rentabilidade s/ PL]&gt;=[Rentabilidade s/ PL Média]),"Sim","Não")</f>
        <v>Não</v>
      </c>
      <c r="AT270" s="42">
        <f>IF([Cotação]&gt;0,Tabela3[[#This Row],[Lucro]]/Tabela3[[#This Row],[Cotação]],0)</f>
        <v>1.5519353929559377E-3</v>
      </c>
      <c r="AU270" s="19">
        <f>((1+Tabela3[[#This Row],[% Yield]])^(1/(3*Tabela3[[#This Row],[Ref]])))^(12)-1</f>
        <v>2.0697822291331214E-3</v>
      </c>
      <c r="AV270" s="14">
        <f>IF([Cotação]&gt;0,($BH$1/Tabela3[[#This Row],[Cotação]]-MOD($BH$1/Tabela3[[#This Row],[Cotação]],100)),)</f>
        <v>100</v>
      </c>
      <c r="AW270" s="17">
        <f>Tabela3[[#This Row],[Ativos]]*[Lucro]</f>
        <v>0.63939738189784634</v>
      </c>
      <c r="AX270" s="5">
        <f>SUMPRODUCT(N(Tabela1[Código]=Tabela3[[#This Row],[PAPEL]]),Tabela1[Fechamento])</f>
        <v>4.12</v>
      </c>
      <c r="AY270" s="5">
        <f>SUMPRODUCT(N(Tabela17[Código]=Tabela3[[#This Row],[PAPEL]]),Tabela17[Fechamento])</f>
        <v>0</v>
      </c>
      <c r="AZ270" s="7">
        <f>SUMPRODUCT(N(Tabela176[Código]=Tabela3[[#This Row],[PAPEL]]),Tabela176[Fechamento])</f>
        <v>0</v>
      </c>
      <c r="BA270" s="7">
        <f>SUMPRODUCT(N(Tabela1768[Código]=Tabela3[[#This Row],[PAPEL]]),Tabela1768[Fechamento])</f>
        <v>0</v>
      </c>
      <c r="BB270" s="7">
        <f>SUMPRODUCT(N(Tabela17683[Código]=Tabela3[[#This Row],[PAPEL]]),Tabela17683[Fechamento])</f>
        <v>0</v>
      </c>
    </row>
    <row r="271" spans="1:54" hidden="1">
      <c r="A271" s="4" t="s">
        <v>37</v>
      </c>
      <c r="B271" s="57" t="s">
        <v>521</v>
      </c>
      <c r="C271" s="83" t="str">
        <f>LEFT([PAPEL],LEN([PAPEL])-(LEN([PAPEL])-4))</f>
        <v>CASN</v>
      </c>
      <c r="D271" s="16">
        <v>3</v>
      </c>
      <c r="E271" s="6">
        <v>842266637.82000005</v>
      </c>
      <c r="F271" s="56">
        <v>357547216</v>
      </c>
      <c r="G271" s="81">
        <v>0.25</v>
      </c>
      <c r="H271" s="16"/>
      <c r="J271" s="18">
        <v>0.1</v>
      </c>
      <c r="K271" s="87"/>
      <c r="L271" s="87"/>
      <c r="M271" s="54"/>
      <c r="N271" s="54"/>
      <c r="O271" s="54"/>
      <c r="P271" s="6">
        <v>1255450000</v>
      </c>
      <c r="Q271" s="6">
        <v>19870000</v>
      </c>
      <c r="R271" s="6">
        <f>IF(Tabela3[[#This Row],[Ativo || Passivo]]&gt;0,Tabela3[[#This Row],[Ativo || Passivo]]-Tabela3[[#This Row],[Patrimônio Líquido]],0)</f>
        <v>0</v>
      </c>
      <c r="S271" s="6">
        <f>Tabela3[[#This Row],[Cotação]]*Tabela3[[#This Row],[Total Ações]]</f>
        <v>0</v>
      </c>
      <c r="T271" s="132">
        <f>IF(Tabela3[[#This Row],[Passivo Circulante]]&gt;0,Tabela3[[#This Row],[Ativo Circulante]]/Tabela3[[#This Row],[Passivo Circulante]],0)</f>
        <v>0</v>
      </c>
      <c r="U271" s="132">
        <f>SUMPRODUCT(N([Liquidez Corrente]&gt;0),N(RIGHT([PAPEL],LEN([PAPEL])-(LEN([PAPEL])-1))="3"),[Liquidez Corrente])/SUMPRODUCT(N([Liquidez Corrente]&gt;0),N(RIGHT([PAPEL],LEN([PAPEL])-(LEN([PAPEL])-1))="3"))</f>
        <v>2.331224473064915</v>
      </c>
      <c r="V271" s="19">
        <f>IF(Tabela3[[#This Row],[Lucro Líquido]]&gt;0,Tabela3[[#This Row],[Lucro Líquido]]/Tabela3[[#This Row],[Patrimônio Líquido]],0)</f>
        <v>1.5826994304830939E-2</v>
      </c>
      <c r="W271" s="19">
        <f>SUMPRODUCT(N([Rentabilidade s/ PL]&gt;0),N(RIGHT([PAPEL],LEN([PAPEL])-(LEN([PAPEL])-1))="3"),[Rentabilidade s/ PL])/SUMPRODUCT(N([Rentabilidade s/ PL]&gt;0),N(RIGHT([PAPEL],LEN([PAPEL])-(LEN([PAPEL])-1))="3"))</f>
        <v>0.1261051308670782</v>
      </c>
      <c r="X271" s="19">
        <f>IF(Tabela3[[#This Row],[Dívida]]&gt;0,Tabela3[[#This Row],[Dívida]]/Tabela3[[#This Row],[Patrimônio Líquido]],0)</f>
        <v>0</v>
      </c>
      <c r="Y271" s="19">
        <f>SUMPRODUCT(N([Dívida / PL]&gt;0),N(RIGHT([PAPEL],LEN([PAPEL])-(LEN([PAPEL])-1))="3"),[Dívida / PL])/SUMPRODUCT(N([Dívida / PL]&gt;0),N(RIGHT([PAPEL],LEN([PAPEL])-(LEN([PAPEL])-1))="3"))</f>
        <v>2.1510410379481146</v>
      </c>
      <c r="Z271" s="5">
        <f>Tabela3[[#This Row],[Capital Social]]*20%</f>
        <v>168453327.56400001</v>
      </c>
      <c r="AA271" s="5">
        <f>IF(([Lucro Líquido]*5%)&gt;[Teto R. Legal],[Teto R. Legal],[Lucro Líquido]*5%)</f>
        <v>993500</v>
      </c>
      <c r="AB271" s="5">
        <f>IF([Lucro Líquido]&lt;0,0,[Lucro Líquido]-[Reserva Legal])</f>
        <v>18876500</v>
      </c>
      <c r="AC271" s="5">
        <f>Tabela3[[#This Row],[Lucro Distribuir]]*[%Div]</f>
        <v>4719125</v>
      </c>
      <c r="AD271" s="21">
        <f>SUMPRODUCT(N([Nome]=Tabela3[[#This Row],[Nome]]),[Ações])</f>
        <v>715094432</v>
      </c>
      <c r="AE271" s="5">
        <f>[Capital Social]/[Total Ações]</f>
        <v>1.1778397371439748</v>
      </c>
      <c r="AF271" s="77">
        <f>Tabela3[[#This Row],[Lucro Líquido]]/Tabela3[[#This Row],[Total Ações]]</f>
        <v>2.7786539946097637E-2</v>
      </c>
      <c r="AG271" s="77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7.0333712105112925E-3</v>
      </c>
      <c r="AH271" s="77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271" s="77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271" s="77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7.0333712105112925E-3</v>
      </c>
      <c r="AK271" s="5">
        <f>[Div Base]*[Ações]</f>
        <v>2514762.2954128627</v>
      </c>
      <c r="AL271" s="5">
        <f>SUMPRODUCT(N([Nome]=Tabela3[[#This Row],[Nome]]),[Div Base]*[Ações])</f>
        <v>4800909.8335655006</v>
      </c>
      <c r="AM271" s="5">
        <f>[Patrimônio Líquido]/[Total Ações]</f>
        <v>1.7556422534136022</v>
      </c>
      <c r="AN271" s="52">
        <f>MAX(Tabela3[[#This Row],[Cotação 1]:[Cotação 5]])</f>
        <v>0</v>
      </c>
      <c r="AO271" s="53">
        <f>[Cotação]/[VPA]</f>
        <v>0</v>
      </c>
      <c r="AP271" s="37">
        <f>IF(Tabela3[[#This Row],[Lucro/Ação]]&gt;0,Tabela3[[#This Row],[Cotação]]/(Tabela3[[#This Row],[Lucro/Ação]]/[Ref]*4),0)</f>
        <v>0</v>
      </c>
      <c r="AQ271" s="77">
        <f>[Lucro Distribuir]/[Total Ações]</f>
        <v>2.6397212948792756E-2</v>
      </c>
      <c r="AR271" s="77">
        <f>IF([Unit ON]&gt;0,SUMPRODUCT(N([Nome]=Tabela3[[#This Row],[Nome]]),N(RIGHT([PAPEL],1)="3"),[Div Base])*[Unit ON]+SUMPRODUCT(N([Nome]=Tabela3[[#This Row],[Nome]]),N(RIGHT([PAPEL],1)="4"),[Div Base])*[Unit PN],[Div Base])</f>
        <v>7.0333712105112925E-3</v>
      </c>
      <c r="AS271" s="16" t="str">
        <f>IF(AND([% A.A.]&gt;=6%,SUMPRODUCT(N([Nome]=Tabela3[[#This Row],[Nome]]),[PL])&gt;0,[Rentabilidade s/ PL]&gt;=[Rentabilidade s/ PL Média]),"Sim","Não")</f>
        <v>Não</v>
      </c>
      <c r="AT271" s="22">
        <f>IF([Cotação]&gt;0,Tabela3[[#This Row],[Lucro]]/Tabela3[[#This Row],[Cotação]],0)</f>
        <v>0</v>
      </c>
      <c r="AU271" s="18">
        <f>((1+Tabela3[[#This Row],[% Yield]])^(1/(3*Tabela3[[#This Row],[Ref]])))^(12)-1</f>
        <v>0</v>
      </c>
      <c r="AV271" s="10">
        <f>IF([Cotação]&gt;0,($BH$1/Tabela3[[#This Row],[Cotação]]-MOD($BH$1/Tabela3[[#This Row],[Cotação]],100)),)</f>
        <v>0</v>
      </c>
      <c r="AW271" s="7">
        <f>Tabela3[[#This Row],[Ativos]]*[Lucro]</f>
        <v>0</v>
      </c>
      <c r="AX271" s="47">
        <f>SUMPRODUCT(N(Tabela1[Código]=Tabela3[[#This Row],[PAPEL]]),Tabela1[Fechamento])</f>
        <v>0</v>
      </c>
      <c r="AY271" s="54">
        <f>SUMPRODUCT(N(Tabela17[Código]=Tabela3[[#This Row],[PAPEL]]),Tabela17[Fechamento])</f>
        <v>0</v>
      </c>
      <c r="AZ271" s="7">
        <f>SUMPRODUCT(N(Tabela176[Código]=Tabela3[[#This Row],[PAPEL]]),Tabela176[Fechamento])</f>
        <v>0</v>
      </c>
      <c r="BA271" s="7">
        <f>SUMPRODUCT(N(Tabela1768[Código]=Tabela3[[#This Row],[PAPEL]]),Tabela1768[Fechamento])</f>
        <v>0</v>
      </c>
      <c r="BB271" s="7">
        <f>SUMPRODUCT(N(Tabela17683[Código]=Tabela3[[#This Row],[PAPEL]]),Tabela17683[Fechamento])</f>
        <v>0</v>
      </c>
    </row>
    <row r="272" spans="1:54" hidden="1">
      <c r="A272" s="3" t="s">
        <v>1349</v>
      </c>
      <c r="B272" s="57" t="s">
        <v>1350</v>
      </c>
      <c r="C272" s="16" t="str">
        <f>LEFT([PAPEL],LEN([PAPEL])-(LEN([PAPEL])-4))</f>
        <v>ALLL</v>
      </c>
      <c r="D272" s="16">
        <v>3</v>
      </c>
      <c r="E272" s="5">
        <v>3448283431.6199999</v>
      </c>
      <c r="F272" s="56">
        <v>687664312</v>
      </c>
      <c r="G272" s="81">
        <v>0.25</v>
      </c>
      <c r="H272" s="87"/>
      <c r="J272" s="18"/>
      <c r="K272" s="16"/>
      <c r="L272" s="87"/>
      <c r="M272" s="54"/>
      <c r="N272" s="54"/>
      <c r="O272" s="54"/>
      <c r="P272" s="91">
        <v>4410966000</v>
      </c>
      <c r="Q272" s="73">
        <v>19851000</v>
      </c>
      <c r="R272" s="73">
        <f>IF(Tabela3[[#This Row],[Ativo || Passivo]]&gt;0,Tabela3[[#This Row],[Ativo || Passivo]]-Tabela3[[#This Row],[Patrimônio Líquido]],0)</f>
        <v>0</v>
      </c>
      <c r="S272" s="73">
        <f>Tabela3[[#This Row],[Cotação]]*Tabela3[[#This Row],[Total Ações]]</f>
        <v>4380421667.4400005</v>
      </c>
      <c r="T272" s="37">
        <f>IF(Tabela3[[#This Row],[Passivo Circulante]]&gt;0,Tabela3[[#This Row],[Ativo Circulante]]/Tabela3[[#This Row],[Passivo Circulante]],0)</f>
        <v>0</v>
      </c>
      <c r="U272" s="37">
        <f>SUMPRODUCT(N([Liquidez Corrente]&gt;0),N(RIGHT([PAPEL],LEN([PAPEL])-(LEN([PAPEL])-1))="3"),[Liquidez Corrente])/SUMPRODUCT(N([Liquidez Corrente]&gt;0),N(RIGHT([PAPEL],LEN([PAPEL])-(LEN([PAPEL])-1))="3"))</f>
        <v>2.331224473064915</v>
      </c>
      <c r="V272" s="18">
        <f>IF(Tabela3[[#This Row],[Lucro Líquido]]&gt;0,Tabela3[[#This Row],[Lucro Líquido]]/Tabela3[[#This Row],[Patrimônio Líquido]],0)</f>
        <v>4.5003747478443495E-3</v>
      </c>
      <c r="W272" s="18">
        <f>SUMPRODUCT(N([Rentabilidade s/ PL]&gt;0),N(RIGHT([PAPEL],LEN([PAPEL])-(LEN([PAPEL])-1))="3"),[Rentabilidade s/ PL])/SUMPRODUCT(N([Rentabilidade s/ PL]&gt;0),N(RIGHT([PAPEL],LEN([PAPEL])-(LEN([PAPEL])-1))="3"))</f>
        <v>0.1261051308670782</v>
      </c>
      <c r="X272" s="18">
        <f>IF(Tabela3[[#This Row],[Dívida]]&gt;0,Tabela3[[#This Row],[Dívida]]/Tabela3[[#This Row],[Patrimônio Líquido]],0)</f>
        <v>0</v>
      </c>
      <c r="Y272" s="18">
        <f>SUMPRODUCT(N([Dívida / PL]&gt;0),N(RIGHT([PAPEL],LEN([PAPEL])-(LEN([PAPEL])-1))="3"),[Dívida / PL])/SUMPRODUCT(N([Dívida / PL]&gt;0),N(RIGHT([PAPEL],LEN([PAPEL])-(LEN([PAPEL])-1))="3"))</f>
        <v>2.1510410379481146</v>
      </c>
      <c r="Z272" s="7">
        <f>Tabela3[[#This Row],[Capital Social]]*20%</f>
        <v>689656686.324</v>
      </c>
      <c r="AA272" s="47">
        <f>IF(([Lucro Líquido]*5%)&gt;[Teto R. Legal],[Teto R. Legal],[Lucro Líquido]*5%)</f>
        <v>992550</v>
      </c>
      <c r="AB272" s="47">
        <f>IF([Lucro Líquido]&lt;0,0,[Lucro Líquido]-[Reserva Legal])</f>
        <v>18858450</v>
      </c>
      <c r="AC272" s="47">
        <f>Tabela3[[#This Row],[Lucro Distribuir]]*[%Div]</f>
        <v>4714612.5</v>
      </c>
      <c r="AD272" s="56">
        <f>SUMPRODUCT(N([Nome]=Tabela3[[#This Row],[Nome]]),[Ações])</f>
        <v>687664312</v>
      </c>
      <c r="AE272" s="85">
        <f>[Capital Social]/[Total Ações]</f>
        <v>5.0144865328128292</v>
      </c>
      <c r="AF272" s="85">
        <f>Tabela3[[#This Row],[Lucro Líquido]]/Tabela3[[#This Row],[Total Ações]]</f>
        <v>2.8867282558644691E-2</v>
      </c>
      <c r="AG272" s="85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6.8559796076781135E-3</v>
      </c>
      <c r="AH272" s="85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272" s="77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272" s="85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6.8559796076781135E-3</v>
      </c>
      <c r="AK272" s="7">
        <f>[Div Base]*[Ações]</f>
        <v>4714612.5</v>
      </c>
      <c r="AL272" s="120">
        <f>SUMPRODUCT(N([Nome]=Tabela3[[#This Row],[Nome]]),[Div Base]*[Ações])</f>
        <v>4714612.5</v>
      </c>
      <c r="AM272" s="5">
        <f>[Patrimônio Líquido]/[Total Ações]</f>
        <v>6.4144175043360399</v>
      </c>
      <c r="AN272" s="52">
        <f>MAX(Tabela3[[#This Row],[Cotação 1]:[Cotação 5]])</f>
        <v>6.37</v>
      </c>
      <c r="AO272" s="53">
        <f>[Cotação]/[VPA]</f>
        <v>0.9930753643170227</v>
      </c>
      <c r="AP272" s="37">
        <f>IF(Tabela3[[#This Row],[Lucro/Ação]]&gt;0,Tabela3[[#This Row],[Cotação]]/(Tabela3[[#This Row],[Lucro/Ação]]/[Ref]*4),0)</f>
        <v>165.49877842829076</v>
      </c>
      <c r="AQ272" s="85">
        <f>[Lucro Distribuir]/[Total Ações]</f>
        <v>2.7423918430712454E-2</v>
      </c>
      <c r="AR272" s="85">
        <f>IF([Unit ON]&gt;0,SUMPRODUCT(N([Nome]=Tabela3[[#This Row],[Nome]]),N(RIGHT([PAPEL],1)="3"),[Div Base])*[Unit ON]+SUMPRODUCT(N([Nome]=Tabela3[[#This Row],[Nome]]),N(RIGHT([PAPEL],1)="4"),[Div Base])*[Unit PN],[Div Base])</f>
        <v>6.8559796076781135E-3</v>
      </c>
      <c r="AS272" s="10" t="str">
        <f>IF(AND([% A.A.]&gt;=6%,SUMPRODUCT(N([Nome]=Tabela3[[#This Row],[Nome]]),[PL])&gt;0,[Rentabilidade s/ PL]&gt;=[Rentabilidade s/ PL Média]),"Sim","Não")</f>
        <v>Não</v>
      </c>
      <c r="AT272" s="22">
        <f>IF([Cotação]&gt;0,Tabela3[[#This Row],[Lucro]]/Tabela3[[#This Row],[Cotação]],0)</f>
        <v>1.0762919321315719E-3</v>
      </c>
      <c r="AU272" s="22">
        <f>((1+Tabela3[[#This Row],[% Yield]])^(1/(3*Tabela3[[#This Row],[Ref]])))^(12)-1</f>
        <v>1.4353132711493188E-3</v>
      </c>
      <c r="AV272" s="10">
        <f>IF([Cotação]&gt;0,($BH$1/Tabela3[[#This Row],[Cotação]]-MOD($BH$1/Tabela3[[#This Row],[Cotação]],100)),)</f>
        <v>0</v>
      </c>
      <c r="AW272" s="7">
        <f>Tabela3[[#This Row],[Ativos]]*[Lucro]</f>
        <v>0</v>
      </c>
      <c r="AX272" s="7">
        <f>SUMPRODUCT(N(Tabela1[Código]=Tabela3[[#This Row],[PAPEL]]),Tabela1[Fechamento])</f>
        <v>0</v>
      </c>
      <c r="AY272" s="7">
        <f>SUMPRODUCT(N(Tabela17[Código]=Tabela3[[#This Row],[PAPEL]]),Tabela17[Fechamento])</f>
        <v>0</v>
      </c>
      <c r="AZ272" s="7">
        <f>SUMPRODUCT(N(Tabela176[Código]=Tabela3[[#This Row],[PAPEL]]),Tabela176[Fechamento])</f>
        <v>0</v>
      </c>
      <c r="BA272" s="7">
        <f>SUMPRODUCT(N(Tabela1768[Código]=Tabela3[[#This Row],[PAPEL]]),Tabela1768[Fechamento])</f>
        <v>0</v>
      </c>
      <c r="BB272" s="7">
        <f>SUMPRODUCT(N(Tabela17683[Código]=Tabela3[[#This Row],[PAPEL]]),Tabela17683[Fechamento])</f>
        <v>6.37</v>
      </c>
    </row>
    <row r="273" spans="1:54" hidden="1">
      <c r="A273" s="4" t="s">
        <v>362</v>
      </c>
      <c r="B273" s="57" t="s">
        <v>360</v>
      </c>
      <c r="C273" s="14" t="str">
        <f>LEFT([PAPEL],LEN([PAPEL])-(LEN([PAPEL])-4))</f>
        <v>MERC</v>
      </c>
      <c r="D273" s="15">
        <v>3</v>
      </c>
      <c r="E273" s="6">
        <v>126070000</v>
      </c>
      <c r="F273" s="8">
        <v>10179565</v>
      </c>
      <c r="G273" s="86">
        <v>0.25</v>
      </c>
      <c r="H273" s="15"/>
      <c r="I273" s="19"/>
      <c r="J273" s="19"/>
      <c r="K273" s="88"/>
      <c r="L273" s="88"/>
      <c r="M273" s="55">
        <v>1222248000</v>
      </c>
      <c r="N273" s="55">
        <v>470754000</v>
      </c>
      <c r="O273" s="55">
        <v>1043815000</v>
      </c>
      <c r="P273" s="5">
        <v>162348000</v>
      </c>
      <c r="Q273" s="5">
        <v>18569000</v>
      </c>
      <c r="R273" s="5">
        <f>IF(Tabela3[[#This Row],[Ativo || Passivo]]&gt;0,Tabela3[[#This Row],[Ativo || Passivo]]-Tabela3[[#This Row],[Patrimônio Líquido]],0)</f>
        <v>1059900000</v>
      </c>
      <c r="S273" s="5">
        <f>Tabela3[[#This Row],[Cotação]]*Tabela3[[#This Row],[Total Ações]]</f>
        <v>1511219100</v>
      </c>
      <c r="T273" s="130">
        <f>IF(Tabela3[[#This Row],[Passivo Circulante]]&gt;0,Tabela3[[#This Row],[Ativo Circulante]]/Tabela3[[#This Row],[Passivo Circulante]],0)</f>
        <v>0.45099371057131771</v>
      </c>
      <c r="U273" s="130">
        <f>SUMPRODUCT(N([Liquidez Corrente]&gt;0),N(RIGHT([PAPEL],LEN([PAPEL])-(LEN([PAPEL])-1))="3"),[Liquidez Corrente])/SUMPRODUCT(N([Liquidez Corrente]&gt;0),N(RIGHT([PAPEL],LEN([PAPEL])-(LEN([PAPEL])-1))="3"))</f>
        <v>2.331224473064915</v>
      </c>
      <c r="V273" s="18">
        <f>IF(Tabela3[[#This Row],[Lucro Líquido]]&gt;0,Tabela3[[#This Row],[Lucro Líquido]]/Tabela3[[#This Row],[Patrimônio Líquido]],0)</f>
        <v>0.11437775642447089</v>
      </c>
      <c r="W273" s="18">
        <f>SUMPRODUCT(N([Rentabilidade s/ PL]&gt;0),N(RIGHT([PAPEL],LEN([PAPEL])-(LEN([PAPEL])-1))="3"),[Rentabilidade s/ PL])/SUMPRODUCT(N([Rentabilidade s/ PL]&gt;0),N(RIGHT([PAPEL],LEN([PAPEL])-(LEN([PAPEL])-1))="3"))</f>
        <v>0.1261051308670782</v>
      </c>
      <c r="X273" s="18">
        <f>IF(Tabela3[[#This Row],[Dívida]]&gt;0,Tabela3[[#This Row],[Dívida]]/Tabela3[[#This Row],[Patrimônio Líquido]],0)</f>
        <v>6.5285682607731541</v>
      </c>
      <c r="Y273" s="18">
        <f>SUMPRODUCT(N([Dívida / PL]&gt;0),N(RIGHT([PAPEL],LEN([PAPEL])-(LEN([PAPEL])-1))="3"),[Dívida / PL])/SUMPRODUCT(N([Dívida / PL]&gt;0),N(RIGHT([PAPEL],LEN([PAPEL])-(LEN([PAPEL])-1))="3"))</f>
        <v>2.1510410379481146</v>
      </c>
      <c r="Z273" s="6">
        <f>Tabela3[[#This Row],[Capital Social]]*20%</f>
        <v>25214000</v>
      </c>
      <c r="AA273" s="6">
        <f>IF(([Lucro Líquido]*5%)&gt;[Teto R. Legal],[Teto R. Legal],[Lucro Líquido]*5%)</f>
        <v>928450</v>
      </c>
      <c r="AB273" s="6">
        <f>IF([Lucro Líquido]&lt;0,0,[Lucro Líquido]-[Reserva Legal])</f>
        <v>17640550</v>
      </c>
      <c r="AC273" s="6">
        <f>Tabela3[[#This Row],[Lucro Distribuir]]*[%Div]</f>
        <v>4410137.5</v>
      </c>
      <c r="AD273" s="56">
        <f>SUMPRODUCT(N([Nome]=Tabela3[[#This Row],[Nome]]),[Ações])</f>
        <v>18010000</v>
      </c>
      <c r="AE273" s="6">
        <f>[Capital Social]/[Total Ações]</f>
        <v>7</v>
      </c>
      <c r="AF273" s="78">
        <f>Tabela3[[#This Row],[Lucro Líquido]]/Tabela3[[#This Row],[Total Ações]]</f>
        <v>1.0310383120488618</v>
      </c>
      <c r="AG273" s="78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0.23725271251449986</v>
      </c>
      <c r="AH273" s="78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273" s="78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0.11015743796517831</v>
      </c>
      <c r="AJ273" s="78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0.11015743796517831</v>
      </c>
      <c r="AK273" s="6">
        <f>[Div Base]*[Ações]</f>
        <v>1121354.8000000003</v>
      </c>
      <c r="AL273" s="6">
        <f>SUMPRODUCT(N([Nome]=Tabela3[[#This Row],[Nome]]),[Div Base]*[Ações])</f>
        <v>4410137.5</v>
      </c>
      <c r="AM273" s="6">
        <f>[Patrimônio Líquido]/[Total Ações]</f>
        <v>9.0143253747917829</v>
      </c>
      <c r="AN273" s="48">
        <f>MAX(Tabela3[[#This Row],[Cotação 1]:[Cotação 5]])</f>
        <v>83.91</v>
      </c>
      <c r="AO273" s="44">
        <f>[Cotação]/[VPA]</f>
        <v>9.3085168896444657</v>
      </c>
      <c r="AP273" s="40">
        <f>IF(Tabela3[[#This Row],[Lucro/Ação]]&gt;0,Tabela3[[#This Row],[Cotação]]/(Tabela3[[#This Row],[Lucro/Ação]]/[Ref]*4),0)</f>
        <v>61.037984005600727</v>
      </c>
      <c r="AQ273" s="78">
        <f>[Lucro Distribuir]/[Total Ações]</f>
        <v>0.97948639644641866</v>
      </c>
      <c r="AR273" s="78">
        <f>IF([Unit ON]&gt;0,SUMPRODUCT(N([Nome]=Tabela3[[#This Row],[Nome]]),N(RIGHT([PAPEL],1)="3"),[Div Base])*[Unit ON]+SUMPRODUCT(N([Nome]=Tabela3[[#This Row],[Nome]]),N(RIGHT([PAPEL],1)="4"),[Div Base])*[Unit PN],[Div Base])</f>
        <v>0.11015743796517831</v>
      </c>
      <c r="AS273" s="15" t="str">
        <f>IF(AND([% A.A.]&gt;=6%,SUMPRODUCT(N([Nome]=Tabela3[[#This Row],[Nome]]),[PL])&gt;0,[Rentabilidade s/ PL]&gt;=[Rentabilidade s/ PL Média]),"Sim","Não")</f>
        <v>Não</v>
      </c>
      <c r="AT273" s="42">
        <f>IF([Cotação]&gt;0,Tabela3[[#This Row],[Lucro]]/Tabela3[[#This Row],[Cotação]],0)</f>
        <v>1.3128046474219796E-3</v>
      </c>
      <c r="AU273" s="19">
        <f>((1+Tabela3[[#This Row],[% Yield]])^(1/(3*Tabela3[[#This Row],[Ref]])))^(12)-1</f>
        <v>1.7507890751238264E-3</v>
      </c>
      <c r="AV273" s="14">
        <f>IF([Cotação]&gt;0,($BH$1/Tabela3[[#This Row],[Cotação]]-MOD($BH$1/Tabela3[[#This Row],[Cotação]],100)),)</f>
        <v>0</v>
      </c>
      <c r="AW273" s="17">
        <f>Tabela3[[#This Row],[Ativos]]*[Lucro]</f>
        <v>0</v>
      </c>
      <c r="AX273" s="5">
        <f>SUMPRODUCT(N(Tabela1[Código]=Tabela3[[#This Row],[PAPEL]]),Tabela1[Fechamento])</f>
        <v>0</v>
      </c>
      <c r="AY273" s="5">
        <f>SUMPRODUCT(N(Tabela17[Código]=Tabela3[[#This Row],[PAPEL]]),Tabela17[Fechamento])</f>
        <v>83.91</v>
      </c>
      <c r="AZ273" s="7">
        <f>SUMPRODUCT(N(Tabela176[Código]=Tabela3[[#This Row],[PAPEL]]),Tabela176[Fechamento])</f>
        <v>0</v>
      </c>
      <c r="BA273" s="7">
        <f>SUMPRODUCT(N(Tabela1768[Código]=Tabela3[[#This Row],[PAPEL]]),Tabela1768[Fechamento])</f>
        <v>0</v>
      </c>
      <c r="BB273" s="7">
        <f>SUMPRODUCT(N(Tabela17683[Código]=Tabela3[[#This Row],[PAPEL]]),Tabela17683[Fechamento])</f>
        <v>0</v>
      </c>
    </row>
    <row r="274" spans="1:54" hidden="1">
      <c r="A274" s="4" t="s">
        <v>362</v>
      </c>
      <c r="B274" s="57" t="s">
        <v>361</v>
      </c>
      <c r="C274" s="82" t="str">
        <f>LEFT([PAPEL],LEN([PAPEL])-(LEN([PAPEL])-4))</f>
        <v>MERC</v>
      </c>
      <c r="D274" s="15">
        <v>3</v>
      </c>
      <c r="E274" s="6">
        <v>126070000</v>
      </c>
      <c r="F274" s="8">
        <v>7830435</v>
      </c>
      <c r="G274" s="81">
        <v>0.25</v>
      </c>
      <c r="H274" s="19"/>
      <c r="I274" s="19">
        <v>0.06</v>
      </c>
      <c r="J274" s="19">
        <v>0.1</v>
      </c>
      <c r="K274" s="88"/>
      <c r="L274" s="88"/>
      <c r="M274" s="55">
        <v>1222248000</v>
      </c>
      <c r="N274" s="55">
        <v>470754000</v>
      </c>
      <c r="O274" s="55">
        <v>1043815000</v>
      </c>
      <c r="P274" s="5">
        <v>162348000</v>
      </c>
      <c r="Q274" s="5">
        <v>18569000</v>
      </c>
      <c r="R274" s="5">
        <f>IF(Tabela3[[#This Row],[Ativo || Passivo]]&gt;0,Tabela3[[#This Row],[Ativo || Passivo]]-Tabela3[[#This Row],[Patrimônio Líquido]],0)</f>
        <v>1059900000</v>
      </c>
      <c r="S274" s="5">
        <f>Tabela3[[#This Row],[Cotação]]*Tabela3[[#This Row],[Total Ações]]</f>
        <v>153085000</v>
      </c>
      <c r="T274" s="130">
        <f>IF(Tabela3[[#This Row],[Passivo Circulante]]&gt;0,Tabela3[[#This Row],[Ativo Circulante]]/Tabela3[[#This Row],[Passivo Circulante]],0)</f>
        <v>0.45099371057131771</v>
      </c>
      <c r="U274" s="130">
        <f>SUMPRODUCT(N([Liquidez Corrente]&gt;0),N(RIGHT([PAPEL],LEN([PAPEL])-(LEN([PAPEL])-1))="3"),[Liquidez Corrente])/SUMPRODUCT(N([Liquidez Corrente]&gt;0),N(RIGHT([PAPEL],LEN([PAPEL])-(LEN([PAPEL])-1))="3"))</f>
        <v>2.331224473064915</v>
      </c>
      <c r="V274" s="18">
        <f>IF(Tabela3[[#This Row],[Lucro Líquido]]&gt;0,Tabela3[[#This Row],[Lucro Líquido]]/Tabela3[[#This Row],[Patrimônio Líquido]],0)</f>
        <v>0.11437775642447089</v>
      </c>
      <c r="W274" s="18">
        <f>SUMPRODUCT(N([Rentabilidade s/ PL]&gt;0),N(RIGHT([PAPEL],LEN([PAPEL])-(LEN([PAPEL])-1))="3"),[Rentabilidade s/ PL])/SUMPRODUCT(N([Rentabilidade s/ PL]&gt;0),N(RIGHT([PAPEL],LEN([PAPEL])-(LEN([PAPEL])-1))="3"))</f>
        <v>0.1261051308670782</v>
      </c>
      <c r="X274" s="18">
        <f>IF(Tabela3[[#This Row],[Dívida]]&gt;0,Tabela3[[#This Row],[Dívida]]/Tabela3[[#This Row],[Patrimônio Líquido]],0)</f>
        <v>6.5285682607731541</v>
      </c>
      <c r="Y274" s="18">
        <f>SUMPRODUCT(N([Dívida / PL]&gt;0),N(RIGHT([PAPEL],LEN([PAPEL])-(LEN([PAPEL])-1))="3"),[Dívida / PL])/SUMPRODUCT(N([Dívida / PL]&gt;0),N(RIGHT([PAPEL],LEN([PAPEL])-(LEN([PAPEL])-1))="3"))</f>
        <v>2.1510410379481146</v>
      </c>
      <c r="Z274" s="5">
        <f>Tabela3[[#This Row],[Capital Social]]*20%</f>
        <v>25214000</v>
      </c>
      <c r="AA274" s="5">
        <f>IF(([Lucro Líquido]*5%)&gt;[Teto R. Legal],[Teto R. Legal],[Lucro Líquido]*5%)</f>
        <v>928450</v>
      </c>
      <c r="AB274" s="5">
        <f>IF([Lucro Líquido]&lt;0,0,[Lucro Líquido]-[Reserva Legal])</f>
        <v>17640550</v>
      </c>
      <c r="AC274" s="5">
        <f>Tabela3[[#This Row],[Lucro Distribuir]]*[%Div]</f>
        <v>4410137.5</v>
      </c>
      <c r="AD274" s="56">
        <f>SUMPRODUCT(N([Nome]=Tabela3[[#This Row],[Nome]]),[Ações])</f>
        <v>18010000</v>
      </c>
      <c r="AE274" s="5">
        <f>[Capital Social]/[Total Ações]</f>
        <v>7</v>
      </c>
      <c r="AF274" s="78">
        <f>Tabela3[[#This Row],[Lucro Líquido]]/Tabela3[[#This Row],[Total Ações]]</f>
        <v>1.0310383120488618</v>
      </c>
      <c r="AG274" s="78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0.2609779841234624</v>
      </c>
      <c r="AH274" s="77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274" s="77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0.42</v>
      </c>
      <c r="AJ274" s="77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0.42</v>
      </c>
      <c r="AK274" s="5">
        <f>[Div Base]*[Ações]</f>
        <v>3288782.6999999997</v>
      </c>
      <c r="AL274" s="5">
        <f>SUMPRODUCT(N([Nome]=Tabela3[[#This Row],[Nome]]),[Div Base]*[Ações])</f>
        <v>4410137.5</v>
      </c>
      <c r="AM274" s="6">
        <f>[Patrimônio Líquido]/[Total Ações]</f>
        <v>9.0143253747917829</v>
      </c>
      <c r="AN274" s="48">
        <f>MAX(Tabela3[[#This Row],[Cotação 1]:[Cotação 5]])</f>
        <v>8.5</v>
      </c>
      <c r="AO274" s="44">
        <f>[Cotação]/[VPA]</f>
        <v>0.94294355335452229</v>
      </c>
      <c r="AP274" s="40">
        <f>IF(Tabela3[[#This Row],[Lucro/Ação]]&gt;0,Tabela3[[#This Row],[Cotação]]/(Tabela3[[#This Row],[Lucro/Ação]]/[Ref]*4),0)</f>
        <v>6.1830874037374119</v>
      </c>
      <c r="AQ274" s="78">
        <f>[Lucro Distribuir]/[Total Ações]</f>
        <v>0.97948639644641866</v>
      </c>
      <c r="AR274" s="78">
        <f>IF([Unit ON]&gt;0,SUMPRODUCT(N([Nome]=Tabela3[[#This Row],[Nome]]),N(RIGHT([PAPEL],1)="3"),[Div Base])*[Unit ON]+SUMPRODUCT(N([Nome]=Tabela3[[#This Row],[Nome]]),N(RIGHT([PAPEL],1)="4"),[Div Base])*[Unit PN],[Div Base])</f>
        <v>0.42</v>
      </c>
      <c r="AS274" s="15" t="str">
        <f>IF(AND([% A.A.]&gt;=6%,SUMPRODUCT(N([Nome]=Tabela3[[#This Row],[Nome]]),[PL])&gt;0,[Rentabilidade s/ PL]&gt;=[Rentabilidade s/ PL Média]),"Sim","Não")</f>
        <v>Não</v>
      </c>
      <c r="AT274" s="42">
        <f>IF([Cotação]&gt;0,Tabela3[[#This Row],[Lucro]]/Tabela3[[#This Row],[Cotação]],0)</f>
        <v>4.9411764705882349E-2</v>
      </c>
      <c r="AU274" s="19">
        <f>((1+Tabela3[[#This Row],[% Yield]])^(1/(3*Tabela3[[#This Row],[Ref]])))^(12)-1</f>
        <v>6.6419075484317913E-2</v>
      </c>
      <c r="AV274" s="14">
        <f>IF([Cotação]&gt;0,($BH$1/Tabela3[[#This Row],[Cotação]]-MOD($BH$1/Tabela3[[#This Row],[Cotação]],100)),)</f>
        <v>0</v>
      </c>
      <c r="AW274" s="17">
        <f>Tabela3[[#This Row],[Ativos]]*[Lucro]</f>
        <v>0</v>
      </c>
      <c r="AX274" s="13">
        <f>SUMPRODUCT(N(Tabela1[Código]=Tabela3[[#This Row],[PAPEL]]),Tabela1[Fechamento])</f>
        <v>0</v>
      </c>
      <c r="AY274" s="55">
        <f>SUMPRODUCT(N(Tabela17[Código]=Tabela3[[#This Row],[PAPEL]]),Tabela17[Fechamento])</f>
        <v>8.5</v>
      </c>
      <c r="AZ274" s="7">
        <f>SUMPRODUCT(N(Tabela176[Código]=Tabela3[[#This Row],[PAPEL]]),Tabela176[Fechamento])</f>
        <v>0</v>
      </c>
      <c r="BA274" s="7">
        <f>SUMPRODUCT(N(Tabela1768[Código]=Tabela3[[#This Row],[PAPEL]]),Tabela1768[Fechamento])</f>
        <v>0</v>
      </c>
      <c r="BB274" s="7">
        <f>SUMPRODUCT(N(Tabela17683[Código]=Tabela3[[#This Row],[PAPEL]]),Tabela17683[Fechamento])</f>
        <v>0</v>
      </c>
    </row>
    <row r="275" spans="1:54" hidden="1">
      <c r="A275" s="4" t="s">
        <v>333</v>
      </c>
      <c r="B275" s="57" t="s">
        <v>636</v>
      </c>
      <c r="C275" s="83" t="str">
        <f>LEFT([PAPEL],LEN([PAPEL])-(LEN([PAPEL])-4))</f>
        <v>TKNO</v>
      </c>
      <c r="D275" s="16">
        <v>3</v>
      </c>
      <c r="E275" s="5">
        <v>170000000</v>
      </c>
      <c r="F275" s="56">
        <v>1538371</v>
      </c>
      <c r="G275" s="81">
        <v>0.25</v>
      </c>
      <c r="J275" s="18"/>
      <c r="K275" s="87"/>
      <c r="L275" s="87"/>
      <c r="M275" s="54"/>
      <c r="N275" s="54"/>
      <c r="O275" s="54"/>
      <c r="P275" s="6">
        <v>222307000</v>
      </c>
      <c r="Q275" s="6">
        <v>18125000</v>
      </c>
      <c r="R275" s="6">
        <f>IF(Tabela3[[#This Row],[Ativo || Passivo]]&gt;0,Tabela3[[#This Row],[Ativo || Passivo]]-Tabela3[[#This Row],[Patrimônio Líquido]],0)</f>
        <v>0</v>
      </c>
      <c r="S275" s="6">
        <f>Tabela3[[#This Row],[Cotação]]*Tabela3[[#This Row],[Total Ações]]</f>
        <v>0</v>
      </c>
      <c r="T275" s="132">
        <f>IF(Tabela3[[#This Row],[Passivo Circulante]]&gt;0,Tabela3[[#This Row],[Ativo Circulante]]/Tabela3[[#This Row],[Passivo Circulante]],0)</f>
        <v>0</v>
      </c>
      <c r="U275" s="132">
        <f>SUMPRODUCT(N([Liquidez Corrente]&gt;0),N(RIGHT([PAPEL],LEN([PAPEL])-(LEN([PAPEL])-1))="3"),[Liquidez Corrente])/SUMPRODUCT(N([Liquidez Corrente]&gt;0),N(RIGHT([PAPEL],LEN([PAPEL])-(LEN([PAPEL])-1))="3"))</f>
        <v>2.331224473064915</v>
      </c>
      <c r="V275" s="19">
        <f>IF(Tabela3[[#This Row],[Lucro Líquido]]&gt;0,Tabela3[[#This Row],[Lucro Líquido]]/Tabela3[[#This Row],[Patrimônio Líquido]],0)</f>
        <v>8.1531395772512782E-2</v>
      </c>
      <c r="W275" s="19">
        <f>SUMPRODUCT(N([Rentabilidade s/ PL]&gt;0),N(RIGHT([PAPEL],LEN([PAPEL])-(LEN([PAPEL])-1))="3"),[Rentabilidade s/ PL])/SUMPRODUCT(N([Rentabilidade s/ PL]&gt;0),N(RIGHT([PAPEL],LEN([PAPEL])-(LEN([PAPEL])-1))="3"))</f>
        <v>0.1261051308670782</v>
      </c>
      <c r="X275" s="19">
        <f>IF(Tabela3[[#This Row],[Dívida]]&gt;0,Tabela3[[#This Row],[Dívida]]/Tabela3[[#This Row],[Patrimônio Líquido]],0)</f>
        <v>0</v>
      </c>
      <c r="Y275" s="19">
        <f>SUMPRODUCT(N([Dívida / PL]&gt;0),N(RIGHT([PAPEL],LEN([PAPEL])-(LEN([PAPEL])-1))="3"),[Dívida / PL])/SUMPRODUCT(N([Dívida / PL]&gt;0),N(RIGHT([PAPEL],LEN([PAPEL])-(LEN([PAPEL])-1))="3"))</f>
        <v>2.1510410379481146</v>
      </c>
      <c r="Z275" s="5">
        <f>Tabela3[[#This Row],[Capital Social]]*20%</f>
        <v>34000000</v>
      </c>
      <c r="AA275" s="5">
        <f>IF(([Lucro Líquido]*5%)&gt;[Teto R. Legal],[Teto R. Legal],[Lucro Líquido]*5%)</f>
        <v>906250</v>
      </c>
      <c r="AB275" s="5">
        <f>IF([Lucro Líquido]&lt;0,0,[Lucro Líquido]-[Reserva Legal])</f>
        <v>17218750</v>
      </c>
      <c r="AC275" s="5">
        <f>Tabela3[[#This Row],[Lucro Distribuir]]*[%Div]</f>
        <v>4304687.5</v>
      </c>
      <c r="AD275" s="21">
        <f>SUMPRODUCT(N([Nome]=Tabela3[[#This Row],[Nome]]),[Ações])</f>
        <v>2857301</v>
      </c>
      <c r="AE275" s="5">
        <f>[Capital Social]/[Total Ações]</f>
        <v>59.496706857275448</v>
      </c>
      <c r="AF275" s="77">
        <f>Tabela3[[#This Row],[Lucro Líquido]]/Tabela3[[#This Row],[Total Ações]]</f>
        <v>6.3433988928712797</v>
      </c>
      <c r="AG275" s="77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1.5065572370569289</v>
      </c>
      <c r="AH275" s="77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0.7970642286598969</v>
      </c>
      <c r="AI275" s="77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275" s="77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0.7970642286598969</v>
      </c>
      <c r="AK275" s="5">
        <f>[Div Base]*[Ações]</f>
        <v>1226180.4945077542</v>
      </c>
      <c r="AL275" s="5">
        <f>SUMPRODUCT(N([Nome]=Tabela3[[#This Row],[Nome]]),[Div Base]*[Ações])</f>
        <v>4304687.5</v>
      </c>
      <c r="AM275" s="5">
        <f>[Patrimônio Líquido]/[Total Ações]</f>
        <v>77.803143596001959</v>
      </c>
      <c r="AN275" s="52">
        <f>MAX(Tabela3[[#This Row],[Cotação 1]:[Cotação 5]])</f>
        <v>0</v>
      </c>
      <c r="AO275" s="53">
        <f>[Cotação]/[VPA]</f>
        <v>0</v>
      </c>
      <c r="AP275" s="37">
        <f>IF(Tabela3[[#This Row],[Lucro/Ação]]&gt;0,Tabela3[[#This Row],[Cotação]]/(Tabela3[[#This Row],[Lucro/Ação]]/[Ref]*4),0)</f>
        <v>0</v>
      </c>
      <c r="AQ275" s="77">
        <f>[Lucro Distribuir]/[Total Ações]</f>
        <v>6.0262289482277156</v>
      </c>
      <c r="AR275" s="77">
        <f>IF([Unit ON]&gt;0,SUMPRODUCT(N([Nome]=Tabela3[[#This Row],[Nome]]),N(RIGHT([PAPEL],1)="3"),[Div Base])*[Unit ON]+SUMPRODUCT(N([Nome]=Tabela3[[#This Row],[Nome]]),N(RIGHT([PAPEL],1)="4"),[Div Base])*[Unit PN],[Div Base])</f>
        <v>0.7970642286598969</v>
      </c>
      <c r="AS275" s="16" t="str">
        <f>IF(AND([% A.A.]&gt;=6%,SUMPRODUCT(N([Nome]=Tabela3[[#This Row],[Nome]]),[PL])&gt;0,[Rentabilidade s/ PL]&gt;=[Rentabilidade s/ PL Média]),"Sim","Não")</f>
        <v>Não</v>
      </c>
      <c r="AT275" s="22">
        <f>IF([Cotação]&gt;0,Tabela3[[#This Row],[Lucro]]/Tabela3[[#This Row],[Cotação]],0)</f>
        <v>0</v>
      </c>
      <c r="AU275" s="18">
        <f>((1+Tabela3[[#This Row],[% Yield]])^(1/(3*Tabela3[[#This Row],[Ref]])))^(12)-1</f>
        <v>0</v>
      </c>
      <c r="AV275" s="10">
        <f>IF([Cotação]&gt;0,($BH$1/Tabela3[[#This Row],[Cotação]]-MOD($BH$1/Tabela3[[#This Row],[Cotação]],100)),)</f>
        <v>0</v>
      </c>
      <c r="AW275" s="7">
        <f>Tabela3[[#This Row],[Ativos]]*[Lucro]</f>
        <v>0</v>
      </c>
      <c r="AX275" s="47">
        <f>SUMPRODUCT(N(Tabela1[Código]=Tabela3[[#This Row],[PAPEL]]),Tabela1[Fechamento])</f>
        <v>0</v>
      </c>
      <c r="AY275" s="54">
        <f>SUMPRODUCT(N(Tabela17[Código]=Tabela3[[#This Row],[PAPEL]]),Tabela17[Fechamento])</f>
        <v>0</v>
      </c>
      <c r="AZ275" s="7">
        <f>SUMPRODUCT(N(Tabela176[Código]=Tabela3[[#This Row],[PAPEL]]),Tabela176[Fechamento])</f>
        <v>0</v>
      </c>
      <c r="BA275" s="7">
        <f>SUMPRODUCT(N(Tabela1768[Código]=Tabela3[[#This Row],[PAPEL]]),Tabela1768[Fechamento])</f>
        <v>0</v>
      </c>
      <c r="BB275" s="7">
        <f>SUMPRODUCT(N(Tabela17683[Código]=Tabela3[[#This Row],[PAPEL]]),Tabela17683[Fechamento])</f>
        <v>0</v>
      </c>
    </row>
    <row r="276" spans="1:54" hidden="1">
      <c r="A276" s="4" t="s">
        <v>333</v>
      </c>
      <c r="B276" s="57" t="s">
        <v>335</v>
      </c>
      <c r="C276" s="82" t="str">
        <f>LEFT([PAPEL],LEN([PAPEL])-(LEN([PAPEL])-4))</f>
        <v>TKNO</v>
      </c>
      <c r="D276" s="15">
        <v>3</v>
      </c>
      <c r="E276" s="5">
        <v>170000000</v>
      </c>
      <c r="F276" s="8">
        <v>1318930</v>
      </c>
      <c r="G276" s="81">
        <v>0.25</v>
      </c>
      <c r="H276" s="9">
        <v>0.03</v>
      </c>
      <c r="I276" s="19"/>
      <c r="J276" s="19"/>
      <c r="K276" s="88"/>
      <c r="L276" s="88"/>
      <c r="M276" s="55"/>
      <c r="N276" s="55"/>
      <c r="O276" s="55"/>
      <c r="P276" s="6">
        <v>222307000</v>
      </c>
      <c r="Q276" s="6">
        <v>18125000</v>
      </c>
      <c r="R276" s="6">
        <f>IF(Tabela3[[#This Row],[Ativo || Passivo]]&gt;0,Tabela3[[#This Row],[Ativo || Passivo]]-Tabela3[[#This Row],[Patrimônio Líquido]],0)</f>
        <v>0</v>
      </c>
      <c r="S276" s="6">
        <f>Tabela3[[#This Row],[Cotação]]*Tabela3[[#This Row],[Total Ações]]</f>
        <v>262871692</v>
      </c>
      <c r="T276" s="132">
        <f>IF(Tabela3[[#This Row],[Passivo Circulante]]&gt;0,Tabela3[[#This Row],[Ativo Circulante]]/Tabela3[[#This Row],[Passivo Circulante]],0)</f>
        <v>0</v>
      </c>
      <c r="U276" s="132">
        <f>SUMPRODUCT(N([Liquidez Corrente]&gt;0),N(RIGHT([PAPEL],LEN([PAPEL])-(LEN([PAPEL])-1))="3"),[Liquidez Corrente])/SUMPRODUCT(N([Liquidez Corrente]&gt;0),N(RIGHT([PAPEL],LEN([PAPEL])-(LEN([PAPEL])-1))="3"))</f>
        <v>2.331224473064915</v>
      </c>
      <c r="V276" s="19">
        <f>IF(Tabela3[[#This Row],[Lucro Líquido]]&gt;0,Tabela3[[#This Row],[Lucro Líquido]]/Tabela3[[#This Row],[Patrimônio Líquido]],0)</f>
        <v>8.1531395772512782E-2</v>
      </c>
      <c r="W276" s="19">
        <f>SUMPRODUCT(N([Rentabilidade s/ PL]&gt;0),N(RIGHT([PAPEL],LEN([PAPEL])-(LEN([PAPEL])-1))="3"),[Rentabilidade s/ PL])/SUMPRODUCT(N([Rentabilidade s/ PL]&gt;0),N(RIGHT([PAPEL],LEN([PAPEL])-(LEN([PAPEL])-1))="3"))</f>
        <v>0.1261051308670782</v>
      </c>
      <c r="X276" s="19">
        <f>IF(Tabela3[[#This Row],[Dívida]]&gt;0,Tabela3[[#This Row],[Dívida]]/Tabela3[[#This Row],[Patrimônio Líquido]],0)</f>
        <v>0</v>
      </c>
      <c r="Y276" s="19">
        <f>SUMPRODUCT(N([Dívida / PL]&gt;0),N(RIGHT([PAPEL],LEN([PAPEL])-(LEN([PAPEL])-1))="3"),[Dívida / PL])/SUMPRODUCT(N([Dívida / PL]&gt;0),N(RIGHT([PAPEL],LEN([PAPEL])-(LEN([PAPEL])-1))="3"))</f>
        <v>2.1510410379481146</v>
      </c>
      <c r="Z276" s="6">
        <f>Tabela3[[#This Row],[Capital Social]]*20%</f>
        <v>34000000</v>
      </c>
      <c r="AA276" s="6">
        <f>IF(([Lucro Líquido]*5%)&gt;[Teto R. Legal],[Teto R. Legal],[Lucro Líquido]*5%)</f>
        <v>906250</v>
      </c>
      <c r="AB276" s="6">
        <f>IF([Lucro Líquido]&lt;0,0,[Lucro Líquido]-[Reserva Legal])</f>
        <v>17218750</v>
      </c>
      <c r="AC276" s="6">
        <f>Tabela3[[#This Row],[Lucro Distribuir]]*[%Div]</f>
        <v>4304687.5</v>
      </c>
      <c r="AD276" s="21">
        <f>SUMPRODUCT(N([Nome]=Tabela3[[#This Row],[Nome]]),[Ações])</f>
        <v>2857301</v>
      </c>
      <c r="AE276" s="6">
        <f>[Capital Social]/[Total Ações]</f>
        <v>59.496706857275448</v>
      </c>
      <c r="AF276" s="78">
        <f>Tabela3[[#This Row],[Lucro Líquido]]/Tabela3[[#This Row],[Total Ações]]</f>
        <v>6.3433988928712797</v>
      </c>
      <c r="AG276" s="78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1.5065572370569289</v>
      </c>
      <c r="AH276" s="78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2.3340943078800587</v>
      </c>
      <c r="AI276" s="78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276" s="78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2.3340943078800587</v>
      </c>
      <c r="AK276" s="6">
        <f>[Div Base]*[Ações]</f>
        <v>3078507.0054922458</v>
      </c>
      <c r="AL276" s="6">
        <f>SUMPRODUCT(N([Nome]=Tabela3[[#This Row],[Nome]]),[Div Base]*[Ações])</f>
        <v>4304687.5</v>
      </c>
      <c r="AM276" s="6">
        <f>[Patrimônio Líquido]/[Total Ações]</f>
        <v>77.803143596001959</v>
      </c>
      <c r="AN276" s="48">
        <f>MAX(Tabela3[[#This Row],[Cotação 1]:[Cotação 5]])</f>
        <v>92</v>
      </c>
      <c r="AO276" s="44">
        <f>[Cotação]/[VPA]</f>
        <v>1.1824715011223219</v>
      </c>
      <c r="AP276" s="40">
        <f>IF(Tabela3[[#This Row],[Lucro/Ação]]&gt;0,Tabela3[[#This Row],[Cotação]]/(Tabela3[[#This Row],[Lucro/Ação]]/[Ref]*4),0)</f>
        <v>10.877449324137929</v>
      </c>
      <c r="AQ276" s="78">
        <f>[Lucro Distribuir]/[Total Ações]</f>
        <v>6.0262289482277156</v>
      </c>
      <c r="AR276" s="78">
        <f>IF([Unit ON]&gt;0,SUMPRODUCT(N([Nome]=Tabela3[[#This Row],[Nome]]),N(RIGHT([PAPEL],1)="3"),[Div Base])*[Unit ON]+SUMPRODUCT(N([Nome]=Tabela3[[#This Row],[Nome]]),N(RIGHT([PAPEL],1)="4"),[Div Base])*[Unit PN],[Div Base])</f>
        <v>2.3340943078800587</v>
      </c>
      <c r="AS276" s="15" t="str">
        <f>IF(AND([% A.A.]&gt;=6%,SUMPRODUCT(N([Nome]=Tabela3[[#This Row],[Nome]]),[PL])&gt;0,[Rentabilidade s/ PL]&gt;=[Rentabilidade s/ PL Média]),"Sim","Não")</f>
        <v>Não</v>
      </c>
      <c r="AT276" s="42">
        <f>IF([Cotação]&gt;0,Tabela3[[#This Row],[Lucro]]/Tabela3[[#This Row],[Cotação]],0)</f>
        <v>2.5370590303044116E-2</v>
      </c>
      <c r="AU276" s="19">
        <f>((1+Tabela3[[#This Row],[% Yield]])^(1/(3*Tabela3[[#This Row],[Ref]])))^(12)-1</f>
        <v>3.3969692796908424E-2</v>
      </c>
      <c r="AV276" s="14">
        <f>IF([Cotação]&gt;0,($BH$1/Tabela3[[#This Row],[Cotação]]-MOD($BH$1/Tabela3[[#This Row],[Cotação]],100)),)</f>
        <v>0</v>
      </c>
      <c r="AW276" s="17">
        <f>Tabela3[[#This Row],[Ativos]]*[Lucro]</f>
        <v>0</v>
      </c>
      <c r="AX276" s="13">
        <f>SUMPRODUCT(N(Tabela1[Código]=Tabela3[[#This Row],[PAPEL]]),Tabela1[Fechamento])</f>
        <v>0</v>
      </c>
      <c r="AY276" s="55">
        <f>SUMPRODUCT(N(Tabela17[Código]=Tabela3[[#This Row],[PAPEL]]),Tabela17[Fechamento])</f>
        <v>92</v>
      </c>
      <c r="AZ276" s="7">
        <f>SUMPRODUCT(N(Tabela176[Código]=Tabela3[[#This Row],[PAPEL]]),Tabela176[Fechamento])</f>
        <v>0</v>
      </c>
      <c r="BA276" s="7">
        <f>SUMPRODUCT(N(Tabela1768[Código]=Tabela3[[#This Row],[PAPEL]]),Tabela1768[Fechamento])</f>
        <v>0</v>
      </c>
      <c r="BB276" s="7">
        <f>SUMPRODUCT(N(Tabela17683[Código]=Tabela3[[#This Row],[PAPEL]]),Tabela17683[Fechamento])</f>
        <v>0</v>
      </c>
    </row>
    <row r="277" spans="1:54" hidden="1">
      <c r="A277" s="4" t="s">
        <v>753</v>
      </c>
      <c r="B277" s="57" t="s">
        <v>752</v>
      </c>
      <c r="C277" s="15" t="str">
        <f>LEFT([PAPEL],LEN([PAPEL])-(LEN([PAPEL])-4))</f>
        <v>TEMP</v>
      </c>
      <c r="D277" s="15">
        <v>3</v>
      </c>
      <c r="E277" s="6">
        <v>281257003.55000001</v>
      </c>
      <c r="F277" s="8">
        <v>157363935</v>
      </c>
      <c r="G277" s="86">
        <v>0.25</v>
      </c>
      <c r="H277" s="15"/>
      <c r="I277" s="19"/>
      <c r="J277" s="19"/>
      <c r="K277" s="88"/>
      <c r="L277" s="88"/>
      <c r="M277" s="55"/>
      <c r="N277" s="55"/>
      <c r="O277" s="55"/>
      <c r="P277" s="92">
        <v>288046000</v>
      </c>
      <c r="Q277" s="93">
        <v>17945000</v>
      </c>
      <c r="R277" s="93">
        <f>IF(Tabela3[[#This Row],[Ativo || Passivo]]&gt;0,Tabela3[[#This Row],[Ativo || Passivo]]-Tabela3[[#This Row],[Patrimônio Líquido]],0)</f>
        <v>0</v>
      </c>
      <c r="S277" s="93">
        <f>Tabela3[[#This Row],[Cotação]]*Tabela3[[#This Row],[Total Ações]]</f>
        <v>560215608.60000002</v>
      </c>
      <c r="T277" s="40">
        <f>IF(Tabela3[[#This Row],[Passivo Circulante]]&gt;0,Tabela3[[#This Row],[Ativo Circulante]]/Tabela3[[#This Row],[Passivo Circulante]],0)</f>
        <v>0</v>
      </c>
      <c r="U277" s="40">
        <f>SUMPRODUCT(N([Liquidez Corrente]&gt;0),N(RIGHT([PAPEL],LEN([PAPEL])-(LEN([PAPEL])-1))="3"),[Liquidez Corrente])/SUMPRODUCT(N([Liquidez Corrente]&gt;0),N(RIGHT([PAPEL],LEN([PAPEL])-(LEN([PAPEL])-1))="3"))</f>
        <v>2.331224473064915</v>
      </c>
      <c r="V277" s="19">
        <f>IF(Tabela3[[#This Row],[Lucro Líquido]]&gt;0,Tabela3[[#This Row],[Lucro Líquido]]/Tabela3[[#This Row],[Patrimônio Líquido]],0)</f>
        <v>6.229907723072009E-2</v>
      </c>
      <c r="W277" s="19">
        <f>SUMPRODUCT(N([Rentabilidade s/ PL]&gt;0),N(RIGHT([PAPEL],LEN([PAPEL])-(LEN([PAPEL])-1))="3"),[Rentabilidade s/ PL])/SUMPRODUCT(N([Rentabilidade s/ PL]&gt;0),N(RIGHT([PAPEL],LEN([PAPEL])-(LEN([PAPEL])-1))="3"))</f>
        <v>0.1261051308670782</v>
      </c>
      <c r="X277" s="19">
        <f>IF(Tabela3[[#This Row],[Dívida]]&gt;0,Tabela3[[#This Row],[Dívida]]/Tabela3[[#This Row],[Patrimônio Líquido]],0)</f>
        <v>0</v>
      </c>
      <c r="Y277" s="19">
        <f>SUMPRODUCT(N([Dívida / PL]&gt;0),N(RIGHT([PAPEL],LEN([PAPEL])-(LEN([PAPEL])-1))="3"),[Dívida / PL])/SUMPRODUCT(N([Dívida / PL]&gt;0),N(RIGHT([PAPEL],LEN([PAPEL])-(LEN([PAPEL])-1))="3"))</f>
        <v>2.1510410379481146</v>
      </c>
      <c r="Z277" s="13">
        <f>Tabela3[[#This Row],[Capital Social]]*20%</f>
        <v>56251400.710000008</v>
      </c>
      <c r="AA277" s="13">
        <f>IF(([Lucro Líquido]*5%)&gt;[Teto R. Legal],[Teto R. Legal],[Lucro Líquido]*5%)</f>
        <v>897250</v>
      </c>
      <c r="AB277" s="13">
        <f>IF([Lucro Líquido]&lt;0,0,[Lucro Líquido]-[Reserva Legal])</f>
        <v>17047750</v>
      </c>
      <c r="AC277" s="13">
        <f>Tabela3[[#This Row],[Lucro Distribuir]]*[%Div]</f>
        <v>4261937.5</v>
      </c>
      <c r="AD277" s="56">
        <f>SUMPRODUCT(N([Nome]=Tabela3[[#This Row],[Nome]]),[Ações])</f>
        <v>157363935</v>
      </c>
      <c r="AE277" s="6">
        <f>[Capital Social]/[Total Ações]</f>
        <v>1.7873028121087593</v>
      </c>
      <c r="AF277" s="78">
        <f>Tabela3[[#This Row],[Lucro Líquido]]/Tabela3[[#This Row],[Total Ações]]</f>
        <v>0.11403502333619199</v>
      </c>
      <c r="AG277" s="78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2.7083318042345598E-2</v>
      </c>
      <c r="AH277" s="78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277" s="78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277" s="78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2.7083318042345598E-2</v>
      </c>
      <c r="AK277" s="13">
        <f>[Div Base]*[Ações]</f>
        <v>4261937.5</v>
      </c>
      <c r="AL277" s="13">
        <f>SUMPRODUCT(N([Nome]=Tabela3[[#This Row],[Nome]]),[Div Base]*[Ações])</f>
        <v>4261937.5</v>
      </c>
      <c r="AM277" s="6">
        <f>[Patrimônio Líquido]/[Total Ações]</f>
        <v>1.8304448220616751</v>
      </c>
      <c r="AN277" s="48">
        <f>MAX(Tabela3[[#This Row],[Cotação 1]:[Cotação 5]])</f>
        <v>3.56</v>
      </c>
      <c r="AO277" s="44">
        <f>[Cotação]/[VPA]</f>
        <v>1.9448824444706747</v>
      </c>
      <c r="AP277" s="40">
        <f>IF(Tabela3[[#This Row],[Lucro/Ação]]&gt;0,Tabela3[[#This Row],[Cotação]]/(Tabela3[[#This Row],[Lucro/Ação]]/[Ref]*4),0)</f>
        <v>23.413859373084424</v>
      </c>
      <c r="AQ277" s="78">
        <f>[Lucro Distribuir]/[Total Ações]</f>
        <v>0.10833327216938239</v>
      </c>
      <c r="AR277" s="78">
        <f>IF([Unit ON]&gt;0,SUMPRODUCT(N([Nome]=Tabela3[[#This Row],[Nome]]),N(RIGHT([PAPEL],1)="3"),[Div Base])*[Unit ON]+SUMPRODUCT(N([Nome]=Tabela3[[#This Row],[Nome]]),N(RIGHT([PAPEL],1)="4"),[Div Base])*[Unit PN],[Div Base])</f>
        <v>2.7083318042345598E-2</v>
      </c>
      <c r="AS277" s="14" t="str">
        <f>IF(AND([% A.A.]&gt;=6%,SUMPRODUCT(N([Nome]=Tabela3[[#This Row],[Nome]]),[PL])&gt;0,[Rentabilidade s/ PL]&gt;=[Rentabilidade s/ PL Média]),"Sim","Não")</f>
        <v>Não</v>
      </c>
      <c r="AT277" s="42">
        <f>IF([Cotação]&gt;0,Tabela3[[#This Row],[Lucro]]/Tabela3[[#This Row],[Cotação]],0)</f>
        <v>7.6076736074004491E-3</v>
      </c>
      <c r="AU277" s="42">
        <f>((1+Tabela3[[#This Row],[% Yield]])^(1/(3*Tabela3[[#This Row],[Ref]])))^(12)-1</f>
        <v>1.0156404623336446E-2</v>
      </c>
      <c r="AV277" s="14">
        <f>IF([Cotação]&gt;0,($BH$1/Tabela3[[#This Row],[Cotação]]-MOD($BH$1/Tabela3[[#This Row],[Cotação]],100)),)</f>
        <v>100</v>
      </c>
      <c r="AW277" s="17">
        <f>Tabela3[[#This Row],[Ativos]]*[Lucro]</f>
        <v>2.7083318042345597</v>
      </c>
      <c r="AX277" s="17">
        <f>SUMPRODUCT(N(Tabela1[Código]=Tabela3[[#This Row],[PAPEL]]),Tabela1[Fechamento])</f>
        <v>0</v>
      </c>
      <c r="AY277" s="17">
        <f>SUMPRODUCT(N(Tabela17[Código]=Tabela3[[#This Row],[PAPEL]]),Tabela17[Fechamento])</f>
        <v>0</v>
      </c>
      <c r="AZ277" s="17">
        <f>SUMPRODUCT(N(Tabela176[Código]=Tabela3[[#This Row],[PAPEL]]),Tabela176[Fechamento])</f>
        <v>3.56</v>
      </c>
      <c r="BA277" s="17">
        <f>SUMPRODUCT(N(Tabela1768[Código]=Tabela3[[#This Row],[PAPEL]]),Tabela1768[Fechamento])</f>
        <v>0</v>
      </c>
      <c r="BB277" s="7">
        <f>SUMPRODUCT(N(Tabela17683[Código]=Tabela3[[#This Row],[PAPEL]]),Tabela17683[Fechamento])</f>
        <v>0</v>
      </c>
    </row>
    <row r="278" spans="1:54" hidden="1">
      <c r="A278" s="4" t="s">
        <v>12</v>
      </c>
      <c r="B278" s="57" t="s">
        <v>90</v>
      </c>
      <c r="C278" s="14" t="str">
        <f>LEFT([PAPEL],LEN([PAPEL])-(LEN([PAPEL])-4))</f>
        <v>CEBR</v>
      </c>
      <c r="D278" s="15">
        <v>3</v>
      </c>
      <c r="E278" s="6">
        <v>342056165.62</v>
      </c>
      <c r="F278" s="8">
        <v>4576432</v>
      </c>
      <c r="G278" s="81">
        <v>0.25</v>
      </c>
      <c r="H278" s="15"/>
      <c r="I278" s="19"/>
      <c r="J278" s="19"/>
      <c r="K278" s="88"/>
      <c r="L278" s="88"/>
      <c r="M278" s="13">
        <v>821792000</v>
      </c>
      <c r="N278" s="13">
        <v>37012000</v>
      </c>
      <c r="O278" s="13">
        <v>35888000</v>
      </c>
      <c r="P278" s="89">
        <v>465994000</v>
      </c>
      <c r="Q278" s="89">
        <v>17904000</v>
      </c>
      <c r="R278" s="89">
        <f>IF(Tabela3[[#This Row],[Ativo || Passivo]]&gt;0,Tabela3[[#This Row],[Ativo || Passivo]]-Tabela3[[#This Row],[Patrimônio Líquido]],0)</f>
        <v>355798000</v>
      </c>
      <c r="S278" s="89">
        <f>Tabela3[[#This Row],[Cotação]]*Tabela3[[#This Row],[Total Ações]]</f>
        <v>146935328</v>
      </c>
      <c r="T278" s="132">
        <f>IF(Tabela3[[#This Row],[Passivo Circulante]]&gt;0,Tabela3[[#This Row],[Ativo Circulante]]/Tabela3[[#This Row],[Passivo Circulante]],0)</f>
        <v>1.0313196611680784</v>
      </c>
      <c r="U278" s="132">
        <f>SUMPRODUCT(N([Liquidez Corrente]&gt;0),N(RIGHT([PAPEL],LEN([PAPEL])-(LEN([PAPEL])-1))="3"),[Liquidez Corrente])/SUMPRODUCT(N([Liquidez Corrente]&gt;0),N(RIGHT([PAPEL],LEN([PAPEL])-(LEN([PAPEL])-1))="3"))</f>
        <v>2.331224473064915</v>
      </c>
      <c r="V278" s="19">
        <f>IF(Tabela3[[#This Row],[Lucro Líquido]]&gt;0,Tabela3[[#This Row],[Lucro Líquido]]/Tabela3[[#This Row],[Patrimônio Líquido]],0)</f>
        <v>3.8421095550586488E-2</v>
      </c>
      <c r="W278" s="19">
        <f>SUMPRODUCT(N([Rentabilidade s/ PL]&gt;0),N(RIGHT([PAPEL],LEN([PAPEL])-(LEN([PAPEL])-1))="3"),[Rentabilidade s/ PL])/SUMPRODUCT(N([Rentabilidade s/ PL]&gt;0),N(RIGHT([PAPEL],LEN([PAPEL])-(LEN([PAPEL])-1))="3"))</f>
        <v>0.1261051308670782</v>
      </c>
      <c r="X278" s="19">
        <f>IF(Tabela3[[#This Row],[Dívida]]&gt;0,Tabela3[[#This Row],[Dívida]]/Tabela3[[#This Row],[Patrimônio Líquido]],0)</f>
        <v>0.7635248522513165</v>
      </c>
      <c r="Y278" s="19">
        <f>SUMPRODUCT(N([Dívida / PL]&gt;0),N(RIGHT([PAPEL],LEN([PAPEL])-(LEN([PAPEL])-1))="3"),[Dívida / PL])/SUMPRODUCT(N([Dívida / PL]&gt;0),N(RIGHT([PAPEL],LEN([PAPEL])-(LEN([PAPEL])-1))="3"))</f>
        <v>2.1510410379481146</v>
      </c>
      <c r="Z278" s="6">
        <f>Tabela3[[#This Row],[Capital Social]]*20%</f>
        <v>68411233.123999998</v>
      </c>
      <c r="AA278" s="6">
        <f>IF(([Lucro Líquido]*5%)&gt;[Teto R. Legal],[Teto R. Legal],[Lucro Líquido]*5%)</f>
        <v>895200</v>
      </c>
      <c r="AB278" s="89">
        <f>IF([Lucro Líquido]&lt;0,0,[Lucro Líquido]-[Reserva Legal])</f>
        <v>17008800</v>
      </c>
      <c r="AC278" s="89">
        <f>Tabela3[[#This Row],[Lucro Distribuir]]*[%Div]</f>
        <v>4252200</v>
      </c>
      <c r="AD278" s="56">
        <f>SUMPRODUCT(N([Nome]=Tabela3[[#This Row],[Nome]]),[Ações])</f>
        <v>9183458</v>
      </c>
      <c r="AE278" s="6">
        <f>[Capital Social]/[Total Ações]</f>
        <v>37.246989709105222</v>
      </c>
      <c r="AF278" s="78">
        <f>Tabela3[[#This Row],[Lucro Líquido]]/Tabela3[[#This Row],[Total Ações]]</f>
        <v>1.9495924084369962</v>
      </c>
      <c r="AG278" s="78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0.46302819700378661</v>
      </c>
      <c r="AH278" s="78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278" s="78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278" s="78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</v>
      </c>
      <c r="AK278" s="6">
        <f>[Div Base]*[Ações]</f>
        <v>0</v>
      </c>
      <c r="AL278" s="6">
        <f>SUMPRODUCT(N([Nome]=Tabela3[[#This Row],[Nome]]),[Div Base]*[Ações])</f>
        <v>4890537.1982034566</v>
      </c>
      <c r="AM278" s="6">
        <f>[Patrimônio Líquido]/[Total Ações]</f>
        <v>50.742759426786726</v>
      </c>
      <c r="AN278" s="48">
        <f>MAX(Tabela3[[#This Row],[Cotação 1]:[Cotação 5]])</f>
        <v>16</v>
      </c>
      <c r="AO278" s="44">
        <f>[Cotação]/[VPA]</f>
        <v>0.31531592252260759</v>
      </c>
      <c r="AP278" s="40">
        <f>IF(Tabela3[[#This Row],[Lucro/Ação]]&gt;0,Tabela3[[#This Row],[Cotação]]/(Tabela3[[#This Row],[Lucro/Ação]]/[Ref]*4),0)</f>
        <v>6.1551327077747988</v>
      </c>
      <c r="AQ278" s="78">
        <f>[Lucro Distribuir]/[Total Ações]</f>
        <v>1.8521127880151464</v>
      </c>
      <c r="AR278" s="78">
        <f>IF([Unit ON]&gt;0,SUMPRODUCT(N([Nome]=Tabela3[[#This Row],[Nome]]),N(RIGHT([PAPEL],1)="3"),[Div Base])*[Unit ON]+SUMPRODUCT(N([Nome]=Tabela3[[#This Row],[Nome]]),N(RIGHT([PAPEL],1)="4"),[Div Base])*[Unit PN],[Div Base])</f>
        <v>0</v>
      </c>
      <c r="AS278" s="15" t="str">
        <f>IF(AND([% A.A.]&gt;=6%,SUMPRODUCT(N([Nome]=Tabela3[[#This Row],[Nome]]),[PL])&gt;0,[Rentabilidade s/ PL]&gt;=[Rentabilidade s/ PL Média]),"Sim","Não")</f>
        <v>Não</v>
      </c>
      <c r="AT278" s="42">
        <f>IF([Cotação]&gt;0,Tabela3[[#This Row],[Lucro]]/Tabela3[[#This Row],[Cotação]],0)</f>
        <v>0</v>
      </c>
      <c r="AU278" s="19">
        <f>((1+Tabela3[[#This Row],[% Yield]])^(1/(3*Tabela3[[#This Row],[Ref]])))^(12)-1</f>
        <v>0</v>
      </c>
      <c r="AV278" s="14">
        <f>IF([Cotação]&gt;0,($BH$1/Tabela3[[#This Row],[Cotação]]-MOD($BH$1/Tabela3[[#This Row],[Cotação]],100)),)</f>
        <v>0</v>
      </c>
      <c r="AW278" s="17">
        <f>Tabela3[[#This Row],[Ativos]]*[Lucro]</f>
        <v>0</v>
      </c>
      <c r="AX278" s="5">
        <f>SUMPRODUCT(N(Tabela1[Código]=Tabela3[[#This Row],[PAPEL]]),Tabela1[Fechamento])</f>
        <v>16</v>
      </c>
      <c r="AY278" s="5">
        <f>SUMPRODUCT(N(Tabela17[Código]=Tabela3[[#This Row],[PAPEL]]),Tabela17[Fechamento])</f>
        <v>0</v>
      </c>
      <c r="AZ278" s="7">
        <f>SUMPRODUCT(N(Tabela176[Código]=Tabela3[[#This Row],[PAPEL]]),Tabela176[Fechamento])</f>
        <v>0</v>
      </c>
      <c r="BA278" s="7">
        <f>SUMPRODUCT(N(Tabela1768[Código]=Tabela3[[#This Row],[PAPEL]]),Tabela1768[Fechamento])</f>
        <v>0</v>
      </c>
      <c r="BB278" s="7">
        <f>SUMPRODUCT(N(Tabela17683[Código]=Tabela3[[#This Row],[PAPEL]]),Tabela17683[Fechamento])</f>
        <v>0</v>
      </c>
    </row>
    <row r="279" spans="1:54" hidden="1">
      <c r="A279" s="4" t="s">
        <v>12</v>
      </c>
      <c r="B279" s="57" t="s">
        <v>91</v>
      </c>
      <c r="C279" s="14" t="str">
        <f>LEFT([PAPEL],LEN([PAPEL])-(LEN([PAPEL])-4))</f>
        <v>CEBR</v>
      </c>
      <c r="D279" s="15">
        <v>3</v>
      </c>
      <c r="E279" s="6">
        <v>342056165.62</v>
      </c>
      <c r="F279" s="8">
        <v>1313002</v>
      </c>
      <c r="G279" s="86">
        <v>0.25</v>
      </c>
      <c r="H279" s="15"/>
      <c r="I279" s="19">
        <v>0.1</v>
      </c>
      <c r="J279" s="19"/>
      <c r="K279" s="88"/>
      <c r="L279" s="88"/>
      <c r="M279" s="13">
        <v>821792000</v>
      </c>
      <c r="N279" s="13">
        <v>37012000</v>
      </c>
      <c r="O279" s="13">
        <v>35888000</v>
      </c>
      <c r="P279" s="89">
        <v>465994000</v>
      </c>
      <c r="Q279" s="89">
        <v>17904000</v>
      </c>
      <c r="R279" s="89">
        <f>IF(Tabela3[[#This Row],[Ativo || Passivo]]&gt;0,Tabela3[[#This Row],[Ativo || Passivo]]-Tabela3[[#This Row],[Patrimônio Líquido]],0)</f>
        <v>355798000</v>
      </c>
      <c r="S279" s="13">
        <f>Tabela3[[#This Row],[Cotação]]*Tabela3[[#This Row],[Total Ações]]</f>
        <v>211219534</v>
      </c>
      <c r="T279" s="132">
        <f>IF(Tabela3[[#This Row],[Passivo Circulante]]&gt;0,Tabela3[[#This Row],[Ativo Circulante]]/Tabela3[[#This Row],[Passivo Circulante]],0)</f>
        <v>1.0313196611680784</v>
      </c>
      <c r="U279" s="132">
        <f>SUMPRODUCT(N([Liquidez Corrente]&gt;0),N(RIGHT([PAPEL],LEN([PAPEL])-(LEN([PAPEL])-1))="3"),[Liquidez Corrente])/SUMPRODUCT(N([Liquidez Corrente]&gt;0),N(RIGHT([PAPEL],LEN([PAPEL])-(LEN([PAPEL])-1))="3"))</f>
        <v>2.331224473064915</v>
      </c>
      <c r="V279" s="19">
        <f>IF(Tabela3[[#This Row],[Lucro Líquido]]&gt;0,Tabela3[[#This Row],[Lucro Líquido]]/Tabela3[[#This Row],[Patrimônio Líquido]],0)</f>
        <v>3.8421095550586488E-2</v>
      </c>
      <c r="W279" s="19">
        <f>SUMPRODUCT(N([Rentabilidade s/ PL]&gt;0),N(RIGHT([PAPEL],LEN([PAPEL])-(LEN([PAPEL])-1))="3"),[Rentabilidade s/ PL])/SUMPRODUCT(N([Rentabilidade s/ PL]&gt;0),N(RIGHT([PAPEL],LEN([PAPEL])-(LEN([PAPEL])-1))="3"))</f>
        <v>0.1261051308670782</v>
      </c>
      <c r="X279" s="19">
        <f>IF(Tabela3[[#This Row],[Dívida]]&gt;0,Tabela3[[#This Row],[Dívida]]/Tabela3[[#This Row],[Patrimônio Líquido]],0)</f>
        <v>0.7635248522513165</v>
      </c>
      <c r="Y279" s="19">
        <f>SUMPRODUCT(N([Dívida / PL]&gt;0),N(RIGHT([PAPEL],LEN([PAPEL])-(LEN([PAPEL])-1))="3"),[Dívida / PL])/SUMPRODUCT(N([Dívida / PL]&gt;0),N(RIGHT([PAPEL],LEN([PAPEL])-(LEN([PAPEL])-1))="3"))</f>
        <v>2.1510410379481146</v>
      </c>
      <c r="Z279" s="6">
        <f>Tabela3[[#This Row],[Capital Social]]*20%</f>
        <v>68411233.123999998</v>
      </c>
      <c r="AA279" s="6">
        <f>IF(([Lucro Líquido]*5%)&gt;[Teto R. Legal],[Teto R. Legal],[Lucro Líquido]*5%)</f>
        <v>895200</v>
      </c>
      <c r="AB279" s="89">
        <f>IF([Lucro Líquido]&lt;0,0,[Lucro Líquido]-[Reserva Legal])</f>
        <v>17008800</v>
      </c>
      <c r="AC279" s="89">
        <f>Tabela3[[#This Row],[Lucro Distribuir]]*[%Div]</f>
        <v>4252200</v>
      </c>
      <c r="AD279" s="56">
        <f>SUMPRODUCT(N([Nome]=Tabela3[[#This Row],[Nome]]),[Ações])</f>
        <v>9183458</v>
      </c>
      <c r="AE279" s="6">
        <f>[Capital Social]/[Total Ações]</f>
        <v>37.246989709105222</v>
      </c>
      <c r="AF279" s="78">
        <f>Tabela3[[#This Row],[Lucro Líquido]]/Tabela3[[#This Row],[Total Ações]]</f>
        <v>1.9495924084369962</v>
      </c>
      <c r="AG279" s="78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0.46302819700378661</v>
      </c>
      <c r="AH279" s="78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279" s="78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3.7246989709105218</v>
      </c>
      <c r="AJ279" s="78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3.7246989709105218</v>
      </c>
      <c r="AK279" s="6">
        <f>[Div Base]*[Ações]</f>
        <v>4890537.1982034566</v>
      </c>
      <c r="AL279" s="6">
        <f>SUMPRODUCT(N([Nome]=Tabela3[[#This Row],[Nome]]),[Div Base]*[Ações])</f>
        <v>4890537.1982034566</v>
      </c>
      <c r="AM279" s="6">
        <f>[Patrimônio Líquido]/[Total Ações]</f>
        <v>50.742759426786726</v>
      </c>
      <c r="AN279" s="48">
        <f>MAX(Tabela3[[#This Row],[Cotação 1]:[Cotação 5]])</f>
        <v>23</v>
      </c>
      <c r="AO279" s="44">
        <f>[Cotação]/[VPA]</f>
        <v>0.45326663862624844</v>
      </c>
      <c r="AP279" s="40">
        <f>IF(Tabela3[[#This Row],[Lucro/Ação]]&gt;0,Tabela3[[#This Row],[Cotação]]/(Tabela3[[#This Row],[Lucro/Ação]]/[Ref]*4),0)</f>
        <v>8.8480032674262734</v>
      </c>
      <c r="AQ279" s="78">
        <f>[Lucro Distribuir]/[Total Ações]</f>
        <v>1.8521127880151464</v>
      </c>
      <c r="AR279" s="78">
        <f>IF([Unit ON]&gt;0,SUMPRODUCT(N([Nome]=Tabela3[[#This Row],[Nome]]),N(RIGHT([PAPEL],1)="3"),[Div Base])*[Unit ON]+SUMPRODUCT(N([Nome]=Tabela3[[#This Row],[Nome]]),N(RIGHT([PAPEL],1)="4"),[Div Base])*[Unit PN],[Div Base])</f>
        <v>3.7246989709105218</v>
      </c>
      <c r="AS279" s="15" t="str">
        <f>IF(AND([% A.A.]&gt;=6%,SUMPRODUCT(N([Nome]=Tabela3[[#This Row],[Nome]]),[PL])&gt;0,[Rentabilidade s/ PL]&gt;=[Rentabilidade s/ PL Média]),"Sim","Não")</f>
        <v>Não</v>
      </c>
      <c r="AT279" s="42">
        <f>IF([Cotação]&gt;0,Tabela3[[#This Row],[Lucro]]/Tabela3[[#This Row],[Cotação]],0)</f>
        <v>0.16194343351784876</v>
      </c>
      <c r="AU279" s="19">
        <f>((1+Tabela3[[#This Row],[% Yield]])^(1/(3*Tabela3[[#This Row],[Ref]])))^(12)-1</f>
        <v>0.22155581271887548</v>
      </c>
      <c r="AV279" s="14">
        <f>IF([Cotação]&gt;0,($BH$1/Tabela3[[#This Row],[Cotação]]-MOD($BH$1/Tabela3[[#This Row],[Cotação]],100)),)</f>
        <v>0</v>
      </c>
      <c r="AW279" s="17">
        <f>Tabela3[[#This Row],[Ativos]]*[Lucro]</f>
        <v>0</v>
      </c>
      <c r="AX279" s="5">
        <f>SUMPRODUCT(N(Tabela1[Código]=Tabela3[[#This Row],[PAPEL]]),Tabela1[Fechamento])</f>
        <v>23</v>
      </c>
      <c r="AY279" s="5">
        <f>SUMPRODUCT(N(Tabela17[Código]=Tabela3[[#This Row],[PAPEL]]),Tabela17[Fechamento])</f>
        <v>0</v>
      </c>
      <c r="AZ279" s="7">
        <f>SUMPRODUCT(N(Tabela176[Código]=Tabela3[[#This Row],[PAPEL]]),Tabela176[Fechamento])</f>
        <v>0</v>
      </c>
      <c r="BA279" s="7">
        <f>SUMPRODUCT(N(Tabela1768[Código]=Tabela3[[#This Row],[PAPEL]]),Tabela1768[Fechamento])</f>
        <v>0</v>
      </c>
      <c r="BB279" s="7">
        <f>SUMPRODUCT(N(Tabela17683[Código]=Tabela3[[#This Row],[PAPEL]]),Tabela17683[Fechamento])</f>
        <v>0</v>
      </c>
    </row>
    <row r="280" spans="1:54" hidden="1">
      <c r="A280" s="4" t="s">
        <v>12</v>
      </c>
      <c r="B280" s="57" t="s">
        <v>69</v>
      </c>
      <c r="C280" s="14" t="str">
        <f>LEFT([PAPEL],LEN([PAPEL])-(LEN([PAPEL])-4))</f>
        <v>CEBR</v>
      </c>
      <c r="D280" s="15">
        <v>3</v>
      </c>
      <c r="E280" s="6">
        <v>342056165.62</v>
      </c>
      <c r="F280" s="8">
        <v>3294024</v>
      </c>
      <c r="G280" s="81">
        <v>0.25</v>
      </c>
      <c r="H280" s="19"/>
      <c r="I280" s="19"/>
      <c r="J280" s="19"/>
      <c r="K280" s="88"/>
      <c r="L280" s="88"/>
      <c r="M280" s="13">
        <v>821792000</v>
      </c>
      <c r="N280" s="13">
        <v>37012000</v>
      </c>
      <c r="O280" s="13">
        <v>35888000</v>
      </c>
      <c r="P280" s="89">
        <v>465994000</v>
      </c>
      <c r="Q280" s="89">
        <v>17904000</v>
      </c>
      <c r="R280" s="89">
        <f>IF(Tabela3[[#This Row],[Ativo || Passivo]]&gt;0,Tabela3[[#This Row],[Ativo || Passivo]]-Tabela3[[#This Row],[Patrimônio Líquido]],0)</f>
        <v>355798000</v>
      </c>
      <c r="S280" s="89">
        <f>Tabela3[[#This Row],[Cotação]]*Tabela3[[#This Row],[Total Ações]]</f>
        <v>161628860.80000001</v>
      </c>
      <c r="T280" s="132">
        <f>IF(Tabela3[[#This Row],[Passivo Circulante]]&gt;0,Tabela3[[#This Row],[Ativo Circulante]]/Tabela3[[#This Row],[Passivo Circulante]],0)</f>
        <v>1.0313196611680784</v>
      </c>
      <c r="U280" s="132">
        <f>SUMPRODUCT(N([Liquidez Corrente]&gt;0),N(RIGHT([PAPEL],LEN([PAPEL])-(LEN([PAPEL])-1))="3"),[Liquidez Corrente])/SUMPRODUCT(N([Liquidez Corrente]&gt;0),N(RIGHT([PAPEL],LEN([PAPEL])-(LEN([PAPEL])-1))="3"))</f>
        <v>2.331224473064915</v>
      </c>
      <c r="V280" s="19">
        <f>IF(Tabela3[[#This Row],[Lucro Líquido]]&gt;0,Tabela3[[#This Row],[Lucro Líquido]]/Tabela3[[#This Row],[Patrimônio Líquido]],0)</f>
        <v>3.8421095550586488E-2</v>
      </c>
      <c r="W280" s="19">
        <f>SUMPRODUCT(N([Rentabilidade s/ PL]&gt;0),N(RIGHT([PAPEL],LEN([PAPEL])-(LEN([PAPEL])-1))="3"),[Rentabilidade s/ PL])/SUMPRODUCT(N([Rentabilidade s/ PL]&gt;0),N(RIGHT([PAPEL],LEN([PAPEL])-(LEN([PAPEL])-1))="3"))</f>
        <v>0.1261051308670782</v>
      </c>
      <c r="X280" s="19">
        <f>IF(Tabela3[[#This Row],[Dívida]]&gt;0,Tabela3[[#This Row],[Dívida]]/Tabela3[[#This Row],[Patrimônio Líquido]],0)</f>
        <v>0.7635248522513165</v>
      </c>
      <c r="Y280" s="19">
        <f>SUMPRODUCT(N([Dívida / PL]&gt;0),N(RIGHT([PAPEL],LEN([PAPEL])-(LEN([PAPEL])-1))="3"),[Dívida / PL])/SUMPRODUCT(N([Dívida / PL]&gt;0),N(RIGHT([PAPEL],LEN([PAPEL])-(LEN([PAPEL])-1))="3"))</f>
        <v>2.1510410379481146</v>
      </c>
      <c r="Z280" s="6">
        <f>Tabela3[[#This Row],[Capital Social]]*20%</f>
        <v>68411233.123999998</v>
      </c>
      <c r="AA280" s="6">
        <f>IF(([Lucro Líquido]*5%)&gt;[Teto R. Legal],[Teto R. Legal],[Lucro Líquido]*5%)</f>
        <v>895200</v>
      </c>
      <c r="AB280" s="89">
        <f>IF([Lucro Líquido]&lt;0,0,[Lucro Líquido]-[Reserva Legal])</f>
        <v>17008800</v>
      </c>
      <c r="AC280" s="89">
        <f>Tabela3[[#This Row],[Lucro Distribuir]]*[%Div]</f>
        <v>4252200</v>
      </c>
      <c r="AD280" s="56">
        <f>SUMPRODUCT(N([Nome]=Tabela3[[#This Row],[Nome]]),[Ações])</f>
        <v>9183458</v>
      </c>
      <c r="AE280" s="6">
        <f>[Capital Social]/[Total Ações]</f>
        <v>37.246989709105222</v>
      </c>
      <c r="AF280" s="78">
        <f>Tabela3[[#This Row],[Lucro Líquido]]/Tabela3[[#This Row],[Total Ações]]</f>
        <v>1.9495924084369962</v>
      </c>
      <c r="AG280" s="78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0.46302819700378661</v>
      </c>
      <c r="AH280" s="78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280" s="78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280" s="78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</v>
      </c>
      <c r="AK280" s="6">
        <f>[Div Base]*[Ações]</f>
        <v>0</v>
      </c>
      <c r="AL280" s="6">
        <f>SUMPRODUCT(N([Nome]=Tabela3[[#This Row],[Nome]]),[Div Base]*[Ações])</f>
        <v>4890537.1982034566</v>
      </c>
      <c r="AM280" s="6">
        <f>[Patrimônio Líquido]/[Total Ações]</f>
        <v>50.742759426786726</v>
      </c>
      <c r="AN280" s="48">
        <f>MAX(Tabela3[[#This Row],[Cotação 1]:[Cotação 5]])</f>
        <v>17.600000000000001</v>
      </c>
      <c r="AO280" s="44">
        <f>[Cotação]/[VPA]</f>
        <v>0.34684751477486842</v>
      </c>
      <c r="AP280" s="40">
        <f>IF(Tabela3[[#This Row],[Lucro/Ação]]&gt;0,Tabela3[[#This Row],[Cotação]]/(Tabela3[[#This Row],[Lucro/Ação]]/[Ref]*4),0)</f>
        <v>6.7706459785522792</v>
      </c>
      <c r="AQ280" s="78">
        <f>[Lucro Distribuir]/[Total Ações]</f>
        <v>1.8521127880151464</v>
      </c>
      <c r="AR280" s="78">
        <f>IF([Unit ON]&gt;0,SUMPRODUCT(N([Nome]=Tabela3[[#This Row],[Nome]]),N(RIGHT([PAPEL],1)="3"),[Div Base])*[Unit ON]+SUMPRODUCT(N([Nome]=Tabela3[[#This Row],[Nome]]),N(RIGHT([PAPEL],1)="4"),[Div Base])*[Unit PN],[Div Base])</f>
        <v>0</v>
      </c>
      <c r="AS280" s="14" t="str">
        <f>IF(AND([% A.A.]&gt;=6%,SUMPRODUCT(N([Nome]=Tabela3[[#This Row],[Nome]]),[PL])&gt;0,[Rentabilidade s/ PL]&gt;=[Rentabilidade s/ PL Média]),"Sim","Não")</f>
        <v>Não</v>
      </c>
      <c r="AT280" s="42">
        <f>IF([Cotação]&gt;0,Tabela3[[#This Row],[Lucro]]/Tabela3[[#This Row],[Cotação]],0)</f>
        <v>0</v>
      </c>
      <c r="AU280" s="19">
        <f>((1+Tabela3[[#This Row],[% Yield]])^(1/(3*Tabela3[[#This Row],[Ref]])))^(12)-1</f>
        <v>0</v>
      </c>
      <c r="AV280" s="14">
        <f>IF([Cotação]&gt;0,($BH$1/Tabela3[[#This Row],[Cotação]]-MOD($BH$1/Tabela3[[#This Row],[Cotação]],100)),)</f>
        <v>0</v>
      </c>
      <c r="AW280" s="17">
        <f>Tabela3[[#This Row],[Ativos]]*[Lucro]</f>
        <v>0</v>
      </c>
      <c r="AX280" s="5">
        <f>SUMPRODUCT(N(Tabela1[Código]=Tabela3[[#This Row],[PAPEL]]),Tabela1[Fechamento])</f>
        <v>17.600000000000001</v>
      </c>
      <c r="AY280" s="5">
        <f>SUMPRODUCT(N(Tabela17[Código]=Tabela3[[#This Row],[PAPEL]]),Tabela17[Fechamento])</f>
        <v>0</v>
      </c>
      <c r="AZ280" s="7">
        <f>SUMPRODUCT(N(Tabela176[Código]=Tabela3[[#This Row],[PAPEL]]),Tabela176[Fechamento])</f>
        <v>0</v>
      </c>
      <c r="BA280" s="7">
        <f>SUMPRODUCT(N(Tabela1768[Código]=Tabela3[[#This Row],[PAPEL]]),Tabela1768[Fechamento])</f>
        <v>0</v>
      </c>
      <c r="BB280" s="7">
        <f>SUMPRODUCT(N(Tabela17683[Código]=Tabela3[[#This Row],[PAPEL]]),Tabela17683[Fechamento])</f>
        <v>0</v>
      </c>
    </row>
    <row r="281" spans="1:54">
      <c r="A281" s="4" t="s">
        <v>590</v>
      </c>
      <c r="B281" s="57" t="s">
        <v>593</v>
      </c>
      <c r="C281" s="15" t="str">
        <f>LEFT([PAPEL],LEN([PAPEL])-(LEN([PAPEL])-4))</f>
        <v>POSI</v>
      </c>
      <c r="D281" s="15">
        <v>4</v>
      </c>
      <c r="E281" s="6">
        <v>389000000</v>
      </c>
      <c r="F281" s="8">
        <v>87800000</v>
      </c>
      <c r="G281" s="86">
        <v>0.25</v>
      </c>
      <c r="H281" s="15"/>
      <c r="I281" s="19"/>
      <c r="J281" s="19"/>
      <c r="K281" s="88"/>
      <c r="L281" s="88"/>
      <c r="M281" s="55">
        <v>1823441000</v>
      </c>
      <c r="N281" s="55">
        <v>1427846000</v>
      </c>
      <c r="O281" s="55">
        <v>949537000</v>
      </c>
      <c r="P281" s="92">
        <v>645728000</v>
      </c>
      <c r="Q281" s="93">
        <v>15590000</v>
      </c>
      <c r="R281" s="93">
        <f>IF(Tabela3[[#This Row],[Ativo || Passivo]]&gt;0,Tabela3[[#This Row],[Ativo || Passivo]]-Tabela3[[#This Row],[Patrimônio Líquido]],0)</f>
        <v>1177713000</v>
      </c>
      <c r="S281" s="93">
        <f>Tabela3[[#This Row],[Cotação]]*Tabela3[[#This Row],[Total Ações]]</f>
        <v>243206000</v>
      </c>
      <c r="T281" s="40">
        <f>IF(Tabela3[[#This Row],[Passivo Circulante]]&gt;0,Tabela3[[#This Row],[Ativo Circulante]]/Tabela3[[#This Row],[Passivo Circulante]],0)</f>
        <v>1.5037286593360764</v>
      </c>
      <c r="U281" s="40">
        <f>SUMPRODUCT(N([Liquidez Corrente]&gt;0),N(RIGHT([PAPEL],LEN([PAPEL])-(LEN([PAPEL])-1))="3"),[Liquidez Corrente])/SUMPRODUCT(N([Liquidez Corrente]&gt;0),N(RIGHT([PAPEL],LEN([PAPEL])-(LEN([PAPEL])-1))="3"))</f>
        <v>2.331224473064915</v>
      </c>
      <c r="V281" s="19">
        <f>IF(Tabela3[[#This Row],[Lucro Líquido]]&gt;0,Tabela3[[#This Row],[Lucro Líquido]]/Tabela3[[#This Row],[Patrimônio Líquido]],0)</f>
        <v>2.4143292531840031E-2</v>
      </c>
      <c r="W281" s="19">
        <f>SUMPRODUCT(N([Rentabilidade s/ PL]&gt;0),N(RIGHT([PAPEL],LEN([PAPEL])-(LEN([PAPEL])-1))="3"),[Rentabilidade s/ PL])/SUMPRODUCT(N([Rentabilidade s/ PL]&gt;0),N(RIGHT([PAPEL],LEN([PAPEL])-(LEN([PAPEL])-1))="3"))</f>
        <v>0.1261051308670782</v>
      </c>
      <c r="X281" s="19">
        <f>IF(Tabela3[[#This Row],[Dívida]]&gt;0,Tabela3[[#This Row],[Dívida]]/Tabela3[[#This Row],[Patrimônio Líquido]],0)</f>
        <v>1.8238530774567621</v>
      </c>
      <c r="Y281" s="19">
        <f>SUMPRODUCT(N([Dívida / PL]&gt;0),N(RIGHT([PAPEL],LEN([PAPEL])-(LEN([PAPEL])-1))="3"),[Dívida / PL])/SUMPRODUCT(N([Dívida / PL]&gt;0),N(RIGHT([PAPEL],LEN([PAPEL])-(LEN([PAPEL])-1))="3"))</f>
        <v>2.1510410379481146</v>
      </c>
      <c r="Z281" s="13">
        <f>Tabela3[[#This Row],[Capital Social]]*20%</f>
        <v>77800000</v>
      </c>
      <c r="AA281" s="13">
        <f>IF(([Lucro Líquido]*5%)&gt;[Teto R. Legal],[Teto R. Legal],[Lucro Líquido]*5%)</f>
        <v>779500</v>
      </c>
      <c r="AB281" s="13">
        <f>IF([Lucro Líquido]&lt;0,0,[Lucro Líquido]-[Reserva Legal])</f>
        <v>14810500</v>
      </c>
      <c r="AC281" s="13">
        <f>Tabela3[[#This Row],[Lucro Distribuir]]*[%Div]</f>
        <v>3702625</v>
      </c>
      <c r="AD281" s="56">
        <f>SUMPRODUCT(N([Nome]=Tabela3[[#This Row],[Nome]]),[Ações])</f>
        <v>87800000</v>
      </c>
      <c r="AE281" s="6">
        <f>[Capital Social]/[Total Ações]</f>
        <v>4.4305239179954441</v>
      </c>
      <c r="AF281" s="78">
        <f>Tabela3[[#This Row],[Lucro Líquido]]/Tabela3[[#This Row],[Total Ações]]</f>
        <v>0.1775626423690205</v>
      </c>
      <c r="AG281" s="78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4.2171127562642366E-2</v>
      </c>
      <c r="AH281" s="78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281" s="78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281" s="78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4.2171127562642366E-2</v>
      </c>
      <c r="AK281" s="13">
        <f>[Div Base]*[Ações]</f>
        <v>3702624.9999999995</v>
      </c>
      <c r="AL281" s="13">
        <f>SUMPRODUCT(N([Nome]=Tabela3[[#This Row],[Nome]]),[Div Base]*[Ações])</f>
        <v>3702624.9999999995</v>
      </c>
      <c r="AM281" s="6">
        <f>[Patrimônio Líquido]/[Total Ações]</f>
        <v>7.3545330296127567</v>
      </c>
      <c r="AN281" s="48">
        <f>MAX(Tabela3[[#This Row],[Cotação 1]:[Cotação 5]])</f>
        <v>2.77</v>
      </c>
      <c r="AO281" s="44">
        <f>[Cotação]/[VPA]</f>
        <v>0.37663846077605428</v>
      </c>
      <c r="AP281" s="40">
        <f>IF(Tabela3[[#This Row],[Lucro/Ação]]&gt;0,Tabela3[[#This Row],[Cotação]]/(Tabela3[[#This Row],[Lucro/Ação]]/[Ref]*4),0)</f>
        <v>15.600128287363695</v>
      </c>
      <c r="AQ281" s="78">
        <f>[Lucro Distribuir]/[Total Ações]</f>
        <v>0.16868451025056946</v>
      </c>
      <c r="AR281" s="78">
        <f>IF([Unit ON]&gt;0,SUMPRODUCT(N([Nome]=Tabela3[[#This Row],[Nome]]),N(RIGHT([PAPEL],1)="3"),[Div Base])*[Unit ON]+SUMPRODUCT(N([Nome]=Tabela3[[#This Row],[Nome]]),N(RIGHT([PAPEL],1)="4"),[Div Base])*[Unit PN],[Div Base])</f>
        <v>4.2171127562642366E-2</v>
      </c>
      <c r="AS281" s="14" t="str">
        <f>IF(AND([% A.A.]&gt;=6%,SUMPRODUCT(N([Nome]=Tabela3[[#This Row],[Nome]]),[PL])&gt;0,[Rentabilidade s/ PL]&gt;=[Rentabilidade s/ PL Média]),"Sim","Não")</f>
        <v>Não</v>
      </c>
      <c r="AT281" s="42">
        <f>IF([Cotação]&gt;0,Tabela3[[#This Row],[Lucro]]/Tabela3[[#This Row],[Cotação]],0)</f>
        <v>1.5224233777127208E-2</v>
      </c>
      <c r="AU281" s="42">
        <f>((1+Tabela3[[#This Row],[% Yield]])^(1/(3*Tabela3[[#This Row],[Ref]])))^(12)-1</f>
        <v>1.5224233777126006E-2</v>
      </c>
      <c r="AV281" s="14">
        <f>IF([Cotação]&gt;0,($BH$1/Tabela3[[#This Row],[Cotação]]-MOD($BH$1/Tabela3[[#This Row],[Cotação]],100)),)</f>
        <v>100</v>
      </c>
      <c r="AW281" s="17">
        <f>Tabela3[[#This Row],[Ativos]]*[Lucro]</f>
        <v>4.2171127562642363</v>
      </c>
      <c r="AX281" s="17">
        <f>SUMPRODUCT(N(Tabela1[Código]=Tabela3[[#This Row],[PAPEL]]),Tabela1[Fechamento])</f>
        <v>0</v>
      </c>
      <c r="AY281" s="17">
        <f>SUMPRODUCT(N(Tabela17[Código]=Tabela3[[#This Row],[PAPEL]]),Tabela17[Fechamento])</f>
        <v>0</v>
      </c>
      <c r="AZ281" s="17">
        <f>SUMPRODUCT(N(Tabela176[Código]=Tabela3[[#This Row],[PAPEL]]),Tabela176[Fechamento])</f>
        <v>2.77</v>
      </c>
      <c r="BA281" s="17">
        <f>SUMPRODUCT(N(Tabela1768[Código]=Tabela3[[#This Row],[PAPEL]]),Tabela1768[Fechamento])</f>
        <v>0</v>
      </c>
      <c r="BB281" s="7">
        <f>SUMPRODUCT(N(Tabela17683[Código]=Tabela3[[#This Row],[PAPEL]]),Tabela17683[Fechamento])</f>
        <v>0</v>
      </c>
    </row>
    <row r="282" spans="1:54" hidden="1">
      <c r="A282" s="3" t="s">
        <v>1393</v>
      </c>
      <c r="B282" s="58" t="s">
        <v>1387</v>
      </c>
      <c r="C282" s="16" t="str">
        <f>LEFT([PAPEL],LEN([PAPEL])-(LEN([PAPEL])-4))</f>
        <v>MTSA</v>
      </c>
      <c r="D282" s="16">
        <v>3</v>
      </c>
      <c r="E282" s="5">
        <v>100000000</v>
      </c>
      <c r="F282" s="56">
        <v>4212530</v>
      </c>
      <c r="G282" s="81">
        <v>0.25</v>
      </c>
      <c r="H282" s="87"/>
      <c r="J282" s="18"/>
      <c r="K282" s="16"/>
      <c r="L282" s="87"/>
      <c r="M282" s="54"/>
      <c r="N282" s="54"/>
      <c r="O282" s="54"/>
      <c r="P282" s="91">
        <v>187243051</v>
      </c>
      <c r="Q282" s="73">
        <v>15526375</v>
      </c>
      <c r="R282" s="73">
        <f>IF(Tabela3[[#This Row],[Ativo || Passivo]]&gt;0,Tabela3[[#This Row],[Ativo || Passivo]]-Tabela3[[#This Row],[Patrimônio Líquido]],0)</f>
        <v>0</v>
      </c>
      <c r="S282" s="73">
        <f>Tabela3[[#This Row],[Cotação]]*Tabela3[[#This Row],[Total Ações]]</f>
        <v>585868980</v>
      </c>
      <c r="T282" s="37">
        <f>IF(Tabela3[[#This Row],[Passivo Circulante]]&gt;0,Tabela3[[#This Row],[Ativo Circulante]]/Tabela3[[#This Row],[Passivo Circulante]],0)</f>
        <v>0</v>
      </c>
      <c r="U282" s="37">
        <f>SUMPRODUCT(N([Liquidez Corrente]&gt;0),N(RIGHT([PAPEL],LEN([PAPEL])-(LEN([PAPEL])-1))="3"),[Liquidez Corrente])/SUMPRODUCT(N([Liquidez Corrente]&gt;0),N(RIGHT([PAPEL],LEN([PAPEL])-(LEN([PAPEL])-1))="3"))</f>
        <v>2.331224473064915</v>
      </c>
      <c r="V282" s="18">
        <f>IF(Tabela3[[#This Row],[Lucro Líquido]]&gt;0,Tabela3[[#This Row],[Lucro Líquido]]/Tabela3[[#This Row],[Patrimônio Líquido]],0)</f>
        <v>8.2920967785341207E-2</v>
      </c>
      <c r="W282" s="18">
        <f>SUMPRODUCT(N([Rentabilidade s/ PL]&gt;0),N(RIGHT([PAPEL],LEN([PAPEL])-(LEN([PAPEL])-1))="3"),[Rentabilidade s/ PL])/SUMPRODUCT(N([Rentabilidade s/ PL]&gt;0),N(RIGHT([PAPEL],LEN([PAPEL])-(LEN([PAPEL])-1))="3"))</f>
        <v>0.1261051308670782</v>
      </c>
      <c r="X282" s="18">
        <f>IF(Tabela3[[#This Row],[Dívida]]&gt;0,Tabela3[[#This Row],[Dívida]]/Tabela3[[#This Row],[Patrimônio Líquido]],0)</f>
        <v>0</v>
      </c>
      <c r="Y282" s="18">
        <f>SUMPRODUCT(N([Dívida / PL]&gt;0),N(RIGHT([PAPEL],LEN([PAPEL])-(LEN([PAPEL])-1))="3"),[Dívida / PL])/SUMPRODUCT(N([Dívida / PL]&gt;0),N(RIGHT([PAPEL],LEN([PAPEL])-(LEN([PAPEL])-1))="3"))</f>
        <v>2.1510410379481146</v>
      </c>
      <c r="Z282" s="7">
        <f>Tabela3[[#This Row],[Capital Social]]*20%</f>
        <v>20000000</v>
      </c>
      <c r="AA282" s="47">
        <f>IF(([Lucro Líquido]*5%)&gt;[Teto R. Legal],[Teto R. Legal],[Lucro Líquido]*5%)</f>
        <v>776318.75</v>
      </c>
      <c r="AB282" s="47">
        <f>IF([Lucro Líquido]&lt;0,0,[Lucro Líquido]-[Reserva Legal])</f>
        <v>14750056.25</v>
      </c>
      <c r="AC282" s="47">
        <f>Tabela3[[#This Row],[Lucro Distribuir]]*[%Div]</f>
        <v>3687514.0625</v>
      </c>
      <c r="AD282" s="56">
        <f>SUMPRODUCT(N([Nome]=Tabela3[[#This Row],[Nome]]),[Ações])</f>
        <v>9764483</v>
      </c>
      <c r="AE282" s="85">
        <f>[Capital Social]/[Total Ações]</f>
        <v>10.241197613841921</v>
      </c>
      <c r="AF282" s="85">
        <f>Tabela3[[#This Row],[Lucro Líquido]]/Tabela3[[#This Row],[Total Ações]]</f>
        <v>1.5900867460161485</v>
      </c>
      <c r="AG282" s="85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0.36589561145988486</v>
      </c>
      <c r="AH282" s="85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282" s="77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282" s="85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0.36589561145988486</v>
      </c>
      <c r="AK282" s="7">
        <f>[Div Base]*[Ações]</f>
        <v>1541346.2401431089</v>
      </c>
      <c r="AL282" s="120">
        <f>SUMPRODUCT(N([Nome]=Tabela3[[#This Row],[Nome]]),[Div Base]*[Ações])</f>
        <v>3775925.0047089439</v>
      </c>
      <c r="AM282" s="5">
        <f>[Patrimônio Líquido]/[Total Ações]</f>
        <v>19.17593087109681</v>
      </c>
      <c r="AN282" s="52">
        <f>MAX(Tabela3[[#This Row],[Cotação 1]:[Cotação 5]])</f>
        <v>60</v>
      </c>
      <c r="AO282" s="53">
        <f>[Cotação]/[VPA]</f>
        <v>3.1289224185948563</v>
      </c>
      <c r="AP282" s="37">
        <f>IF(Tabela3[[#This Row],[Lucro/Ação]]&gt;0,Tabela3[[#This Row],[Cotação]]/(Tabela3[[#This Row],[Lucro/Ação]]/[Ref]*4),0)</f>
        <v>28.30034280377744</v>
      </c>
      <c r="AQ282" s="85">
        <f>[Lucro Distribuir]/[Total Ações]</f>
        <v>1.510582408715341</v>
      </c>
      <c r="AR282" s="85">
        <f>IF([Unit ON]&gt;0,SUMPRODUCT(N([Nome]=Tabela3[[#This Row],[Nome]]),N(RIGHT([PAPEL],1)="3"),[Div Base])*[Unit ON]+SUMPRODUCT(N([Nome]=Tabela3[[#This Row],[Nome]]),N(RIGHT([PAPEL],1)="4"),[Div Base])*[Unit PN],[Div Base])</f>
        <v>0.36589561145988486</v>
      </c>
      <c r="AS282" s="10" t="str">
        <f>IF(AND([% A.A.]&gt;=6%,SUMPRODUCT(N([Nome]=Tabela3[[#This Row],[Nome]]),[PL])&gt;0,[Rentabilidade s/ PL]&gt;=[Rentabilidade s/ PL Média]),"Sim","Não")</f>
        <v>Não</v>
      </c>
      <c r="AT282" s="22">
        <f>IF([Cotação]&gt;0,Tabela3[[#This Row],[Lucro]]/Tabela3[[#This Row],[Cotação]],0)</f>
        <v>6.0982601909980814E-3</v>
      </c>
      <c r="AU282" s="22">
        <f>((1+Tabela3[[#This Row],[% Yield]])^(1/(3*Tabela3[[#This Row],[Ref]])))^(12)-1</f>
        <v>8.1392665897594974E-3</v>
      </c>
      <c r="AV282" s="10">
        <f>IF([Cotação]&gt;0,($BH$1/Tabela3[[#This Row],[Cotação]]-MOD($BH$1/Tabela3[[#This Row],[Cotação]],100)),)</f>
        <v>0</v>
      </c>
      <c r="AW282" s="7">
        <f>Tabela3[[#This Row],[Ativos]]*[Lucro]</f>
        <v>0</v>
      </c>
      <c r="AX282" s="7">
        <f>SUMPRODUCT(N(Tabela1[Código]=Tabela3[[#This Row],[PAPEL]]),Tabela1[Fechamento])</f>
        <v>0</v>
      </c>
      <c r="AY282" s="7">
        <f>SUMPRODUCT(N(Tabela17[Código]=Tabela3[[#This Row],[PAPEL]]),Tabela17[Fechamento])</f>
        <v>0</v>
      </c>
      <c r="AZ282" s="7">
        <f>SUMPRODUCT(N(Tabela176[Código]=Tabela3[[#This Row],[PAPEL]]),Tabela176[Fechamento])</f>
        <v>0</v>
      </c>
      <c r="BA282" s="7">
        <f>SUMPRODUCT(N(Tabela1768[Código]=Tabela3[[#This Row],[PAPEL]]),Tabela1768[Fechamento])</f>
        <v>0</v>
      </c>
      <c r="BB282" s="7">
        <f>SUMPRODUCT(N(Tabela17683[Código]=Tabela3[[#This Row],[PAPEL]]),Tabela17683[Fechamento])</f>
        <v>60</v>
      </c>
    </row>
    <row r="283" spans="1:54" hidden="1">
      <c r="A283" s="3" t="s">
        <v>1393</v>
      </c>
      <c r="B283" s="58" t="s">
        <v>1388</v>
      </c>
      <c r="C283" s="16" t="str">
        <f>LEFT([PAPEL],LEN([PAPEL])-(LEN([PAPEL])-4))</f>
        <v>MTSA</v>
      </c>
      <c r="D283" s="16">
        <v>3</v>
      </c>
      <c r="E283" s="5">
        <v>100000000</v>
      </c>
      <c r="F283" s="56">
        <v>5551953</v>
      </c>
      <c r="G283" s="81">
        <v>0.25</v>
      </c>
      <c r="H283" s="87"/>
      <c r="J283" s="18">
        <v>0.1</v>
      </c>
      <c r="K283" s="16"/>
      <c r="L283" s="87"/>
      <c r="M283" s="54"/>
      <c r="N283" s="54"/>
      <c r="O283" s="54"/>
      <c r="P283" s="91">
        <v>187243051</v>
      </c>
      <c r="Q283" s="73">
        <v>15526375</v>
      </c>
      <c r="R283" s="73">
        <f>IF(Tabela3[[#This Row],[Ativo || Passivo]]&gt;0,Tabela3[[#This Row],[Ativo || Passivo]]-Tabela3[[#This Row],[Patrimônio Líquido]],0)</f>
        <v>0</v>
      </c>
      <c r="S283" s="73">
        <f>Tabela3[[#This Row],[Cotação]]*Tabela3[[#This Row],[Total Ações]]</f>
        <v>167070304.13</v>
      </c>
      <c r="T283" s="37">
        <f>IF(Tabela3[[#This Row],[Passivo Circulante]]&gt;0,Tabela3[[#This Row],[Ativo Circulante]]/Tabela3[[#This Row],[Passivo Circulante]],0)</f>
        <v>0</v>
      </c>
      <c r="U283" s="37">
        <f>SUMPRODUCT(N([Liquidez Corrente]&gt;0),N(RIGHT([PAPEL],LEN([PAPEL])-(LEN([PAPEL])-1))="3"),[Liquidez Corrente])/SUMPRODUCT(N([Liquidez Corrente]&gt;0),N(RIGHT([PAPEL],LEN([PAPEL])-(LEN([PAPEL])-1))="3"))</f>
        <v>2.331224473064915</v>
      </c>
      <c r="V283" s="18">
        <f>IF(Tabela3[[#This Row],[Lucro Líquido]]&gt;0,Tabela3[[#This Row],[Lucro Líquido]]/Tabela3[[#This Row],[Patrimônio Líquido]],0)</f>
        <v>8.2920967785341207E-2</v>
      </c>
      <c r="W283" s="18">
        <f>SUMPRODUCT(N([Rentabilidade s/ PL]&gt;0),N(RIGHT([PAPEL],LEN([PAPEL])-(LEN([PAPEL])-1))="3"),[Rentabilidade s/ PL])/SUMPRODUCT(N([Rentabilidade s/ PL]&gt;0),N(RIGHT([PAPEL],LEN([PAPEL])-(LEN([PAPEL])-1))="3"))</f>
        <v>0.1261051308670782</v>
      </c>
      <c r="X283" s="18">
        <f>IF(Tabela3[[#This Row],[Dívida]]&gt;0,Tabela3[[#This Row],[Dívida]]/Tabela3[[#This Row],[Patrimônio Líquido]],0)</f>
        <v>0</v>
      </c>
      <c r="Y283" s="18">
        <f>SUMPRODUCT(N([Dívida / PL]&gt;0),N(RIGHT([PAPEL],LEN([PAPEL])-(LEN([PAPEL])-1))="3"),[Dívida / PL])/SUMPRODUCT(N([Dívida / PL]&gt;0),N(RIGHT([PAPEL],LEN([PAPEL])-(LEN([PAPEL])-1))="3"))</f>
        <v>2.1510410379481146</v>
      </c>
      <c r="Z283" s="7">
        <f>Tabela3[[#This Row],[Capital Social]]*20%</f>
        <v>20000000</v>
      </c>
      <c r="AA283" s="47">
        <f>IF(([Lucro Líquido]*5%)&gt;[Teto R. Legal],[Teto R. Legal],[Lucro Líquido]*5%)</f>
        <v>776318.75</v>
      </c>
      <c r="AB283" s="47">
        <f>IF([Lucro Líquido]&lt;0,0,[Lucro Líquido]-[Reserva Legal])</f>
        <v>14750056.25</v>
      </c>
      <c r="AC283" s="47">
        <f>Tabela3[[#This Row],[Lucro Distribuir]]*[%Div]</f>
        <v>3687514.0625</v>
      </c>
      <c r="AD283" s="56">
        <f>SUMPRODUCT(N([Nome]=Tabela3[[#This Row],[Nome]]),[Ações])</f>
        <v>9764483</v>
      </c>
      <c r="AE283" s="85">
        <f>[Capital Social]/[Total Ações]</f>
        <v>10.241197613841921</v>
      </c>
      <c r="AF283" s="85">
        <f>Tabela3[[#This Row],[Lucro Líquido]]/Tabela3[[#This Row],[Total Ações]]</f>
        <v>1.5900867460161485</v>
      </c>
      <c r="AG283" s="85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0.40248517315723592</v>
      </c>
      <c r="AH283" s="85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283" s="77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283" s="85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0.40248517315723592</v>
      </c>
      <c r="AK283" s="7">
        <f>[Div Base]*[Ações]</f>
        <v>2234578.7645658352</v>
      </c>
      <c r="AL283" s="120">
        <f>SUMPRODUCT(N([Nome]=Tabela3[[#This Row],[Nome]]),[Div Base]*[Ações])</f>
        <v>3775925.0047089439</v>
      </c>
      <c r="AM283" s="5">
        <f>[Patrimônio Líquido]/[Total Ações]</f>
        <v>19.17593087109681</v>
      </c>
      <c r="AN283" s="52">
        <f>MAX(Tabela3[[#This Row],[Cotação 1]:[Cotação 5]])</f>
        <v>17.11</v>
      </c>
      <c r="AO283" s="53">
        <f>[Cotação]/[VPA]</f>
        <v>0.89226437636929978</v>
      </c>
      <c r="AP283" s="37">
        <f>IF(Tabela3[[#This Row],[Lucro/Ação]]&gt;0,Tabela3[[#This Row],[Cotação]]/(Tabela3[[#This Row],[Lucro/Ação]]/[Ref]*4),0)</f>
        <v>8.0703144228771997</v>
      </c>
      <c r="AQ283" s="85">
        <f>[Lucro Distribuir]/[Total Ações]</f>
        <v>1.510582408715341</v>
      </c>
      <c r="AR283" s="85">
        <f>IF([Unit ON]&gt;0,SUMPRODUCT(N([Nome]=Tabela3[[#This Row],[Nome]]),N(RIGHT([PAPEL],1)="3"),[Div Base])*[Unit ON]+SUMPRODUCT(N([Nome]=Tabela3[[#This Row],[Nome]]),N(RIGHT([PAPEL],1)="4"),[Div Base])*[Unit PN],[Div Base])</f>
        <v>0.40248517315723592</v>
      </c>
      <c r="AS283" s="10" t="str">
        <f>IF(AND([% A.A.]&gt;=6%,SUMPRODUCT(N([Nome]=Tabela3[[#This Row],[Nome]]),[PL])&gt;0,[Rentabilidade s/ PL]&gt;=[Rentabilidade s/ PL Média]),"Sim","Não")</f>
        <v>Não</v>
      </c>
      <c r="AT283" s="22">
        <f>IF([Cotação]&gt;0,Tabela3[[#This Row],[Lucro]]/Tabela3[[#This Row],[Cotação]],0)</f>
        <v>2.3523388261673637E-2</v>
      </c>
      <c r="AU283" s="22">
        <f>((1+Tabela3[[#This Row],[% Yield]])^(1/(3*Tabela3[[#This Row],[Ref]])))^(12)-1</f>
        <v>3.1486847727689282E-2</v>
      </c>
      <c r="AV283" s="10">
        <f>IF([Cotação]&gt;0,($BH$1/Tabela3[[#This Row],[Cotação]]-MOD($BH$1/Tabela3[[#This Row],[Cotação]],100)),)</f>
        <v>0</v>
      </c>
      <c r="AW283" s="7">
        <f>Tabela3[[#This Row],[Ativos]]*[Lucro]</f>
        <v>0</v>
      </c>
      <c r="AX283" s="7">
        <f>SUMPRODUCT(N(Tabela1[Código]=Tabela3[[#This Row],[PAPEL]]),Tabela1[Fechamento])</f>
        <v>0</v>
      </c>
      <c r="AY283" s="7">
        <f>SUMPRODUCT(N(Tabela17[Código]=Tabela3[[#This Row],[PAPEL]]),Tabela17[Fechamento])</f>
        <v>0</v>
      </c>
      <c r="AZ283" s="7">
        <f>SUMPRODUCT(N(Tabela176[Código]=Tabela3[[#This Row],[PAPEL]]),Tabela176[Fechamento])</f>
        <v>0</v>
      </c>
      <c r="BA283" s="7">
        <f>SUMPRODUCT(N(Tabela1768[Código]=Tabela3[[#This Row],[PAPEL]]),Tabela1768[Fechamento])</f>
        <v>0</v>
      </c>
      <c r="BB283" s="7">
        <f>SUMPRODUCT(N(Tabela17683[Código]=Tabela3[[#This Row],[PAPEL]]),Tabela17683[Fechamento])</f>
        <v>17.11</v>
      </c>
    </row>
    <row r="284" spans="1:54" hidden="1">
      <c r="A284" s="3" t="s">
        <v>1375</v>
      </c>
      <c r="B284" s="57" t="s">
        <v>1370</v>
      </c>
      <c r="C284" s="16" t="str">
        <f>LEFT([PAPEL],LEN([PAPEL])-(LEN([PAPEL])-4))</f>
        <v>SGAS</v>
      </c>
      <c r="D284" s="16">
        <v>3</v>
      </c>
      <c r="E284" s="5">
        <v>177375435.61000001</v>
      </c>
      <c r="F284" s="56">
        <v>3314244</v>
      </c>
      <c r="G284" s="81">
        <v>0.25</v>
      </c>
      <c r="H284" s="87"/>
      <c r="J284" s="18"/>
      <c r="K284" s="16"/>
      <c r="L284" s="87"/>
      <c r="M284" s="54"/>
      <c r="N284" s="54"/>
      <c r="O284" s="54"/>
      <c r="P284" s="91">
        <v>493990000</v>
      </c>
      <c r="Q284" s="73">
        <v>15361000</v>
      </c>
      <c r="R284" s="73">
        <f>IF(Tabela3[[#This Row],[Ativo || Passivo]]&gt;0,Tabela3[[#This Row],[Ativo || Passivo]]-Tabela3[[#This Row],[Patrimônio Líquido]],0)</f>
        <v>0</v>
      </c>
      <c r="S284" s="73">
        <f>Tabela3[[#This Row],[Cotação]]*Tabela3[[#This Row],[Total Ações]]</f>
        <v>501794152.60000002</v>
      </c>
      <c r="T284" s="37">
        <f>IF(Tabela3[[#This Row],[Passivo Circulante]]&gt;0,Tabela3[[#This Row],[Ativo Circulante]]/Tabela3[[#This Row],[Passivo Circulante]],0)</f>
        <v>0</v>
      </c>
      <c r="U284" s="37">
        <f>SUMPRODUCT(N([Liquidez Corrente]&gt;0),N(RIGHT([PAPEL],LEN([PAPEL])-(LEN([PAPEL])-1))="3"),[Liquidez Corrente])/SUMPRODUCT(N([Liquidez Corrente]&gt;0),N(RIGHT([PAPEL],LEN([PAPEL])-(LEN([PAPEL])-1))="3"))</f>
        <v>2.331224473064915</v>
      </c>
      <c r="V284" s="18">
        <f>IF(Tabela3[[#This Row],[Lucro Líquido]]&gt;0,Tabela3[[#This Row],[Lucro Líquido]]/Tabela3[[#This Row],[Patrimônio Líquido]],0)</f>
        <v>3.109577116945687E-2</v>
      </c>
      <c r="W284" s="18">
        <f>SUMPRODUCT(N([Rentabilidade s/ PL]&gt;0),N(RIGHT([PAPEL],LEN([PAPEL])-(LEN([PAPEL])-1))="3"),[Rentabilidade s/ PL])/SUMPRODUCT(N([Rentabilidade s/ PL]&gt;0),N(RIGHT([PAPEL],LEN([PAPEL])-(LEN([PAPEL])-1))="3"))</f>
        <v>0.1261051308670782</v>
      </c>
      <c r="X284" s="18">
        <f>IF(Tabela3[[#This Row],[Dívida]]&gt;0,Tabela3[[#This Row],[Dívida]]/Tabela3[[#This Row],[Patrimônio Líquido]],0)</f>
        <v>0</v>
      </c>
      <c r="Y284" s="18">
        <f>SUMPRODUCT(N([Dívida / PL]&gt;0),N(RIGHT([PAPEL],LEN([PAPEL])-(LEN([PAPEL])-1))="3"),[Dívida / PL])/SUMPRODUCT(N([Dívida / PL]&gt;0),N(RIGHT([PAPEL],LEN([PAPEL])-(LEN([PAPEL])-1))="3"))</f>
        <v>2.1510410379481146</v>
      </c>
      <c r="Z284" s="7">
        <f>Tabela3[[#This Row],[Capital Social]]*20%</f>
        <v>35475087.122000001</v>
      </c>
      <c r="AA284" s="47">
        <f>IF(([Lucro Líquido]*5%)&gt;[Teto R. Legal],[Teto R. Legal],[Lucro Líquido]*5%)</f>
        <v>768050</v>
      </c>
      <c r="AB284" s="47">
        <f>IF([Lucro Líquido]&lt;0,0,[Lucro Líquido]-[Reserva Legal])</f>
        <v>14592950</v>
      </c>
      <c r="AC284" s="47">
        <f>Tabela3[[#This Row],[Lucro Distribuir]]*[%Div]</f>
        <v>3648237.5</v>
      </c>
      <c r="AD284" s="56">
        <f>SUMPRODUCT(N([Nome]=Tabela3[[#This Row],[Nome]]),[Ações])</f>
        <v>7282934</v>
      </c>
      <c r="AE284" s="85">
        <f>[Capital Social]/[Total Ações]</f>
        <v>24.354942061811904</v>
      </c>
      <c r="AF284" s="85">
        <f>Tabela3[[#This Row],[Lucro Líquido]]/Tabela3[[#This Row],[Total Ações]]</f>
        <v>2.1091774276685742</v>
      </c>
      <c r="AG284" s="85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0.48534381316473318</v>
      </c>
      <c r="AH284" s="85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284" s="77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284" s="85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0.48534381316473318</v>
      </c>
      <c r="AK284" s="7">
        <f>[Div Base]*[Ações]</f>
        <v>1608547.820718338</v>
      </c>
      <c r="AL284" s="120">
        <f>SUMPRODUCT(N([Nome]=Tabela3[[#This Row],[Nome]]),[Div Base]*[Ações])</f>
        <v>3727344.8752764873</v>
      </c>
      <c r="AM284" s="5">
        <f>[Patrimônio Líquido]/[Total Ações]</f>
        <v>67.828432881583169</v>
      </c>
      <c r="AN284" s="52">
        <f>MAX(Tabela3[[#This Row],[Cotação 1]:[Cotação 5]])</f>
        <v>68.900000000000006</v>
      </c>
      <c r="AO284" s="53">
        <f>[Cotação]/[VPA]</f>
        <v>1.0157981995586955</v>
      </c>
      <c r="AP284" s="37">
        <f>IF(Tabela3[[#This Row],[Lucro/Ação]]&gt;0,Tabela3[[#This Row],[Cotação]]/(Tabela3[[#This Row],[Lucro/Ação]]/[Ref]*4),0)</f>
        <v>24.500072550615197</v>
      </c>
      <c r="AQ284" s="85">
        <f>[Lucro Distribuir]/[Total Ações]</f>
        <v>2.0037185562851456</v>
      </c>
      <c r="AR284" s="85">
        <f>IF([Unit ON]&gt;0,SUMPRODUCT(N([Nome]=Tabela3[[#This Row],[Nome]]),N(RIGHT([PAPEL],1)="3"),[Div Base])*[Unit ON]+SUMPRODUCT(N([Nome]=Tabela3[[#This Row],[Nome]]),N(RIGHT([PAPEL],1)="4"),[Div Base])*[Unit PN],[Div Base])</f>
        <v>0.48534381316473318</v>
      </c>
      <c r="AS284" s="10" t="str">
        <f>IF(AND([% A.A.]&gt;=6%,SUMPRODUCT(N([Nome]=Tabela3[[#This Row],[Nome]]),[PL])&gt;0,[Rentabilidade s/ PL]&gt;=[Rentabilidade s/ PL Média]),"Sim","Não")</f>
        <v>Não</v>
      </c>
      <c r="AT284" s="22">
        <f>IF([Cotação]&gt;0,Tabela3[[#This Row],[Lucro]]/Tabela3[[#This Row],[Cotação]],0)</f>
        <v>7.0441772592849516E-3</v>
      </c>
      <c r="AU284" s="22">
        <f>((1+Tabela3[[#This Row],[% Yield]])^(1/(3*Tabela3[[#This Row],[Ref]])))^(12)-1</f>
        <v>9.4032458981394562E-3</v>
      </c>
      <c r="AV284" s="10">
        <f>IF([Cotação]&gt;0,($BH$1/Tabela3[[#This Row],[Cotação]]-MOD($BH$1/Tabela3[[#This Row],[Cotação]],100)),)</f>
        <v>0</v>
      </c>
      <c r="AW284" s="7">
        <f>Tabela3[[#This Row],[Ativos]]*[Lucro]</f>
        <v>0</v>
      </c>
      <c r="AX284" s="7">
        <f>SUMPRODUCT(N(Tabela1[Código]=Tabela3[[#This Row],[PAPEL]]),Tabela1[Fechamento])</f>
        <v>0</v>
      </c>
      <c r="AY284" s="7">
        <f>SUMPRODUCT(N(Tabela17[Código]=Tabela3[[#This Row],[PAPEL]]),Tabela17[Fechamento])</f>
        <v>0</v>
      </c>
      <c r="AZ284" s="7">
        <f>SUMPRODUCT(N(Tabela176[Código]=Tabela3[[#This Row],[PAPEL]]),Tabela176[Fechamento])</f>
        <v>0</v>
      </c>
      <c r="BA284" s="7">
        <f>SUMPRODUCT(N(Tabela1768[Código]=Tabela3[[#This Row],[PAPEL]]),Tabela1768[Fechamento])</f>
        <v>0</v>
      </c>
      <c r="BB284" s="7">
        <f>SUMPRODUCT(N(Tabela17683[Código]=Tabela3[[#This Row],[PAPEL]]),Tabela17683[Fechamento])</f>
        <v>68.900000000000006</v>
      </c>
    </row>
    <row r="285" spans="1:54" hidden="1">
      <c r="A285" s="3" t="s">
        <v>1375</v>
      </c>
      <c r="B285" s="57" t="s">
        <v>1371</v>
      </c>
      <c r="C285" s="16" t="str">
        <f>LEFT([PAPEL],LEN([PAPEL])-(LEN([PAPEL])-4))</f>
        <v>SGAS</v>
      </c>
      <c r="D285" s="16">
        <v>3</v>
      </c>
      <c r="E285" s="5">
        <v>177375435.61000001</v>
      </c>
      <c r="F285" s="56">
        <v>3968690</v>
      </c>
      <c r="G285" s="81">
        <v>0.25</v>
      </c>
      <c r="H285" s="87"/>
      <c r="J285" s="18">
        <v>0.1</v>
      </c>
      <c r="K285" s="16"/>
      <c r="L285" s="87"/>
      <c r="M285" s="54"/>
      <c r="N285" s="54"/>
      <c r="O285" s="54"/>
      <c r="P285" s="91">
        <v>493990000</v>
      </c>
      <c r="Q285" s="73">
        <v>15361000</v>
      </c>
      <c r="R285" s="73">
        <f>IF(Tabela3[[#This Row],[Ativo || Passivo]]&gt;0,Tabela3[[#This Row],[Ativo || Passivo]]-Tabela3[[#This Row],[Patrimônio Líquido]],0)</f>
        <v>0</v>
      </c>
      <c r="S285" s="73">
        <f>Tabela3[[#This Row],[Cotação]]*Tabela3[[#This Row],[Total Ações]]</f>
        <v>619049390</v>
      </c>
      <c r="T285" s="37">
        <f>IF(Tabela3[[#This Row],[Passivo Circulante]]&gt;0,Tabela3[[#This Row],[Ativo Circulante]]/Tabela3[[#This Row],[Passivo Circulante]],0)</f>
        <v>0</v>
      </c>
      <c r="U285" s="37">
        <f>SUMPRODUCT(N([Liquidez Corrente]&gt;0),N(RIGHT([PAPEL],LEN([PAPEL])-(LEN([PAPEL])-1))="3"),[Liquidez Corrente])/SUMPRODUCT(N([Liquidez Corrente]&gt;0),N(RIGHT([PAPEL],LEN([PAPEL])-(LEN([PAPEL])-1))="3"))</f>
        <v>2.331224473064915</v>
      </c>
      <c r="V285" s="18">
        <f>IF(Tabela3[[#This Row],[Lucro Líquido]]&gt;0,Tabela3[[#This Row],[Lucro Líquido]]/Tabela3[[#This Row],[Patrimônio Líquido]],0)</f>
        <v>3.109577116945687E-2</v>
      </c>
      <c r="W285" s="18">
        <f>SUMPRODUCT(N([Rentabilidade s/ PL]&gt;0),N(RIGHT([PAPEL],LEN([PAPEL])-(LEN([PAPEL])-1))="3"),[Rentabilidade s/ PL])/SUMPRODUCT(N([Rentabilidade s/ PL]&gt;0),N(RIGHT([PAPEL],LEN([PAPEL])-(LEN([PAPEL])-1))="3"))</f>
        <v>0.1261051308670782</v>
      </c>
      <c r="X285" s="18">
        <f>IF(Tabela3[[#This Row],[Dívida]]&gt;0,Tabela3[[#This Row],[Dívida]]/Tabela3[[#This Row],[Patrimônio Líquido]],0)</f>
        <v>0</v>
      </c>
      <c r="Y285" s="18">
        <f>SUMPRODUCT(N([Dívida / PL]&gt;0),N(RIGHT([PAPEL],LEN([PAPEL])-(LEN([PAPEL])-1))="3"),[Dívida / PL])/SUMPRODUCT(N([Dívida / PL]&gt;0),N(RIGHT([PAPEL],LEN([PAPEL])-(LEN([PAPEL])-1))="3"))</f>
        <v>2.1510410379481146</v>
      </c>
      <c r="Z285" s="7">
        <f>Tabela3[[#This Row],[Capital Social]]*20%</f>
        <v>35475087.122000001</v>
      </c>
      <c r="AA285" s="47">
        <f>IF(([Lucro Líquido]*5%)&gt;[Teto R. Legal],[Teto R. Legal],[Lucro Líquido]*5%)</f>
        <v>768050</v>
      </c>
      <c r="AB285" s="47">
        <f>IF([Lucro Líquido]&lt;0,0,[Lucro Líquido]-[Reserva Legal])</f>
        <v>14592950</v>
      </c>
      <c r="AC285" s="47">
        <f>Tabela3[[#This Row],[Lucro Distribuir]]*[%Div]</f>
        <v>3648237.5</v>
      </c>
      <c r="AD285" s="56">
        <f>SUMPRODUCT(N([Nome]=Tabela3[[#This Row],[Nome]]),[Ações])</f>
        <v>7282934</v>
      </c>
      <c r="AE285" s="85">
        <f>[Capital Social]/[Total Ações]</f>
        <v>24.354942061811904</v>
      </c>
      <c r="AF285" s="85">
        <f>Tabela3[[#This Row],[Lucro Líquido]]/Tabela3[[#This Row],[Total Ações]]</f>
        <v>2.1091774276685742</v>
      </c>
      <c r="AG285" s="85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0.53387819521256374</v>
      </c>
      <c r="AH285" s="85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285" s="77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285" s="85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0.53387819521256374</v>
      </c>
      <c r="AK285" s="7">
        <f>[Div Base]*[Ações]</f>
        <v>2118797.0545581495</v>
      </c>
      <c r="AL285" s="120">
        <f>SUMPRODUCT(N([Nome]=Tabela3[[#This Row],[Nome]]),[Div Base]*[Ações])</f>
        <v>3727344.8752764873</v>
      </c>
      <c r="AM285" s="5">
        <f>[Patrimônio Líquido]/[Total Ações]</f>
        <v>67.828432881583169</v>
      </c>
      <c r="AN285" s="52">
        <f>MAX(Tabela3[[#This Row],[Cotação 1]:[Cotação 5]])</f>
        <v>85</v>
      </c>
      <c r="AO285" s="53">
        <f>[Cotação]/[VPA]</f>
        <v>1.2531617846515111</v>
      </c>
      <c r="AP285" s="37">
        <f>IF(Tabela3[[#This Row],[Lucro/Ação]]&gt;0,Tabela3[[#This Row],[Cotação]]/(Tabela3[[#This Row],[Lucro/Ação]]/[Ref]*4),0)</f>
        <v>30.225053219191459</v>
      </c>
      <c r="AQ285" s="85">
        <f>[Lucro Distribuir]/[Total Ações]</f>
        <v>2.0037185562851456</v>
      </c>
      <c r="AR285" s="85">
        <f>IF([Unit ON]&gt;0,SUMPRODUCT(N([Nome]=Tabela3[[#This Row],[Nome]]),N(RIGHT([PAPEL],1)="3"),[Div Base])*[Unit ON]+SUMPRODUCT(N([Nome]=Tabela3[[#This Row],[Nome]]),N(RIGHT([PAPEL],1)="4"),[Div Base])*[Unit PN],[Div Base])</f>
        <v>0.53387819521256374</v>
      </c>
      <c r="AS285" s="10" t="str">
        <f>IF(AND([% A.A.]&gt;=6%,SUMPRODUCT(N([Nome]=Tabela3[[#This Row],[Nome]]),[PL])&gt;0,[Rentabilidade s/ PL]&gt;=[Rentabilidade s/ PL Média]),"Sim","Não")</f>
        <v>Não</v>
      </c>
      <c r="AT285" s="22">
        <f>IF([Cotação]&gt;0,Tabela3[[#This Row],[Lucro]]/Tabela3[[#This Row],[Cotação]],0)</f>
        <v>6.2809199436772208E-3</v>
      </c>
      <c r="AU285" s="22">
        <f>((1+Tabela3[[#This Row],[% Yield]])^(1/(3*Tabela3[[#This Row],[Ref]])))^(12)-1</f>
        <v>8.3833143774125762E-3</v>
      </c>
      <c r="AV285" s="10">
        <f>IF([Cotação]&gt;0,($BH$1/Tabela3[[#This Row],[Cotação]]-MOD($BH$1/Tabela3[[#This Row],[Cotação]],100)),)</f>
        <v>0</v>
      </c>
      <c r="AW285" s="7">
        <f>Tabela3[[#This Row],[Ativos]]*[Lucro]</f>
        <v>0</v>
      </c>
      <c r="AX285" s="7">
        <f>SUMPRODUCT(N(Tabela1[Código]=Tabela3[[#This Row],[PAPEL]]),Tabela1[Fechamento])</f>
        <v>0</v>
      </c>
      <c r="AY285" s="7">
        <f>SUMPRODUCT(N(Tabela17[Código]=Tabela3[[#This Row],[PAPEL]]),Tabela17[Fechamento])</f>
        <v>0</v>
      </c>
      <c r="AZ285" s="7">
        <f>SUMPRODUCT(N(Tabela176[Código]=Tabela3[[#This Row],[PAPEL]]),Tabela176[Fechamento])</f>
        <v>0</v>
      </c>
      <c r="BA285" s="7">
        <f>SUMPRODUCT(N(Tabela1768[Código]=Tabela3[[#This Row],[PAPEL]]),Tabela1768[Fechamento])</f>
        <v>0</v>
      </c>
      <c r="BB285" s="7">
        <f>SUMPRODUCT(N(Tabela17683[Código]=Tabela3[[#This Row],[PAPEL]]),Tabela17683[Fechamento])</f>
        <v>85</v>
      </c>
    </row>
    <row r="286" spans="1:54" hidden="1">
      <c r="A286" s="4" t="s">
        <v>12</v>
      </c>
      <c r="B286" s="57" t="s">
        <v>454</v>
      </c>
      <c r="C286" s="15" t="str">
        <f>LEFT([PAPEL],LEN([PAPEL])-(LEN([PAPEL])-4))</f>
        <v>AFLT</v>
      </c>
      <c r="D286" s="15">
        <v>3</v>
      </c>
      <c r="E286" s="6">
        <v>63084700</v>
      </c>
      <c r="F286" s="8">
        <v>63084700</v>
      </c>
      <c r="G286" s="81">
        <v>0.25</v>
      </c>
      <c r="H286" s="15"/>
      <c r="I286" s="19"/>
      <c r="J286" s="19"/>
      <c r="K286" s="88"/>
      <c r="L286" s="88"/>
      <c r="M286" s="55">
        <v>78194000</v>
      </c>
      <c r="N286" s="55">
        <v>61063000</v>
      </c>
      <c r="O286" s="55">
        <v>2186000</v>
      </c>
      <c r="P286" s="92">
        <v>72786000</v>
      </c>
      <c r="Q286" s="93">
        <v>14725000</v>
      </c>
      <c r="R286" s="93">
        <f>IF(Tabela3[[#This Row],[Ativo || Passivo]]&gt;0,Tabela3[[#This Row],[Ativo || Passivo]]-Tabela3[[#This Row],[Patrimônio Líquido]],0)</f>
        <v>5408000</v>
      </c>
      <c r="S286" s="93">
        <f>Tabela3[[#This Row],[Cotação]]*Tabela3[[#This Row],[Total Ações]]</f>
        <v>220796450</v>
      </c>
      <c r="T286" s="40">
        <f>IF(Tabela3[[#This Row],[Passivo Circulante]]&gt;0,Tabela3[[#This Row],[Ativo Circulante]]/Tabela3[[#This Row],[Passivo Circulante]],0)</f>
        <v>27.93366880146386</v>
      </c>
      <c r="U286" s="40">
        <f>SUMPRODUCT(N([Liquidez Corrente]&gt;0),N(RIGHT([PAPEL],LEN([PAPEL])-(LEN([PAPEL])-1))="3"),[Liquidez Corrente])/SUMPRODUCT(N([Liquidez Corrente]&gt;0),N(RIGHT([PAPEL],LEN([PAPEL])-(LEN([PAPEL])-1))="3"))</f>
        <v>2.331224473064915</v>
      </c>
      <c r="V286" s="19">
        <f>IF(Tabela3[[#This Row],[Lucro Líquido]]&gt;0,Tabela3[[#This Row],[Lucro Líquido]]/Tabela3[[#This Row],[Patrimônio Líquido]],0)</f>
        <v>0.20230538839886791</v>
      </c>
      <c r="W286" s="19">
        <f>SUMPRODUCT(N([Rentabilidade s/ PL]&gt;0),N(RIGHT([PAPEL],LEN([PAPEL])-(LEN([PAPEL])-1))="3"),[Rentabilidade s/ PL])/SUMPRODUCT(N([Rentabilidade s/ PL]&gt;0),N(RIGHT([PAPEL],LEN([PAPEL])-(LEN([PAPEL])-1))="3"))</f>
        <v>0.1261051308670782</v>
      </c>
      <c r="X286" s="19">
        <f>IF(Tabela3[[#This Row],[Dívida]]&gt;0,Tabela3[[#This Row],[Dívida]]/Tabela3[[#This Row],[Patrimônio Líquido]],0)</f>
        <v>7.430000274778116E-2</v>
      </c>
      <c r="Y286" s="19">
        <f>SUMPRODUCT(N([Dívida / PL]&gt;0),N(RIGHT([PAPEL],LEN([PAPEL])-(LEN([PAPEL])-1))="3"),[Dívida / PL])/SUMPRODUCT(N([Dívida / PL]&gt;0),N(RIGHT([PAPEL],LEN([PAPEL])-(LEN([PAPEL])-1))="3"))</f>
        <v>2.1510410379481146</v>
      </c>
      <c r="Z286" s="13">
        <f>Tabela3[[#This Row],[Capital Social]]*20%</f>
        <v>12616940</v>
      </c>
      <c r="AA286" s="13">
        <f>IF(([Lucro Líquido]*5%)&gt;[Teto R. Legal],[Teto R. Legal],[Lucro Líquido]*5%)</f>
        <v>736250</v>
      </c>
      <c r="AB286" s="13">
        <f>IF([Lucro Líquido]&lt;0,0,[Lucro Líquido]-[Reserva Legal])</f>
        <v>13988750</v>
      </c>
      <c r="AC286" s="13">
        <f>Tabela3[[#This Row],[Lucro Distribuir]]*[%Div]</f>
        <v>3497187.5</v>
      </c>
      <c r="AD286" s="56">
        <f>SUMPRODUCT(N([Nome]=Tabela3[[#This Row],[Nome]]),[Ações])</f>
        <v>63084700</v>
      </c>
      <c r="AE286" s="6">
        <f>[Capital Social]/[Total Ações]</f>
        <v>1</v>
      </c>
      <c r="AF286" s="78">
        <f>Tabela3[[#This Row],[Lucro Líquido]]/Tabela3[[#This Row],[Total Ações]]</f>
        <v>0.23341634342399981</v>
      </c>
      <c r="AG286" s="78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5.5436381563199952E-2</v>
      </c>
      <c r="AH286" s="78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286" s="78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286" s="78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5.5436381563199952E-2</v>
      </c>
      <c r="AK286" s="13">
        <f>[Div Base]*[Ações]</f>
        <v>3497187.5</v>
      </c>
      <c r="AL286" s="13">
        <f>SUMPRODUCT(N([Nome]=Tabela3[[#This Row],[Nome]]),[Div Base]*[Ações])</f>
        <v>3497187.5</v>
      </c>
      <c r="AM286" s="6">
        <f>[Patrimônio Líquido]/[Total Ações]</f>
        <v>1.1537821373486756</v>
      </c>
      <c r="AN286" s="48">
        <f>MAX(Tabela3[[#This Row],[Cotação 1]:[Cotação 5]])</f>
        <v>3.5</v>
      </c>
      <c r="AO286" s="44">
        <f>[Cotação]/[VPA]</f>
        <v>3.0335016349297943</v>
      </c>
      <c r="AP286" s="40">
        <f>IF(Tabela3[[#This Row],[Lucro/Ação]]&gt;0,Tabela3[[#This Row],[Cotação]]/(Tabela3[[#This Row],[Lucro/Ação]]/[Ref]*4),0)</f>
        <v>11.245999151103566</v>
      </c>
      <c r="AQ286" s="78">
        <f>[Lucro Distribuir]/[Total Ações]</f>
        <v>0.22174552625279981</v>
      </c>
      <c r="AR286" s="78">
        <f>IF([Unit ON]&gt;0,SUMPRODUCT(N([Nome]=Tabela3[[#This Row],[Nome]]),N(RIGHT([PAPEL],1)="3"),[Div Base])*[Unit ON]+SUMPRODUCT(N([Nome]=Tabela3[[#This Row],[Nome]]),N(RIGHT([PAPEL],1)="4"),[Div Base])*[Unit PN],[Div Base])</f>
        <v>5.5436381563199952E-2</v>
      </c>
      <c r="AS286" s="14" t="str">
        <f>IF(AND([% A.A.]&gt;=6%,SUMPRODUCT(N([Nome]=Tabela3[[#This Row],[Nome]]),[PL])&gt;0,[Rentabilidade s/ PL]&gt;=[Rentabilidade s/ PL Média]),"Sim","Não")</f>
        <v>Não</v>
      </c>
      <c r="AT286" s="42">
        <f>IF([Cotação]&gt;0,Tabela3[[#This Row],[Lucro]]/Tabela3[[#This Row],[Cotação]],0)</f>
        <v>1.5838966160914271E-2</v>
      </c>
      <c r="AU286" s="42">
        <f>((1+Tabela3[[#This Row],[% Yield]])^(1/(3*Tabela3[[#This Row],[Ref]])))^(12)-1</f>
        <v>2.11741761285551E-2</v>
      </c>
      <c r="AV286" s="14">
        <f>IF([Cotação]&gt;0,($BH$1/Tabela3[[#This Row],[Cotação]]-MOD($BH$1/Tabela3[[#This Row],[Cotação]],100)),)</f>
        <v>100</v>
      </c>
      <c r="AW286" s="17">
        <f>Tabela3[[#This Row],[Ativos]]*[Lucro]</f>
        <v>5.5436381563199948</v>
      </c>
      <c r="AX286" s="17">
        <f>SUMPRODUCT(N(Tabela1[Código]=Tabela3[[#This Row],[PAPEL]]),Tabela1[Fechamento])</f>
        <v>0</v>
      </c>
      <c r="AY286" s="17">
        <f>SUMPRODUCT(N(Tabela17[Código]=Tabela3[[#This Row],[PAPEL]]),Tabela17[Fechamento])</f>
        <v>3.5</v>
      </c>
      <c r="AZ286" s="7">
        <f>SUMPRODUCT(N(Tabela176[Código]=Tabela3[[#This Row],[PAPEL]]),Tabela176[Fechamento])</f>
        <v>0</v>
      </c>
      <c r="BA286" s="7">
        <f>SUMPRODUCT(N(Tabela1768[Código]=Tabela3[[#This Row],[PAPEL]]),Tabela1768[Fechamento])</f>
        <v>0</v>
      </c>
      <c r="BB286" s="7">
        <f>SUMPRODUCT(N(Tabela17683[Código]=Tabela3[[#This Row],[PAPEL]]),Tabela17683[Fechamento])</f>
        <v>0</v>
      </c>
    </row>
    <row r="287" spans="1:54" hidden="1">
      <c r="A287" s="3" t="s">
        <v>904</v>
      </c>
      <c r="B287" s="58" t="s">
        <v>905</v>
      </c>
      <c r="C287" s="16" t="str">
        <f>LEFT([PAPEL],LEN([PAPEL])-(LEN([PAPEL])-4))</f>
        <v>UCAS</v>
      </c>
      <c r="D287" s="16">
        <v>3</v>
      </c>
      <c r="E287" s="5">
        <v>187708920.96000001</v>
      </c>
      <c r="F287" s="56">
        <v>66086364</v>
      </c>
      <c r="G287" s="81">
        <v>0.25</v>
      </c>
      <c r="H287" s="87"/>
      <c r="J287" s="18"/>
      <c r="K287" s="16"/>
      <c r="L287" s="87"/>
      <c r="M287" s="54"/>
      <c r="N287" s="54"/>
      <c r="O287" s="54"/>
      <c r="P287" s="91">
        <v>211391000</v>
      </c>
      <c r="Q287" s="73">
        <v>13295000</v>
      </c>
      <c r="R287" s="73">
        <f>IF(Tabela3[[#This Row],[Ativo || Passivo]]&gt;0,Tabela3[[#This Row],[Ativo || Passivo]]-Tabela3[[#This Row],[Patrimônio Líquido]],0)</f>
        <v>0</v>
      </c>
      <c r="S287" s="73">
        <f>Tabela3[[#This Row],[Cotação]]*Tabela3[[#This Row],[Total Ações]]</f>
        <v>297388638</v>
      </c>
      <c r="T287" s="37">
        <f>IF(Tabela3[[#This Row],[Passivo Circulante]]&gt;0,Tabela3[[#This Row],[Ativo Circulante]]/Tabela3[[#This Row],[Passivo Circulante]],0)</f>
        <v>0</v>
      </c>
      <c r="U287" s="37">
        <f>SUMPRODUCT(N([Liquidez Corrente]&gt;0),N(RIGHT([PAPEL],LEN([PAPEL])-(LEN([PAPEL])-1))="3"),[Liquidez Corrente])/SUMPRODUCT(N([Liquidez Corrente]&gt;0),N(RIGHT([PAPEL],LEN([PAPEL])-(LEN([PAPEL])-1))="3"))</f>
        <v>2.331224473064915</v>
      </c>
      <c r="V287" s="18">
        <f>IF(Tabela3[[#This Row],[Lucro Líquido]]&gt;0,Tabela3[[#This Row],[Lucro Líquido]]/Tabela3[[#This Row],[Patrimônio Líquido]],0)</f>
        <v>6.2892933000931919E-2</v>
      </c>
      <c r="W287" s="18">
        <f>SUMPRODUCT(N([Rentabilidade s/ PL]&gt;0),N(RIGHT([PAPEL],LEN([PAPEL])-(LEN([PAPEL])-1))="3"),[Rentabilidade s/ PL])/SUMPRODUCT(N([Rentabilidade s/ PL]&gt;0),N(RIGHT([PAPEL],LEN([PAPEL])-(LEN([PAPEL])-1))="3"))</f>
        <v>0.1261051308670782</v>
      </c>
      <c r="X287" s="18">
        <f>IF(Tabela3[[#This Row],[Dívida]]&gt;0,Tabela3[[#This Row],[Dívida]]/Tabela3[[#This Row],[Patrimônio Líquido]],0)</f>
        <v>0</v>
      </c>
      <c r="Y287" s="18">
        <f>SUMPRODUCT(N([Dívida / PL]&gt;0),N(RIGHT([PAPEL],LEN([PAPEL])-(LEN([PAPEL])-1))="3"),[Dívida / PL])/SUMPRODUCT(N([Dívida / PL]&gt;0),N(RIGHT([PAPEL],LEN([PAPEL])-(LEN([PAPEL])-1))="3"))</f>
        <v>2.1510410379481146</v>
      </c>
      <c r="Z287" s="7">
        <f>Tabela3[[#This Row],[Capital Social]]*20%</f>
        <v>37541784.192000002</v>
      </c>
      <c r="AA287" s="47">
        <f>IF(([Lucro Líquido]*5%)&gt;[Teto R. Legal],[Teto R. Legal],[Lucro Líquido]*5%)</f>
        <v>664750</v>
      </c>
      <c r="AB287" s="47">
        <f>IF([Lucro Líquido]&lt;0,0,[Lucro Líquido]-[Reserva Legal])</f>
        <v>12630250</v>
      </c>
      <c r="AC287" s="47">
        <f>Tabela3[[#This Row],[Lucro Distribuir]]*[%Div]</f>
        <v>3157562.5</v>
      </c>
      <c r="AD287" s="56">
        <f>SUMPRODUCT(N([Nome]=Tabela3[[#This Row],[Nome]]),[Ações])</f>
        <v>66086364</v>
      </c>
      <c r="AE287" s="85">
        <f>[Capital Social]/[Total Ações]</f>
        <v>2.8403578226818471</v>
      </c>
      <c r="AF287" s="85">
        <f>Tabela3[[#This Row],[Lucro Líquido]]/Tabela3[[#This Row],[Total Ações]]</f>
        <v>0.20117614580823359</v>
      </c>
      <c r="AG287" s="85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4.777933462945548E-2</v>
      </c>
      <c r="AH287" s="85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287" s="77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287" s="85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4.777933462945548E-2</v>
      </c>
      <c r="AK287" s="7">
        <f>[Div Base]*[Ações]</f>
        <v>3157562.5</v>
      </c>
      <c r="AL287" s="7">
        <f>SUMPRODUCT(N([Nome]=Tabela3[[#This Row],[Nome]]),[Div Base]*[Ações])</f>
        <v>3157562.5</v>
      </c>
      <c r="AM287" s="5">
        <f>[Patrimônio Líquido]/[Total Ações]</f>
        <v>3.1987082842082217</v>
      </c>
      <c r="AN287" s="52">
        <f>MAX(Tabela3[[#This Row],[Cotação 1]:[Cotação 5]])</f>
        <v>4.5</v>
      </c>
      <c r="AO287" s="53">
        <f>[Cotação]/[VPA]</f>
        <v>1.406817877771523</v>
      </c>
      <c r="AP287" s="37">
        <f>IF(Tabela3[[#This Row],[Lucro/Ação]]&gt;0,Tabela3[[#This Row],[Cotação]]/(Tabela3[[#This Row],[Lucro/Ação]]/[Ref]*4),0)</f>
        <v>16.776342873260628</v>
      </c>
      <c r="AQ287" s="85">
        <f>[Lucro Distribuir]/[Total Ações]</f>
        <v>0.19111733851782192</v>
      </c>
      <c r="AR287" s="85">
        <f>IF([Unit ON]&gt;0,SUMPRODUCT(N([Nome]=Tabela3[[#This Row],[Nome]]),N(RIGHT([PAPEL],1)="3"),[Div Base])*[Unit ON]+SUMPRODUCT(N([Nome]=Tabela3[[#This Row],[Nome]]),N(RIGHT([PAPEL],1)="4"),[Div Base])*[Unit PN],[Div Base])</f>
        <v>4.777933462945548E-2</v>
      </c>
      <c r="AS287" s="10" t="str">
        <f>IF(AND([% A.A.]&gt;=6%,SUMPRODUCT(N([Nome]=Tabela3[[#This Row],[Nome]]),[PL])&gt;0,[Rentabilidade s/ PL]&gt;=[Rentabilidade s/ PL Média]),"Sim","Não")</f>
        <v>Não</v>
      </c>
      <c r="AT287" s="22">
        <f>IF([Cotação]&gt;0,Tabela3[[#This Row],[Lucro]]/Tabela3[[#This Row],[Cotação]],0)</f>
        <v>1.0617629917656773E-2</v>
      </c>
      <c r="AU287" s="22">
        <f>((1+Tabela3[[#This Row],[% Yield]])^(1/(3*Tabela3[[#This Row],[Ref]])))^(12)-1</f>
        <v>1.4181833055140203E-2</v>
      </c>
      <c r="AV287" s="10">
        <f>IF([Cotação]&gt;0,($BH$1/Tabela3[[#This Row],[Cotação]]-MOD($BH$1/Tabela3[[#This Row],[Cotação]],100)),)</f>
        <v>100</v>
      </c>
      <c r="AW287" s="7">
        <f>Tabela3[[#This Row],[Ativos]]*[Lucro]</f>
        <v>4.7779334629455477</v>
      </c>
      <c r="AX287" s="7">
        <f>SUMPRODUCT(N(Tabela1[Código]=Tabela3[[#This Row],[PAPEL]]),Tabela1[Fechamento])</f>
        <v>0</v>
      </c>
      <c r="AY287" s="7">
        <f>SUMPRODUCT(N(Tabela17[Código]=Tabela3[[#This Row],[PAPEL]]),Tabela17[Fechamento])</f>
        <v>0</v>
      </c>
      <c r="AZ287" s="7">
        <f>SUMPRODUCT(N(Tabela176[Código]=Tabela3[[#This Row],[PAPEL]]),Tabela176[Fechamento])</f>
        <v>0</v>
      </c>
      <c r="BA287" s="7">
        <f>SUMPRODUCT(N(Tabela1768[Código]=Tabela3[[#This Row],[PAPEL]]),Tabela1768[Fechamento])</f>
        <v>4.5</v>
      </c>
      <c r="BB287" s="7">
        <f>SUMPRODUCT(N(Tabela17683[Código]=Tabela3[[#This Row],[PAPEL]]),Tabela17683[Fechamento])</f>
        <v>0</v>
      </c>
    </row>
    <row r="288" spans="1:54" hidden="1">
      <c r="A288" s="4" t="s">
        <v>257</v>
      </c>
      <c r="B288" s="60" t="s">
        <v>252</v>
      </c>
      <c r="C288" s="16" t="str">
        <f>LEFT([PAPEL],LEN([PAPEL])-(LEN([PAPEL])-4))</f>
        <v>JOPA</v>
      </c>
      <c r="D288" s="16">
        <v>3</v>
      </c>
      <c r="E288" s="5">
        <v>120000000</v>
      </c>
      <c r="F288" s="56">
        <v>10450993</v>
      </c>
      <c r="G288" s="81">
        <v>0.3</v>
      </c>
      <c r="H288" s="87"/>
      <c r="J288" s="18"/>
      <c r="K288" s="16"/>
      <c r="L288" s="87"/>
      <c r="M288" s="54"/>
      <c r="N288" s="54"/>
      <c r="O288" s="54"/>
      <c r="P288" s="91">
        <v>359366000</v>
      </c>
      <c r="Q288" s="73">
        <v>13211000</v>
      </c>
      <c r="R288" s="73">
        <f>IF(Tabela3[[#This Row],[Ativo || Passivo]]&gt;0,Tabela3[[#This Row],[Ativo || Passivo]]-Tabela3[[#This Row],[Patrimônio Líquido]],0)</f>
        <v>0</v>
      </c>
      <c r="S288" s="73">
        <f>Tabela3[[#This Row],[Cotação]]*Tabela3[[#This Row],[Total Ações]]</f>
        <v>180005960.61000001</v>
      </c>
      <c r="T288" s="37">
        <f>IF(Tabela3[[#This Row],[Passivo Circulante]]&gt;0,Tabela3[[#This Row],[Ativo Circulante]]/Tabela3[[#This Row],[Passivo Circulante]],0)</f>
        <v>0</v>
      </c>
      <c r="U288" s="37">
        <f>SUMPRODUCT(N([Liquidez Corrente]&gt;0),N(RIGHT([PAPEL],LEN([PAPEL])-(LEN([PAPEL])-1))="3"),[Liquidez Corrente])/SUMPRODUCT(N([Liquidez Corrente]&gt;0),N(RIGHT([PAPEL],LEN([PAPEL])-(LEN([PAPEL])-1))="3"))</f>
        <v>2.331224473064915</v>
      </c>
      <c r="V288" s="18">
        <f>IF(Tabela3[[#This Row],[Lucro Líquido]]&gt;0,Tabela3[[#This Row],[Lucro Líquido]]/Tabela3[[#This Row],[Patrimônio Líquido]],0)</f>
        <v>3.6761964125710277E-2</v>
      </c>
      <c r="W288" s="18">
        <f>SUMPRODUCT(N([Rentabilidade s/ PL]&gt;0),N(RIGHT([PAPEL],LEN([PAPEL])-(LEN([PAPEL])-1))="3"),[Rentabilidade s/ PL])/SUMPRODUCT(N([Rentabilidade s/ PL]&gt;0),N(RIGHT([PAPEL],LEN([PAPEL])-(LEN([PAPEL])-1))="3"))</f>
        <v>0.1261051308670782</v>
      </c>
      <c r="X288" s="18">
        <f>IF(Tabela3[[#This Row],[Dívida]]&gt;0,Tabela3[[#This Row],[Dívida]]/Tabela3[[#This Row],[Patrimônio Líquido]],0)</f>
        <v>0</v>
      </c>
      <c r="Y288" s="18">
        <f>SUMPRODUCT(N([Dívida / PL]&gt;0),N(RIGHT([PAPEL],LEN([PAPEL])-(LEN([PAPEL])-1))="3"),[Dívida / PL])/SUMPRODUCT(N([Dívida / PL]&gt;0),N(RIGHT([PAPEL],LEN([PAPEL])-(LEN([PAPEL])-1))="3"))</f>
        <v>2.1510410379481146</v>
      </c>
      <c r="Z288" s="7">
        <f>Tabela3[[#This Row],[Capital Social]]*20%</f>
        <v>24000000</v>
      </c>
      <c r="AA288" s="47">
        <f>IF(([Lucro Líquido]*5%)&gt;[Teto R. Legal],[Teto R. Legal],[Lucro Líquido]*5%)</f>
        <v>660550</v>
      </c>
      <c r="AB288" s="47">
        <f>IF([Lucro Líquido]&lt;0,0,[Lucro Líquido]-[Reserva Legal])</f>
        <v>12550450</v>
      </c>
      <c r="AC288" s="47">
        <f>Tabela3[[#This Row],[Lucro Distribuir]]*[%Div]</f>
        <v>3765135</v>
      </c>
      <c r="AD288" s="56">
        <f>SUMPRODUCT(N([Nome]=Tabela3[[#This Row],[Nome]]),[Ações])</f>
        <v>10582361</v>
      </c>
      <c r="AE288" s="85">
        <f>[Capital Social]/[Total Ações]</f>
        <v>11.339624494004694</v>
      </c>
      <c r="AF288" s="85">
        <f>Tabela3[[#This Row],[Lucro Líquido]]/Tabela3[[#This Row],[Total Ações]]</f>
        <v>1.2483981599191334</v>
      </c>
      <c r="AG288" s="85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0.35579347557695301</v>
      </c>
      <c r="AH288" s="85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288" s="77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288" s="85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0.35579347557695301</v>
      </c>
      <c r="AK288" s="7">
        <f>[Div Base]*[Ações]</f>
        <v>3718395.1227004067</v>
      </c>
      <c r="AL288" s="7">
        <f>SUMPRODUCT(N([Nome]=Tabela3[[#This Row],[Nome]]),[Div Base]*[Ações])</f>
        <v>3765135</v>
      </c>
      <c r="AM288" s="5">
        <f>[Patrimônio Líquido]/[Total Ações]</f>
        <v>33.958962465937425</v>
      </c>
      <c r="AN288" s="52">
        <f>MAX(Tabela3[[#This Row],[Cotação 1]:[Cotação 5]])</f>
        <v>17.010000000000002</v>
      </c>
      <c r="AO288" s="53">
        <f>[Cotação]/[VPA]</f>
        <v>0.50089869550820054</v>
      </c>
      <c r="AP288" s="37">
        <f>IF(Tabela3[[#This Row],[Lucro/Ação]]&gt;0,Tabela3[[#This Row],[Cotação]]/(Tabela3[[#This Row],[Lucro/Ação]]/[Ref]*4),0)</f>
        <v>10.219095485390962</v>
      </c>
      <c r="AQ288" s="85">
        <f>[Lucro Distribuir]/[Total Ações]</f>
        <v>1.1859782519231767</v>
      </c>
      <c r="AR288" s="85">
        <f>IF([Unit ON]&gt;0,SUMPRODUCT(N([Nome]=Tabela3[[#This Row],[Nome]]),N(RIGHT([PAPEL],1)="3"),[Div Base])*[Unit ON]+SUMPRODUCT(N([Nome]=Tabela3[[#This Row],[Nome]]),N(RIGHT([PAPEL],1)="4"),[Div Base])*[Unit PN],[Div Base])</f>
        <v>0.35579347557695301</v>
      </c>
      <c r="AS288" s="10" t="str">
        <f>IF(AND([% A.A.]&gt;=6%,SUMPRODUCT(N([Nome]=Tabela3[[#This Row],[Nome]]),[PL])&gt;0,[Rentabilidade s/ PL]&gt;=[Rentabilidade s/ PL Média]),"Sim","Não")</f>
        <v>Não</v>
      </c>
      <c r="AT288" s="22">
        <f>IF([Cotação]&gt;0,Tabela3[[#This Row],[Lucro]]/Tabela3[[#This Row],[Cotação]],0)</f>
        <v>2.091672401980911E-2</v>
      </c>
      <c r="AU288" s="22">
        <f>((1+Tabela3[[#This Row],[% Yield]])^(1/(3*Tabela3[[#This Row],[Ref]])))^(12)-1</f>
        <v>2.7985741639352968E-2</v>
      </c>
      <c r="AV288" s="10">
        <f>IF([Cotação]&gt;0,($BH$1/Tabela3[[#This Row],[Cotação]]-MOD($BH$1/Tabela3[[#This Row],[Cotação]],100)),)</f>
        <v>0</v>
      </c>
      <c r="AW288" s="7">
        <f>Tabela3[[#This Row],[Ativos]]*[Lucro]</f>
        <v>0</v>
      </c>
      <c r="AX288" s="7">
        <f>SUMPRODUCT(N(Tabela1[Código]=Tabela3[[#This Row],[PAPEL]]),Tabela1[Fechamento])</f>
        <v>0</v>
      </c>
      <c r="AY288" s="7">
        <f>SUMPRODUCT(N(Tabela17[Código]=Tabela3[[#This Row],[PAPEL]]),Tabela17[Fechamento])</f>
        <v>17.010000000000002</v>
      </c>
      <c r="AZ288" s="7">
        <f>SUMPRODUCT(N(Tabela176[Código]=Tabela3[[#This Row],[PAPEL]]),Tabela176[Fechamento])</f>
        <v>0</v>
      </c>
      <c r="BA288" s="7">
        <f>SUMPRODUCT(N(Tabela1768[Código]=Tabela3[[#This Row],[PAPEL]]),Tabela1768[Fechamento])</f>
        <v>17.010000000000002</v>
      </c>
      <c r="BB288" s="7">
        <f>SUMPRODUCT(N(Tabela17683[Código]=Tabela3[[#This Row],[PAPEL]]),Tabela17683[Fechamento])</f>
        <v>0</v>
      </c>
    </row>
    <row r="289" spans="1:54" hidden="1">
      <c r="A289" s="4" t="s">
        <v>257</v>
      </c>
      <c r="B289" s="60" t="s">
        <v>253</v>
      </c>
      <c r="C289" s="16" t="str">
        <f>LEFT([PAPEL],LEN([PAPEL])-(LEN([PAPEL])-4))</f>
        <v>JOPA</v>
      </c>
      <c r="D289" s="16">
        <v>3</v>
      </c>
      <c r="E289" s="5">
        <v>120000000</v>
      </c>
      <c r="F289" s="56">
        <v>131368</v>
      </c>
      <c r="G289" s="81">
        <v>0.3</v>
      </c>
      <c r="H289" s="87"/>
      <c r="J289" s="18"/>
      <c r="K289" s="16"/>
      <c r="L289" s="87"/>
      <c r="M289" s="54"/>
      <c r="N289" s="54"/>
      <c r="O289" s="54"/>
      <c r="P289" s="91">
        <v>359366000</v>
      </c>
      <c r="Q289" s="73">
        <v>13211000</v>
      </c>
      <c r="R289" s="73">
        <f>IF(Tabela3[[#This Row],[Ativo || Passivo]]&gt;0,Tabela3[[#This Row],[Ativo || Passivo]]-Tabela3[[#This Row],[Patrimônio Líquido]],0)</f>
        <v>0</v>
      </c>
      <c r="S289" s="73">
        <f>Tabela3[[#This Row],[Cotação]]*Tabela3[[#This Row],[Total Ações]]</f>
        <v>211647220</v>
      </c>
      <c r="T289" s="37">
        <f>IF(Tabela3[[#This Row],[Passivo Circulante]]&gt;0,Tabela3[[#This Row],[Ativo Circulante]]/Tabela3[[#This Row],[Passivo Circulante]],0)</f>
        <v>0</v>
      </c>
      <c r="U289" s="37">
        <f>SUMPRODUCT(N([Liquidez Corrente]&gt;0),N(RIGHT([PAPEL],LEN([PAPEL])-(LEN([PAPEL])-1))="3"),[Liquidez Corrente])/SUMPRODUCT(N([Liquidez Corrente]&gt;0),N(RIGHT([PAPEL],LEN([PAPEL])-(LEN([PAPEL])-1))="3"))</f>
        <v>2.331224473064915</v>
      </c>
      <c r="V289" s="18">
        <f>IF(Tabela3[[#This Row],[Lucro Líquido]]&gt;0,Tabela3[[#This Row],[Lucro Líquido]]/Tabela3[[#This Row],[Patrimônio Líquido]],0)</f>
        <v>3.6761964125710277E-2</v>
      </c>
      <c r="W289" s="18">
        <f>SUMPRODUCT(N([Rentabilidade s/ PL]&gt;0),N(RIGHT([PAPEL],LEN([PAPEL])-(LEN([PAPEL])-1))="3"),[Rentabilidade s/ PL])/SUMPRODUCT(N([Rentabilidade s/ PL]&gt;0),N(RIGHT([PAPEL],LEN([PAPEL])-(LEN([PAPEL])-1))="3"))</f>
        <v>0.1261051308670782</v>
      </c>
      <c r="X289" s="18">
        <f>IF(Tabela3[[#This Row],[Dívida]]&gt;0,Tabela3[[#This Row],[Dívida]]/Tabela3[[#This Row],[Patrimônio Líquido]],0)</f>
        <v>0</v>
      </c>
      <c r="Y289" s="18">
        <f>SUMPRODUCT(N([Dívida / PL]&gt;0),N(RIGHT([PAPEL],LEN([PAPEL])-(LEN([PAPEL])-1))="3"),[Dívida / PL])/SUMPRODUCT(N([Dívida / PL]&gt;0),N(RIGHT([PAPEL],LEN([PAPEL])-(LEN([PAPEL])-1))="3"))</f>
        <v>2.1510410379481146</v>
      </c>
      <c r="Z289" s="7">
        <f>Tabela3[[#This Row],[Capital Social]]*20%</f>
        <v>24000000</v>
      </c>
      <c r="AA289" s="47">
        <f>IF(([Lucro Líquido]*5%)&gt;[Teto R. Legal],[Teto R. Legal],[Lucro Líquido]*5%)</f>
        <v>660550</v>
      </c>
      <c r="AB289" s="47">
        <f>IF([Lucro Líquido]&lt;0,0,[Lucro Líquido]-[Reserva Legal])</f>
        <v>12550450</v>
      </c>
      <c r="AC289" s="47">
        <f>Tabela3[[#This Row],[Lucro Distribuir]]*[%Div]</f>
        <v>3765135</v>
      </c>
      <c r="AD289" s="56">
        <f>SUMPRODUCT(N([Nome]=Tabela3[[#This Row],[Nome]]),[Ações])</f>
        <v>10582361</v>
      </c>
      <c r="AE289" s="85">
        <f>[Capital Social]/[Total Ações]</f>
        <v>11.339624494004694</v>
      </c>
      <c r="AF289" s="85">
        <f>Tabela3[[#This Row],[Lucro Líquido]]/Tabela3[[#This Row],[Total Ações]]</f>
        <v>1.2483981599191334</v>
      </c>
      <c r="AG289" s="85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0.35579347557695301</v>
      </c>
      <c r="AH289" s="85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289" s="77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289" s="85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0.35579347557695301</v>
      </c>
      <c r="AK289" s="7">
        <f>[Div Base]*[Ações]</f>
        <v>46739.877299593165</v>
      </c>
      <c r="AL289" s="7">
        <f>SUMPRODUCT(N([Nome]=Tabela3[[#This Row],[Nome]]),[Div Base]*[Ações])</f>
        <v>3765135</v>
      </c>
      <c r="AM289" s="5">
        <f>[Patrimônio Líquido]/[Total Ações]</f>
        <v>33.958962465937425</v>
      </c>
      <c r="AN289" s="52">
        <f>MAX(Tabela3[[#This Row],[Cotação 1]:[Cotação 5]])</f>
        <v>20</v>
      </c>
      <c r="AO289" s="53">
        <f>[Cotação]/[VPA]</f>
        <v>0.58894614404256374</v>
      </c>
      <c r="AP289" s="37">
        <f>IF(Tabela3[[#This Row],[Lucro/Ação]]&gt;0,Tabela3[[#This Row],[Cotação]]/(Tabela3[[#This Row],[Lucro/Ação]]/[Ref]*4),0)</f>
        <v>12.015397396109302</v>
      </c>
      <c r="AQ289" s="85">
        <f>[Lucro Distribuir]/[Total Ações]</f>
        <v>1.1859782519231767</v>
      </c>
      <c r="AR289" s="85">
        <f>IF([Unit ON]&gt;0,SUMPRODUCT(N([Nome]=Tabela3[[#This Row],[Nome]]),N(RIGHT([PAPEL],1)="3"),[Div Base])*[Unit ON]+SUMPRODUCT(N([Nome]=Tabela3[[#This Row],[Nome]]),N(RIGHT([PAPEL],1)="4"),[Div Base])*[Unit PN],[Div Base])</f>
        <v>0.35579347557695301</v>
      </c>
      <c r="AS289" s="10" t="str">
        <f>IF(AND([% A.A.]&gt;=6%,SUMPRODUCT(N([Nome]=Tabela3[[#This Row],[Nome]]),[PL])&gt;0,[Rentabilidade s/ PL]&gt;=[Rentabilidade s/ PL Média]),"Sim","Não")</f>
        <v>Não</v>
      </c>
      <c r="AT289" s="22">
        <f>IF([Cotação]&gt;0,Tabela3[[#This Row],[Lucro]]/Tabela3[[#This Row],[Cotação]],0)</f>
        <v>1.7789673778847652E-2</v>
      </c>
      <c r="AU289" s="22">
        <f>((1+Tabela3[[#This Row],[% Yield]])^(1/(3*Tabela3[[#This Row],[Ref]])))^(12)-1</f>
        <v>2.3789616278773851E-2</v>
      </c>
      <c r="AV289" s="10">
        <f>IF([Cotação]&gt;0,($BH$1/Tabela3[[#This Row],[Cotação]]-MOD($BH$1/Tabela3[[#This Row],[Cotação]],100)),)</f>
        <v>0</v>
      </c>
      <c r="AW289" s="7">
        <f>Tabela3[[#This Row],[Ativos]]*[Lucro]</f>
        <v>0</v>
      </c>
      <c r="AX289" s="7">
        <f>SUMPRODUCT(N(Tabela1[Código]=Tabela3[[#This Row],[PAPEL]]),Tabela1[Fechamento])</f>
        <v>0</v>
      </c>
      <c r="AY289" s="7">
        <f>SUMPRODUCT(N(Tabela17[Código]=Tabela3[[#This Row],[PAPEL]]),Tabela17[Fechamento])</f>
        <v>20</v>
      </c>
      <c r="AZ289" s="7">
        <f>SUMPRODUCT(N(Tabela176[Código]=Tabela3[[#This Row],[PAPEL]]),Tabela176[Fechamento])</f>
        <v>0</v>
      </c>
      <c r="BA289" s="7">
        <f>SUMPRODUCT(N(Tabela1768[Código]=Tabela3[[#This Row],[PAPEL]]),Tabela1768[Fechamento])</f>
        <v>20</v>
      </c>
      <c r="BB289" s="7">
        <f>SUMPRODUCT(N(Tabela17683[Código]=Tabela3[[#This Row],[PAPEL]]),Tabela17683[Fechamento])</f>
        <v>0</v>
      </c>
    </row>
    <row r="290" spans="1:54" hidden="1">
      <c r="A290" s="3" t="s">
        <v>1104</v>
      </c>
      <c r="B290" s="58" t="s">
        <v>1105</v>
      </c>
      <c r="C290" s="16" t="str">
        <f>LEFT([PAPEL],LEN([PAPEL])-(LEN([PAPEL])-4))</f>
        <v>ABRE</v>
      </c>
      <c r="D290" s="16">
        <v>3</v>
      </c>
      <c r="E290" s="5"/>
      <c r="F290" s="56"/>
      <c r="G290" s="81">
        <v>0.25</v>
      </c>
      <c r="H290" s="87"/>
      <c r="J290" s="18"/>
      <c r="K290" s="16">
        <v>1</v>
      </c>
      <c r="L290" s="87">
        <v>2</v>
      </c>
      <c r="M290" s="54"/>
      <c r="N290" s="54"/>
      <c r="O290" s="54"/>
      <c r="P290" s="91">
        <v>1533011000</v>
      </c>
      <c r="Q290" s="73">
        <v>12290000</v>
      </c>
      <c r="R290" s="73">
        <f>IF(Tabela3[[#This Row],[Ativo || Passivo]]&gt;0,Tabela3[[#This Row],[Ativo || Passivo]]-Tabela3[[#This Row],[Patrimônio Líquido]],0)</f>
        <v>0</v>
      </c>
      <c r="S290" s="73">
        <f>Tabela3[[#This Row],[Cotação]]*Tabela3[[#This Row],[Total Ações]]</f>
        <v>7228999203.1700001</v>
      </c>
      <c r="T290" s="37">
        <f>IF(Tabela3[[#This Row],[Passivo Circulante]]&gt;0,Tabela3[[#This Row],[Ativo Circulante]]/Tabela3[[#This Row],[Passivo Circulante]],0)</f>
        <v>0</v>
      </c>
      <c r="U290" s="37">
        <f>SUMPRODUCT(N([Liquidez Corrente]&gt;0),N(RIGHT([PAPEL],LEN([PAPEL])-(LEN([PAPEL])-1))="3"),[Liquidez Corrente])/SUMPRODUCT(N([Liquidez Corrente]&gt;0),N(RIGHT([PAPEL],LEN([PAPEL])-(LEN([PAPEL])-1))="3"))</f>
        <v>2.331224473064915</v>
      </c>
      <c r="V290" s="18">
        <f>IF(Tabela3[[#This Row],[Lucro Líquido]]&gt;0,Tabela3[[#This Row],[Lucro Líquido]]/Tabela3[[#This Row],[Patrimônio Líquido]],0)</f>
        <v>8.0169026836728503E-3</v>
      </c>
      <c r="W290" s="18">
        <f>SUMPRODUCT(N([Rentabilidade s/ PL]&gt;0),N(RIGHT([PAPEL],LEN([PAPEL])-(LEN([PAPEL])-1))="3"),[Rentabilidade s/ PL])/SUMPRODUCT(N([Rentabilidade s/ PL]&gt;0),N(RIGHT([PAPEL],LEN([PAPEL])-(LEN([PAPEL])-1))="3"))</f>
        <v>0.1261051308670782</v>
      </c>
      <c r="X290" s="18">
        <f>IF(Tabela3[[#This Row],[Dívida]]&gt;0,Tabela3[[#This Row],[Dívida]]/Tabela3[[#This Row],[Patrimônio Líquido]],0)</f>
        <v>0</v>
      </c>
      <c r="Y290" s="18">
        <f>SUMPRODUCT(N([Dívida / PL]&gt;0),N(RIGHT([PAPEL],LEN([PAPEL])-(LEN([PAPEL])-1))="3"),[Dívida / PL])/SUMPRODUCT(N([Dívida / PL]&gt;0),N(RIGHT([PAPEL],LEN([PAPEL])-(LEN([PAPEL])-1))="3"))</f>
        <v>2.1510410379481146</v>
      </c>
      <c r="Z290" s="7">
        <f>Tabela3[[#This Row],[Capital Social]]*20%</f>
        <v>0</v>
      </c>
      <c r="AA290" s="47">
        <f>IF(([Lucro Líquido]*5%)&gt;[Teto R. Legal],[Teto R. Legal],[Lucro Líquido]*5%)</f>
        <v>0</v>
      </c>
      <c r="AB290" s="47">
        <f>IF([Lucro Líquido]&lt;0,0,[Lucro Líquido]-[Reserva Legal])</f>
        <v>12290000</v>
      </c>
      <c r="AC290" s="47">
        <f>Tabela3[[#This Row],[Lucro Distribuir]]*[%Div]</f>
        <v>3072500</v>
      </c>
      <c r="AD290" s="56">
        <f>SUMPRODUCT(N([Nome]=Tabela3[[#This Row],[Nome]]),[Ações])</f>
        <v>261257651</v>
      </c>
      <c r="AE290" s="85">
        <f>[Capital Social]/[Total Ações]</f>
        <v>0</v>
      </c>
      <c r="AF290" s="85">
        <f>Tabela3[[#This Row],[Lucro Líquido]]/Tabela3[[#This Row],[Total Ações]]</f>
        <v>4.7041684532331651E-2</v>
      </c>
      <c r="AG290" s="85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</v>
      </c>
      <c r="AH290" s="85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290" s="77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290" s="85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</v>
      </c>
      <c r="AK290" s="7">
        <f>[Div Base]*[Ações]</f>
        <v>0</v>
      </c>
      <c r="AL290" s="120">
        <f>SUMPRODUCT(N([Nome]=Tabela3[[#This Row],[Nome]]),[Div Base]*[Ações])</f>
        <v>2918875</v>
      </c>
      <c r="AM290" s="5">
        <f>[Patrimônio Líquido]/[Total Ações]</f>
        <v>5.8678128434983137</v>
      </c>
      <c r="AN290" s="52">
        <f>MAX(Tabela3[[#This Row],[Cotação 1]:[Cotação 5]])</f>
        <v>27.67</v>
      </c>
      <c r="AO290" s="53">
        <f>[Cotação]/[VPA]</f>
        <v>4.715555989598248</v>
      </c>
      <c r="AP290" s="37">
        <f>IF(Tabela3[[#This Row],[Lucro/Ação]]&gt;0,Tabela3[[#This Row],[Cotação]]/(Tabela3[[#This Row],[Lucro/Ação]]/[Ref]*4),0)</f>
        <v>441.15129392819364</v>
      </c>
      <c r="AQ290" s="85">
        <f>[Lucro Distribuir]/[Total Ações]</f>
        <v>4.7041684532331651E-2</v>
      </c>
      <c r="AR290" s="85">
        <f>IF([Unit ON]&gt;0,SUMPRODUCT(N([Nome]=Tabela3[[#This Row],[Nome]]),N(RIGHT([PAPEL],1)="3"),[Div Base])*[Unit ON]+SUMPRODUCT(N([Nome]=Tabela3[[#This Row],[Nome]]),N(RIGHT([PAPEL],1)="4"),[Div Base])*[Unit PN],[Div Base])</f>
        <v>3.3517200229286302E-2</v>
      </c>
      <c r="AS290" s="10" t="str">
        <f>IF(AND([% A.A.]&gt;=6%,SUMPRODUCT(N([Nome]=Tabela3[[#This Row],[Nome]]),[PL])&gt;0,[Rentabilidade s/ PL]&gt;=[Rentabilidade s/ PL Média]),"Sim","Não")</f>
        <v>Não</v>
      </c>
      <c r="AT290" s="22">
        <f>IF([Cotação]&gt;0,Tabela3[[#This Row],[Lucro]]/Tabela3[[#This Row],[Cotação]],0)</f>
        <v>1.211319126464991E-3</v>
      </c>
      <c r="AU290" s="22">
        <f>((1+Tabela3[[#This Row],[% Yield]])^(1/(3*Tabela3[[#This Row],[Ref]])))^(12)-1</f>
        <v>1.6154181462335604E-3</v>
      </c>
      <c r="AV290" s="10">
        <f>IF([Cotação]&gt;0,($BH$1/Tabela3[[#This Row],[Cotação]]-MOD($BH$1/Tabela3[[#This Row],[Cotação]],100)),)</f>
        <v>0</v>
      </c>
      <c r="AW290" s="7">
        <f>Tabela3[[#This Row],[Ativos]]*[Lucro]</f>
        <v>0</v>
      </c>
      <c r="AX290" s="7">
        <f>SUMPRODUCT(N(Tabela1[Código]=Tabela3[[#This Row],[PAPEL]]),Tabela1[Fechamento])</f>
        <v>0</v>
      </c>
      <c r="AY290" s="7">
        <f>SUMPRODUCT(N(Tabela17[Código]=Tabela3[[#This Row],[PAPEL]]),Tabela17[Fechamento])</f>
        <v>0</v>
      </c>
      <c r="AZ290" s="7">
        <f>SUMPRODUCT(N(Tabela176[Código]=Tabela3[[#This Row],[PAPEL]]),Tabela176[Fechamento])</f>
        <v>0</v>
      </c>
      <c r="BA290" s="7">
        <f>SUMPRODUCT(N(Tabela1768[Código]=Tabela3[[#This Row],[PAPEL]]),Tabela1768[Fechamento])</f>
        <v>27.67</v>
      </c>
      <c r="BB290" s="7">
        <f>SUMPRODUCT(N(Tabela17683[Código]=Tabela3[[#This Row],[PAPEL]]),Tabela17683[Fechamento])</f>
        <v>0</v>
      </c>
    </row>
    <row r="291" spans="1:54" hidden="1">
      <c r="A291" s="3" t="s">
        <v>1104</v>
      </c>
      <c r="B291" s="58" t="s">
        <v>1106</v>
      </c>
      <c r="C291" s="16" t="str">
        <f>LEFT([PAPEL],LEN([PAPEL])-(LEN([PAPEL])-4))</f>
        <v>ABRE</v>
      </c>
      <c r="D291" s="16">
        <v>3</v>
      </c>
      <c r="E291" s="5">
        <v>852449068.54999995</v>
      </c>
      <c r="F291" s="56">
        <v>135799807</v>
      </c>
      <c r="G291" s="81">
        <v>0.25</v>
      </c>
      <c r="H291" s="87"/>
      <c r="J291" s="18"/>
      <c r="K291" s="16"/>
      <c r="L291" s="87"/>
      <c r="M291" s="54"/>
      <c r="N291" s="54"/>
      <c r="O291" s="54"/>
      <c r="P291" s="91">
        <v>1533011000</v>
      </c>
      <c r="Q291" s="73">
        <v>12290000</v>
      </c>
      <c r="R291" s="73">
        <f>IF(Tabela3[[#This Row],[Ativo || Passivo]]&gt;0,Tabela3[[#This Row],[Ativo || Passivo]]-Tabela3[[#This Row],[Patrimônio Líquido]],0)</f>
        <v>0</v>
      </c>
      <c r="S291" s="73">
        <f>Tabela3[[#This Row],[Cotação]]*Tabela3[[#This Row],[Total Ações]]</f>
        <v>0</v>
      </c>
      <c r="T291" s="37">
        <f>IF(Tabela3[[#This Row],[Passivo Circulante]]&gt;0,Tabela3[[#This Row],[Ativo Circulante]]/Tabela3[[#This Row],[Passivo Circulante]],0)</f>
        <v>0</v>
      </c>
      <c r="U291" s="37">
        <f>SUMPRODUCT(N([Liquidez Corrente]&gt;0),N(RIGHT([PAPEL],LEN([PAPEL])-(LEN([PAPEL])-1))="3"),[Liquidez Corrente])/SUMPRODUCT(N([Liquidez Corrente]&gt;0),N(RIGHT([PAPEL],LEN([PAPEL])-(LEN([PAPEL])-1))="3"))</f>
        <v>2.331224473064915</v>
      </c>
      <c r="V291" s="18">
        <f>IF(Tabela3[[#This Row],[Lucro Líquido]]&gt;0,Tabela3[[#This Row],[Lucro Líquido]]/Tabela3[[#This Row],[Patrimônio Líquido]],0)</f>
        <v>8.0169026836728503E-3</v>
      </c>
      <c r="W291" s="18">
        <f>SUMPRODUCT(N([Rentabilidade s/ PL]&gt;0),N(RIGHT([PAPEL],LEN([PAPEL])-(LEN([PAPEL])-1))="3"),[Rentabilidade s/ PL])/SUMPRODUCT(N([Rentabilidade s/ PL]&gt;0),N(RIGHT([PAPEL],LEN([PAPEL])-(LEN([PAPEL])-1))="3"))</f>
        <v>0.1261051308670782</v>
      </c>
      <c r="X291" s="18">
        <f>IF(Tabela3[[#This Row],[Dívida]]&gt;0,Tabela3[[#This Row],[Dívida]]/Tabela3[[#This Row],[Patrimônio Líquido]],0)</f>
        <v>0</v>
      </c>
      <c r="Y291" s="18">
        <f>SUMPRODUCT(N([Dívida / PL]&gt;0),N(RIGHT([PAPEL],LEN([PAPEL])-(LEN([PAPEL])-1))="3"),[Dívida / PL])/SUMPRODUCT(N([Dívida / PL]&gt;0),N(RIGHT([PAPEL],LEN([PAPEL])-(LEN([PAPEL])-1))="3"))</f>
        <v>2.1510410379481146</v>
      </c>
      <c r="Z291" s="7">
        <f>Tabela3[[#This Row],[Capital Social]]*20%</f>
        <v>170489813.71000001</v>
      </c>
      <c r="AA291" s="47">
        <f>IF(([Lucro Líquido]*5%)&gt;[Teto R. Legal],[Teto R. Legal],[Lucro Líquido]*5%)</f>
        <v>614500</v>
      </c>
      <c r="AB291" s="47">
        <f>IF([Lucro Líquido]&lt;0,0,[Lucro Líquido]-[Reserva Legal])</f>
        <v>11675500</v>
      </c>
      <c r="AC291" s="47">
        <f>Tabela3[[#This Row],[Lucro Distribuir]]*[%Div]</f>
        <v>2918875</v>
      </c>
      <c r="AD291" s="56">
        <f>SUMPRODUCT(N([Nome]=Tabela3[[#This Row],[Nome]]),[Ações])</f>
        <v>261257651</v>
      </c>
      <c r="AE291" s="85">
        <f>[Capital Social]/[Total Ações]</f>
        <v>3.2628673850780352</v>
      </c>
      <c r="AF291" s="85">
        <f>Tabela3[[#This Row],[Lucro Líquido]]/Tabela3[[#This Row],[Total Ações]]</f>
        <v>4.7041684532331651E-2</v>
      </c>
      <c r="AG291" s="85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1.1172400076428767E-2</v>
      </c>
      <c r="AH291" s="85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291" s="77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291" s="85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1.1172400076428767E-2</v>
      </c>
      <c r="AK291" s="7">
        <f>[Div Base]*[Ações]</f>
        <v>1517209.7741058117</v>
      </c>
      <c r="AL291" s="120">
        <f>SUMPRODUCT(N([Nome]=Tabela3[[#This Row],[Nome]]),[Div Base]*[Ações])</f>
        <v>2918875</v>
      </c>
      <c r="AM291" s="5">
        <f>[Patrimônio Líquido]/[Total Ações]</f>
        <v>5.8678128434983137</v>
      </c>
      <c r="AN291" s="52">
        <f>MAX(Tabela3[[#This Row],[Cotação 1]:[Cotação 5]])</f>
        <v>0</v>
      </c>
      <c r="AO291" s="53">
        <f>[Cotação]/[VPA]</f>
        <v>0</v>
      </c>
      <c r="AP291" s="37">
        <f>IF(Tabela3[[#This Row],[Lucro/Ação]]&gt;0,Tabela3[[#This Row],[Cotação]]/(Tabela3[[#This Row],[Lucro/Ação]]/[Ref]*4),0)</f>
        <v>0</v>
      </c>
      <c r="AQ291" s="85">
        <f>[Lucro Distribuir]/[Total Ações]</f>
        <v>4.4689600305715067E-2</v>
      </c>
      <c r="AR291" s="85">
        <f>IF([Unit ON]&gt;0,SUMPRODUCT(N([Nome]=Tabela3[[#This Row],[Nome]]),N(RIGHT([PAPEL],1)="3"),[Div Base])*[Unit ON]+SUMPRODUCT(N([Nome]=Tabela3[[#This Row],[Nome]]),N(RIGHT([PAPEL],1)="4"),[Div Base])*[Unit PN],[Div Base])</f>
        <v>1.1172400076428767E-2</v>
      </c>
      <c r="AS291" s="10" t="str">
        <f>IF(AND([% A.A.]&gt;=6%,SUMPRODUCT(N([Nome]=Tabela3[[#This Row],[Nome]]),[PL])&gt;0,[Rentabilidade s/ PL]&gt;=[Rentabilidade s/ PL Média]),"Sim","Não")</f>
        <v>Não</v>
      </c>
      <c r="AT291" s="22">
        <f>IF([Cotação]&gt;0,Tabela3[[#This Row],[Lucro]]/Tabela3[[#This Row],[Cotação]],0)</f>
        <v>0</v>
      </c>
      <c r="AU291" s="22">
        <f>((1+Tabela3[[#This Row],[% Yield]])^(1/(3*Tabela3[[#This Row],[Ref]])))^(12)-1</f>
        <v>0</v>
      </c>
      <c r="AV291" s="10">
        <f>IF([Cotação]&gt;0,($BH$1/Tabela3[[#This Row],[Cotação]]-MOD($BH$1/Tabela3[[#This Row],[Cotação]],100)),)</f>
        <v>0</v>
      </c>
      <c r="AW291" s="7">
        <f>Tabela3[[#This Row],[Ativos]]*[Lucro]</f>
        <v>0</v>
      </c>
      <c r="AX291" s="7">
        <f>SUMPRODUCT(N(Tabela1[Código]=Tabela3[[#This Row],[PAPEL]]),Tabela1[Fechamento])</f>
        <v>0</v>
      </c>
      <c r="AY291" s="7">
        <f>SUMPRODUCT(N(Tabela17[Código]=Tabela3[[#This Row],[PAPEL]]),Tabela17[Fechamento])</f>
        <v>0</v>
      </c>
      <c r="AZ291" s="7">
        <f>SUMPRODUCT(N(Tabela176[Código]=Tabela3[[#This Row],[PAPEL]]),Tabela176[Fechamento])</f>
        <v>0</v>
      </c>
      <c r="BA291" s="7">
        <f>SUMPRODUCT(N(Tabela1768[Código]=Tabela3[[#This Row],[PAPEL]]),Tabela1768[Fechamento])</f>
        <v>0</v>
      </c>
      <c r="BB291" s="7">
        <f>SUMPRODUCT(N(Tabela17683[Código]=Tabela3[[#This Row],[PAPEL]]),Tabela17683[Fechamento])</f>
        <v>0</v>
      </c>
    </row>
    <row r="292" spans="1:54" hidden="1">
      <c r="A292" s="3" t="s">
        <v>1104</v>
      </c>
      <c r="B292" s="58" t="s">
        <v>1107</v>
      </c>
      <c r="C292" s="16" t="str">
        <f>LEFT([PAPEL],LEN([PAPEL])-(LEN([PAPEL])-4))</f>
        <v>ABRE</v>
      </c>
      <c r="D292" s="16">
        <v>3</v>
      </c>
      <c r="E292" s="5">
        <v>852449068.54999995</v>
      </c>
      <c r="F292" s="56">
        <v>125457844</v>
      </c>
      <c r="G292" s="81">
        <v>0.25</v>
      </c>
      <c r="H292" s="87"/>
      <c r="J292" s="18"/>
      <c r="K292" s="16"/>
      <c r="L292" s="87"/>
      <c r="M292" s="54"/>
      <c r="N292" s="54"/>
      <c r="O292" s="54"/>
      <c r="P292" s="91">
        <v>1533011000</v>
      </c>
      <c r="Q292" s="73">
        <v>12290000</v>
      </c>
      <c r="R292" s="73">
        <f>IF(Tabela3[[#This Row],[Ativo || Passivo]]&gt;0,Tabela3[[#This Row],[Ativo || Passivo]]-Tabela3[[#This Row],[Patrimônio Líquido]],0)</f>
        <v>0</v>
      </c>
      <c r="S292" s="73">
        <f>Tabela3[[#This Row],[Cotação]]*Tabela3[[#This Row],[Total Ações]]</f>
        <v>0</v>
      </c>
      <c r="T292" s="37">
        <f>IF(Tabela3[[#This Row],[Passivo Circulante]]&gt;0,Tabela3[[#This Row],[Ativo Circulante]]/Tabela3[[#This Row],[Passivo Circulante]],0)</f>
        <v>0</v>
      </c>
      <c r="U292" s="37">
        <f>SUMPRODUCT(N([Liquidez Corrente]&gt;0),N(RIGHT([PAPEL],LEN([PAPEL])-(LEN([PAPEL])-1))="3"),[Liquidez Corrente])/SUMPRODUCT(N([Liquidez Corrente]&gt;0),N(RIGHT([PAPEL],LEN([PAPEL])-(LEN([PAPEL])-1))="3"))</f>
        <v>2.331224473064915</v>
      </c>
      <c r="V292" s="18">
        <f>IF(Tabela3[[#This Row],[Lucro Líquido]]&gt;0,Tabela3[[#This Row],[Lucro Líquido]]/Tabela3[[#This Row],[Patrimônio Líquido]],0)</f>
        <v>8.0169026836728503E-3</v>
      </c>
      <c r="W292" s="18">
        <f>SUMPRODUCT(N([Rentabilidade s/ PL]&gt;0),N(RIGHT([PAPEL],LEN([PAPEL])-(LEN([PAPEL])-1))="3"),[Rentabilidade s/ PL])/SUMPRODUCT(N([Rentabilidade s/ PL]&gt;0),N(RIGHT([PAPEL],LEN([PAPEL])-(LEN([PAPEL])-1))="3"))</f>
        <v>0.1261051308670782</v>
      </c>
      <c r="X292" s="18">
        <f>IF(Tabela3[[#This Row],[Dívida]]&gt;0,Tabela3[[#This Row],[Dívida]]/Tabela3[[#This Row],[Patrimônio Líquido]],0)</f>
        <v>0</v>
      </c>
      <c r="Y292" s="18">
        <f>SUMPRODUCT(N([Dívida / PL]&gt;0),N(RIGHT([PAPEL],LEN([PAPEL])-(LEN([PAPEL])-1))="3"),[Dívida / PL])/SUMPRODUCT(N([Dívida / PL]&gt;0),N(RIGHT([PAPEL],LEN([PAPEL])-(LEN([PAPEL])-1))="3"))</f>
        <v>2.1510410379481146</v>
      </c>
      <c r="Z292" s="7">
        <f>Tabela3[[#This Row],[Capital Social]]*20%</f>
        <v>170489813.71000001</v>
      </c>
      <c r="AA292" s="47">
        <f>IF(([Lucro Líquido]*5%)&gt;[Teto R. Legal],[Teto R. Legal],[Lucro Líquido]*5%)</f>
        <v>614500</v>
      </c>
      <c r="AB292" s="47">
        <f>IF([Lucro Líquido]&lt;0,0,[Lucro Líquido]-[Reserva Legal])</f>
        <v>11675500</v>
      </c>
      <c r="AC292" s="47">
        <f>Tabela3[[#This Row],[Lucro Distribuir]]*[%Div]</f>
        <v>2918875</v>
      </c>
      <c r="AD292" s="56">
        <f>SUMPRODUCT(N([Nome]=Tabela3[[#This Row],[Nome]]),[Ações])</f>
        <v>261257651</v>
      </c>
      <c r="AE292" s="85">
        <f>[Capital Social]/[Total Ações]</f>
        <v>3.2628673850780352</v>
      </c>
      <c r="AF292" s="85">
        <f>Tabela3[[#This Row],[Lucro Líquido]]/Tabela3[[#This Row],[Total Ações]]</f>
        <v>4.7041684532331651E-2</v>
      </c>
      <c r="AG292" s="85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1.1172400076428767E-2</v>
      </c>
      <c r="AH292" s="85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292" s="77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292" s="85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1.1172400076428767E-2</v>
      </c>
      <c r="AK292" s="7">
        <f>[Div Base]*[Ações]</f>
        <v>1401665.2258941883</v>
      </c>
      <c r="AL292" s="120">
        <f>SUMPRODUCT(N([Nome]=Tabela3[[#This Row],[Nome]]),[Div Base]*[Ações])</f>
        <v>2918875</v>
      </c>
      <c r="AM292" s="5">
        <f>[Patrimônio Líquido]/[Total Ações]</f>
        <v>5.8678128434983137</v>
      </c>
      <c r="AN292" s="52">
        <f>MAX(Tabela3[[#This Row],[Cotação 1]:[Cotação 5]])</f>
        <v>0</v>
      </c>
      <c r="AO292" s="53">
        <f>[Cotação]/[VPA]</f>
        <v>0</v>
      </c>
      <c r="AP292" s="37">
        <f>IF(Tabela3[[#This Row],[Lucro/Ação]]&gt;0,Tabela3[[#This Row],[Cotação]]/(Tabela3[[#This Row],[Lucro/Ação]]/[Ref]*4),0)</f>
        <v>0</v>
      </c>
      <c r="AQ292" s="85">
        <f>[Lucro Distribuir]/[Total Ações]</f>
        <v>4.4689600305715067E-2</v>
      </c>
      <c r="AR292" s="85">
        <f>IF([Unit ON]&gt;0,SUMPRODUCT(N([Nome]=Tabela3[[#This Row],[Nome]]),N(RIGHT([PAPEL],1)="3"),[Div Base])*[Unit ON]+SUMPRODUCT(N([Nome]=Tabela3[[#This Row],[Nome]]),N(RIGHT([PAPEL],1)="4"),[Div Base])*[Unit PN],[Div Base])</f>
        <v>1.1172400076428767E-2</v>
      </c>
      <c r="AS292" s="10" t="str">
        <f>IF(AND([% A.A.]&gt;=6%,SUMPRODUCT(N([Nome]=Tabela3[[#This Row],[Nome]]),[PL])&gt;0,[Rentabilidade s/ PL]&gt;=[Rentabilidade s/ PL Média]),"Sim","Não")</f>
        <v>Não</v>
      </c>
      <c r="AT292" s="22">
        <f>IF([Cotação]&gt;0,Tabela3[[#This Row],[Lucro]]/Tabela3[[#This Row],[Cotação]],0)</f>
        <v>0</v>
      </c>
      <c r="AU292" s="22">
        <f>((1+Tabela3[[#This Row],[% Yield]])^(1/(3*Tabela3[[#This Row],[Ref]])))^(12)-1</f>
        <v>0</v>
      </c>
      <c r="AV292" s="10">
        <f>IF([Cotação]&gt;0,($BH$1/Tabela3[[#This Row],[Cotação]]-MOD($BH$1/Tabela3[[#This Row],[Cotação]],100)),)</f>
        <v>0</v>
      </c>
      <c r="AW292" s="7">
        <f>Tabela3[[#This Row],[Ativos]]*[Lucro]</f>
        <v>0</v>
      </c>
      <c r="AX292" s="7">
        <f>SUMPRODUCT(N(Tabela1[Código]=Tabela3[[#This Row],[PAPEL]]),Tabela1[Fechamento])</f>
        <v>0</v>
      </c>
      <c r="AY292" s="7">
        <f>SUMPRODUCT(N(Tabela17[Código]=Tabela3[[#This Row],[PAPEL]]),Tabela17[Fechamento])</f>
        <v>0</v>
      </c>
      <c r="AZ292" s="7">
        <f>SUMPRODUCT(N(Tabela176[Código]=Tabela3[[#This Row],[PAPEL]]),Tabela176[Fechamento])</f>
        <v>0</v>
      </c>
      <c r="BA292" s="7">
        <f>SUMPRODUCT(N(Tabela1768[Código]=Tabela3[[#This Row],[PAPEL]]),Tabela1768[Fechamento])</f>
        <v>0</v>
      </c>
      <c r="BB292" s="7">
        <f>SUMPRODUCT(N(Tabela17683[Código]=Tabela3[[#This Row],[PAPEL]]),Tabela17683[Fechamento])</f>
        <v>0</v>
      </c>
    </row>
    <row r="293" spans="1:54" hidden="1">
      <c r="A293" s="4" t="s">
        <v>639</v>
      </c>
      <c r="B293" s="57" t="s">
        <v>637</v>
      </c>
      <c r="C293" s="15" t="str">
        <f>LEFT([PAPEL],LEN([PAPEL])-(LEN([PAPEL])-4))</f>
        <v>PMAM</v>
      </c>
      <c r="D293" s="15">
        <v>3</v>
      </c>
      <c r="E293" s="6">
        <v>1382990468.48</v>
      </c>
      <c r="F293" s="8">
        <v>319176942</v>
      </c>
      <c r="G293" s="86">
        <v>0.25</v>
      </c>
      <c r="H293" s="15"/>
      <c r="I293" s="19"/>
      <c r="J293" s="19"/>
      <c r="K293" s="88"/>
      <c r="L293" s="88"/>
      <c r="M293" s="55"/>
      <c r="N293" s="55"/>
      <c r="O293" s="55"/>
      <c r="P293" s="92">
        <v>1448120000</v>
      </c>
      <c r="Q293" s="93">
        <v>11744000</v>
      </c>
      <c r="R293" s="93">
        <f>IF(Tabela3[[#This Row],[Ativo || Passivo]]&gt;0,Tabela3[[#This Row],[Ativo || Passivo]]-Tabela3[[#This Row],[Patrimônio Líquido]],0)</f>
        <v>0</v>
      </c>
      <c r="S293" s="93">
        <f>Tabela3[[#This Row],[Cotação]]*Tabela3[[#This Row],[Total Ações]]</f>
        <v>1190529993.6600001</v>
      </c>
      <c r="T293" s="40">
        <f>IF(Tabela3[[#This Row],[Passivo Circulante]]&gt;0,Tabela3[[#This Row],[Ativo Circulante]]/Tabela3[[#This Row],[Passivo Circulante]],0)</f>
        <v>0</v>
      </c>
      <c r="U293" s="40">
        <f>SUMPRODUCT(N([Liquidez Corrente]&gt;0),N(RIGHT([PAPEL],LEN([PAPEL])-(LEN([PAPEL])-1))="3"),[Liquidez Corrente])/SUMPRODUCT(N([Liquidez Corrente]&gt;0),N(RIGHT([PAPEL],LEN([PAPEL])-(LEN([PAPEL])-1))="3"))</f>
        <v>2.331224473064915</v>
      </c>
      <c r="V293" s="19">
        <f>IF(Tabela3[[#This Row],[Lucro Líquido]]&gt;0,Tabela3[[#This Row],[Lucro Líquido]]/Tabela3[[#This Row],[Patrimônio Líquido]],0)</f>
        <v>8.1098251526116622E-3</v>
      </c>
      <c r="W293" s="19">
        <f>SUMPRODUCT(N([Rentabilidade s/ PL]&gt;0),N(RIGHT([PAPEL],LEN([PAPEL])-(LEN([PAPEL])-1))="3"),[Rentabilidade s/ PL])/SUMPRODUCT(N([Rentabilidade s/ PL]&gt;0),N(RIGHT([PAPEL],LEN([PAPEL])-(LEN([PAPEL])-1))="3"))</f>
        <v>0.1261051308670782</v>
      </c>
      <c r="X293" s="19">
        <f>IF(Tabela3[[#This Row],[Dívida]]&gt;0,Tabela3[[#This Row],[Dívida]]/Tabela3[[#This Row],[Patrimônio Líquido]],0)</f>
        <v>0</v>
      </c>
      <c r="Y293" s="19">
        <f>SUMPRODUCT(N([Dívida / PL]&gt;0),N(RIGHT([PAPEL],LEN([PAPEL])-(LEN([PAPEL])-1))="3"),[Dívida / PL])/SUMPRODUCT(N([Dívida / PL]&gt;0),N(RIGHT([PAPEL],LEN([PAPEL])-(LEN([PAPEL])-1))="3"))</f>
        <v>2.1510410379481146</v>
      </c>
      <c r="Z293" s="13">
        <f>Tabela3[[#This Row],[Capital Social]]*20%</f>
        <v>276598093.69600004</v>
      </c>
      <c r="AA293" s="13">
        <f>IF(([Lucro Líquido]*5%)&gt;[Teto R. Legal],[Teto R. Legal],[Lucro Líquido]*5%)</f>
        <v>587200</v>
      </c>
      <c r="AB293" s="13">
        <f>IF([Lucro Líquido]&lt;0,0,[Lucro Líquido]-[Reserva Legal])</f>
        <v>11156800</v>
      </c>
      <c r="AC293" s="13">
        <f>Tabela3[[#This Row],[Lucro Distribuir]]*[%Div]</f>
        <v>2789200</v>
      </c>
      <c r="AD293" s="56">
        <f>SUMPRODUCT(N([Nome]=Tabela3[[#This Row],[Nome]]),[Ações])</f>
        <v>319176942</v>
      </c>
      <c r="AE293" s="6">
        <f>[Capital Social]/[Total Ações]</f>
        <v>4.3329899077734755</v>
      </c>
      <c r="AF293" s="78">
        <f>Tabela3[[#This Row],[Lucro Líquido]]/Tabela3[[#This Row],[Total Ações]]</f>
        <v>3.6794637878321421E-2</v>
      </c>
      <c r="AG293" s="78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8.7387264961013376E-3</v>
      </c>
      <c r="AH293" s="78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293" s="78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293" s="78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8.7387264961013376E-3</v>
      </c>
      <c r="AK293" s="13">
        <f>[Div Base]*[Ações]</f>
        <v>2789200</v>
      </c>
      <c r="AL293" s="13">
        <f>SUMPRODUCT(N([Nome]=Tabela3[[#This Row],[Nome]]),[Div Base]*[Ações])</f>
        <v>2789200</v>
      </c>
      <c r="AM293" s="6">
        <f>[Patrimônio Líquido]/[Total Ações]</f>
        <v>4.5370445337495591</v>
      </c>
      <c r="AN293" s="48">
        <f>MAX(Tabela3[[#This Row],[Cotação 1]:[Cotação 5]])</f>
        <v>3.73</v>
      </c>
      <c r="AO293" s="44">
        <f>[Cotação]/[VPA]</f>
        <v>0.82212109055879345</v>
      </c>
      <c r="AP293" s="40">
        <f>IF(Tabela3[[#This Row],[Lucro/Ação]]&gt;0,Tabela3[[#This Row],[Cotação]]/(Tabela3[[#This Row],[Lucro/Ação]]/[Ref]*4),0)</f>
        <v>76.030100071951637</v>
      </c>
      <c r="AQ293" s="78">
        <f>[Lucro Distribuir]/[Total Ações]</f>
        <v>3.495490598440535E-2</v>
      </c>
      <c r="AR293" s="78">
        <f>IF([Unit ON]&gt;0,SUMPRODUCT(N([Nome]=Tabela3[[#This Row],[Nome]]),N(RIGHT([PAPEL],1)="3"),[Div Base])*[Unit ON]+SUMPRODUCT(N([Nome]=Tabela3[[#This Row],[Nome]]),N(RIGHT([PAPEL],1)="4"),[Div Base])*[Unit PN],[Div Base])</f>
        <v>8.7387264961013376E-3</v>
      </c>
      <c r="AS293" s="14" t="str">
        <f>IF(AND([% A.A.]&gt;=6%,SUMPRODUCT(N([Nome]=Tabela3[[#This Row],[Nome]]),[PL])&gt;0,[Rentabilidade s/ PL]&gt;=[Rentabilidade s/ PL Média]),"Sim","Não")</f>
        <v>Não</v>
      </c>
      <c r="AT293" s="42">
        <f>IF([Cotação]&gt;0,Tabela3[[#This Row],[Lucro]]/Tabela3[[#This Row],[Cotação]],0)</f>
        <v>2.3428221169172485E-3</v>
      </c>
      <c r="AU293" s="42">
        <f>((1+Tabela3[[#This Row],[% Yield]])^(1/(3*Tabela3[[#This Row],[Ref]])))^(12)-1</f>
        <v>3.1249819249183908E-3</v>
      </c>
      <c r="AV293" s="14">
        <f>IF([Cotação]&gt;0,($BH$1/Tabela3[[#This Row],[Cotação]]-MOD($BH$1/Tabela3[[#This Row],[Cotação]],100)),)</f>
        <v>100</v>
      </c>
      <c r="AW293" s="17">
        <f>Tabela3[[#This Row],[Ativos]]*[Lucro]</f>
        <v>0.87387264961013378</v>
      </c>
      <c r="AX293" s="17">
        <f>SUMPRODUCT(N(Tabela1[Código]=Tabela3[[#This Row],[PAPEL]]),Tabela1[Fechamento])</f>
        <v>0</v>
      </c>
      <c r="AY293" s="17">
        <f>SUMPRODUCT(N(Tabela17[Código]=Tabela3[[#This Row],[PAPEL]]),Tabela17[Fechamento])</f>
        <v>0</v>
      </c>
      <c r="AZ293" s="17">
        <f>SUMPRODUCT(N(Tabela176[Código]=Tabela3[[#This Row],[PAPEL]]),Tabela176[Fechamento])</f>
        <v>3.73</v>
      </c>
      <c r="BA293" s="17">
        <f>SUMPRODUCT(N(Tabela1768[Código]=Tabela3[[#This Row],[PAPEL]]),Tabela1768[Fechamento])</f>
        <v>0</v>
      </c>
      <c r="BB293" s="7">
        <f>SUMPRODUCT(N(Tabela17683[Código]=Tabela3[[#This Row],[PAPEL]]),Tabela17683[Fechamento])</f>
        <v>0</v>
      </c>
    </row>
    <row r="294" spans="1:54" hidden="1">
      <c r="A294" s="3" t="s">
        <v>267</v>
      </c>
      <c r="B294" s="58" t="s">
        <v>268</v>
      </c>
      <c r="C294" s="83" t="str">
        <f>LEFT([PAPEL],LEN([PAPEL])-(LEN([PAPEL])-4))</f>
        <v>CSAN</v>
      </c>
      <c r="D294" s="16">
        <v>3</v>
      </c>
      <c r="E294" s="5">
        <v>4691822291.1300001</v>
      </c>
      <c r="F294" s="21">
        <v>407214353</v>
      </c>
      <c r="G294" s="81">
        <v>0.25</v>
      </c>
      <c r="H294" s="16"/>
      <c r="J294" s="18"/>
      <c r="K294" s="87"/>
      <c r="L294" s="87"/>
      <c r="M294" s="54"/>
      <c r="N294" s="54"/>
      <c r="O294" s="54"/>
      <c r="P294" s="5">
        <v>9543805000</v>
      </c>
      <c r="Q294" s="6">
        <v>10847000</v>
      </c>
      <c r="R294" s="6">
        <f>IF(Tabela3[[#This Row],[Ativo || Passivo]]&gt;0,Tabela3[[#This Row],[Ativo || Passivo]]-Tabela3[[#This Row],[Patrimônio Líquido]],0)</f>
        <v>0</v>
      </c>
      <c r="S294" s="6">
        <f>Tabela3[[#This Row],[Cotação]]*Tabela3[[#This Row],[Total Ações]]</f>
        <v>14028534460.85</v>
      </c>
      <c r="T294" s="132">
        <f>IF(Tabela3[[#This Row],[Passivo Circulante]]&gt;0,Tabela3[[#This Row],[Ativo Circulante]]/Tabela3[[#This Row],[Passivo Circulante]],0)</f>
        <v>0</v>
      </c>
      <c r="U294" s="132">
        <f>SUMPRODUCT(N([Liquidez Corrente]&gt;0),N(RIGHT([PAPEL],LEN([PAPEL])-(LEN([PAPEL])-1))="3"),[Liquidez Corrente])/SUMPRODUCT(N([Liquidez Corrente]&gt;0),N(RIGHT([PAPEL],LEN([PAPEL])-(LEN([PAPEL])-1))="3"))</f>
        <v>2.331224473064915</v>
      </c>
      <c r="V294" s="19">
        <f>IF(Tabela3[[#This Row],[Lucro Líquido]]&gt;0,Tabela3[[#This Row],[Lucro Líquido]]/Tabela3[[#This Row],[Patrimônio Líquido]],0)</f>
        <v>1.1365487874071191E-3</v>
      </c>
      <c r="W294" s="19">
        <f>SUMPRODUCT(N([Rentabilidade s/ PL]&gt;0),N(RIGHT([PAPEL],LEN([PAPEL])-(LEN([PAPEL])-1))="3"),[Rentabilidade s/ PL])/SUMPRODUCT(N([Rentabilidade s/ PL]&gt;0),N(RIGHT([PAPEL],LEN([PAPEL])-(LEN([PAPEL])-1))="3"))</f>
        <v>0.1261051308670782</v>
      </c>
      <c r="X294" s="19">
        <f>IF(Tabela3[[#This Row],[Dívida]]&gt;0,Tabela3[[#This Row],[Dívida]]/Tabela3[[#This Row],[Patrimônio Líquido]],0)</f>
        <v>0</v>
      </c>
      <c r="Y294" s="19">
        <f>SUMPRODUCT(N([Dívida / PL]&gt;0),N(RIGHT([PAPEL],LEN([PAPEL])-(LEN([PAPEL])-1))="3"),[Dívida / PL])/SUMPRODUCT(N([Dívida / PL]&gt;0),N(RIGHT([PAPEL],LEN([PAPEL])-(LEN([PAPEL])-1))="3"))</f>
        <v>2.1510410379481146</v>
      </c>
      <c r="Z294" s="5">
        <f>Tabela3[[#This Row],[Capital Social]]*20%</f>
        <v>938364458.22600007</v>
      </c>
      <c r="AA294" s="5">
        <f>IF(([Lucro Líquido]*5%)&gt;[Teto R. Legal],[Teto R. Legal],[Lucro Líquido]*5%)</f>
        <v>542350</v>
      </c>
      <c r="AB294" s="5">
        <f>IF([Lucro Líquido]&lt;0,0,[Lucro Líquido]-[Reserva Legal])</f>
        <v>10304650</v>
      </c>
      <c r="AC294" s="5">
        <f>Tabela3[[#This Row],[Lucro Distribuir]]*[%Div]</f>
        <v>2576162.5</v>
      </c>
      <c r="AD294" s="56">
        <f>SUMPRODUCT(N([Nome]=Tabela3[[#This Row],[Nome]]),[Ações])</f>
        <v>407214353</v>
      </c>
      <c r="AE294" s="5">
        <f>[Capital Social]/[Total Ações]</f>
        <v>11.521750784481803</v>
      </c>
      <c r="AF294" s="77">
        <f>Tabela3[[#This Row],[Lucro Líquido]]/Tabela3[[#This Row],[Total Ações]]</f>
        <v>2.6637076812466874E-2</v>
      </c>
      <c r="AG294" s="77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6.326305742960882E-3</v>
      </c>
      <c r="AH294" s="77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294" s="77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294" s="77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6.326305742960882E-3</v>
      </c>
      <c r="AK294" s="5">
        <f>[Div Base]*[Ações]</f>
        <v>2576162.5</v>
      </c>
      <c r="AL294" s="5">
        <f>SUMPRODUCT(N([Nome]=Tabela3[[#This Row],[Nome]]),[Div Base]*[Ações])</f>
        <v>2576162.5</v>
      </c>
      <c r="AM294" s="5">
        <f>[Patrimônio Líquido]/[Total Ações]</f>
        <v>23.436808967290993</v>
      </c>
      <c r="AN294" s="52">
        <f>MAX(Tabela3[[#This Row],[Cotação 1]:[Cotação 5]])</f>
        <v>34.450000000000003</v>
      </c>
      <c r="AO294" s="53">
        <f>[Cotação]/[VPA]</f>
        <v>1.4699100055847747</v>
      </c>
      <c r="AP294" s="37">
        <f>IF(Tabela3[[#This Row],[Lucro/Ação]]&gt;0,Tabela3[[#This Row],[Cotação]]/(Tabela3[[#This Row],[Lucro/Ação]]/[Ref]*4),0)</f>
        <v>969.98256159652431</v>
      </c>
      <c r="AQ294" s="77">
        <f>[Lucro Distribuir]/[Total Ações]</f>
        <v>2.5305222971843528E-2</v>
      </c>
      <c r="AR294" s="77">
        <f>IF([Unit ON]&gt;0,SUMPRODUCT(N([Nome]=Tabela3[[#This Row],[Nome]]),N(RIGHT([PAPEL],1)="3"),[Div Base])*[Unit ON]+SUMPRODUCT(N([Nome]=Tabela3[[#This Row],[Nome]]),N(RIGHT([PAPEL],1)="4"),[Div Base])*[Unit PN],[Div Base])</f>
        <v>6.326305742960882E-3</v>
      </c>
      <c r="AS294" s="16" t="str">
        <f>IF(AND([% A.A.]&gt;=6%,SUMPRODUCT(N([Nome]=Tabela3[[#This Row],[Nome]]),[PL])&gt;0,[Rentabilidade s/ PL]&gt;=[Rentabilidade s/ PL Média]),"Sim","Não")</f>
        <v>Não</v>
      </c>
      <c r="AT294" s="22">
        <f>IF([Cotação]&gt;0,Tabela3[[#This Row],[Lucro]]/Tabela3[[#This Row],[Cotação]],0)</f>
        <v>1.8363732200176724E-4</v>
      </c>
      <c r="AU294" s="18">
        <f>((1+Tabela3[[#This Row],[% Yield]])^(1/(3*Tabela3[[#This Row],[Ref]])))^(12)-1</f>
        <v>2.4485725628808908E-4</v>
      </c>
      <c r="AV294" s="10">
        <f>IF([Cotação]&gt;0,($BH$1/Tabela3[[#This Row],[Cotação]]-MOD($BH$1/Tabela3[[#This Row],[Cotação]],100)),)</f>
        <v>0</v>
      </c>
      <c r="AW294" s="7">
        <f>Tabela3[[#This Row],[Ativos]]*[Lucro]</f>
        <v>0</v>
      </c>
      <c r="AX294" s="47">
        <f>SUMPRODUCT(N(Tabela1[Código]=Tabela3[[#This Row],[PAPEL]]),Tabela1[Fechamento])</f>
        <v>0</v>
      </c>
      <c r="AY294" s="54">
        <f>SUMPRODUCT(N(Tabela17[Código]=Tabela3[[#This Row],[PAPEL]]),Tabela17[Fechamento])</f>
        <v>34.450000000000003</v>
      </c>
      <c r="AZ294" s="7">
        <f>SUMPRODUCT(N(Tabela176[Código]=Tabela3[[#This Row],[PAPEL]]),Tabela176[Fechamento])</f>
        <v>0</v>
      </c>
      <c r="BA294" s="7">
        <f>SUMPRODUCT(N(Tabela1768[Código]=Tabela3[[#This Row],[PAPEL]]),Tabela1768[Fechamento])</f>
        <v>0</v>
      </c>
      <c r="BB294" s="7">
        <f>SUMPRODUCT(N(Tabela17683[Código]=Tabela3[[#This Row],[PAPEL]]),Tabela17683[Fechamento])</f>
        <v>0</v>
      </c>
    </row>
    <row r="295" spans="1:54" hidden="1">
      <c r="A295" s="3" t="s">
        <v>1400</v>
      </c>
      <c r="B295" s="57" t="s">
        <v>1394</v>
      </c>
      <c r="C295" s="16" t="str">
        <f>LEFT([PAPEL],LEN([PAPEL])-(LEN([PAPEL])-4))</f>
        <v>BALM</v>
      </c>
      <c r="D295" s="16">
        <v>3</v>
      </c>
      <c r="E295" s="5">
        <v>15000000</v>
      </c>
      <c r="F295" s="56">
        <v>490000</v>
      </c>
      <c r="G295" s="81">
        <v>0.25</v>
      </c>
      <c r="H295" s="87"/>
      <c r="J295" s="18"/>
      <c r="K295" s="16"/>
      <c r="L295" s="87"/>
      <c r="M295" s="47">
        <v>109025000</v>
      </c>
      <c r="N295" s="47">
        <v>67948000</v>
      </c>
      <c r="O295" s="47">
        <v>30740000</v>
      </c>
      <c r="P295" s="91">
        <v>65926000</v>
      </c>
      <c r="Q295" s="73">
        <v>10280000</v>
      </c>
      <c r="R295" s="73">
        <f>IF(Tabela3[[#This Row],[Ativo || Passivo]]&gt;0,Tabela3[[#This Row],[Ativo || Passivo]]-Tabela3[[#This Row],[Patrimônio Líquido]],0)</f>
        <v>43099000</v>
      </c>
      <c r="S295" s="7">
        <f>Tabela3[[#This Row],[Cotação]]*Tabela3[[#This Row],[Total Ações]]</f>
        <v>39200000</v>
      </c>
      <c r="T295" s="37">
        <f>IF(Tabela3[[#This Row],[Passivo Circulante]]&gt;0,Tabela3[[#This Row],[Ativo Circulante]]/Tabela3[[#This Row],[Passivo Circulante]],0)</f>
        <v>2.2104098893949251</v>
      </c>
      <c r="U295" s="37">
        <f>SUMPRODUCT(N([Liquidez Corrente]&gt;0),N(RIGHT([PAPEL],LEN([PAPEL])-(LEN([PAPEL])-1))="3"),[Liquidez Corrente])/SUMPRODUCT(N([Liquidez Corrente]&gt;0),N(RIGHT([PAPEL],LEN([PAPEL])-(LEN([PAPEL])-1))="3"))</f>
        <v>2.331224473064915</v>
      </c>
      <c r="V295" s="18">
        <f>IF(Tabela3[[#This Row],[Lucro Líquido]]&gt;0,Tabela3[[#This Row],[Lucro Líquido]]/Tabela3[[#This Row],[Patrimônio Líquido]],0)</f>
        <v>0.15593240906470893</v>
      </c>
      <c r="W295" s="18">
        <f>SUMPRODUCT(N([Rentabilidade s/ PL]&gt;0),N(RIGHT([PAPEL],LEN([PAPEL])-(LEN([PAPEL])-1))="3"),[Rentabilidade s/ PL])/SUMPRODUCT(N([Rentabilidade s/ PL]&gt;0),N(RIGHT([PAPEL],LEN([PAPEL])-(LEN([PAPEL])-1))="3"))</f>
        <v>0.1261051308670782</v>
      </c>
      <c r="X295" s="18">
        <f>IF(Tabela3[[#This Row],[Dívida]]&gt;0,Tabela3[[#This Row],[Dívida]]/Tabela3[[#This Row],[Patrimônio Líquido]],0)</f>
        <v>0.65374814185602037</v>
      </c>
      <c r="Y295" s="18">
        <f>SUMPRODUCT(N([Dívida / PL]&gt;0),N(RIGHT([PAPEL],LEN([PAPEL])-(LEN([PAPEL])-1))="3"),[Dívida / PL])/SUMPRODUCT(N([Dívida / PL]&gt;0),N(RIGHT([PAPEL],LEN([PAPEL])-(LEN([PAPEL])-1))="3"))</f>
        <v>2.1510410379481146</v>
      </c>
      <c r="Z295" s="7">
        <f>Tabela3[[#This Row],[Capital Social]]*20%</f>
        <v>3000000</v>
      </c>
      <c r="AA295" s="47">
        <f>IF(([Lucro Líquido]*5%)&gt;[Teto R. Legal],[Teto R. Legal],[Lucro Líquido]*5%)</f>
        <v>514000</v>
      </c>
      <c r="AB295" s="47">
        <f>IF([Lucro Líquido]&lt;0,0,[Lucro Líquido]-[Reserva Legal])</f>
        <v>9766000</v>
      </c>
      <c r="AC295" s="47">
        <f>Tabela3[[#This Row],[Lucro Distribuir]]*[%Div]</f>
        <v>2441500</v>
      </c>
      <c r="AD295" s="56">
        <f>SUMPRODUCT(N([Nome]=Tabela3[[#This Row],[Nome]]),[Ações])</f>
        <v>980000</v>
      </c>
      <c r="AE295" s="85">
        <f>[Capital Social]/[Total Ações]</f>
        <v>15.306122448979592</v>
      </c>
      <c r="AF295" s="85">
        <f>Tabela3[[#This Row],[Lucro Líquido]]/Tabela3[[#This Row],[Total Ações]]</f>
        <v>10.489795918367347</v>
      </c>
      <c r="AG295" s="85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2.4913265306122447</v>
      </c>
      <c r="AH295" s="85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295" s="77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295" s="85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2.4913265306122447</v>
      </c>
      <c r="AK295" s="7">
        <f>[Div Base]*[Ações]</f>
        <v>1220750</v>
      </c>
      <c r="AL295" s="120">
        <f>SUMPRODUCT(N([Nome]=Tabela3[[#This Row],[Nome]]),[Div Base]*[Ações])</f>
        <v>2685650</v>
      </c>
      <c r="AM295" s="5">
        <f>[Patrimônio Líquido]/[Total Ações]</f>
        <v>67.271428571428572</v>
      </c>
      <c r="AN295" s="52">
        <f>MAX(Tabela3[[#This Row],[Cotação 1]:[Cotação 5]])</f>
        <v>40</v>
      </c>
      <c r="AO295" s="53">
        <f>[Cotação]/[VPA]</f>
        <v>0.59460607347632188</v>
      </c>
      <c r="AP295" s="37">
        <f>IF(Tabela3[[#This Row],[Lucro/Ação]]&gt;0,Tabela3[[#This Row],[Cotação]]/(Tabela3[[#This Row],[Lucro/Ação]]/[Ref]*4),0)</f>
        <v>2.8599221789883265</v>
      </c>
      <c r="AQ295" s="85">
        <f>[Lucro Distribuir]/[Total Ações]</f>
        <v>9.965306122448979</v>
      </c>
      <c r="AR295" s="85">
        <f>IF([Unit ON]&gt;0,SUMPRODUCT(N([Nome]=Tabela3[[#This Row],[Nome]]),N(RIGHT([PAPEL],1)="3"),[Div Base])*[Unit ON]+SUMPRODUCT(N([Nome]=Tabela3[[#This Row],[Nome]]),N(RIGHT([PAPEL],1)="4"),[Div Base])*[Unit PN],[Div Base])</f>
        <v>2.4913265306122447</v>
      </c>
      <c r="AS295" s="10" t="str">
        <f>IF(AND([% A.A.]&gt;=6%,SUMPRODUCT(N([Nome]=Tabela3[[#This Row],[Nome]]),[PL])&gt;0,[Rentabilidade s/ PL]&gt;=[Rentabilidade s/ PL Média]),"Sim","Não")</f>
        <v>Sim</v>
      </c>
      <c r="AT295" s="22">
        <f>IF([Cotação]&gt;0,Tabela3[[#This Row],[Lucro]]/Tabela3[[#This Row],[Cotação]],0)</f>
        <v>6.228316326530612E-2</v>
      </c>
      <c r="AU295" s="22">
        <f>((1+Tabela3[[#This Row],[% Yield]])^(1/(3*Tabela3[[#This Row],[Ref]])))^(12)-1</f>
        <v>8.3894628893714795E-2</v>
      </c>
      <c r="AV295" s="14">
        <f>IF([Cotação]&gt;0,($BH$1/Tabela3[[#This Row],[Cotação]]-MOD($BH$1/Tabela3[[#This Row],[Cotação]],100)),)</f>
        <v>0</v>
      </c>
      <c r="AW295" s="7">
        <f>Tabela3[[#This Row],[Ativos]]*[Lucro]</f>
        <v>0</v>
      </c>
      <c r="AX295" s="7">
        <f>SUMPRODUCT(N(Tabela1[Código]=Tabela3[[#This Row],[PAPEL]]),Tabela1[Fechamento])</f>
        <v>0</v>
      </c>
      <c r="AY295" s="7">
        <f>SUMPRODUCT(N(Tabela17[Código]=Tabela3[[#This Row],[PAPEL]]),Tabela17[Fechamento])</f>
        <v>0</v>
      </c>
      <c r="AZ295" s="7">
        <f>SUMPRODUCT(N(Tabela176[Código]=Tabela3[[#This Row],[PAPEL]]),Tabela176[Fechamento])</f>
        <v>0</v>
      </c>
      <c r="BA295" s="7">
        <f>SUMPRODUCT(N(Tabela1768[Código]=Tabela3[[#This Row],[PAPEL]]),Tabela1768[Fechamento])</f>
        <v>0</v>
      </c>
      <c r="BB295" s="7">
        <f>SUMPRODUCT(N(Tabela17683[Código]=Tabela3[[#This Row],[PAPEL]]),Tabela17683[Fechamento])</f>
        <v>40</v>
      </c>
    </row>
    <row r="296" spans="1:54" hidden="1">
      <c r="A296" s="3" t="s">
        <v>1400</v>
      </c>
      <c r="B296" s="57" t="s">
        <v>1395</v>
      </c>
      <c r="C296" s="16" t="str">
        <f>LEFT([PAPEL],LEN([PAPEL])-(LEN([PAPEL])-4))</f>
        <v>BALM</v>
      </c>
      <c r="D296" s="16">
        <v>3</v>
      </c>
      <c r="E296" s="5">
        <v>15000000</v>
      </c>
      <c r="F296" s="56">
        <v>490000</v>
      </c>
      <c r="G296" s="81">
        <v>0.3</v>
      </c>
      <c r="H296" s="87"/>
      <c r="J296" s="18"/>
      <c r="K296" s="16"/>
      <c r="L296" s="87"/>
      <c r="M296" s="47">
        <v>109025000</v>
      </c>
      <c r="N296" s="47">
        <v>67948000</v>
      </c>
      <c r="O296" s="47">
        <v>30740000</v>
      </c>
      <c r="P296" s="91">
        <v>65926000</v>
      </c>
      <c r="Q296" s="73">
        <v>10280000</v>
      </c>
      <c r="R296" s="73">
        <f>IF(Tabela3[[#This Row],[Ativo || Passivo]]&gt;0,Tabela3[[#This Row],[Ativo || Passivo]]-Tabela3[[#This Row],[Patrimônio Líquido]],0)</f>
        <v>43099000</v>
      </c>
      <c r="S296" s="73">
        <f>Tabela3[[#This Row],[Cotação]]*Tabela3[[#This Row],[Total Ações]]</f>
        <v>96040000</v>
      </c>
      <c r="T296" s="37">
        <f>IF(Tabela3[[#This Row],[Passivo Circulante]]&gt;0,Tabela3[[#This Row],[Ativo Circulante]]/Tabela3[[#This Row],[Passivo Circulante]],0)</f>
        <v>2.2104098893949251</v>
      </c>
      <c r="U296" s="37">
        <f>SUMPRODUCT(N([Liquidez Corrente]&gt;0),N(RIGHT([PAPEL],LEN([PAPEL])-(LEN([PAPEL])-1))="3"),[Liquidez Corrente])/SUMPRODUCT(N([Liquidez Corrente]&gt;0),N(RIGHT([PAPEL],LEN([PAPEL])-(LEN([PAPEL])-1))="3"))</f>
        <v>2.331224473064915</v>
      </c>
      <c r="V296" s="18">
        <f>IF(Tabela3[[#This Row],[Lucro Líquido]]&gt;0,Tabela3[[#This Row],[Lucro Líquido]]/Tabela3[[#This Row],[Patrimônio Líquido]],0)</f>
        <v>0.15593240906470893</v>
      </c>
      <c r="W296" s="18">
        <f>SUMPRODUCT(N([Rentabilidade s/ PL]&gt;0),N(RIGHT([PAPEL],LEN([PAPEL])-(LEN([PAPEL])-1))="3"),[Rentabilidade s/ PL])/SUMPRODUCT(N([Rentabilidade s/ PL]&gt;0),N(RIGHT([PAPEL],LEN([PAPEL])-(LEN([PAPEL])-1))="3"))</f>
        <v>0.1261051308670782</v>
      </c>
      <c r="X296" s="18">
        <f>IF(Tabela3[[#This Row],[Dívida]]&gt;0,Tabela3[[#This Row],[Dívida]]/Tabela3[[#This Row],[Patrimônio Líquido]],0)</f>
        <v>0.65374814185602037</v>
      </c>
      <c r="Y296" s="18">
        <f>SUMPRODUCT(N([Dívida / PL]&gt;0),N(RIGHT([PAPEL],LEN([PAPEL])-(LEN([PAPEL])-1))="3"),[Dívida / PL])/SUMPRODUCT(N([Dívida / PL]&gt;0),N(RIGHT([PAPEL],LEN([PAPEL])-(LEN([PAPEL])-1))="3"))</f>
        <v>2.1510410379481146</v>
      </c>
      <c r="Z296" s="7">
        <f>Tabela3[[#This Row],[Capital Social]]*20%</f>
        <v>3000000</v>
      </c>
      <c r="AA296" s="47">
        <f>IF(([Lucro Líquido]*5%)&gt;[Teto R. Legal],[Teto R. Legal],[Lucro Líquido]*5%)</f>
        <v>514000</v>
      </c>
      <c r="AB296" s="47">
        <f>IF([Lucro Líquido]&lt;0,0,[Lucro Líquido]-[Reserva Legal])</f>
        <v>9766000</v>
      </c>
      <c r="AC296" s="47">
        <f>Tabela3[[#This Row],[Lucro Distribuir]]*[%Div]</f>
        <v>2929800</v>
      </c>
      <c r="AD296" s="56">
        <f>SUMPRODUCT(N([Nome]=Tabela3[[#This Row],[Nome]]),[Ações])</f>
        <v>980000</v>
      </c>
      <c r="AE296" s="85">
        <f>[Capital Social]/[Total Ações]</f>
        <v>15.306122448979592</v>
      </c>
      <c r="AF296" s="85">
        <f>Tabela3[[#This Row],[Lucro Líquido]]/Tabela3[[#This Row],[Total Ações]]</f>
        <v>10.489795918367347</v>
      </c>
      <c r="AG296" s="85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2.9895918367346939</v>
      </c>
      <c r="AH296" s="85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296" s="77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296" s="85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2.9895918367346939</v>
      </c>
      <c r="AK296" s="7">
        <f>[Div Base]*[Ações]</f>
        <v>1464900</v>
      </c>
      <c r="AL296" s="120">
        <f>SUMPRODUCT(N([Nome]=Tabela3[[#This Row],[Nome]]),[Div Base]*[Ações])</f>
        <v>2685650</v>
      </c>
      <c r="AM296" s="5">
        <f>[Patrimônio Líquido]/[Total Ações]</f>
        <v>67.271428571428572</v>
      </c>
      <c r="AN296" s="52">
        <f>MAX(Tabela3[[#This Row],[Cotação 1]:[Cotação 5]])</f>
        <v>98</v>
      </c>
      <c r="AO296" s="53">
        <f>[Cotação]/[VPA]</f>
        <v>1.4567848800169887</v>
      </c>
      <c r="AP296" s="37">
        <f>IF(Tabela3[[#This Row],[Lucro/Ação]]&gt;0,Tabela3[[#This Row],[Cotação]]/(Tabela3[[#This Row],[Lucro/Ação]]/[Ref]*4),0)</f>
        <v>7.0068093385213999</v>
      </c>
      <c r="AQ296" s="85">
        <f>[Lucro Distribuir]/[Total Ações]</f>
        <v>9.965306122448979</v>
      </c>
      <c r="AR296" s="85">
        <f>IF([Unit ON]&gt;0,SUMPRODUCT(N([Nome]=Tabela3[[#This Row],[Nome]]),N(RIGHT([PAPEL],1)="3"),[Div Base])*[Unit ON]+SUMPRODUCT(N([Nome]=Tabela3[[#This Row],[Nome]]),N(RIGHT([PAPEL],1)="4"),[Div Base])*[Unit PN],[Div Base])</f>
        <v>2.9895918367346939</v>
      </c>
      <c r="AS296" s="10" t="str">
        <f>IF(AND([% A.A.]&gt;=6%,SUMPRODUCT(N([Nome]=Tabela3[[#This Row],[Nome]]),[PL])&gt;0,[Rentabilidade s/ PL]&gt;=[Rentabilidade s/ PL Média]),"Sim","Não")</f>
        <v>Não</v>
      </c>
      <c r="AT296" s="22">
        <f>IF([Cotação]&gt;0,Tabela3[[#This Row],[Lucro]]/Tabela3[[#This Row],[Cotação]],0)</f>
        <v>3.050603915035402E-2</v>
      </c>
      <c r="AU296" s="22">
        <f>((1+Tabela3[[#This Row],[% Yield]])^(1/(3*Tabela3[[#This Row],[Ref]])))^(12)-1</f>
        <v>4.08801385471107E-2</v>
      </c>
      <c r="AV296" s="10">
        <f>IF([Cotação]&gt;0,($BH$1/Tabela3[[#This Row],[Cotação]]-MOD($BH$1/Tabela3[[#This Row],[Cotação]],100)),)</f>
        <v>0</v>
      </c>
      <c r="AW296" s="7">
        <f>Tabela3[[#This Row],[Ativos]]*[Lucro]</f>
        <v>0</v>
      </c>
      <c r="AX296" s="7">
        <f>SUMPRODUCT(N(Tabela1[Código]=Tabela3[[#This Row],[PAPEL]]),Tabela1[Fechamento])</f>
        <v>0</v>
      </c>
      <c r="AY296" s="7">
        <f>SUMPRODUCT(N(Tabela17[Código]=Tabela3[[#This Row],[PAPEL]]),Tabela17[Fechamento])</f>
        <v>0</v>
      </c>
      <c r="AZ296" s="7">
        <f>SUMPRODUCT(N(Tabela176[Código]=Tabela3[[#This Row],[PAPEL]]),Tabela176[Fechamento])</f>
        <v>0</v>
      </c>
      <c r="BA296" s="7">
        <f>SUMPRODUCT(N(Tabela1768[Código]=Tabela3[[#This Row],[PAPEL]]),Tabela1768[Fechamento])</f>
        <v>0</v>
      </c>
      <c r="BB296" s="7">
        <f>SUMPRODUCT(N(Tabela17683[Código]=Tabela3[[#This Row],[PAPEL]]),Tabela17683[Fechamento])</f>
        <v>98</v>
      </c>
    </row>
    <row r="297" spans="1:54" hidden="1">
      <c r="A297" s="3" t="s">
        <v>929</v>
      </c>
      <c r="B297" s="58" t="s">
        <v>930</v>
      </c>
      <c r="C297" s="16" t="str">
        <f>LEFT([PAPEL],LEN([PAPEL])-(LEN([PAPEL])-4))</f>
        <v>CEDO</v>
      </c>
      <c r="D297" s="16">
        <v>3</v>
      </c>
      <c r="E297" s="5">
        <v>150000000</v>
      </c>
      <c r="F297" s="56">
        <v>5707104</v>
      </c>
      <c r="G297" s="81">
        <v>0.25</v>
      </c>
      <c r="H297" s="87"/>
      <c r="J297" s="18"/>
      <c r="K297" s="16"/>
      <c r="L297" s="87"/>
      <c r="M297" s="54"/>
      <c r="N297" s="54"/>
      <c r="O297" s="54"/>
      <c r="P297" s="91">
        <v>305163000</v>
      </c>
      <c r="Q297" s="73">
        <v>10263000</v>
      </c>
      <c r="R297" s="73">
        <f>IF(Tabela3[[#This Row],[Ativo || Passivo]]&gt;0,Tabela3[[#This Row],[Ativo || Passivo]]-Tabela3[[#This Row],[Patrimônio Líquido]],0)</f>
        <v>0</v>
      </c>
      <c r="S297" s="73">
        <f>Tabela3[[#This Row],[Cotação]]*Tabela3[[#This Row],[Total Ações]]</f>
        <v>115000000</v>
      </c>
      <c r="T297" s="37">
        <f>IF(Tabela3[[#This Row],[Passivo Circulante]]&gt;0,Tabela3[[#This Row],[Ativo Circulante]]/Tabela3[[#This Row],[Passivo Circulante]],0)</f>
        <v>0</v>
      </c>
      <c r="U297" s="37">
        <f>SUMPRODUCT(N([Liquidez Corrente]&gt;0),N(RIGHT([PAPEL],LEN([PAPEL])-(LEN([PAPEL])-1))="3"),[Liquidez Corrente])/SUMPRODUCT(N([Liquidez Corrente]&gt;0),N(RIGHT([PAPEL],LEN([PAPEL])-(LEN([PAPEL])-1))="3"))</f>
        <v>2.331224473064915</v>
      </c>
      <c r="V297" s="18">
        <f>IF(Tabela3[[#This Row],[Lucro Líquido]]&gt;0,Tabela3[[#This Row],[Lucro Líquido]]/Tabela3[[#This Row],[Patrimônio Líquido]],0)</f>
        <v>3.3631206928756111E-2</v>
      </c>
      <c r="W297" s="18">
        <f>SUMPRODUCT(N([Rentabilidade s/ PL]&gt;0),N(RIGHT([PAPEL],LEN([PAPEL])-(LEN([PAPEL])-1))="3"),[Rentabilidade s/ PL])/SUMPRODUCT(N([Rentabilidade s/ PL]&gt;0),N(RIGHT([PAPEL],LEN([PAPEL])-(LEN([PAPEL])-1))="3"))</f>
        <v>0.1261051308670782</v>
      </c>
      <c r="X297" s="18">
        <f>IF(Tabela3[[#This Row],[Dívida]]&gt;0,Tabela3[[#This Row],[Dívida]]/Tabela3[[#This Row],[Patrimônio Líquido]],0)</f>
        <v>0</v>
      </c>
      <c r="Y297" s="18">
        <f>SUMPRODUCT(N([Dívida / PL]&gt;0),N(RIGHT([PAPEL],LEN([PAPEL])-(LEN([PAPEL])-1))="3"),[Dívida / PL])/SUMPRODUCT(N([Dívida / PL]&gt;0),N(RIGHT([PAPEL],LEN([PAPEL])-(LEN([PAPEL])-1))="3"))</f>
        <v>2.1510410379481146</v>
      </c>
      <c r="Z297" s="7">
        <f>Tabela3[[#This Row],[Capital Social]]*20%</f>
        <v>30000000</v>
      </c>
      <c r="AA297" s="47">
        <f>IF(([Lucro Líquido]*5%)&gt;[Teto R. Legal],[Teto R. Legal],[Lucro Líquido]*5%)</f>
        <v>513150</v>
      </c>
      <c r="AB297" s="47">
        <f>IF([Lucro Líquido]&lt;0,0,[Lucro Líquido]-[Reserva Legal])</f>
        <v>9749850</v>
      </c>
      <c r="AC297" s="47">
        <f>Tabela3[[#This Row],[Lucro Distribuir]]*[%Div]</f>
        <v>2437462.5</v>
      </c>
      <c r="AD297" s="56">
        <f>SUMPRODUCT(N([Nome]=Tabela3[[#This Row],[Nome]]),[Ações])</f>
        <v>10000000</v>
      </c>
      <c r="AE297" s="85">
        <f>[Capital Social]/[Total Ações]</f>
        <v>15</v>
      </c>
      <c r="AF297" s="85">
        <f>Tabela3[[#This Row],[Lucro Líquido]]/Tabela3[[#This Row],[Total Ações]]</f>
        <v>1.0263</v>
      </c>
      <c r="AG297" s="85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0.24374625</v>
      </c>
      <c r="AH297" s="85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297" s="77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297" s="85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0.24374625</v>
      </c>
      <c r="AK297" s="7">
        <f>[Div Base]*[Ações]</f>
        <v>1391085.19836</v>
      </c>
      <c r="AL297" s="7">
        <f>SUMPRODUCT(N([Nome]=Tabela3[[#This Row],[Nome]]),[Div Base]*[Ações])</f>
        <v>2437462.5</v>
      </c>
      <c r="AM297" s="5">
        <f>[Patrimônio Líquido]/[Total Ações]</f>
        <v>30.516300000000001</v>
      </c>
      <c r="AN297" s="52">
        <f>MAX(Tabela3[[#This Row],[Cotação 1]:[Cotação 5]])</f>
        <v>11.5</v>
      </c>
      <c r="AO297" s="53">
        <f>[Cotação]/[VPA]</f>
        <v>0.376847782988108</v>
      </c>
      <c r="AP297" s="37">
        <f>IF(Tabela3[[#This Row],[Lucro/Ação]]&gt;0,Tabela3[[#This Row],[Cotação]]/(Tabela3[[#This Row],[Lucro/Ação]]/[Ref]*4),0)</f>
        <v>8.4039754457760889</v>
      </c>
      <c r="AQ297" s="85">
        <f>[Lucro Distribuir]/[Total Ações]</f>
        <v>0.97498499999999999</v>
      </c>
      <c r="AR297" s="85">
        <f>IF([Unit ON]&gt;0,SUMPRODUCT(N([Nome]=Tabela3[[#This Row],[Nome]]),N(RIGHT([PAPEL],1)="3"),[Div Base])*[Unit ON]+SUMPRODUCT(N([Nome]=Tabela3[[#This Row],[Nome]]),N(RIGHT([PAPEL],1)="4"),[Div Base])*[Unit PN],[Div Base])</f>
        <v>0.24374625</v>
      </c>
      <c r="AS297" s="10" t="str">
        <f>IF(AND([% A.A.]&gt;=6%,SUMPRODUCT(N([Nome]=Tabela3[[#This Row],[Nome]]),[PL])&gt;0,[Rentabilidade s/ PL]&gt;=[Rentabilidade s/ PL Média]),"Sim","Não")</f>
        <v>Não</v>
      </c>
      <c r="AT297" s="22">
        <f>IF([Cotação]&gt;0,Tabela3[[#This Row],[Lucro]]/Tabela3[[#This Row],[Cotação]],0)</f>
        <v>2.1195326086956522E-2</v>
      </c>
      <c r="AU297" s="22">
        <f>((1+Tabela3[[#This Row],[% Yield]])^(1/(3*Tabela3[[#This Row],[Ref]])))^(12)-1</f>
        <v>2.8359800196967155E-2</v>
      </c>
      <c r="AV297" s="10">
        <f>IF([Cotação]&gt;0,($BH$1/Tabela3[[#This Row],[Cotação]]-MOD($BH$1/Tabela3[[#This Row],[Cotação]],100)),)</f>
        <v>0</v>
      </c>
      <c r="AW297" s="7">
        <f>Tabela3[[#This Row],[Ativos]]*[Lucro]</f>
        <v>0</v>
      </c>
      <c r="AX297" s="7">
        <f>SUMPRODUCT(N(Tabela1[Código]=Tabela3[[#This Row],[PAPEL]]),Tabela1[Fechamento])</f>
        <v>0</v>
      </c>
      <c r="AY297" s="7">
        <f>SUMPRODUCT(N(Tabela17[Código]=Tabela3[[#This Row],[PAPEL]]),Tabela17[Fechamento])</f>
        <v>0</v>
      </c>
      <c r="AZ297" s="7">
        <f>SUMPRODUCT(N(Tabela176[Código]=Tabela3[[#This Row],[PAPEL]]),Tabela176[Fechamento])</f>
        <v>0</v>
      </c>
      <c r="BA297" s="7">
        <f>SUMPRODUCT(N(Tabela1768[Código]=Tabela3[[#This Row],[PAPEL]]),Tabela1768[Fechamento])</f>
        <v>11.5</v>
      </c>
      <c r="BB297" s="7">
        <f>SUMPRODUCT(N(Tabela17683[Código]=Tabela3[[#This Row],[PAPEL]]),Tabela17683[Fechamento])</f>
        <v>0</v>
      </c>
    </row>
    <row r="298" spans="1:54" hidden="1">
      <c r="A298" s="3" t="s">
        <v>929</v>
      </c>
      <c r="B298" s="58" t="s">
        <v>931</v>
      </c>
      <c r="C298" s="16" t="str">
        <f>LEFT([PAPEL],LEN([PAPEL])-(LEN([PAPEL])-4))</f>
        <v>CEDO</v>
      </c>
      <c r="D298" s="16">
        <v>3</v>
      </c>
      <c r="E298" s="5">
        <v>150000000</v>
      </c>
      <c r="F298" s="56">
        <v>4292896</v>
      </c>
      <c r="G298" s="81">
        <v>0.25</v>
      </c>
      <c r="H298" s="87"/>
      <c r="J298" s="18"/>
      <c r="K298" s="16"/>
      <c r="L298" s="87"/>
      <c r="M298" s="54"/>
      <c r="N298" s="54"/>
      <c r="O298" s="54"/>
      <c r="P298" s="91">
        <v>305163000</v>
      </c>
      <c r="Q298" s="73">
        <v>10263000</v>
      </c>
      <c r="R298" s="73">
        <f>IF(Tabela3[[#This Row],[Ativo || Passivo]]&gt;0,Tabela3[[#This Row],[Ativo || Passivo]]-Tabela3[[#This Row],[Patrimônio Líquido]],0)</f>
        <v>0</v>
      </c>
      <c r="S298" s="73">
        <f>Tabela3[[#This Row],[Cotação]]*Tabela3[[#This Row],[Total Ações]]</f>
        <v>111000000</v>
      </c>
      <c r="T298" s="37">
        <f>IF(Tabela3[[#This Row],[Passivo Circulante]]&gt;0,Tabela3[[#This Row],[Ativo Circulante]]/Tabela3[[#This Row],[Passivo Circulante]],0)</f>
        <v>0</v>
      </c>
      <c r="U298" s="37">
        <f>SUMPRODUCT(N([Liquidez Corrente]&gt;0),N(RIGHT([PAPEL],LEN([PAPEL])-(LEN([PAPEL])-1))="3"),[Liquidez Corrente])/SUMPRODUCT(N([Liquidez Corrente]&gt;0),N(RIGHT([PAPEL],LEN([PAPEL])-(LEN([PAPEL])-1))="3"))</f>
        <v>2.331224473064915</v>
      </c>
      <c r="V298" s="18">
        <f>IF(Tabela3[[#This Row],[Lucro Líquido]]&gt;0,Tabela3[[#This Row],[Lucro Líquido]]/Tabela3[[#This Row],[Patrimônio Líquido]],0)</f>
        <v>3.3631206928756111E-2</v>
      </c>
      <c r="W298" s="18">
        <f>SUMPRODUCT(N([Rentabilidade s/ PL]&gt;0),N(RIGHT([PAPEL],LEN([PAPEL])-(LEN([PAPEL])-1))="3"),[Rentabilidade s/ PL])/SUMPRODUCT(N([Rentabilidade s/ PL]&gt;0),N(RIGHT([PAPEL],LEN([PAPEL])-(LEN([PAPEL])-1))="3"))</f>
        <v>0.1261051308670782</v>
      </c>
      <c r="X298" s="18">
        <f>IF(Tabela3[[#This Row],[Dívida]]&gt;0,Tabela3[[#This Row],[Dívida]]/Tabela3[[#This Row],[Patrimônio Líquido]],0)</f>
        <v>0</v>
      </c>
      <c r="Y298" s="18">
        <f>SUMPRODUCT(N([Dívida / PL]&gt;0),N(RIGHT([PAPEL],LEN([PAPEL])-(LEN([PAPEL])-1))="3"),[Dívida / PL])/SUMPRODUCT(N([Dívida / PL]&gt;0),N(RIGHT([PAPEL],LEN([PAPEL])-(LEN([PAPEL])-1))="3"))</f>
        <v>2.1510410379481146</v>
      </c>
      <c r="Z298" s="7">
        <f>Tabela3[[#This Row],[Capital Social]]*20%</f>
        <v>30000000</v>
      </c>
      <c r="AA298" s="47">
        <f>IF(([Lucro Líquido]*5%)&gt;[Teto R. Legal],[Teto R. Legal],[Lucro Líquido]*5%)</f>
        <v>513150</v>
      </c>
      <c r="AB298" s="47">
        <f>IF([Lucro Líquido]&lt;0,0,[Lucro Líquido]-[Reserva Legal])</f>
        <v>9749850</v>
      </c>
      <c r="AC298" s="47">
        <f>Tabela3[[#This Row],[Lucro Distribuir]]*[%Div]</f>
        <v>2437462.5</v>
      </c>
      <c r="AD298" s="56">
        <f>SUMPRODUCT(N([Nome]=Tabela3[[#This Row],[Nome]]),[Ações])</f>
        <v>10000000</v>
      </c>
      <c r="AE298" s="85">
        <f>[Capital Social]/[Total Ações]</f>
        <v>15</v>
      </c>
      <c r="AF298" s="85">
        <f>Tabela3[[#This Row],[Lucro Líquido]]/Tabela3[[#This Row],[Total Ações]]</f>
        <v>1.0263</v>
      </c>
      <c r="AG298" s="85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0.24374625</v>
      </c>
      <c r="AH298" s="85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298" s="77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298" s="85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0.24374625</v>
      </c>
      <c r="AK298" s="7">
        <f>[Div Base]*[Ações]</f>
        <v>1046377.30164</v>
      </c>
      <c r="AL298" s="7">
        <f>SUMPRODUCT(N([Nome]=Tabela3[[#This Row],[Nome]]),[Div Base]*[Ações])</f>
        <v>2437462.5</v>
      </c>
      <c r="AM298" s="5">
        <f>[Patrimônio Líquido]/[Total Ações]</f>
        <v>30.516300000000001</v>
      </c>
      <c r="AN298" s="52">
        <f>MAX(Tabela3[[#This Row],[Cotação 1]:[Cotação 5]])</f>
        <v>11.1</v>
      </c>
      <c r="AO298" s="53">
        <f>[Cotação]/[VPA]</f>
        <v>0.36374003401460858</v>
      </c>
      <c r="AP298" s="37">
        <f>IF(Tabela3[[#This Row],[Lucro/Ação]]&gt;0,Tabela3[[#This Row],[Cotação]]/(Tabela3[[#This Row],[Lucro/Ação]]/[Ref]*4),0)</f>
        <v>8.1116632563577902</v>
      </c>
      <c r="AQ298" s="85">
        <f>[Lucro Distribuir]/[Total Ações]</f>
        <v>0.97498499999999999</v>
      </c>
      <c r="AR298" s="85">
        <f>IF([Unit ON]&gt;0,SUMPRODUCT(N([Nome]=Tabela3[[#This Row],[Nome]]),N(RIGHT([PAPEL],1)="3"),[Div Base])*[Unit ON]+SUMPRODUCT(N([Nome]=Tabela3[[#This Row],[Nome]]),N(RIGHT([PAPEL],1)="4"),[Div Base])*[Unit PN],[Div Base])</f>
        <v>0.24374625</v>
      </c>
      <c r="AS298" s="10" t="str">
        <f>IF(AND([% A.A.]&gt;=6%,SUMPRODUCT(N([Nome]=Tabela3[[#This Row],[Nome]]),[PL])&gt;0,[Rentabilidade s/ PL]&gt;=[Rentabilidade s/ PL Média]),"Sim","Não")</f>
        <v>Não</v>
      </c>
      <c r="AT298" s="22">
        <f>IF([Cotação]&gt;0,Tabela3[[#This Row],[Lucro]]/Tabela3[[#This Row],[Cotação]],0)</f>
        <v>2.1959121621621624E-2</v>
      </c>
      <c r="AU298" s="22">
        <f>((1+Tabela3[[#This Row],[% Yield]])^(1/(3*Tabela3[[#This Row],[Ref]])))^(12)-1</f>
        <v>2.9385466883620426E-2</v>
      </c>
      <c r="AV298" s="10">
        <f>IF([Cotação]&gt;0,($BH$1/Tabela3[[#This Row],[Cotação]]-MOD($BH$1/Tabela3[[#This Row],[Cotação]],100)),)</f>
        <v>0</v>
      </c>
      <c r="AW298" s="7">
        <f>Tabela3[[#This Row],[Ativos]]*[Lucro]</f>
        <v>0</v>
      </c>
      <c r="AX298" s="7">
        <f>SUMPRODUCT(N(Tabela1[Código]=Tabela3[[#This Row],[PAPEL]]),Tabela1[Fechamento])</f>
        <v>0</v>
      </c>
      <c r="AY298" s="7">
        <f>SUMPRODUCT(N(Tabela17[Código]=Tabela3[[#This Row],[PAPEL]]),Tabela17[Fechamento])</f>
        <v>0</v>
      </c>
      <c r="AZ298" s="7">
        <f>SUMPRODUCT(N(Tabela176[Código]=Tabela3[[#This Row],[PAPEL]]),Tabela176[Fechamento])</f>
        <v>0</v>
      </c>
      <c r="BA298" s="7">
        <f>SUMPRODUCT(N(Tabela1768[Código]=Tabela3[[#This Row],[PAPEL]]),Tabela1768[Fechamento])</f>
        <v>11.1</v>
      </c>
      <c r="BB298" s="7">
        <f>SUMPRODUCT(N(Tabela17683[Código]=Tabela3[[#This Row],[PAPEL]]),Tabela17683[Fechamento])</f>
        <v>0</v>
      </c>
    </row>
    <row r="299" spans="1:54" hidden="1">
      <c r="A299" s="3" t="s">
        <v>1196</v>
      </c>
      <c r="B299" s="58" t="s">
        <v>1199</v>
      </c>
      <c r="C299" s="16" t="str">
        <f>LEFT([PAPEL],LEN([PAPEL])-(LEN([PAPEL])-4))</f>
        <v>CALI</v>
      </c>
      <c r="D299" s="16">
        <v>3</v>
      </c>
      <c r="E299" s="5">
        <v>38968552.789999999</v>
      </c>
      <c r="F299" s="56">
        <v>124040</v>
      </c>
      <c r="G299" s="81">
        <v>0.25</v>
      </c>
      <c r="H299" s="87"/>
      <c r="J299" s="18"/>
      <c r="K299" s="16"/>
      <c r="L299" s="87"/>
      <c r="M299" s="54">
        <v>22719000</v>
      </c>
      <c r="N299" s="54">
        <v>6643000</v>
      </c>
      <c r="O299" s="54">
        <v>3658000</v>
      </c>
      <c r="P299" s="91">
        <v>4577000</v>
      </c>
      <c r="Q299" s="73">
        <v>8961000</v>
      </c>
      <c r="R299" s="73">
        <f>IF(Tabela3[[#This Row],[Ativo || Passivo]]&gt;0,Tabela3[[#This Row],[Ativo || Passivo]]-Tabela3[[#This Row],[Patrimônio Líquido]],0)</f>
        <v>18142000</v>
      </c>
      <c r="S299" s="73">
        <f>Tabela3[[#This Row],[Cotação]]*Tabela3[[#This Row],[Total Ações]]</f>
        <v>46890715.190000005</v>
      </c>
      <c r="T299" s="37">
        <f>IF(Tabela3[[#This Row],[Passivo Circulante]]&gt;0,Tabela3[[#This Row],[Ativo Circulante]]/Tabela3[[#This Row],[Passivo Circulante]],0)</f>
        <v>1.8160196828868234</v>
      </c>
      <c r="U299" s="37">
        <f>SUMPRODUCT(N([Liquidez Corrente]&gt;0),N(RIGHT([PAPEL],LEN([PAPEL])-(LEN([PAPEL])-1))="3"),[Liquidez Corrente])/SUMPRODUCT(N([Liquidez Corrente]&gt;0),N(RIGHT([PAPEL],LEN([PAPEL])-(LEN([PAPEL])-1))="3"))</f>
        <v>2.331224473064915</v>
      </c>
      <c r="V299" s="18">
        <f>IF(Tabela3[[#This Row],[Lucro Líquido]]&gt;0,Tabela3[[#This Row],[Lucro Líquido]]/Tabela3[[#This Row],[Patrimônio Líquido]],0)</f>
        <v>1.9578326414682106</v>
      </c>
      <c r="W299" s="18">
        <f>SUMPRODUCT(N([Rentabilidade s/ PL]&gt;0),N(RIGHT([PAPEL],LEN([PAPEL])-(LEN([PAPEL])-1))="3"),[Rentabilidade s/ PL])/SUMPRODUCT(N([Rentabilidade s/ PL]&gt;0),N(RIGHT([PAPEL],LEN([PAPEL])-(LEN([PAPEL])-1))="3"))</f>
        <v>0.1261051308670782</v>
      </c>
      <c r="X299" s="18">
        <f>IF(Tabela3[[#This Row],[Dívida]]&gt;0,Tabela3[[#This Row],[Dívida]]/Tabela3[[#This Row],[Patrimônio Líquido]],0)</f>
        <v>3.9637317019882019</v>
      </c>
      <c r="Y299" s="18">
        <f>SUMPRODUCT(N([Dívida / PL]&gt;0),N(RIGHT([PAPEL],LEN([PAPEL])-(LEN([PAPEL])-1))="3"),[Dívida / PL])/SUMPRODUCT(N([Dívida / PL]&gt;0),N(RIGHT([PAPEL],LEN([PAPEL])-(LEN([PAPEL])-1))="3"))</f>
        <v>2.1510410379481146</v>
      </c>
      <c r="Z299" s="7">
        <f>Tabela3[[#This Row],[Capital Social]]*20%</f>
        <v>7793710.5580000002</v>
      </c>
      <c r="AA299" s="47">
        <f>IF(([Lucro Líquido]*5%)&gt;[Teto R. Legal],[Teto R. Legal],[Lucro Líquido]*5%)</f>
        <v>448050</v>
      </c>
      <c r="AB299" s="47">
        <f>IF([Lucro Líquido]&lt;0,0,[Lucro Líquido]-[Reserva Legal])</f>
        <v>8512950</v>
      </c>
      <c r="AC299" s="47">
        <f>Tabela3[[#This Row],[Lucro Distribuir]]*[%Div]</f>
        <v>2128237.5</v>
      </c>
      <c r="AD299" s="56">
        <f>SUMPRODUCT(N([Nome]=Tabela3[[#This Row],[Nome]]),[Ações])</f>
        <v>372119</v>
      </c>
      <c r="AE299" s="85">
        <f>[Capital Social]/[Total Ações]</f>
        <v>104.72067481101476</v>
      </c>
      <c r="AF299" s="85">
        <f>Tabela3[[#This Row],[Lucro Líquido]]/Tabela3[[#This Row],[Total Ações]]</f>
        <v>24.081006344744559</v>
      </c>
      <c r="AG299" s="85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5.7192390068768324</v>
      </c>
      <c r="AH299" s="85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299" s="77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3.5440380633770343</v>
      </c>
      <c r="AJ299" s="85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3.5440380633770343</v>
      </c>
      <c r="AK299" s="7">
        <f>[Div Base]*[Ações]</f>
        <v>439602.48138128733</v>
      </c>
      <c r="AL299" s="120">
        <f>SUMPRODUCT(N([Nome]=Tabela3[[#This Row],[Nome]]),[Div Base]*[Ações])</f>
        <v>2128237.5</v>
      </c>
      <c r="AM299" s="5">
        <f>[Patrimônio Líquido]/[Total Ações]</f>
        <v>12.299828818200629</v>
      </c>
      <c r="AN299" s="52">
        <f>MAX(Tabela3[[#This Row],[Cotação 1]:[Cotação 5]])</f>
        <v>126.01</v>
      </c>
      <c r="AO299" s="53">
        <f>[Cotação]/[VPA]</f>
        <v>10.244858027091983</v>
      </c>
      <c r="AP299" s="37">
        <f>IF(Tabela3[[#This Row],[Lucro/Ação]]&gt;0,Tabela3[[#This Row],[Cotação]]/(Tabela3[[#This Row],[Lucro/Ação]]/[Ref]*4),0)</f>
        <v>3.9245660520589221</v>
      </c>
      <c r="AQ299" s="85">
        <f>[Lucro Distribuir]/[Total Ações]</f>
        <v>22.87695602750733</v>
      </c>
      <c r="AR299" s="85">
        <f>IF([Unit ON]&gt;0,SUMPRODUCT(N([Nome]=Tabela3[[#This Row],[Nome]]),N(RIGHT([PAPEL],1)="3"),[Div Base])*[Unit ON]+SUMPRODUCT(N([Nome]=Tabela3[[#This Row],[Nome]]),N(RIGHT([PAPEL],1)="4"),[Div Base])*[Unit PN],[Div Base])</f>
        <v>3.5440380633770343</v>
      </c>
      <c r="AS299" s="10" t="str">
        <f>IF(AND([% A.A.]&gt;=6%,SUMPRODUCT(N([Nome]=Tabela3[[#This Row],[Nome]]),[PL])&gt;0,[Rentabilidade s/ PL]&gt;=[Rentabilidade s/ PL Média]),"Sim","Não")</f>
        <v>Não</v>
      </c>
      <c r="AT299" s="22">
        <f>IF([Cotação]&gt;0,Tabela3[[#This Row],[Lucro]]/Tabela3[[#This Row],[Cotação]],0)</f>
        <v>2.8125054070129624E-2</v>
      </c>
      <c r="AU299" s="22">
        <f>((1+Tabela3[[#This Row],[% Yield]])^(1/(3*Tabela3[[#This Row],[Ref]])))^(12)-1</f>
        <v>3.767476806507486E-2</v>
      </c>
      <c r="AV299" s="10">
        <f>IF([Cotação]&gt;0,($BH$1/Tabela3[[#This Row],[Cotação]]-MOD($BH$1/Tabela3[[#This Row],[Cotação]],100)),)</f>
        <v>0</v>
      </c>
      <c r="AW299" s="7">
        <f>Tabela3[[#This Row],[Ativos]]*[Lucro]</f>
        <v>0</v>
      </c>
      <c r="AX299" s="7">
        <f>SUMPRODUCT(N(Tabela1[Código]=Tabela3[[#This Row],[PAPEL]]),Tabela1[Fechamento])</f>
        <v>0</v>
      </c>
      <c r="AY299" s="7">
        <f>SUMPRODUCT(N(Tabela17[Código]=Tabela3[[#This Row],[PAPEL]]),Tabela17[Fechamento])</f>
        <v>0</v>
      </c>
      <c r="AZ299" s="7">
        <f>SUMPRODUCT(N(Tabela176[Código]=Tabela3[[#This Row],[PAPEL]]),Tabela176[Fechamento])</f>
        <v>0</v>
      </c>
      <c r="BA299" s="7">
        <f>SUMPRODUCT(N(Tabela1768[Código]=Tabela3[[#This Row],[PAPEL]]),Tabela1768[Fechamento])</f>
        <v>126.01</v>
      </c>
      <c r="BB299" s="7">
        <f>SUMPRODUCT(N(Tabela17683[Código]=Tabela3[[#This Row],[PAPEL]]),Tabela17683[Fechamento])</f>
        <v>0</v>
      </c>
    </row>
    <row r="300" spans="1:54" hidden="1">
      <c r="A300" s="3" t="s">
        <v>1196</v>
      </c>
      <c r="B300" s="58" t="s">
        <v>1200</v>
      </c>
      <c r="C300" s="16" t="str">
        <f>LEFT([PAPEL],LEN([PAPEL])-(LEN([PAPEL])-4))</f>
        <v>CALI</v>
      </c>
      <c r="D300" s="16">
        <v>3</v>
      </c>
      <c r="E300" s="5">
        <v>38968552.789999999</v>
      </c>
      <c r="F300" s="56">
        <v>248079</v>
      </c>
      <c r="G300" s="81">
        <v>0.25</v>
      </c>
      <c r="H300" s="87"/>
      <c r="I300" s="18">
        <v>6.5000000000000002E-2</v>
      </c>
      <c r="J300" s="18"/>
      <c r="K300" s="16"/>
      <c r="L300" s="87"/>
      <c r="M300" s="54">
        <v>22719000</v>
      </c>
      <c r="N300" s="54">
        <v>6643000</v>
      </c>
      <c r="O300" s="54">
        <v>3658000</v>
      </c>
      <c r="P300" s="91">
        <v>4577000</v>
      </c>
      <c r="Q300" s="73">
        <v>8961000</v>
      </c>
      <c r="R300" s="73">
        <f>IF(Tabela3[[#This Row],[Ativo || Passivo]]&gt;0,Tabela3[[#This Row],[Ativo || Passivo]]-Tabela3[[#This Row],[Patrimônio Líquido]],0)</f>
        <v>18142000</v>
      </c>
      <c r="S300" s="73">
        <f>Tabela3[[#This Row],[Cotação]]*Tabela3[[#This Row],[Total Ações]]</f>
        <v>93029750</v>
      </c>
      <c r="T300" s="37">
        <f>IF(Tabela3[[#This Row],[Passivo Circulante]]&gt;0,Tabela3[[#This Row],[Ativo Circulante]]/Tabela3[[#This Row],[Passivo Circulante]],0)</f>
        <v>1.8160196828868234</v>
      </c>
      <c r="U300" s="37">
        <f>SUMPRODUCT(N([Liquidez Corrente]&gt;0),N(RIGHT([PAPEL],LEN([PAPEL])-(LEN([PAPEL])-1))="3"),[Liquidez Corrente])/SUMPRODUCT(N([Liquidez Corrente]&gt;0),N(RIGHT([PAPEL],LEN([PAPEL])-(LEN([PAPEL])-1))="3"))</f>
        <v>2.331224473064915</v>
      </c>
      <c r="V300" s="18">
        <f>IF(Tabela3[[#This Row],[Lucro Líquido]]&gt;0,Tabela3[[#This Row],[Lucro Líquido]]/Tabela3[[#This Row],[Patrimônio Líquido]],0)</f>
        <v>1.9578326414682106</v>
      </c>
      <c r="W300" s="18">
        <f>SUMPRODUCT(N([Rentabilidade s/ PL]&gt;0),N(RIGHT([PAPEL],LEN([PAPEL])-(LEN([PAPEL])-1))="3"),[Rentabilidade s/ PL])/SUMPRODUCT(N([Rentabilidade s/ PL]&gt;0),N(RIGHT([PAPEL],LEN([PAPEL])-(LEN([PAPEL])-1))="3"))</f>
        <v>0.1261051308670782</v>
      </c>
      <c r="X300" s="18">
        <f>IF(Tabela3[[#This Row],[Dívida]]&gt;0,Tabela3[[#This Row],[Dívida]]/Tabela3[[#This Row],[Patrimônio Líquido]],0)</f>
        <v>3.9637317019882019</v>
      </c>
      <c r="Y300" s="18">
        <f>SUMPRODUCT(N([Dívida / PL]&gt;0),N(RIGHT([PAPEL],LEN([PAPEL])-(LEN([PAPEL])-1))="3"),[Dívida / PL])/SUMPRODUCT(N([Dívida / PL]&gt;0),N(RIGHT([PAPEL],LEN([PAPEL])-(LEN([PAPEL])-1))="3"))</f>
        <v>2.1510410379481146</v>
      </c>
      <c r="Z300" s="7">
        <f>Tabela3[[#This Row],[Capital Social]]*20%</f>
        <v>7793710.5580000002</v>
      </c>
      <c r="AA300" s="47">
        <f>IF(([Lucro Líquido]*5%)&gt;[Teto R. Legal],[Teto R. Legal],[Lucro Líquido]*5%)</f>
        <v>448050</v>
      </c>
      <c r="AB300" s="47">
        <f>IF([Lucro Líquido]&lt;0,0,[Lucro Líquido]-[Reserva Legal])</f>
        <v>8512950</v>
      </c>
      <c r="AC300" s="47">
        <f>Tabela3[[#This Row],[Lucro Distribuir]]*[%Div]</f>
        <v>2128237.5</v>
      </c>
      <c r="AD300" s="56">
        <f>SUMPRODUCT(N([Nome]=Tabela3[[#This Row],[Nome]]),[Ações])</f>
        <v>372119</v>
      </c>
      <c r="AE300" s="85">
        <f>[Capital Social]/[Total Ações]</f>
        <v>104.72067481101476</v>
      </c>
      <c r="AF300" s="85">
        <f>Tabela3[[#This Row],[Lucro Líquido]]/Tabela3[[#This Row],[Total Ações]]</f>
        <v>24.081006344744559</v>
      </c>
      <c r="AG300" s="85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5.7192390068768324</v>
      </c>
      <c r="AH300" s="85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300" s="77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6.8068438627159598</v>
      </c>
      <c r="AJ300" s="85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6.8068438627159598</v>
      </c>
      <c r="AK300" s="7">
        <f>[Div Base]*[Ações]</f>
        <v>1688635.0186187127</v>
      </c>
      <c r="AL300" s="120">
        <f>SUMPRODUCT(N([Nome]=Tabela3[[#This Row],[Nome]]),[Div Base]*[Ações])</f>
        <v>2128237.5</v>
      </c>
      <c r="AM300" s="5">
        <f>[Patrimônio Líquido]/[Total Ações]</f>
        <v>12.299828818200629</v>
      </c>
      <c r="AN300" s="52">
        <f>MAX(Tabela3[[#This Row],[Cotação 1]:[Cotação 5]])</f>
        <v>250</v>
      </c>
      <c r="AO300" s="53">
        <f>[Cotação]/[VPA]</f>
        <v>20.325486126283593</v>
      </c>
      <c r="AP300" s="37">
        <f>IF(Tabela3[[#This Row],[Lucro/Ação]]&gt;0,Tabela3[[#This Row],[Cotação]]/(Tabela3[[#This Row],[Lucro/Ação]]/[Ref]*4),0)</f>
        <v>7.7862194509541345</v>
      </c>
      <c r="AQ300" s="85">
        <f>[Lucro Distribuir]/[Total Ações]</f>
        <v>22.87695602750733</v>
      </c>
      <c r="AR300" s="85">
        <f>IF([Unit ON]&gt;0,SUMPRODUCT(N([Nome]=Tabela3[[#This Row],[Nome]]),N(RIGHT([PAPEL],1)="3"),[Div Base])*[Unit ON]+SUMPRODUCT(N([Nome]=Tabela3[[#This Row],[Nome]]),N(RIGHT([PAPEL],1)="4"),[Div Base])*[Unit PN],[Div Base])</f>
        <v>6.8068438627159598</v>
      </c>
      <c r="AS300" s="10" t="str">
        <f>IF(AND([% A.A.]&gt;=6%,SUMPRODUCT(N([Nome]=Tabela3[[#This Row],[Nome]]),[PL])&gt;0,[Rentabilidade s/ PL]&gt;=[Rentabilidade s/ PL Média]),"Sim","Não")</f>
        <v>Não</v>
      </c>
      <c r="AT300" s="22">
        <f>IF([Cotação]&gt;0,Tabela3[[#This Row],[Lucro]]/Tabela3[[#This Row],[Cotação]],0)</f>
        <v>2.7227375450863837E-2</v>
      </c>
      <c r="AU300" s="22">
        <f>((1+Tabela3[[#This Row],[% Yield]])^(1/(3*Tabela3[[#This Row],[Ref]])))^(12)-1</f>
        <v>3.6466921644602968E-2</v>
      </c>
      <c r="AV300" s="10">
        <f>IF([Cotação]&gt;0,($BH$1/Tabela3[[#This Row],[Cotação]]-MOD($BH$1/Tabela3[[#This Row],[Cotação]],100)),)</f>
        <v>0</v>
      </c>
      <c r="AW300" s="7">
        <f>Tabela3[[#This Row],[Ativos]]*[Lucro]</f>
        <v>0</v>
      </c>
      <c r="AX300" s="7">
        <f>SUMPRODUCT(N(Tabela1[Código]=Tabela3[[#This Row],[PAPEL]]),Tabela1[Fechamento])</f>
        <v>0</v>
      </c>
      <c r="AY300" s="7">
        <f>SUMPRODUCT(N(Tabela17[Código]=Tabela3[[#This Row],[PAPEL]]),Tabela17[Fechamento])</f>
        <v>0</v>
      </c>
      <c r="AZ300" s="7">
        <f>SUMPRODUCT(N(Tabela176[Código]=Tabela3[[#This Row],[PAPEL]]),Tabela176[Fechamento])</f>
        <v>0</v>
      </c>
      <c r="BA300" s="7">
        <f>SUMPRODUCT(N(Tabela1768[Código]=Tabela3[[#This Row],[PAPEL]]),Tabela1768[Fechamento])</f>
        <v>250</v>
      </c>
      <c r="BB300" s="7">
        <f>SUMPRODUCT(N(Tabela17683[Código]=Tabela3[[#This Row],[PAPEL]]),Tabela17683[Fechamento])</f>
        <v>0</v>
      </c>
    </row>
    <row r="301" spans="1:54" hidden="1">
      <c r="A301" s="3" t="s">
        <v>1393</v>
      </c>
      <c r="B301" s="57" t="s">
        <v>1385</v>
      </c>
      <c r="C301" s="16" t="str">
        <f>LEFT([PAPEL],LEN([PAPEL])-(LEN([PAPEL])-4))</f>
        <v>EALT</v>
      </c>
      <c r="D301" s="16">
        <v>3</v>
      </c>
      <c r="E301" s="5">
        <v>8594000</v>
      </c>
      <c r="F301" s="56">
        <v>975000</v>
      </c>
      <c r="G301" s="81">
        <v>0.25</v>
      </c>
      <c r="H301" s="87"/>
      <c r="J301" s="18"/>
      <c r="K301" s="16"/>
      <c r="L301" s="87"/>
      <c r="M301" s="54"/>
      <c r="N301" s="54"/>
      <c r="O301" s="54"/>
      <c r="P301" s="91">
        <v>70672000</v>
      </c>
      <c r="Q301" s="73">
        <v>8076000</v>
      </c>
      <c r="R301" s="73">
        <f>IF(Tabela3[[#This Row],[Ativo || Passivo]]&gt;0,Tabela3[[#This Row],[Ativo || Passivo]]-Tabela3[[#This Row],[Patrimônio Líquido]],0)</f>
        <v>0</v>
      </c>
      <c r="S301" s="73">
        <f>Tabela3[[#This Row],[Cotação]]*Tabela3[[#This Row],[Total Ações]]</f>
        <v>63000000</v>
      </c>
      <c r="T301" s="37">
        <f>IF(Tabela3[[#This Row],[Passivo Circulante]]&gt;0,Tabela3[[#This Row],[Ativo Circulante]]/Tabela3[[#This Row],[Passivo Circulante]],0)</f>
        <v>0</v>
      </c>
      <c r="U301" s="37">
        <f>SUMPRODUCT(N([Liquidez Corrente]&gt;0),N(RIGHT([PAPEL],LEN([PAPEL])-(LEN([PAPEL])-1))="3"),[Liquidez Corrente])/SUMPRODUCT(N([Liquidez Corrente]&gt;0),N(RIGHT([PAPEL],LEN([PAPEL])-(LEN([PAPEL])-1))="3"))</f>
        <v>2.331224473064915</v>
      </c>
      <c r="V301" s="18">
        <f>IF(Tabela3[[#This Row],[Lucro Líquido]]&gt;0,Tabela3[[#This Row],[Lucro Líquido]]/Tabela3[[#This Row],[Patrimônio Líquido]],0)</f>
        <v>0.11427439438532941</v>
      </c>
      <c r="W301" s="18">
        <f>SUMPRODUCT(N([Rentabilidade s/ PL]&gt;0),N(RIGHT([PAPEL],LEN([PAPEL])-(LEN([PAPEL])-1))="3"),[Rentabilidade s/ PL])/SUMPRODUCT(N([Rentabilidade s/ PL]&gt;0),N(RIGHT([PAPEL],LEN([PAPEL])-(LEN([PAPEL])-1))="3"))</f>
        <v>0.1261051308670782</v>
      </c>
      <c r="X301" s="18">
        <f>IF(Tabela3[[#This Row],[Dívida]]&gt;0,Tabela3[[#This Row],[Dívida]]/Tabela3[[#This Row],[Patrimônio Líquido]],0)</f>
        <v>0</v>
      </c>
      <c r="Y301" s="18">
        <f>SUMPRODUCT(N([Dívida / PL]&gt;0),N(RIGHT([PAPEL],LEN([PAPEL])-(LEN([PAPEL])-1))="3"),[Dívida / PL])/SUMPRODUCT(N([Dívida / PL]&gt;0),N(RIGHT([PAPEL],LEN([PAPEL])-(LEN([PAPEL])-1))="3"))</f>
        <v>2.1510410379481146</v>
      </c>
      <c r="Z301" s="7">
        <f>Tabela3[[#This Row],[Capital Social]]*20%</f>
        <v>1718800</v>
      </c>
      <c r="AA301" s="47">
        <f>IF(([Lucro Líquido]*5%)&gt;[Teto R. Legal],[Teto R. Legal],[Lucro Líquido]*5%)</f>
        <v>403800</v>
      </c>
      <c r="AB301" s="47">
        <f>IF([Lucro Líquido]&lt;0,0,[Lucro Líquido]-[Reserva Legal])</f>
        <v>7672200</v>
      </c>
      <c r="AC301" s="47">
        <f>Tabela3[[#This Row],[Lucro Distribuir]]*[%Div]</f>
        <v>1918050</v>
      </c>
      <c r="AD301" s="56">
        <f>SUMPRODUCT(N([Nome]=Tabela3[[#This Row],[Nome]]),[Ações])</f>
        <v>2250000</v>
      </c>
      <c r="AE301" s="85">
        <f>[Capital Social]/[Total Ações]</f>
        <v>3.8195555555555556</v>
      </c>
      <c r="AF301" s="85">
        <f>Tabela3[[#This Row],[Lucro Líquido]]/Tabela3[[#This Row],[Total Ações]]</f>
        <v>3.5893333333333333</v>
      </c>
      <c r="AG301" s="85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0.82594318707692005</v>
      </c>
      <c r="AH301" s="85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301" s="77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301" s="85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0.82594318707692005</v>
      </c>
      <c r="AK301" s="7">
        <f>[Div Base]*[Ações]</f>
        <v>805294.60739999707</v>
      </c>
      <c r="AL301" s="120">
        <f>SUMPRODUCT(N([Nome]=Tabela3[[#This Row],[Nome]]),[Div Base]*[Ações])</f>
        <v>1963679.9288622441</v>
      </c>
      <c r="AM301" s="5">
        <f>[Patrimônio Líquido]/[Total Ações]</f>
        <v>31.409777777777776</v>
      </c>
      <c r="AN301" s="52">
        <f>MAX(Tabela3[[#This Row],[Cotação 1]:[Cotação 5]])</f>
        <v>28</v>
      </c>
      <c r="AO301" s="53">
        <f>[Cotação]/[VPA]</f>
        <v>0.89144215530903337</v>
      </c>
      <c r="AP301" s="37">
        <f>IF(Tabela3[[#This Row],[Lucro/Ação]]&gt;0,Tabela3[[#This Row],[Cotação]]/(Tabela3[[#This Row],[Lucro/Ação]]/[Ref]*4),0)</f>
        <v>5.8506686478454686</v>
      </c>
      <c r="AQ301" s="85">
        <f>[Lucro Distribuir]/[Total Ações]</f>
        <v>3.4098666666666668</v>
      </c>
      <c r="AR301" s="85">
        <f>IF([Unit ON]&gt;0,SUMPRODUCT(N([Nome]=Tabela3[[#This Row],[Nome]]),N(RIGHT([PAPEL],1)="3"),[Div Base])*[Unit ON]+SUMPRODUCT(N([Nome]=Tabela3[[#This Row],[Nome]]),N(RIGHT([PAPEL],1)="4"),[Div Base])*[Unit PN],[Div Base])</f>
        <v>0.82594318707692005</v>
      </c>
      <c r="AS301" s="10" t="str">
        <f>IF(AND([% A.A.]&gt;=6%,SUMPRODUCT(N([Nome]=Tabela3[[#This Row],[Nome]]),[PL])&gt;0,[Rentabilidade s/ PL]&gt;=[Rentabilidade s/ PL Média]),"Sim","Não")</f>
        <v>Não</v>
      </c>
      <c r="AT301" s="22">
        <f>IF([Cotação]&gt;0,Tabela3[[#This Row],[Lucro]]/Tabela3[[#This Row],[Cotação]],0)</f>
        <v>2.9497970967032858E-2</v>
      </c>
      <c r="AU301" s="22">
        <f>((1+Tabela3[[#This Row],[% Yield]])^(1/(3*Tabela3[[#This Row],[Ref]])))^(12)-1</f>
        <v>3.9522738070927987E-2</v>
      </c>
      <c r="AV301" s="10">
        <f>IF([Cotação]&gt;0,($BH$1/Tabela3[[#This Row],[Cotação]]-MOD($BH$1/Tabela3[[#This Row],[Cotação]],100)),)</f>
        <v>0</v>
      </c>
      <c r="AW301" s="7">
        <f>Tabela3[[#This Row],[Ativos]]*[Lucro]</f>
        <v>0</v>
      </c>
      <c r="AX301" s="7">
        <f>SUMPRODUCT(N(Tabela1[Código]=Tabela3[[#This Row],[PAPEL]]),Tabela1[Fechamento])</f>
        <v>0</v>
      </c>
      <c r="AY301" s="7">
        <f>SUMPRODUCT(N(Tabela17[Código]=Tabela3[[#This Row],[PAPEL]]),Tabela17[Fechamento])</f>
        <v>0</v>
      </c>
      <c r="AZ301" s="7">
        <f>SUMPRODUCT(N(Tabela176[Código]=Tabela3[[#This Row],[PAPEL]]),Tabela176[Fechamento])</f>
        <v>0</v>
      </c>
      <c r="BA301" s="7">
        <f>SUMPRODUCT(N(Tabela1768[Código]=Tabela3[[#This Row],[PAPEL]]),Tabela1768[Fechamento])</f>
        <v>0</v>
      </c>
      <c r="BB301" s="7">
        <f>SUMPRODUCT(N(Tabela17683[Código]=Tabela3[[#This Row],[PAPEL]]),Tabela17683[Fechamento])</f>
        <v>28</v>
      </c>
    </row>
    <row r="302" spans="1:54" hidden="1">
      <c r="A302" s="3" t="s">
        <v>1393</v>
      </c>
      <c r="B302" s="57" t="s">
        <v>1386</v>
      </c>
      <c r="C302" s="16" t="str">
        <f>LEFT([PAPEL],LEN([PAPEL])-(LEN([PAPEL])-4))</f>
        <v>EALT</v>
      </c>
      <c r="D302" s="16">
        <v>3</v>
      </c>
      <c r="E302" s="5">
        <v>8594000</v>
      </c>
      <c r="F302" s="56">
        <v>1275000</v>
      </c>
      <c r="G302" s="81">
        <v>0.25</v>
      </c>
      <c r="H302" s="87"/>
      <c r="J302" s="18">
        <v>0.1</v>
      </c>
      <c r="K302" s="16"/>
      <c r="L302" s="87"/>
      <c r="M302" s="54"/>
      <c r="N302" s="54"/>
      <c r="O302" s="54"/>
      <c r="P302" s="91">
        <v>70672000</v>
      </c>
      <c r="Q302" s="73">
        <v>8076000</v>
      </c>
      <c r="R302" s="73">
        <f>IF(Tabela3[[#This Row],[Ativo || Passivo]]&gt;0,Tabela3[[#This Row],[Ativo || Passivo]]-Tabela3[[#This Row],[Patrimônio Líquido]],0)</f>
        <v>0</v>
      </c>
      <c r="S302" s="73">
        <f>Tabela3[[#This Row],[Cotação]]*Tabela3[[#This Row],[Total Ações]]</f>
        <v>56250000</v>
      </c>
      <c r="T302" s="37">
        <f>IF(Tabela3[[#This Row],[Passivo Circulante]]&gt;0,Tabela3[[#This Row],[Ativo Circulante]]/Tabela3[[#This Row],[Passivo Circulante]],0)</f>
        <v>0</v>
      </c>
      <c r="U302" s="37">
        <f>SUMPRODUCT(N([Liquidez Corrente]&gt;0),N(RIGHT([PAPEL],LEN([PAPEL])-(LEN([PAPEL])-1))="3"),[Liquidez Corrente])/SUMPRODUCT(N([Liquidez Corrente]&gt;0),N(RIGHT([PAPEL],LEN([PAPEL])-(LEN([PAPEL])-1))="3"))</f>
        <v>2.331224473064915</v>
      </c>
      <c r="V302" s="18">
        <f>IF(Tabela3[[#This Row],[Lucro Líquido]]&gt;0,Tabela3[[#This Row],[Lucro Líquido]]/Tabela3[[#This Row],[Patrimônio Líquido]],0)</f>
        <v>0.11427439438532941</v>
      </c>
      <c r="W302" s="18">
        <f>SUMPRODUCT(N([Rentabilidade s/ PL]&gt;0),N(RIGHT([PAPEL],LEN([PAPEL])-(LEN([PAPEL])-1))="3"),[Rentabilidade s/ PL])/SUMPRODUCT(N([Rentabilidade s/ PL]&gt;0),N(RIGHT([PAPEL],LEN([PAPEL])-(LEN([PAPEL])-1))="3"))</f>
        <v>0.1261051308670782</v>
      </c>
      <c r="X302" s="18">
        <f>IF(Tabela3[[#This Row],[Dívida]]&gt;0,Tabela3[[#This Row],[Dívida]]/Tabela3[[#This Row],[Patrimônio Líquido]],0)</f>
        <v>0</v>
      </c>
      <c r="Y302" s="18">
        <f>SUMPRODUCT(N([Dívida / PL]&gt;0),N(RIGHT([PAPEL],LEN([PAPEL])-(LEN([PAPEL])-1))="3"),[Dívida / PL])/SUMPRODUCT(N([Dívida / PL]&gt;0),N(RIGHT([PAPEL],LEN([PAPEL])-(LEN([PAPEL])-1))="3"))</f>
        <v>2.1510410379481146</v>
      </c>
      <c r="Z302" s="7">
        <f>Tabela3[[#This Row],[Capital Social]]*20%</f>
        <v>1718800</v>
      </c>
      <c r="AA302" s="47">
        <f>IF(([Lucro Líquido]*5%)&gt;[Teto R. Legal],[Teto R. Legal],[Lucro Líquido]*5%)</f>
        <v>403800</v>
      </c>
      <c r="AB302" s="47">
        <f>IF([Lucro Líquido]&lt;0,0,[Lucro Líquido]-[Reserva Legal])</f>
        <v>7672200</v>
      </c>
      <c r="AC302" s="47">
        <f>Tabela3[[#This Row],[Lucro Distribuir]]*[%Div]</f>
        <v>1918050</v>
      </c>
      <c r="AD302" s="56">
        <f>SUMPRODUCT(N([Nome]=Tabela3[[#This Row],[Nome]]),[Ações])</f>
        <v>2250000</v>
      </c>
      <c r="AE302" s="85">
        <f>[Capital Social]/[Total Ações]</f>
        <v>3.8195555555555556</v>
      </c>
      <c r="AF302" s="85">
        <f>Tabela3[[#This Row],[Lucro Líquido]]/Tabela3[[#This Row],[Total Ações]]</f>
        <v>3.5893333333333333</v>
      </c>
      <c r="AG302" s="85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0.90853750702921343</v>
      </c>
      <c r="AH302" s="85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302" s="77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302" s="85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0.90853750702921343</v>
      </c>
      <c r="AK302" s="7">
        <f>[Div Base]*[Ações]</f>
        <v>1158385.3214622471</v>
      </c>
      <c r="AL302" s="120">
        <f>SUMPRODUCT(N([Nome]=Tabela3[[#This Row],[Nome]]),[Div Base]*[Ações])</f>
        <v>1963679.9288622441</v>
      </c>
      <c r="AM302" s="5">
        <f>[Patrimônio Líquido]/[Total Ações]</f>
        <v>31.409777777777776</v>
      </c>
      <c r="AN302" s="52">
        <f>MAX(Tabela3[[#This Row],[Cotação 1]:[Cotação 5]])</f>
        <v>25</v>
      </c>
      <c r="AO302" s="53">
        <f>[Cotação]/[VPA]</f>
        <v>0.79593049581163688</v>
      </c>
      <c r="AP302" s="37">
        <f>IF(Tabela3[[#This Row],[Lucro/Ação]]&gt;0,Tabela3[[#This Row],[Cotação]]/(Tabela3[[#This Row],[Lucro/Ação]]/[Ref]*4),0)</f>
        <v>5.2238112927191684</v>
      </c>
      <c r="AQ302" s="85">
        <f>[Lucro Distribuir]/[Total Ações]</f>
        <v>3.4098666666666668</v>
      </c>
      <c r="AR302" s="85">
        <f>IF([Unit ON]&gt;0,SUMPRODUCT(N([Nome]=Tabela3[[#This Row],[Nome]]),N(RIGHT([PAPEL],1)="3"),[Div Base])*[Unit ON]+SUMPRODUCT(N([Nome]=Tabela3[[#This Row],[Nome]]),N(RIGHT([PAPEL],1)="4"),[Div Base])*[Unit PN],[Div Base])</f>
        <v>0.90853750702921343</v>
      </c>
      <c r="AS302" s="10" t="str">
        <f>IF(AND([% A.A.]&gt;=6%,SUMPRODUCT(N([Nome]=Tabela3[[#This Row],[Nome]]),[PL])&gt;0,[Rentabilidade s/ PL]&gt;=[Rentabilidade s/ PL Média]),"Sim","Não")</f>
        <v>Não</v>
      </c>
      <c r="AT302" s="22">
        <f>IF([Cotação]&gt;0,Tabela3[[#This Row],[Lucro]]/Tabela3[[#This Row],[Cotação]],0)</f>
        <v>3.6341500281168539E-2</v>
      </c>
      <c r="AU302" s="22">
        <f>((1+Tabela3[[#This Row],[% Yield]])^(1/(3*Tabela3[[#This Row],[Ref]])))^(12)-1</f>
        <v>4.874648864641018E-2</v>
      </c>
      <c r="AV302" s="10">
        <f>IF([Cotação]&gt;0,($BH$1/Tabela3[[#This Row],[Cotação]]-MOD($BH$1/Tabela3[[#This Row],[Cotação]],100)),)</f>
        <v>0</v>
      </c>
      <c r="AW302" s="7">
        <f>Tabela3[[#This Row],[Ativos]]*[Lucro]</f>
        <v>0</v>
      </c>
      <c r="AX302" s="7">
        <f>SUMPRODUCT(N(Tabela1[Código]=Tabela3[[#This Row],[PAPEL]]),Tabela1[Fechamento])</f>
        <v>0</v>
      </c>
      <c r="AY302" s="7">
        <f>SUMPRODUCT(N(Tabela17[Código]=Tabela3[[#This Row],[PAPEL]]),Tabela17[Fechamento])</f>
        <v>0</v>
      </c>
      <c r="AZ302" s="7">
        <f>SUMPRODUCT(N(Tabela176[Código]=Tabela3[[#This Row],[PAPEL]]),Tabela176[Fechamento])</f>
        <v>0</v>
      </c>
      <c r="BA302" s="7">
        <f>SUMPRODUCT(N(Tabela1768[Código]=Tabela3[[#This Row],[PAPEL]]),Tabela1768[Fechamento])</f>
        <v>0</v>
      </c>
      <c r="BB302" s="7">
        <f>SUMPRODUCT(N(Tabela17683[Código]=Tabela3[[#This Row],[PAPEL]]),Tabela17683[Fechamento])</f>
        <v>25</v>
      </c>
    </row>
    <row r="303" spans="1:54" hidden="1">
      <c r="A303" s="3" t="s">
        <v>903</v>
      </c>
      <c r="B303" s="58" t="s">
        <v>901</v>
      </c>
      <c r="C303" s="16" t="str">
        <f>LEFT([PAPEL],LEN([PAPEL])-(LEN([PAPEL])-4))</f>
        <v>BMKS</v>
      </c>
      <c r="D303" s="16">
        <v>3</v>
      </c>
      <c r="E303" s="5">
        <v>133009849.12</v>
      </c>
      <c r="F303" s="56">
        <v>454750</v>
      </c>
      <c r="G303" s="81">
        <v>0.25</v>
      </c>
      <c r="H303" s="87"/>
      <c r="J303" s="18"/>
      <c r="K303" s="16"/>
      <c r="L303" s="87"/>
      <c r="M303" s="54"/>
      <c r="N303" s="54"/>
      <c r="O303" s="54"/>
      <c r="P303" s="91">
        <v>186899000</v>
      </c>
      <c r="Q303" s="73">
        <v>7815000</v>
      </c>
      <c r="R303" s="73">
        <f>IF(Tabela3[[#This Row],[Ativo || Passivo]]&gt;0,Tabela3[[#This Row],[Ativo || Passivo]]-Tabela3[[#This Row],[Patrimônio Líquido]],0)</f>
        <v>0</v>
      </c>
      <c r="S303" s="73">
        <f>Tabela3[[#This Row],[Cotação]]*Tabela3[[#This Row],[Total Ações]]</f>
        <v>163710000</v>
      </c>
      <c r="T303" s="37">
        <f>IF(Tabela3[[#This Row],[Passivo Circulante]]&gt;0,Tabela3[[#This Row],[Ativo Circulante]]/Tabela3[[#This Row],[Passivo Circulante]],0)</f>
        <v>0</v>
      </c>
      <c r="U303" s="37">
        <f>SUMPRODUCT(N([Liquidez Corrente]&gt;0),N(RIGHT([PAPEL],LEN([PAPEL])-(LEN([PAPEL])-1))="3"),[Liquidez Corrente])/SUMPRODUCT(N([Liquidez Corrente]&gt;0),N(RIGHT([PAPEL],LEN([PAPEL])-(LEN([PAPEL])-1))="3"))</f>
        <v>2.331224473064915</v>
      </c>
      <c r="V303" s="18">
        <f>IF(Tabela3[[#This Row],[Lucro Líquido]]&gt;0,Tabela3[[#This Row],[Lucro Líquido]]/Tabela3[[#This Row],[Patrimônio Líquido]],0)</f>
        <v>4.181402789742053E-2</v>
      </c>
      <c r="W303" s="18">
        <f>SUMPRODUCT(N([Rentabilidade s/ PL]&gt;0),N(RIGHT([PAPEL],LEN([PAPEL])-(LEN([PAPEL])-1))="3"),[Rentabilidade s/ PL])/SUMPRODUCT(N([Rentabilidade s/ PL]&gt;0),N(RIGHT([PAPEL],LEN([PAPEL])-(LEN([PAPEL])-1))="3"))</f>
        <v>0.1261051308670782</v>
      </c>
      <c r="X303" s="18">
        <f>IF(Tabela3[[#This Row],[Dívida]]&gt;0,Tabela3[[#This Row],[Dívida]]/Tabela3[[#This Row],[Patrimônio Líquido]],0)</f>
        <v>0</v>
      </c>
      <c r="Y303" s="18">
        <f>SUMPRODUCT(N([Dívida / PL]&gt;0),N(RIGHT([PAPEL],LEN([PAPEL])-(LEN([PAPEL])-1))="3"),[Dívida / PL])/SUMPRODUCT(N([Dívida / PL]&gt;0),N(RIGHT([PAPEL],LEN([PAPEL])-(LEN([PAPEL])-1))="3"))</f>
        <v>2.1510410379481146</v>
      </c>
      <c r="Z303" s="7">
        <f>Tabela3[[#This Row],[Capital Social]]*20%</f>
        <v>26601969.824000001</v>
      </c>
      <c r="AA303" s="47">
        <f>IF(([Lucro Líquido]*5%)&gt;[Teto R. Legal],[Teto R. Legal],[Lucro Líquido]*5%)</f>
        <v>390750</v>
      </c>
      <c r="AB303" s="47">
        <f>IF([Lucro Líquido]&lt;0,0,[Lucro Líquido]-[Reserva Legal])</f>
        <v>7424250</v>
      </c>
      <c r="AC303" s="47">
        <f>Tabela3[[#This Row],[Lucro Distribuir]]*[%Div]</f>
        <v>1856062.5</v>
      </c>
      <c r="AD303" s="56">
        <f>SUMPRODUCT(N([Nome]=Tabela3[[#This Row],[Nome]]),[Ações])</f>
        <v>454750</v>
      </c>
      <c r="AE303" s="85">
        <f>[Capital Social]/[Total Ações]</f>
        <v>292.49004754260585</v>
      </c>
      <c r="AF303" s="85">
        <f>Tabela3[[#This Row],[Lucro Líquido]]/Tabela3[[#This Row],[Total Ações]]</f>
        <v>17.185266630016493</v>
      </c>
      <c r="AG303" s="85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4.0815008246289173</v>
      </c>
      <c r="AH303" s="85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303" s="77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303" s="85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4.0815008246289173</v>
      </c>
      <c r="AK303" s="7">
        <f>[Div Base]*[Ações]</f>
        <v>1856062.5000000002</v>
      </c>
      <c r="AL303" s="7">
        <f>SUMPRODUCT(N([Nome]=Tabela3[[#This Row],[Nome]]),[Div Base]*[Ações])</f>
        <v>1856062.5000000002</v>
      </c>
      <c r="AM303" s="5">
        <f>[Patrimônio Líquido]/[Total Ações]</f>
        <v>410.99285321605277</v>
      </c>
      <c r="AN303" s="52">
        <f>MAX(Tabela3[[#This Row],[Cotação 1]:[Cotação 5]])</f>
        <v>360</v>
      </c>
      <c r="AO303" s="53">
        <f>[Cotação]/[VPA]</f>
        <v>0.87592764006227963</v>
      </c>
      <c r="AP303" s="37">
        <f>IF(Tabela3[[#This Row],[Lucro/Ação]]&gt;0,Tabela3[[#This Row],[Cotação]]/(Tabela3[[#This Row],[Lucro/Ação]]/[Ref]*4),0)</f>
        <v>15.711132437619961</v>
      </c>
      <c r="AQ303" s="85">
        <f>[Lucro Distribuir]/[Total Ações]</f>
        <v>16.326003298515669</v>
      </c>
      <c r="AR303" s="85">
        <f>IF([Unit ON]&gt;0,SUMPRODUCT(N([Nome]=Tabela3[[#This Row],[Nome]]),N(RIGHT([PAPEL],1)="3"),[Div Base])*[Unit ON]+SUMPRODUCT(N([Nome]=Tabela3[[#This Row],[Nome]]),N(RIGHT([PAPEL],1)="4"),[Div Base])*[Unit PN],[Div Base])</f>
        <v>4.0815008246289173</v>
      </c>
      <c r="AS303" s="10" t="str">
        <f>IF(AND([% A.A.]&gt;=6%,SUMPRODUCT(N([Nome]=Tabela3[[#This Row],[Nome]]),[PL])&gt;0,[Rentabilidade s/ PL]&gt;=[Rentabilidade s/ PL Média]),"Sim","Não")</f>
        <v>Não</v>
      </c>
      <c r="AT303" s="22">
        <f>IF([Cotação]&gt;0,Tabela3[[#This Row],[Lucro]]/Tabela3[[#This Row],[Cotação]],0)</f>
        <v>1.1337502290635881E-2</v>
      </c>
      <c r="AU303" s="22">
        <f>((1+Tabela3[[#This Row],[% Yield]])^(1/(3*Tabela3[[#This Row],[Ref]])))^(12)-1</f>
        <v>1.5145162305739479E-2</v>
      </c>
      <c r="AV303" s="10">
        <f>IF([Cotação]&gt;0,($BH$1/Tabela3[[#This Row],[Cotação]]-MOD($BH$1/Tabela3[[#This Row],[Cotação]],100)),)</f>
        <v>0</v>
      </c>
      <c r="AW303" s="7">
        <f>Tabela3[[#This Row],[Ativos]]*[Lucro]</f>
        <v>0</v>
      </c>
      <c r="AX303" s="7">
        <f>SUMPRODUCT(N(Tabela1[Código]=Tabela3[[#This Row],[PAPEL]]),Tabela1[Fechamento])</f>
        <v>0</v>
      </c>
      <c r="AY303" s="7">
        <f>SUMPRODUCT(N(Tabela17[Código]=Tabela3[[#This Row],[PAPEL]]),Tabela17[Fechamento])</f>
        <v>0</v>
      </c>
      <c r="AZ303" s="7">
        <f>SUMPRODUCT(N(Tabela176[Código]=Tabela3[[#This Row],[PAPEL]]),Tabela176[Fechamento])</f>
        <v>0</v>
      </c>
      <c r="BA303" s="7">
        <f>SUMPRODUCT(N(Tabela1768[Código]=Tabela3[[#This Row],[PAPEL]]),Tabela1768[Fechamento])</f>
        <v>360</v>
      </c>
      <c r="BB303" s="7">
        <f>SUMPRODUCT(N(Tabela17683[Código]=Tabela3[[#This Row],[PAPEL]]),Tabela17683[Fechamento])</f>
        <v>0</v>
      </c>
    </row>
    <row r="304" spans="1:54" hidden="1">
      <c r="A304" s="4" t="s">
        <v>14</v>
      </c>
      <c r="B304" s="57" t="s">
        <v>574</v>
      </c>
      <c r="C304" s="15" t="str">
        <f>LEFT([PAPEL],LEN([PAPEL])-(LEN([PAPEL])-4))</f>
        <v>SFSA</v>
      </c>
      <c r="D304" s="15">
        <v>3</v>
      </c>
      <c r="E304" s="6">
        <v>685700092.85000002</v>
      </c>
      <c r="F304" s="8">
        <v>97140150</v>
      </c>
      <c r="G304" s="86">
        <v>0.25</v>
      </c>
      <c r="H304" s="15"/>
      <c r="I304" s="19"/>
      <c r="J304" s="19"/>
      <c r="K304" s="88"/>
      <c r="L304" s="88"/>
      <c r="M304" s="55"/>
      <c r="N304" s="55"/>
      <c r="O304" s="55"/>
      <c r="P304" s="6">
        <v>699911000</v>
      </c>
      <c r="Q304" s="6">
        <v>6746000</v>
      </c>
      <c r="R304" s="6">
        <f>IF(Tabela3[[#This Row],[Ativo || Passivo]]&gt;0,Tabela3[[#This Row],[Ativo || Passivo]]-Tabela3[[#This Row],[Patrimônio Líquido]],0)</f>
        <v>0</v>
      </c>
      <c r="S304" s="6">
        <f>Tabela3[[#This Row],[Cotação]]*Tabela3[[#This Row],[Total Ações]]</f>
        <v>0</v>
      </c>
      <c r="T304" s="132">
        <f>IF(Tabela3[[#This Row],[Passivo Circulante]]&gt;0,Tabela3[[#This Row],[Ativo Circulante]]/Tabela3[[#This Row],[Passivo Circulante]],0)</f>
        <v>0</v>
      </c>
      <c r="U304" s="132">
        <f>SUMPRODUCT(N([Liquidez Corrente]&gt;0),N(RIGHT([PAPEL],LEN([PAPEL])-(LEN([PAPEL])-1))="3"),[Liquidez Corrente])/SUMPRODUCT(N([Liquidez Corrente]&gt;0),N(RIGHT([PAPEL],LEN([PAPEL])-(LEN([PAPEL])-1))="3"))</f>
        <v>2.331224473064915</v>
      </c>
      <c r="V304" s="19">
        <f>IF(Tabela3[[#This Row],[Lucro Líquido]]&gt;0,Tabela3[[#This Row],[Lucro Líquido]]/Tabela3[[#This Row],[Patrimônio Líquido]],0)</f>
        <v>9.638368306827582E-3</v>
      </c>
      <c r="W304" s="19">
        <f>SUMPRODUCT(N([Rentabilidade s/ PL]&gt;0),N(RIGHT([PAPEL],LEN([PAPEL])-(LEN([PAPEL])-1))="3"),[Rentabilidade s/ PL])/SUMPRODUCT(N([Rentabilidade s/ PL]&gt;0),N(RIGHT([PAPEL],LEN([PAPEL])-(LEN([PAPEL])-1))="3"))</f>
        <v>0.1261051308670782</v>
      </c>
      <c r="X304" s="19">
        <f>IF(Tabela3[[#This Row],[Dívida]]&gt;0,Tabela3[[#This Row],[Dívida]]/Tabela3[[#This Row],[Patrimônio Líquido]],0)</f>
        <v>0</v>
      </c>
      <c r="Y304" s="19">
        <f>SUMPRODUCT(N([Dívida / PL]&gt;0),N(RIGHT([PAPEL],LEN([PAPEL])-(LEN([PAPEL])-1))="3"),[Dívida / PL])/SUMPRODUCT(N([Dívida / PL]&gt;0),N(RIGHT([PAPEL],LEN([PAPEL])-(LEN([PAPEL])-1))="3"))</f>
        <v>2.1510410379481146</v>
      </c>
      <c r="Z304" s="13">
        <f>Tabela3[[#This Row],[Capital Social]]*20%</f>
        <v>137140018.57000002</v>
      </c>
      <c r="AA304" s="13">
        <f>IF(([Lucro Líquido]*5%)&gt;[Teto R. Legal],[Teto R. Legal],[Lucro Líquido]*5%)</f>
        <v>337300</v>
      </c>
      <c r="AB304" s="13">
        <f>IF([Lucro Líquido]&lt;0,0,[Lucro Líquido]-[Reserva Legal])</f>
        <v>6408700</v>
      </c>
      <c r="AC304" s="13">
        <f>Tabela3[[#This Row],[Lucro Distribuir]]*[%Div]</f>
        <v>1602175</v>
      </c>
      <c r="AD304" s="56">
        <f>SUMPRODUCT(N([Nome]=Tabela3[[#This Row],[Nome]]),[Ações])</f>
        <v>137747421</v>
      </c>
      <c r="AE304" s="6">
        <f>[Capital Social]/[Total Ações]</f>
        <v>4.9779523120799487</v>
      </c>
      <c r="AF304" s="78">
        <f>Tabela3[[#This Row],[Lucro Líquido]]/Tabela3[[#This Row],[Total Ações]]</f>
        <v>4.8973693670823791E-2</v>
      </c>
      <c r="AG304" s="78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1.1631252246820651E-2</v>
      </c>
      <c r="AH304" s="78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304" s="78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304" s="78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1.1631252246820651E-2</v>
      </c>
      <c r="AK304" s="13">
        <f>[Div Base]*[Ações]</f>
        <v>1129861.5879439951</v>
      </c>
      <c r="AL304" s="13">
        <f>SUMPRODUCT(N([Nome]=Tabela3[[#This Row],[Nome]]),[Div Base]*[Ações])</f>
        <v>1602175.0000000002</v>
      </c>
      <c r="AM304" s="6">
        <f>[Patrimônio Líquido]/[Total Ações]</f>
        <v>5.0811187238126223</v>
      </c>
      <c r="AN304" s="48">
        <f>MAX(Tabela3[[#This Row],[Cotação 1]:[Cotação 5]])</f>
        <v>0</v>
      </c>
      <c r="AO304" s="44">
        <f>[Cotação]/[VPA]</f>
        <v>0</v>
      </c>
      <c r="AP304" s="40">
        <f>IF(Tabela3[[#This Row],[Lucro/Ação]]&gt;0,Tabela3[[#This Row],[Cotação]]/(Tabela3[[#This Row],[Lucro/Ação]]/[Ref]*4),0)</f>
        <v>0</v>
      </c>
      <c r="AQ304" s="78">
        <f>[Lucro Distribuir]/[Total Ações]</f>
        <v>4.6525008987282603E-2</v>
      </c>
      <c r="AR304" s="78">
        <f>IF([Unit ON]&gt;0,SUMPRODUCT(N([Nome]=Tabela3[[#This Row],[Nome]]),N(RIGHT([PAPEL],1)="3"),[Div Base])*[Unit ON]+SUMPRODUCT(N([Nome]=Tabela3[[#This Row],[Nome]]),N(RIGHT([PAPEL],1)="4"),[Div Base])*[Unit PN],[Div Base])</f>
        <v>1.1631252246820651E-2</v>
      </c>
      <c r="AS304" s="14" t="str">
        <f>IF(AND([% A.A.]&gt;=6%,SUMPRODUCT(N([Nome]=Tabela3[[#This Row],[Nome]]),[PL])&gt;0,[Rentabilidade s/ PL]&gt;=[Rentabilidade s/ PL Média]),"Sim","Não")</f>
        <v>Não</v>
      </c>
      <c r="AT304" s="42">
        <f>IF([Cotação]&gt;0,Tabela3[[#This Row],[Lucro]]/Tabela3[[#This Row],[Cotação]],0)</f>
        <v>0</v>
      </c>
      <c r="AU304" s="42">
        <f>((1+Tabela3[[#This Row],[% Yield]])^(1/(3*Tabela3[[#This Row],[Ref]])))^(12)-1</f>
        <v>0</v>
      </c>
      <c r="AV304" s="14">
        <f>IF([Cotação]&gt;0,($BH$1/Tabela3[[#This Row],[Cotação]]-MOD($BH$1/Tabela3[[#This Row],[Cotação]],100)),)</f>
        <v>0</v>
      </c>
      <c r="AW304" s="17">
        <f>Tabela3[[#This Row],[Ativos]]*[Lucro]</f>
        <v>0</v>
      </c>
      <c r="AX304" s="17">
        <f>SUMPRODUCT(N(Tabela1[Código]=Tabela3[[#This Row],[PAPEL]]),Tabela1[Fechamento])</f>
        <v>0</v>
      </c>
      <c r="AY304" s="17">
        <f>SUMPRODUCT(N(Tabela17[Código]=Tabela3[[#This Row],[PAPEL]]),Tabela17[Fechamento])</f>
        <v>0</v>
      </c>
      <c r="AZ304" s="17">
        <f>SUMPRODUCT(N(Tabela176[Código]=Tabela3[[#This Row],[PAPEL]]),Tabela176[Fechamento])</f>
        <v>0</v>
      </c>
      <c r="BA304" s="17">
        <f>SUMPRODUCT(N(Tabela1768[Código]=Tabela3[[#This Row],[PAPEL]]),Tabela1768[Fechamento])</f>
        <v>0</v>
      </c>
      <c r="BB304" s="7">
        <f>SUMPRODUCT(N(Tabela17683[Código]=Tabela3[[#This Row],[PAPEL]]),Tabela17683[Fechamento])</f>
        <v>0</v>
      </c>
    </row>
    <row r="305" spans="1:54" hidden="1">
      <c r="A305" s="4" t="s">
        <v>14</v>
      </c>
      <c r="B305" s="57" t="s">
        <v>75</v>
      </c>
      <c r="C305" s="14" t="str">
        <f>LEFT([PAPEL],LEN([PAPEL])-(LEN([PAPEL])-4))</f>
        <v>SFSA</v>
      </c>
      <c r="D305" s="15">
        <v>3</v>
      </c>
      <c r="E305" s="6">
        <v>685700092.85000002</v>
      </c>
      <c r="F305" s="8">
        <v>40607271</v>
      </c>
      <c r="G305" s="81">
        <v>0.25</v>
      </c>
      <c r="H305" s="15"/>
      <c r="I305" s="19"/>
      <c r="J305" s="19"/>
      <c r="K305" s="88"/>
      <c r="L305" s="88"/>
      <c r="M305" s="55"/>
      <c r="N305" s="55"/>
      <c r="O305" s="55"/>
      <c r="P305" s="6">
        <v>699911000</v>
      </c>
      <c r="Q305" s="6">
        <v>6746000</v>
      </c>
      <c r="R305" s="6">
        <f>IF(Tabela3[[#This Row],[Ativo || Passivo]]&gt;0,Tabela3[[#This Row],[Ativo || Passivo]]-Tabela3[[#This Row],[Patrimônio Líquido]],0)</f>
        <v>0</v>
      </c>
      <c r="S305" s="6">
        <f>Tabela3[[#This Row],[Cotação]]*Tabela3[[#This Row],[Total Ações]]</f>
        <v>392580149.85000002</v>
      </c>
      <c r="T305" s="132">
        <f>IF(Tabela3[[#This Row],[Passivo Circulante]]&gt;0,Tabela3[[#This Row],[Ativo Circulante]]/Tabela3[[#This Row],[Passivo Circulante]],0)</f>
        <v>0</v>
      </c>
      <c r="U305" s="132">
        <f>SUMPRODUCT(N([Liquidez Corrente]&gt;0),N(RIGHT([PAPEL],LEN([PAPEL])-(LEN([PAPEL])-1))="3"),[Liquidez Corrente])/SUMPRODUCT(N([Liquidez Corrente]&gt;0),N(RIGHT([PAPEL],LEN([PAPEL])-(LEN([PAPEL])-1))="3"))</f>
        <v>2.331224473064915</v>
      </c>
      <c r="V305" s="19">
        <f>IF(Tabela3[[#This Row],[Lucro Líquido]]&gt;0,Tabela3[[#This Row],[Lucro Líquido]]/Tabela3[[#This Row],[Patrimônio Líquido]],0)</f>
        <v>9.638368306827582E-3</v>
      </c>
      <c r="W305" s="19">
        <f>SUMPRODUCT(N([Rentabilidade s/ PL]&gt;0),N(RIGHT([PAPEL],LEN([PAPEL])-(LEN([PAPEL])-1))="3"),[Rentabilidade s/ PL])/SUMPRODUCT(N([Rentabilidade s/ PL]&gt;0),N(RIGHT([PAPEL],LEN([PAPEL])-(LEN([PAPEL])-1))="3"))</f>
        <v>0.1261051308670782</v>
      </c>
      <c r="X305" s="19">
        <f>IF(Tabela3[[#This Row],[Dívida]]&gt;0,Tabela3[[#This Row],[Dívida]]/Tabela3[[#This Row],[Patrimônio Líquido]],0)</f>
        <v>0</v>
      </c>
      <c r="Y305" s="19">
        <f>SUMPRODUCT(N([Dívida / PL]&gt;0),N(RIGHT([PAPEL],LEN([PAPEL])-(LEN([PAPEL])-1))="3"),[Dívida / PL])/SUMPRODUCT(N([Dívida / PL]&gt;0),N(RIGHT([PAPEL],LEN([PAPEL])-(LEN([PAPEL])-1))="3"))</f>
        <v>2.1510410379481146</v>
      </c>
      <c r="Z305" s="6">
        <f>Tabela3[[#This Row],[Capital Social]]*20%</f>
        <v>137140018.57000002</v>
      </c>
      <c r="AA305" s="6">
        <f>IF(([Lucro Líquido]*5%)&gt;[Teto R. Legal],[Teto R. Legal],[Lucro Líquido]*5%)</f>
        <v>337300</v>
      </c>
      <c r="AB305" s="6">
        <f>IF([Lucro Líquido]&lt;0,0,[Lucro Líquido]-[Reserva Legal])</f>
        <v>6408700</v>
      </c>
      <c r="AC305" s="6">
        <f>Tabela3[[#This Row],[Lucro Distribuir]]*[%Div]</f>
        <v>1602175</v>
      </c>
      <c r="AD305" s="56">
        <f>SUMPRODUCT(N([Nome]=Tabela3[[#This Row],[Nome]]),[Ações])</f>
        <v>137747421</v>
      </c>
      <c r="AE305" s="6">
        <f>[Capital Social]/[Total Ações]</f>
        <v>4.9779523120799487</v>
      </c>
      <c r="AF305" s="78">
        <f>Tabela3[[#This Row],[Lucro Líquido]]/Tabela3[[#This Row],[Total Ações]]</f>
        <v>4.8973693670823791E-2</v>
      </c>
      <c r="AG305" s="78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1.1631252246820651E-2</v>
      </c>
      <c r="AH305" s="78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305" s="78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305" s="78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1.1631252246820651E-2</v>
      </c>
      <c r="AK305" s="6">
        <f>[Div Base]*[Ações]</f>
        <v>472313.41205600504</v>
      </c>
      <c r="AL305" s="6">
        <f>SUMPRODUCT(N([Nome]=Tabela3[[#This Row],[Nome]]),[Div Base]*[Ações])</f>
        <v>1602175.0000000002</v>
      </c>
      <c r="AM305" s="6">
        <f>[Patrimônio Líquido]/[Total Ações]</f>
        <v>5.0811187238126223</v>
      </c>
      <c r="AN305" s="48">
        <f>MAX(Tabela3[[#This Row],[Cotação 1]:[Cotação 5]])</f>
        <v>2.85</v>
      </c>
      <c r="AO305" s="44">
        <f>[Cotação]/[VPA]</f>
        <v>0.56090009994127821</v>
      </c>
      <c r="AP305" s="40">
        <f>IF(Tabela3[[#This Row],[Lucro/Ação]]&gt;0,Tabela3[[#This Row],[Cotação]]/(Tabela3[[#This Row],[Lucro/Ação]]/[Ref]*4),0)</f>
        <v>43.645880875704123</v>
      </c>
      <c r="AQ305" s="78">
        <f>[Lucro Distribuir]/[Total Ações]</f>
        <v>4.6525008987282603E-2</v>
      </c>
      <c r="AR305" s="78">
        <f>IF([Unit ON]&gt;0,SUMPRODUCT(N([Nome]=Tabela3[[#This Row],[Nome]]),N(RIGHT([PAPEL],1)="3"),[Div Base])*[Unit ON]+SUMPRODUCT(N([Nome]=Tabela3[[#This Row],[Nome]]),N(RIGHT([PAPEL],1)="4"),[Div Base])*[Unit PN],[Div Base])</f>
        <v>1.1631252246820651E-2</v>
      </c>
      <c r="AS305" s="15" t="str">
        <f>IF(AND([% A.A.]&gt;=6%,SUMPRODUCT(N([Nome]=Tabela3[[#This Row],[Nome]]),[PL])&gt;0,[Rentabilidade s/ PL]&gt;=[Rentabilidade s/ PL Média]),"Sim","Não")</f>
        <v>Não</v>
      </c>
      <c r="AT305" s="42">
        <f>IF([Cotação]&gt;0,Tabela3[[#This Row],[Lucro]]/Tabela3[[#This Row],[Cotação]],0)</f>
        <v>4.0811411392353159E-3</v>
      </c>
      <c r="AU305" s="19">
        <f>((1+Tabela3[[#This Row],[% Yield]])^(1/(3*Tabela3[[#This Row],[Ref]])))^(12)-1</f>
        <v>5.4452194374750018E-3</v>
      </c>
      <c r="AV305" s="14">
        <f>IF([Cotação]&gt;0,($BH$1/Tabela3[[#This Row],[Cotação]]-MOD($BH$1/Tabela3[[#This Row],[Cotação]],100)),)</f>
        <v>100</v>
      </c>
      <c r="AW305" s="17">
        <f>Tabela3[[#This Row],[Ativos]]*[Lucro]</f>
        <v>1.1631252246820651</v>
      </c>
      <c r="AX305" s="5">
        <f>SUMPRODUCT(N(Tabela1[Código]=Tabela3[[#This Row],[PAPEL]]),Tabela1[Fechamento])</f>
        <v>2.85</v>
      </c>
      <c r="AY305" s="5">
        <f>SUMPRODUCT(N(Tabela17[Código]=Tabela3[[#This Row],[PAPEL]]),Tabela17[Fechamento])</f>
        <v>0</v>
      </c>
      <c r="AZ305" s="7">
        <f>SUMPRODUCT(N(Tabela176[Código]=Tabela3[[#This Row],[PAPEL]]),Tabela176[Fechamento])</f>
        <v>0</v>
      </c>
      <c r="BA305" s="7">
        <f>SUMPRODUCT(N(Tabela1768[Código]=Tabela3[[#This Row],[PAPEL]]),Tabela1768[Fechamento])</f>
        <v>0</v>
      </c>
      <c r="BB305" s="7">
        <f>SUMPRODUCT(N(Tabela17683[Código]=Tabela3[[#This Row],[PAPEL]]),Tabela17683[Fechamento])</f>
        <v>0</v>
      </c>
    </row>
    <row r="306" spans="1:54" hidden="1">
      <c r="A306" s="3" t="s">
        <v>277</v>
      </c>
      <c r="B306" s="58" t="s">
        <v>856</v>
      </c>
      <c r="C306" s="16" t="str">
        <f>LEFT([PAPEL],LEN([PAPEL])-(LEN([PAPEL])-4))</f>
        <v>BAUH</v>
      </c>
      <c r="D306" s="16">
        <v>3</v>
      </c>
      <c r="E306" s="5">
        <v>14000000</v>
      </c>
      <c r="F306" s="56">
        <v>2846929</v>
      </c>
      <c r="G306" s="81">
        <v>0.25</v>
      </c>
      <c r="H306" s="87"/>
      <c r="J306" s="18"/>
      <c r="K306" s="16"/>
      <c r="L306" s="87"/>
      <c r="M306" s="54">
        <v>44793000</v>
      </c>
      <c r="N306" s="54">
        <v>26562000</v>
      </c>
      <c r="O306" s="54">
        <v>24428000</v>
      </c>
      <c r="P306" s="91">
        <v>14950000</v>
      </c>
      <c r="Q306" s="73">
        <v>6719000</v>
      </c>
      <c r="R306" s="73">
        <f>IF(Tabela3[[#This Row],[Ativo || Passivo]]&gt;0,Tabela3[[#This Row],[Ativo || Passivo]]-Tabela3[[#This Row],[Patrimônio Líquido]],0)</f>
        <v>29843000</v>
      </c>
      <c r="S306" s="73">
        <f>Tabela3[[#This Row],[Cotação]]*Tabela3[[#This Row],[Total Ações]]</f>
        <v>0</v>
      </c>
      <c r="T306" s="37">
        <f>IF(Tabela3[[#This Row],[Passivo Circulante]]&gt;0,Tabela3[[#This Row],[Ativo Circulante]]/Tabela3[[#This Row],[Passivo Circulante]],0)</f>
        <v>1.0873587686261668</v>
      </c>
      <c r="U306" s="37">
        <f>SUMPRODUCT(N([Liquidez Corrente]&gt;0),N(RIGHT([PAPEL],LEN([PAPEL])-(LEN([PAPEL])-1))="3"),[Liquidez Corrente])/SUMPRODUCT(N([Liquidez Corrente]&gt;0),N(RIGHT([PAPEL],LEN([PAPEL])-(LEN([PAPEL])-1))="3"))</f>
        <v>2.331224473064915</v>
      </c>
      <c r="V306" s="18">
        <f>IF(Tabela3[[#This Row],[Lucro Líquido]]&gt;0,Tabela3[[#This Row],[Lucro Líquido]]/Tabela3[[#This Row],[Patrimônio Líquido]],0)</f>
        <v>0.4494314381270903</v>
      </c>
      <c r="W306" s="18">
        <f>SUMPRODUCT(N([Rentabilidade s/ PL]&gt;0),N(RIGHT([PAPEL],LEN([PAPEL])-(LEN([PAPEL])-1))="3"),[Rentabilidade s/ PL])/SUMPRODUCT(N([Rentabilidade s/ PL]&gt;0),N(RIGHT([PAPEL],LEN([PAPEL])-(LEN([PAPEL])-1))="3"))</f>
        <v>0.1261051308670782</v>
      </c>
      <c r="X306" s="18">
        <f>IF(Tabela3[[#This Row],[Dívida]]&gt;0,Tabela3[[#This Row],[Dívida]]/Tabela3[[#This Row],[Patrimônio Líquido]],0)</f>
        <v>1.9961872909698997</v>
      </c>
      <c r="Y306" s="18">
        <f>SUMPRODUCT(N([Dívida / PL]&gt;0),N(RIGHT([PAPEL],LEN([PAPEL])-(LEN([PAPEL])-1))="3"),[Dívida / PL])/SUMPRODUCT(N([Dívida / PL]&gt;0),N(RIGHT([PAPEL],LEN([PAPEL])-(LEN([PAPEL])-1))="3"))</f>
        <v>2.1510410379481146</v>
      </c>
      <c r="Z306" s="7">
        <f>Tabela3[[#This Row],[Capital Social]]*20%</f>
        <v>2800000</v>
      </c>
      <c r="AA306" s="47">
        <f>IF(([Lucro Líquido]*5%)&gt;[Teto R. Legal],[Teto R. Legal],[Lucro Líquido]*5%)</f>
        <v>335950</v>
      </c>
      <c r="AB306" s="47">
        <f>IF([Lucro Líquido]&lt;0,0,[Lucro Líquido]-[Reserva Legal])</f>
        <v>6383050</v>
      </c>
      <c r="AC306" s="47">
        <f>Tabela3[[#This Row],[Lucro Distribuir]]*[%Div]</f>
        <v>1595762.5</v>
      </c>
      <c r="AD306" s="56">
        <f>SUMPRODUCT(N([Nome]=Tabela3[[#This Row],[Nome]]),[Ações])</f>
        <v>5222222</v>
      </c>
      <c r="AE306" s="85">
        <f>[Capital Social]/[Total Ações]</f>
        <v>2.6808511779085609</v>
      </c>
      <c r="AF306" s="85">
        <f>Tabela3[[#This Row],[Lucro Líquido]]/Tabela3[[#This Row],[Total Ações]]</f>
        <v>1.2866170760262585</v>
      </c>
      <c r="AG306" s="85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0.2960640624964847</v>
      </c>
      <c r="AH306" s="85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306" s="77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306" s="85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0.2960640624964847</v>
      </c>
      <c r="AK306" s="7">
        <f>[Div Base]*[Ações]</f>
        <v>842873.36537905468</v>
      </c>
      <c r="AL306" s="7">
        <f>SUMPRODUCT(N([Nome]=Tabela3[[#This Row],[Nome]]),[Div Base]*[Ações])</f>
        <v>1616436.1511581638</v>
      </c>
      <c r="AM306" s="5">
        <f>[Patrimônio Líquido]/[Total Ações]</f>
        <v>2.8627660792666418</v>
      </c>
      <c r="AN306" s="52">
        <f>MAX(Tabela3[[#This Row],[Cotação 1]:[Cotação 5]])</f>
        <v>0</v>
      </c>
      <c r="AO306" s="53">
        <f>[Cotação]/[VPA]</f>
        <v>0</v>
      </c>
      <c r="AP306" s="37">
        <f>IF(Tabela3[[#This Row],[Lucro/Ação]]&gt;0,Tabela3[[#This Row],[Cotação]]/(Tabela3[[#This Row],[Lucro/Ação]]/[Ref]*4),0)</f>
        <v>0</v>
      </c>
      <c r="AQ306" s="85">
        <f>[Lucro Distribuir]/[Total Ações]</f>
        <v>1.2222862222249455</v>
      </c>
      <c r="AR306" s="85">
        <f>IF([Unit ON]&gt;0,SUMPRODUCT(N([Nome]=Tabela3[[#This Row],[Nome]]),N(RIGHT([PAPEL],1)="3"),[Div Base])*[Unit ON]+SUMPRODUCT(N([Nome]=Tabela3[[#This Row],[Nome]]),N(RIGHT([PAPEL],1)="4"),[Div Base])*[Unit PN],[Div Base])</f>
        <v>0.2960640624964847</v>
      </c>
      <c r="AS306" s="10" t="str">
        <f>IF(AND([% A.A.]&gt;=6%,SUMPRODUCT(N([Nome]=Tabela3[[#This Row],[Nome]]),[PL])&gt;0,[Rentabilidade s/ PL]&gt;=[Rentabilidade s/ PL Média]),"Sim","Não")</f>
        <v>Não</v>
      </c>
      <c r="AT306" s="22">
        <f>IF([Cotação]&gt;0,Tabela3[[#This Row],[Lucro]]/Tabela3[[#This Row],[Cotação]],0)</f>
        <v>0</v>
      </c>
      <c r="AU306" s="22">
        <f>((1+Tabela3[[#This Row],[% Yield]])^(1/(3*Tabela3[[#This Row],[Ref]])))^(12)-1</f>
        <v>0</v>
      </c>
      <c r="AV306" s="10">
        <f>IF([Cotação]&gt;0,($BH$1/Tabela3[[#This Row],[Cotação]]-MOD($BH$1/Tabela3[[#This Row],[Cotação]],100)),)</f>
        <v>0</v>
      </c>
      <c r="AW306" s="7">
        <f>Tabela3[[#This Row],[Ativos]]*[Lucro]</f>
        <v>0</v>
      </c>
      <c r="AX306" s="7">
        <f>SUMPRODUCT(N(Tabela1[Código]=Tabela3[[#This Row],[PAPEL]]),Tabela1[Fechamento])</f>
        <v>0</v>
      </c>
      <c r="AY306" s="7">
        <f>SUMPRODUCT(N(Tabela17[Código]=Tabela3[[#This Row],[PAPEL]]),Tabela17[Fechamento])</f>
        <v>0</v>
      </c>
      <c r="AZ306" s="7">
        <f>SUMPRODUCT(N(Tabela176[Código]=Tabela3[[#This Row],[PAPEL]]),Tabela176[Fechamento])</f>
        <v>0</v>
      </c>
      <c r="BA306" s="7">
        <f>SUMPRODUCT(N(Tabela1768[Código]=Tabela3[[#This Row],[PAPEL]]),Tabela1768[Fechamento])</f>
        <v>0</v>
      </c>
      <c r="BB306" s="7">
        <f>SUMPRODUCT(N(Tabela17683[Código]=Tabela3[[#This Row],[PAPEL]]),Tabela17683[Fechamento])</f>
        <v>0</v>
      </c>
    </row>
    <row r="307" spans="1:54" hidden="1">
      <c r="A307" s="3" t="s">
        <v>277</v>
      </c>
      <c r="B307" s="58" t="s">
        <v>857</v>
      </c>
      <c r="C307" s="16" t="str">
        <f>LEFT([PAPEL],LEN([PAPEL])-(LEN([PAPEL])-4))</f>
        <v>BAUH</v>
      </c>
      <c r="D307" s="16">
        <v>3</v>
      </c>
      <c r="E307" s="5">
        <v>14000000</v>
      </c>
      <c r="F307" s="56">
        <v>2375293</v>
      </c>
      <c r="G307" s="81">
        <v>0.25</v>
      </c>
      <c r="H307" s="87"/>
      <c r="J307" s="18">
        <v>0.1</v>
      </c>
      <c r="K307" s="16"/>
      <c r="L307" s="87"/>
      <c r="M307" s="54">
        <v>44793000</v>
      </c>
      <c r="N307" s="54">
        <v>26562000</v>
      </c>
      <c r="O307" s="54">
        <v>24428000</v>
      </c>
      <c r="P307" s="91">
        <v>14950000</v>
      </c>
      <c r="Q307" s="73">
        <v>6719000</v>
      </c>
      <c r="R307" s="73">
        <f>IF(Tabela3[[#This Row],[Ativo || Passivo]]&gt;0,Tabela3[[#This Row],[Ativo || Passivo]]-Tabela3[[#This Row],[Patrimônio Líquido]],0)</f>
        <v>29843000</v>
      </c>
      <c r="S307" s="73">
        <f>Tabela3[[#This Row],[Cotação]]*Tabela3[[#This Row],[Total Ações]]</f>
        <v>48566664.600000001</v>
      </c>
      <c r="T307" s="37">
        <f>IF(Tabela3[[#This Row],[Passivo Circulante]]&gt;0,Tabela3[[#This Row],[Ativo Circulante]]/Tabela3[[#This Row],[Passivo Circulante]],0)</f>
        <v>1.0873587686261668</v>
      </c>
      <c r="U307" s="37">
        <f>SUMPRODUCT(N([Liquidez Corrente]&gt;0),N(RIGHT([PAPEL],LEN([PAPEL])-(LEN([PAPEL])-1))="3"),[Liquidez Corrente])/SUMPRODUCT(N([Liquidez Corrente]&gt;0),N(RIGHT([PAPEL],LEN([PAPEL])-(LEN([PAPEL])-1))="3"))</f>
        <v>2.331224473064915</v>
      </c>
      <c r="V307" s="18">
        <f>IF(Tabela3[[#This Row],[Lucro Líquido]]&gt;0,Tabela3[[#This Row],[Lucro Líquido]]/Tabela3[[#This Row],[Patrimônio Líquido]],0)</f>
        <v>0.4494314381270903</v>
      </c>
      <c r="W307" s="18">
        <f>SUMPRODUCT(N([Rentabilidade s/ PL]&gt;0),N(RIGHT([PAPEL],LEN([PAPEL])-(LEN([PAPEL])-1))="3"),[Rentabilidade s/ PL])/SUMPRODUCT(N([Rentabilidade s/ PL]&gt;0),N(RIGHT([PAPEL],LEN([PAPEL])-(LEN([PAPEL])-1))="3"))</f>
        <v>0.1261051308670782</v>
      </c>
      <c r="X307" s="18">
        <f>IF(Tabela3[[#This Row],[Dívida]]&gt;0,Tabela3[[#This Row],[Dívida]]/Tabela3[[#This Row],[Patrimônio Líquido]],0)</f>
        <v>1.9961872909698997</v>
      </c>
      <c r="Y307" s="18">
        <f>SUMPRODUCT(N([Dívida / PL]&gt;0),N(RIGHT([PAPEL],LEN([PAPEL])-(LEN([PAPEL])-1))="3"),[Dívida / PL])/SUMPRODUCT(N([Dívida / PL]&gt;0),N(RIGHT([PAPEL],LEN([PAPEL])-(LEN([PAPEL])-1))="3"))</f>
        <v>2.1510410379481146</v>
      </c>
      <c r="Z307" s="7">
        <f>Tabela3[[#This Row],[Capital Social]]*20%</f>
        <v>2800000</v>
      </c>
      <c r="AA307" s="47">
        <f>IF(([Lucro Líquido]*5%)&gt;[Teto R. Legal],[Teto R. Legal],[Lucro Líquido]*5%)</f>
        <v>335950</v>
      </c>
      <c r="AB307" s="47">
        <f>IF([Lucro Líquido]&lt;0,0,[Lucro Líquido]-[Reserva Legal])</f>
        <v>6383050</v>
      </c>
      <c r="AC307" s="47">
        <f>Tabela3[[#This Row],[Lucro Distribuir]]*[%Div]</f>
        <v>1595762.5</v>
      </c>
      <c r="AD307" s="56">
        <f>SUMPRODUCT(N([Nome]=Tabela3[[#This Row],[Nome]]),[Ações])</f>
        <v>5222222</v>
      </c>
      <c r="AE307" s="85">
        <f>[Capital Social]/[Total Ações]</f>
        <v>2.6808511779085609</v>
      </c>
      <c r="AF307" s="85">
        <f>Tabela3[[#This Row],[Lucro Líquido]]/Tabela3[[#This Row],[Total Ações]]</f>
        <v>1.2866170760262585</v>
      </c>
      <c r="AG307" s="85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0.32567046919226766</v>
      </c>
      <c r="AH307" s="85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307" s="77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307" s="85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0.32567046919226766</v>
      </c>
      <c r="AK307" s="7">
        <f>[Div Base]*[Ações]</f>
        <v>773562.78577910899</v>
      </c>
      <c r="AL307" s="7">
        <f>SUMPRODUCT(N([Nome]=Tabela3[[#This Row],[Nome]]),[Div Base]*[Ações])</f>
        <v>1616436.1511581638</v>
      </c>
      <c r="AM307" s="5">
        <f>[Patrimônio Líquido]/[Total Ações]</f>
        <v>2.8627660792666418</v>
      </c>
      <c r="AN307" s="52">
        <f>MAX(Tabela3[[#This Row],[Cotação 1]:[Cotação 5]])</f>
        <v>9.3000000000000007</v>
      </c>
      <c r="AO307" s="53">
        <f>[Cotação]/[VPA]</f>
        <v>3.2486063277591972</v>
      </c>
      <c r="AP307" s="37">
        <f>IF(Tabela3[[#This Row],[Lucro/Ação]]&gt;0,Tabela3[[#This Row],[Cotação]]/(Tabela3[[#This Row],[Lucro/Ação]]/[Ref]*4),0)</f>
        <v>5.4211933993153751</v>
      </c>
      <c r="AQ307" s="85">
        <f>[Lucro Distribuir]/[Total Ações]</f>
        <v>1.2222862222249455</v>
      </c>
      <c r="AR307" s="85">
        <f>IF([Unit ON]&gt;0,SUMPRODUCT(N([Nome]=Tabela3[[#This Row],[Nome]]),N(RIGHT([PAPEL],1)="3"),[Div Base])*[Unit ON]+SUMPRODUCT(N([Nome]=Tabela3[[#This Row],[Nome]]),N(RIGHT([PAPEL],1)="4"),[Div Base])*[Unit PN],[Div Base])</f>
        <v>0.32567046919226766</v>
      </c>
      <c r="AS307" s="10" t="str">
        <f>IF(AND([% A.A.]&gt;=6%,SUMPRODUCT(N([Nome]=Tabela3[[#This Row],[Nome]]),[PL])&gt;0,[Rentabilidade s/ PL]&gt;=[Rentabilidade s/ PL Média]),"Sim","Não")</f>
        <v>Não</v>
      </c>
      <c r="AT307" s="22">
        <f>IF([Cotação]&gt;0,Tabela3[[#This Row],[Lucro]]/Tabela3[[#This Row],[Cotação]],0)</f>
        <v>3.5018330020673942E-2</v>
      </c>
      <c r="AU307" s="22">
        <f>((1+Tabela3[[#This Row],[% Yield]])^(1/(3*Tabela3[[#This Row],[Ref]])))^(12)-1</f>
        <v>4.696152388851571E-2</v>
      </c>
      <c r="AV307" s="10">
        <f>IF([Cotação]&gt;0,($BH$1/Tabela3[[#This Row],[Cotação]]-MOD($BH$1/Tabela3[[#This Row],[Cotação]],100)),)</f>
        <v>0</v>
      </c>
      <c r="AW307" s="7">
        <f>Tabela3[[#This Row],[Ativos]]*[Lucro]</f>
        <v>0</v>
      </c>
      <c r="AX307" s="7">
        <f>SUMPRODUCT(N(Tabela1[Código]=Tabela3[[#This Row],[PAPEL]]),Tabela1[Fechamento])</f>
        <v>0</v>
      </c>
      <c r="AY307" s="7">
        <f>SUMPRODUCT(N(Tabela17[Código]=Tabela3[[#This Row],[PAPEL]]),Tabela17[Fechamento])</f>
        <v>0</v>
      </c>
      <c r="AZ307" s="7">
        <f>SUMPRODUCT(N(Tabela176[Código]=Tabela3[[#This Row],[PAPEL]]),Tabela176[Fechamento])</f>
        <v>9.3000000000000007</v>
      </c>
      <c r="BA307" s="7">
        <f>SUMPRODUCT(N(Tabela1768[Código]=Tabela3[[#This Row],[PAPEL]]),Tabela1768[Fechamento])</f>
        <v>0</v>
      </c>
      <c r="BB307" s="7">
        <f>SUMPRODUCT(N(Tabela17683[Código]=Tabela3[[#This Row],[PAPEL]]),Tabela17683[Fechamento])</f>
        <v>0</v>
      </c>
    </row>
    <row r="308" spans="1:54" hidden="1">
      <c r="A308" s="4" t="s">
        <v>12</v>
      </c>
      <c r="B308" s="57" t="s">
        <v>447</v>
      </c>
      <c r="C308" s="15" t="str">
        <f>LEFT([PAPEL],LEN([PAPEL])-(LEN([PAPEL])-4))</f>
        <v>AFLU</v>
      </c>
      <c r="D308" s="15">
        <v>3</v>
      </c>
      <c r="E308" s="6">
        <v>30916200</v>
      </c>
      <c r="F308" s="8">
        <v>10930451</v>
      </c>
      <c r="G308" s="81">
        <v>0.25</v>
      </c>
      <c r="H308" s="15"/>
      <c r="I308" s="19"/>
      <c r="J308" s="19"/>
      <c r="K308" s="88"/>
      <c r="L308" s="88"/>
      <c r="M308" s="55">
        <v>47076000</v>
      </c>
      <c r="N308" s="55">
        <v>6105000</v>
      </c>
      <c r="O308" s="55">
        <v>5255000</v>
      </c>
      <c r="P308" s="89">
        <v>41755000</v>
      </c>
      <c r="Q308" s="89">
        <v>6373000</v>
      </c>
      <c r="R308" s="89">
        <f>IF(Tabela3[[#This Row],[Ativo || Passivo]]&gt;0,Tabela3[[#This Row],[Ativo || Passivo]]-Tabela3[[#This Row],[Patrimônio Líquido]],0)</f>
        <v>5321000</v>
      </c>
      <c r="S308" s="89">
        <f>Tabela3[[#This Row],[Cotação]]*Tabela3[[#This Row],[Total Ações]]</f>
        <v>104438412.59999999</v>
      </c>
      <c r="T308" s="132">
        <f>IF(Tabela3[[#This Row],[Passivo Circulante]]&gt;0,Tabela3[[#This Row],[Ativo Circulante]]/Tabela3[[#This Row],[Passivo Circulante]],0)</f>
        <v>1.1617507136060894</v>
      </c>
      <c r="U308" s="132">
        <f>SUMPRODUCT(N([Liquidez Corrente]&gt;0),N(RIGHT([PAPEL],LEN([PAPEL])-(LEN([PAPEL])-1))="3"),[Liquidez Corrente])/SUMPRODUCT(N([Liquidez Corrente]&gt;0),N(RIGHT([PAPEL],LEN([PAPEL])-(LEN([PAPEL])-1))="3"))</f>
        <v>2.331224473064915</v>
      </c>
      <c r="V308" s="19">
        <f>IF(Tabela3[[#This Row],[Lucro Líquido]]&gt;0,Tabela3[[#This Row],[Lucro Líquido]]/Tabela3[[#This Row],[Patrimônio Líquido]],0)</f>
        <v>0.15262842773320559</v>
      </c>
      <c r="W308" s="19">
        <f>SUMPRODUCT(N([Rentabilidade s/ PL]&gt;0),N(RIGHT([PAPEL],LEN([PAPEL])-(LEN([PAPEL])-1))="3"),[Rentabilidade s/ PL])/SUMPRODUCT(N([Rentabilidade s/ PL]&gt;0),N(RIGHT([PAPEL],LEN([PAPEL])-(LEN([PAPEL])-1))="3"))</f>
        <v>0.1261051308670782</v>
      </c>
      <c r="X308" s="19">
        <f>IF(Tabela3[[#This Row],[Dívida]]&gt;0,Tabela3[[#This Row],[Dívida]]/Tabela3[[#This Row],[Patrimônio Líquido]],0)</f>
        <v>0.12743384025865165</v>
      </c>
      <c r="Y308" s="19">
        <f>SUMPRODUCT(N([Dívida / PL]&gt;0),N(RIGHT([PAPEL],LEN([PAPEL])-(LEN([PAPEL])-1))="3"),[Dívida / PL])/SUMPRODUCT(N([Dívida / PL]&gt;0),N(RIGHT([PAPEL],LEN([PAPEL])-(LEN([PAPEL])-1))="3"))</f>
        <v>2.1510410379481146</v>
      </c>
      <c r="Z308" s="13">
        <f>Tabela3[[#This Row],[Capital Social]]*20%</f>
        <v>6183240</v>
      </c>
      <c r="AA308" s="13">
        <f>IF(([Lucro Líquido]*5%)&gt;[Teto R. Legal],[Teto R. Legal],[Lucro Líquido]*5%)</f>
        <v>318650</v>
      </c>
      <c r="AB308" s="89">
        <f>IF([Lucro Líquido]&lt;0,0,[Lucro Líquido]-[Reserva Legal])</f>
        <v>6054350</v>
      </c>
      <c r="AC308" s="89">
        <f>Tabela3[[#This Row],[Lucro Distribuir]]*[%Div]</f>
        <v>1513587.5</v>
      </c>
      <c r="AD308" s="56">
        <f>SUMPRODUCT(N([Nome]=Tabela3[[#This Row],[Nome]]),[Ações])</f>
        <v>18817732</v>
      </c>
      <c r="AE308" s="6">
        <f>[Capital Social]/[Total Ações]</f>
        <v>1.6429291266343893</v>
      </c>
      <c r="AF308" s="78">
        <f>Tabela3[[#This Row],[Lucro Líquido]]/Tabela3[[#This Row],[Total Ações]]</f>
        <v>0.33866993110540633</v>
      </c>
      <c r="AG308" s="78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7.7931497659078822E-2</v>
      </c>
      <c r="AH308" s="78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308" s="78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7.0707652761827167E-2</v>
      </c>
      <c r="AJ308" s="78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7.0707652761827167E-2</v>
      </c>
      <c r="AK308" s="13">
        <f>[Div Base]*[Ações]</f>
        <v>772866.53383816651</v>
      </c>
      <c r="AL308" s="13">
        <f>SUMPRODUCT(N([Nome]=Tabela3[[#This Row],[Nome]]),[Div Base]*[Ações])</f>
        <v>1513587.5000000002</v>
      </c>
      <c r="AM308" s="6">
        <f>[Patrimônio Líquido]/[Total Ações]</f>
        <v>2.2189177739379007</v>
      </c>
      <c r="AN308" s="48">
        <f>MAX(Tabela3[[#This Row],[Cotação 1]:[Cotação 5]])</f>
        <v>5.55</v>
      </c>
      <c r="AO308" s="44">
        <f>[Cotação]/[VPA]</f>
        <v>2.5012193174470121</v>
      </c>
      <c r="AP308" s="40">
        <f>IF(Tabela3[[#This Row],[Lucro/Ação]]&gt;0,Tabela3[[#This Row],[Cotação]]/(Tabela3[[#This Row],[Lucro/Ação]]/[Ref]*4),0)</f>
        <v>12.290727985250275</v>
      </c>
      <c r="AQ308" s="78">
        <f>[Lucro Distribuir]/[Total Ações]</f>
        <v>0.32173643455013601</v>
      </c>
      <c r="AR308" s="78">
        <f>IF([Unit ON]&gt;0,SUMPRODUCT(N([Nome]=Tabela3[[#This Row],[Nome]]),N(RIGHT([PAPEL],1)="3"),[Div Base])*[Unit ON]+SUMPRODUCT(N([Nome]=Tabela3[[#This Row],[Nome]]),N(RIGHT([PAPEL],1)="4"),[Div Base])*[Unit PN],[Div Base])</f>
        <v>7.0707652761827167E-2</v>
      </c>
      <c r="AS308" s="14" t="str">
        <f>IF(AND([% A.A.]&gt;=6%,SUMPRODUCT(N([Nome]=Tabela3[[#This Row],[Nome]]),[PL])&gt;0,[Rentabilidade s/ PL]&gt;=[Rentabilidade s/ PL Média]),"Sim","Não")</f>
        <v>Não</v>
      </c>
      <c r="AT308" s="42">
        <f>IF([Cotação]&gt;0,Tabela3[[#This Row],[Lucro]]/Tabela3[[#This Row],[Cotação]],0)</f>
        <v>1.2740117614743633E-2</v>
      </c>
      <c r="AU308" s="42">
        <f>((1+Tabela3[[#This Row],[% Yield]])^(1/(3*Tabela3[[#This Row],[Ref]])))^(12)-1</f>
        <v>1.7022790929911435E-2</v>
      </c>
      <c r="AV308" s="14">
        <f>IF([Cotação]&gt;0,($BH$1/Tabela3[[#This Row],[Cotação]]-MOD($BH$1/Tabela3[[#This Row],[Cotação]],100)),)</f>
        <v>0</v>
      </c>
      <c r="AW308" s="17">
        <f>Tabela3[[#This Row],[Ativos]]*[Lucro]</f>
        <v>0</v>
      </c>
      <c r="AX308" s="17">
        <f>SUMPRODUCT(N(Tabela1[Código]=Tabela3[[#This Row],[PAPEL]]),Tabela1[Fechamento])</f>
        <v>0</v>
      </c>
      <c r="AY308" s="17">
        <f>SUMPRODUCT(N(Tabela17[Código]=Tabela3[[#This Row],[PAPEL]]),Tabela17[Fechamento])</f>
        <v>5.55</v>
      </c>
      <c r="AZ308" s="7">
        <f>SUMPRODUCT(N(Tabela176[Código]=Tabela3[[#This Row],[PAPEL]]),Tabela176[Fechamento])</f>
        <v>0</v>
      </c>
      <c r="BA308" s="7">
        <f>SUMPRODUCT(N(Tabela1768[Código]=Tabela3[[#This Row],[PAPEL]]),Tabela1768[Fechamento])</f>
        <v>0</v>
      </c>
      <c r="BB308" s="7">
        <f>SUMPRODUCT(N(Tabela17683[Código]=Tabela3[[#This Row],[PAPEL]]),Tabela17683[Fechamento])</f>
        <v>0</v>
      </c>
    </row>
    <row r="309" spans="1:54" hidden="1">
      <c r="A309" s="4" t="s">
        <v>12</v>
      </c>
      <c r="B309" s="57" t="s">
        <v>448</v>
      </c>
      <c r="C309" s="15" t="str">
        <f>LEFT([PAPEL],LEN([PAPEL])-(LEN([PAPEL])-4))</f>
        <v>AFLU</v>
      </c>
      <c r="D309" s="15">
        <v>3</v>
      </c>
      <c r="E309" s="6">
        <v>30916200</v>
      </c>
      <c r="F309" s="8">
        <v>1955755</v>
      </c>
      <c r="G309" s="81">
        <v>0.25</v>
      </c>
      <c r="H309" s="15"/>
      <c r="I309" s="19">
        <v>0.1</v>
      </c>
      <c r="J309" s="19"/>
      <c r="K309" s="88"/>
      <c r="L309" s="88"/>
      <c r="M309" s="55">
        <v>47076000</v>
      </c>
      <c r="N309" s="55">
        <v>6105000</v>
      </c>
      <c r="O309" s="55">
        <v>5255000</v>
      </c>
      <c r="P309" s="89">
        <v>41755000</v>
      </c>
      <c r="Q309" s="89">
        <v>6373000</v>
      </c>
      <c r="R309" s="89">
        <f>IF(Tabela3[[#This Row],[Ativo || Passivo]]&gt;0,Tabela3[[#This Row],[Ativo || Passivo]]-Tabela3[[#This Row],[Patrimônio Líquido]],0)</f>
        <v>5321000</v>
      </c>
      <c r="S309" s="89">
        <f>Tabela3[[#This Row],[Cotação]]*Tabela3[[#This Row],[Total Ações]]</f>
        <v>0</v>
      </c>
      <c r="T309" s="132">
        <f>IF(Tabela3[[#This Row],[Passivo Circulante]]&gt;0,Tabela3[[#This Row],[Ativo Circulante]]/Tabela3[[#This Row],[Passivo Circulante]],0)</f>
        <v>1.1617507136060894</v>
      </c>
      <c r="U309" s="132">
        <f>SUMPRODUCT(N([Liquidez Corrente]&gt;0),N(RIGHT([PAPEL],LEN([PAPEL])-(LEN([PAPEL])-1))="3"),[Liquidez Corrente])/SUMPRODUCT(N([Liquidez Corrente]&gt;0),N(RIGHT([PAPEL],LEN([PAPEL])-(LEN([PAPEL])-1))="3"))</f>
        <v>2.331224473064915</v>
      </c>
      <c r="V309" s="19">
        <f>IF(Tabela3[[#This Row],[Lucro Líquido]]&gt;0,Tabela3[[#This Row],[Lucro Líquido]]/Tabela3[[#This Row],[Patrimônio Líquido]],0)</f>
        <v>0.15262842773320559</v>
      </c>
      <c r="W309" s="19">
        <f>SUMPRODUCT(N([Rentabilidade s/ PL]&gt;0),N(RIGHT([PAPEL],LEN([PAPEL])-(LEN([PAPEL])-1))="3"),[Rentabilidade s/ PL])/SUMPRODUCT(N([Rentabilidade s/ PL]&gt;0),N(RIGHT([PAPEL],LEN([PAPEL])-(LEN([PAPEL])-1))="3"))</f>
        <v>0.1261051308670782</v>
      </c>
      <c r="X309" s="19">
        <f>IF(Tabela3[[#This Row],[Dívida]]&gt;0,Tabela3[[#This Row],[Dívida]]/Tabela3[[#This Row],[Patrimônio Líquido]],0)</f>
        <v>0.12743384025865165</v>
      </c>
      <c r="Y309" s="19">
        <f>SUMPRODUCT(N([Dívida / PL]&gt;0),N(RIGHT([PAPEL],LEN([PAPEL])-(LEN([PAPEL])-1))="3"),[Dívida / PL])/SUMPRODUCT(N([Dívida / PL]&gt;0),N(RIGHT([PAPEL],LEN([PAPEL])-(LEN([PAPEL])-1))="3"))</f>
        <v>2.1510410379481146</v>
      </c>
      <c r="Z309" s="13">
        <f>Tabela3[[#This Row],[Capital Social]]*20%</f>
        <v>6183240</v>
      </c>
      <c r="AA309" s="13">
        <f>IF(([Lucro Líquido]*5%)&gt;[Teto R. Legal],[Teto R. Legal],[Lucro Líquido]*5%)</f>
        <v>318650</v>
      </c>
      <c r="AB309" s="89">
        <f>IF([Lucro Líquido]&lt;0,0,[Lucro Líquido]-[Reserva Legal])</f>
        <v>6054350</v>
      </c>
      <c r="AC309" s="89">
        <f>Tabela3[[#This Row],[Lucro Distribuir]]*[%Div]</f>
        <v>1513587.5</v>
      </c>
      <c r="AD309" s="56">
        <f>SUMPRODUCT(N([Nome]=Tabela3[[#This Row],[Nome]]),[Ações])</f>
        <v>18817732</v>
      </c>
      <c r="AE309" s="6">
        <f>[Capital Social]/[Total Ações]</f>
        <v>1.6429291266343893</v>
      </c>
      <c r="AF309" s="78">
        <f>Tabela3[[#This Row],[Lucro Líquido]]/Tabela3[[#This Row],[Total Ações]]</f>
        <v>0.33866993110540633</v>
      </c>
      <c r="AG309" s="78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7.7931497659078822E-2</v>
      </c>
      <c r="AH309" s="78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309" s="78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0.16429291266343893</v>
      </c>
      <c r="AJ309" s="78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0.16429291266343893</v>
      </c>
      <c r="AK309" s="13">
        <f>[Div Base]*[Ações]</f>
        <v>321316.685406084</v>
      </c>
      <c r="AL309" s="13">
        <f>SUMPRODUCT(N([Nome]=Tabela3[[#This Row],[Nome]]),[Div Base]*[Ações])</f>
        <v>1513587.5000000002</v>
      </c>
      <c r="AM309" s="6">
        <f>[Patrimônio Líquido]/[Total Ações]</f>
        <v>2.2189177739379007</v>
      </c>
      <c r="AN309" s="48">
        <f>MAX(Tabela3[[#This Row],[Cotação 1]:[Cotação 5]])</f>
        <v>0</v>
      </c>
      <c r="AO309" s="44">
        <f>[Cotação]/[VPA]</f>
        <v>0</v>
      </c>
      <c r="AP309" s="40">
        <f>IF(Tabela3[[#This Row],[Lucro/Ação]]&gt;0,Tabela3[[#This Row],[Cotação]]/(Tabela3[[#This Row],[Lucro/Ação]]/[Ref]*4),0)</f>
        <v>0</v>
      </c>
      <c r="AQ309" s="78">
        <f>[Lucro Distribuir]/[Total Ações]</f>
        <v>0.32173643455013601</v>
      </c>
      <c r="AR309" s="78">
        <f>IF([Unit ON]&gt;0,SUMPRODUCT(N([Nome]=Tabela3[[#This Row],[Nome]]),N(RIGHT([PAPEL],1)="3"),[Div Base])*[Unit ON]+SUMPRODUCT(N([Nome]=Tabela3[[#This Row],[Nome]]),N(RIGHT([PAPEL],1)="4"),[Div Base])*[Unit PN],[Div Base])</f>
        <v>0.16429291266343893</v>
      </c>
      <c r="AS309" s="14" t="str">
        <f>IF(AND([% A.A.]&gt;=6%,SUMPRODUCT(N([Nome]=Tabela3[[#This Row],[Nome]]),[PL])&gt;0,[Rentabilidade s/ PL]&gt;=[Rentabilidade s/ PL Média]),"Sim","Não")</f>
        <v>Não</v>
      </c>
      <c r="AT309" s="42">
        <f>IF([Cotação]&gt;0,Tabela3[[#This Row],[Lucro]]/Tabela3[[#This Row],[Cotação]],0)</f>
        <v>0</v>
      </c>
      <c r="AU309" s="42">
        <f>((1+Tabela3[[#This Row],[% Yield]])^(1/(3*Tabela3[[#This Row],[Ref]])))^(12)-1</f>
        <v>0</v>
      </c>
      <c r="AV309" s="14">
        <f>IF([Cotação]&gt;0,($BH$1/Tabela3[[#This Row],[Cotação]]-MOD($BH$1/Tabela3[[#This Row],[Cotação]],100)),)</f>
        <v>0</v>
      </c>
      <c r="AW309" s="17">
        <f>Tabela3[[#This Row],[Ativos]]*[Lucro]</f>
        <v>0</v>
      </c>
      <c r="AX309" s="17">
        <f>SUMPRODUCT(N(Tabela1[Código]=Tabela3[[#This Row],[PAPEL]]),Tabela1[Fechamento])</f>
        <v>0</v>
      </c>
      <c r="AY309" s="17">
        <f>SUMPRODUCT(N(Tabela17[Código]=Tabela3[[#This Row],[PAPEL]]),Tabela17[Fechamento])</f>
        <v>0</v>
      </c>
      <c r="AZ309" s="7">
        <f>SUMPRODUCT(N(Tabela176[Código]=Tabela3[[#This Row],[PAPEL]]),Tabela176[Fechamento])</f>
        <v>0</v>
      </c>
      <c r="BA309" s="7">
        <f>SUMPRODUCT(N(Tabela1768[Código]=Tabela3[[#This Row],[PAPEL]]),Tabela1768[Fechamento])</f>
        <v>0</v>
      </c>
      <c r="BB309" s="7">
        <f>SUMPRODUCT(N(Tabela17683[Código]=Tabela3[[#This Row],[PAPEL]]),Tabela17683[Fechamento])</f>
        <v>0</v>
      </c>
    </row>
    <row r="310" spans="1:54" hidden="1">
      <c r="A310" s="4" t="s">
        <v>12</v>
      </c>
      <c r="B310" s="57" t="s">
        <v>449</v>
      </c>
      <c r="C310" s="15" t="str">
        <f>LEFT([PAPEL],LEN([PAPEL])-(LEN([PAPEL])-4))</f>
        <v>AFLU</v>
      </c>
      <c r="D310" s="15">
        <v>3</v>
      </c>
      <c r="E310" s="6">
        <v>30916200</v>
      </c>
      <c r="F310" s="8">
        <v>5931526</v>
      </c>
      <c r="G310" s="81">
        <v>0.25</v>
      </c>
      <c r="H310" s="15"/>
      <c r="I310" s="19"/>
      <c r="J310" s="19">
        <v>0.1</v>
      </c>
      <c r="K310" s="88"/>
      <c r="L310" s="88"/>
      <c r="M310" s="55">
        <v>47076000</v>
      </c>
      <c r="N310" s="55">
        <v>6105000</v>
      </c>
      <c r="O310" s="55">
        <v>5255000</v>
      </c>
      <c r="P310" s="89">
        <v>41755000</v>
      </c>
      <c r="Q310" s="89">
        <v>6373000</v>
      </c>
      <c r="R310" s="89">
        <f>IF(Tabela3[[#This Row],[Ativo || Passivo]]&gt;0,Tabela3[[#This Row],[Ativo || Passivo]]-Tabela3[[#This Row],[Patrimônio Líquido]],0)</f>
        <v>5321000</v>
      </c>
      <c r="S310" s="89">
        <f>Tabela3[[#This Row],[Cotação]]*Tabela3[[#This Row],[Total Ações]]</f>
        <v>0</v>
      </c>
      <c r="T310" s="132">
        <f>IF(Tabela3[[#This Row],[Passivo Circulante]]&gt;0,Tabela3[[#This Row],[Ativo Circulante]]/Tabela3[[#This Row],[Passivo Circulante]],0)</f>
        <v>1.1617507136060894</v>
      </c>
      <c r="U310" s="132">
        <f>SUMPRODUCT(N([Liquidez Corrente]&gt;0),N(RIGHT([PAPEL],LEN([PAPEL])-(LEN([PAPEL])-1))="3"),[Liquidez Corrente])/SUMPRODUCT(N([Liquidez Corrente]&gt;0),N(RIGHT([PAPEL],LEN([PAPEL])-(LEN([PAPEL])-1))="3"))</f>
        <v>2.331224473064915</v>
      </c>
      <c r="V310" s="19">
        <f>IF(Tabela3[[#This Row],[Lucro Líquido]]&gt;0,Tabela3[[#This Row],[Lucro Líquido]]/Tabela3[[#This Row],[Patrimônio Líquido]],0)</f>
        <v>0.15262842773320559</v>
      </c>
      <c r="W310" s="19">
        <f>SUMPRODUCT(N([Rentabilidade s/ PL]&gt;0),N(RIGHT([PAPEL],LEN([PAPEL])-(LEN([PAPEL])-1))="3"),[Rentabilidade s/ PL])/SUMPRODUCT(N([Rentabilidade s/ PL]&gt;0),N(RIGHT([PAPEL],LEN([PAPEL])-(LEN([PAPEL])-1))="3"))</f>
        <v>0.1261051308670782</v>
      </c>
      <c r="X310" s="19">
        <f>IF(Tabela3[[#This Row],[Dívida]]&gt;0,Tabela3[[#This Row],[Dívida]]/Tabela3[[#This Row],[Patrimônio Líquido]],0)</f>
        <v>0.12743384025865165</v>
      </c>
      <c r="Y310" s="19">
        <f>SUMPRODUCT(N([Dívida / PL]&gt;0),N(RIGHT([PAPEL],LEN([PAPEL])-(LEN([PAPEL])-1))="3"),[Dívida / PL])/SUMPRODUCT(N([Dívida / PL]&gt;0),N(RIGHT([PAPEL],LEN([PAPEL])-(LEN([PAPEL])-1))="3"))</f>
        <v>2.1510410379481146</v>
      </c>
      <c r="Z310" s="13">
        <f>Tabela3[[#This Row],[Capital Social]]*20%</f>
        <v>6183240</v>
      </c>
      <c r="AA310" s="13">
        <f>IF(([Lucro Líquido]*5%)&gt;[Teto R. Legal],[Teto R. Legal],[Lucro Líquido]*5%)</f>
        <v>318650</v>
      </c>
      <c r="AB310" s="89">
        <f>IF([Lucro Líquido]&lt;0,0,[Lucro Líquido]-[Reserva Legal])</f>
        <v>6054350</v>
      </c>
      <c r="AC310" s="89">
        <f>Tabela3[[#This Row],[Lucro Distribuir]]*[%Div]</f>
        <v>1513587.5</v>
      </c>
      <c r="AD310" s="56">
        <f>SUMPRODUCT(N([Nome]=Tabela3[[#This Row],[Nome]]),[Ações])</f>
        <v>18817732</v>
      </c>
      <c r="AE310" s="6">
        <f>[Capital Social]/[Total Ações]</f>
        <v>1.6429291266343893</v>
      </c>
      <c r="AF310" s="78">
        <f>Tabela3[[#This Row],[Lucro Líquido]]/Tabela3[[#This Row],[Total Ações]]</f>
        <v>0.33866993110540633</v>
      </c>
      <c r="AG310" s="78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8.5724647542420498E-2</v>
      </c>
      <c r="AH310" s="78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310" s="78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7.0707652761827167E-2</v>
      </c>
      <c r="AJ310" s="78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7.0707652761827167E-2</v>
      </c>
      <c r="AK310" s="13">
        <f>[Div Base]*[Ações]</f>
        <v>419404.28075574967</v>
      </c>
      <c r="AL310" s="13">
        <f>SUMPRODUCT(N([Nome]=Tabela3[[#This Row],[Nome]]),[Div Base]*[Ações])</f>
        <v>1513587.5000000002</v>
      </c>
      <c r="AM310" s="6">
        <f>[Patrimônio Líquido]/[Total Ações]</f>
        <v>2.2189177739379007</v>
      </c>
      <c r="AN310" s="48">
        <f>MAX(Tabela3[[#This Row],[Cotação 1]:[Cotação 5]])</f>
        <v>0</v>
      </c>
      <c r="AO310" s="44">
        <f>[Cotação]/[VPA]</f>
        <v>0</v>
      </c>
      <c r="AP310" s="40">
        <f>IF(Tabela3[[#This Row],[Lucro/Ação]]&gt;0,Tabela3[[#This Row],[Cotação]]/(Tabela3[[#This Row],[Lucro/Ação]]/[Ref]*4),0)</f>
        <v>0</v>
      </c>
      <c r="AQ310" s="78">
        <f>[Lucro Distribuir]/[Total Ações]</f>
        <v>0.32173643455013601</v>
      </c>
      <c r="AR310" s="78">
        <f>IF([Unit ON]&gt;0,SUMPRODUCT(N([Nome]=Tabela3[[#This Row],[Nome]]),N(RIGHT([PAPEL],1)="3"),[Div Base])*[Unit ON]+SUMPRODUCT(N([Nome]=Tabela3[[#This Row],[Nome]]),N(RIGHT([PAPEL],1)="4"),[Div Base])*[Unit PN],[Div Base])</f>
        <v>7.0707652761827167E-2</v>
      </c>
      <c r="AS310" s="14" t="str">
        <f>IF(AND([% A.A.]&gt;=6%,SUMPRODUCT(N([Nome]=Tabela3[[#This Row],[Nome]]),[PL])&gt;0,[Rentabilidade s/ PL]&gt;=[Rentabilidade s/ PL Média]),"Sim","Não")</f>
        <v>Não</v>
      </c>
      <c r="AT310" s="42">
        <f>IF([Cotação]&gt;0,Tabela3[[#This Row],[Lucro]]/Tabela3[[#This Row],[Cotação]],0)</f>
        <v>0</v>
      </c>
      <c r="AU310" s="42">
        <f>((1+Tabela3[[#This Row],[% Yield]])^(1/(3*Tabela3[[#This Row],[Ref]])))^(12)-1</f>
        <v>0</v>
      </c>
      <c r="AV310" s="14">
        <f>IF([Cotação]&gt;0,($BH$1/Tabela3[[#This Row],[Cotação]]-MOD($BH$1/Tabela3[[#This Row],[Cotação]],100)),)</f>
        <v>0</v>
      </c>
      <c r="AW310" s="17">
        <f>Tabela3[[#This Row],[Ativos]]*[Lucro]</f>
        <v>0</v>
      </c>
      <c r="AX310" s="17">
        <f>SUMPRODUCT(N(Tabela1[Código]=Tabela3[[#This Row],[PAPEL]]),Tabela1[Fechamento])</f>
        <v>0</v>
      </c>
      <c r="AY310" s="17">
        <f>SUMPRODUCT(N(Tabela17[Código]=Tabela3[[#This Row],[PAPEL]]),Tabela17[Fechamento])</f>
        <v>0</v>
      </c>
      <c r="AZ310" s="7">
        <f>SUMPRODUCT(N(Tabela176[Código]=Tabela3[[#This Row],[PAPEL]]),Tabela176[Fechamento])</f>
        <v>0</v>
      </c>
      <c r="BA310" s="7">
        <f>SUMPRODUCT(N(Tabela1768[Código]=Tabela3[[#This Row],[PAPEL]]),Tabela1768[Fechamento])</f>
        <v>0</v>
      </c>
      <c r="BB310" s="7">
        <f>SUMPRODUCT(N(Tabela17683[Código]=Tabela3[[#This Row],[PAPEL]]),Tabela17683[Fechamento])</f>
        <v>0</v>
      </c>
    </row>
    <row r="311" spans="1:54">
      <c r="A311" s="4" t="s">
        <v>12</v>
      </c>
      <c r="B311" s="57" t="s">
        <v>512</v>
      </c>
      <c r="C311" s="15" t="str">
        <f>LEFT([PAPEL],LEN([PAPEL])-(LEN([PAPEL])-4))</f>
        <v>RNEW</v>
      </c>
      <c r="D311" s="15">
        <v>4</v>
      </c>
      <c r="E311" s="5">
        <v>1017569849.21</v>
      </c>
      <c r="F311" s="8">
        <v>156508015</v>
      </c>
      <c r="G311" s="86">
        <v>0.25</v>
      </c>
      <c r="H311" s="15"/>
      <c r="I311" s="19"/>
      <c r="J311" s="19"/>
      <c r="K311" s="88"/>
      <c r="L311" s="88"/>
      <c r="M311" s="55"/>
      <c r="N311" s="55"/>
      <c r="O311" s="55"/>
      <c r="P311" s="91">
        <v>1000600000</v>
      </c>
      <c r="Q311" s="73">
        <v>5528000</v>
      </c>
      <c r="R311" s="73">
        <f>IF(Tabela3[[#This Row],[Ativo || Passivo]]&gt;0,Tabela3[[#This Row],[Ativo || Passivo]]-Tabela3[[#This Row],[Patrimônio Líquido]],0)</f>
        <v>0</v>
      </c>
      <c r="S311" s="73">
        <f>Tabela3[[#This Row],[Cotação]]*Tabela3[[#This Row],[Total Ações]]</f>
        <v>5152713776</v>
      </c>
      <c r="T311" s="37">
        <f>IF(Tabela3[[#This Row],[Passivo Circulante]]&gt;0,Tabela3[[#This Row],[Ativo Circulante]]/Tabela3[[#This Row],[Passivo Circulante]],0)</f>
        <v>0</v>
      </c>
      <c r="U311" s="37">
        <f>SUMPRODUCT(N([Liquidez Corrente]&gt;0),N(RIGHT([PAPEL],LEN([PAPEL])-(LEN([PAPEL])-1))="3"),[Liquidez Corrente])/SUMPRODUCT(N([Liquidez Corrente]&gt;0),N(RIGHT([PAPEL],LEN([PAPEL])-(LEN([PAPEL])-1))="3"))</f>
        <v>2.331224473064915</v>
      </c>
      <c r="V311" s="18">
        <f>IF(Tabela3[[#This Row],[Lucro Líquido]]&gt;0,Tabela3[[#This Row],[Lucro Líquido]]/Tabela3[[#This Row],[Patrimônio Líquido]],0)</f>
        <v>5.5246851888866681E-3</v>
      </c>
      <c r="W311" s="18">
        <f>SUMPRODUCT(N([Rentabilidade s/ PL]&gt;0),N(RIGHT([PAPEL],LEN([PAPEL])-(LEN([PAPEL])-1))="3"),[Rentabilidade s/ PL])/SUMPRODUCT(N([Rentabilidade s/ PL]&gt;0),N(RIGHT([PAPEL],LEN([PAPEL])-(LEN([PAPEL])-1))="3"))</f>
        <v>0.1261051308670782</v>
      </c>
      <c r="X311" s="18">
        <f>IF(Tabela3[[#This Row],[Dívida]]&gt;0,Tabela3[[#This Row],[Dívida]]/Tabela3[[#This Row],[Patrimônio Líquido]],0)</f>
        <v>0</v>
      </c>
      <c r="Y311" s="18">
        <f>SUMPRODUCT(N([Dívida / PL]&gt;0),N(RIGHT([PAPEL],LEN([PAPEL])-(LEN([PAPEL])-1))="3"),[Dívida / PL])/SUMPRODUCT(N([Dívida / PL]&gt;0),N(RIGHT([PAPEL],LEN([PAPEL])-(LEN([PAPEL])-1))="3"))</f>
        <v>2.1510410379481146</v>
      </c>
      <c r="Z311" s="13">
        <f>Tabela3[[#This Row],[Capital Social]]*20%</f>
        <v>203513969.84200001</v>
      </c>
      <c r="AA311" s="13">
        <f>IF(([Lucro Líquido]*5%)&gt;[Teto R. Legal],[Teto R. Legal],[Lucro Líquido]*5%)</f>
        <v>276400</v>
      </c>
      <c r="AB311" s="13">
        <f>IF([Lucro Líquido]&lt;0,0,[Lucro Líquido]-[Reserva Legal])</f>
        <v>5251600</v>
      </c>
      <c r="AC311" s="13">
        <f>Tabela3[[#This Row],[Lucro Distribuir]]*[%Div]</f>
        <v>1312900</v>
      </c>
      <c r="AD311" s="56">
        <f>SUMPRODUCT(N([Nome]=Tabela3[[#This Row],[Nome]]),[Ações])</f>
        <v>230031865</v>
      </c>
      <c r="AE311" s="6">
        <f>[Capital Social]/[Total Ações]</f>
        <v>4.4236038742284682</v>
      </c>
      <c r="AF311" s="78">
        <f>Tabela3[[#This Row],[Lucro Líquido]]/Tabela3[[#This Row],[Total Ações]]</f>
        <v>2.403145320758061E-2</v>
      </c>
      <c r="AG311" s="78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5.7074701368003949E-3</v>
      </c>
      <c r="AH311" s="78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311" s="78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311" s="78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5.7074701368003949E-3</v>
      </c>
      <c r="AK311" s="13">
        <f>[Div Base]*[Ações]</f>
        <v>893264.82178240828</v>
      </c>
      <c r="AL311" s="13">
        <f>SUMPRODUCT(N([Nome]=Tabela3[[#This Row],[Nome]]),[Div Base]*[Ações])</f>
        <v>1312900</v>
      </c>
      <c r="AM311" s="6">
        <f>[Patrimônio Líquido]/[Total Ações]</f>
        <v>4.3498321417339287</v>
      </c>
      <c r="AN311" s="48">
        <f>MAX(Tabela3[[#This Row],[Cotação 1]:[Cotação 5]])</f>
        <v>22.4</v>
      </c>
      <c r="AO311" s="44">
        <f>[Cotação]/[VPA]</f>
        <v>5.1496240015990402</v>
      </c>
      <c r="AP311" s="40">
        <f>IF(Tabela3[[#This Row],[Lucro/Ação]]&gt;0,Tabela3[[#This Row],[Cotação]]/(Tabela3[[#This Row],[Lucro/Ação]]/[Ref]*4),0)</f>
        <v>932.11175397973943</v>
      </c>
      <c r="AQ311" s="78">
        <f>[Lucro Distribuir]/[Total Ações]</f>
        <v>2.2829880547201579E-2</v>
      </c>
      <c r="AR311" s="78">
        <f>IF([Unit ON]&gt;0,SUMPRODUCT(N([Nome]=Tabela3[[#This Row],[Nome]]),N(RIGHT([PAPEL],1)="3"),[Div Base])*[Unit ON]+SUMPRODUCT(N([Nome]=Tabela3[[#This Row],[Nome]]),N(RIGHT([PAPEL],1)="4"),[Div Base])*[Unit PN],[Div Base])</f>
        <v>5.7074701368003949E-3</v>
      </c>
      <c r="AS311" s="14" t="str">
        <f>IF(AND([% A.A.]&gt;=6%,SUMPRODUCT(N([Nome]=Tabela3[[#This Row],[Nome]]),[PL])&gt;0,[Rentabilidade s/ PL]&gt;=[Rentabilidade s/ PL Média]),"Sim","Não")</f>
        <v>Não</v>
      </c>
      <c r="AT311" s="42">
        <f>IF([Cotação]&gt;0,Tabela3[[#This Row],[Lucro]]/Tabela3[[#This Row],[Cotação]],0)</f>
        <v>2.5479777396430337E-4</v>
      </c>
      <c r="AU311" s="42">
        <f>((1+Tabela3[[#This Row],[% Yield]])^(1/(3*Tabela3[[#This Row],[Ref]])))^(12)-1</f>
        <v>2.5479777396442138E-4</v>
      </c>
      <c r="AV311" s="14">
        <f>IF([Cotação]&gt;0,($BH$1/Tabela3[[#This Row],[Cotação]]-MOD($BH$1/Tabela3[[#This Row],[Cotação]],100)),)</f>
        <v>0</v>
      </c>
      <c r="AW311" s="17">
        <f>Tabela3[[#This Row],[Ativos]]*[Lucro]</f>
        <v>0</v>
      </c>
      <c r="AX311" s="17">
        <f>SUMPRODUCT(N(Tabela1[Código]=Tabela3[[#This Row],[PAPEL]]),Tabela1[Fechamento])</f>
        <v>0</v>
      </c>
      <c r="AY311" s="17">
        <f>SUMPRODUCT(N(Tabela17[Código]=Tabela3[[#This Row],[PAPEL]]),Tabela17[Fechamento])</f>
        <v>22.4</v>
      </c>
      <c r="AZ311" s="7">
        <f>SUMPRODUCT(N(Tabela176[Código]=Tabela3[[#This Row],[PAPEL]]),Tabela176[Fechamento])</f>
        <v>0</v>
      </c>
      <c r="BA311" s="7">
        <f>SUMPRODUCT(N(Tabela1768[Código]=Tabela3[[#This Row],[PAPEL]]),Tabela1768[Fechamento])</f>
        <v>0</v>
      </c>
      <c r="BB311" s="7">
        <f>SUMPRODUCT(N(Tabela17683[Código]=Tabela3[[#This Row],[PAPEL]]),Tabela17683[Fechamento])</f>
        <v>0</v>
      </c>
    </row>
    <row r="312" spans="1:54">
      <c r="A312" s="4" t="s">
        <v>12</v>
      </c>
      <c r="B312" s="57" t="s">
        <v>513</v>
      </c>
      <c r="C312" s="15" t="str">
        <f>LEFT([PAPEL],LEN([PAPEL])-(LEN([PAPEL])-4))</f>
        <v>RNEW</v>
      </c>
      <c r="D312" s="15">
        <v>4</v>
      </c>
      <c r="E312" s="5">
        <v>1017569849.21</v>
      </c>
      <c r="F312" s="8">
        <v>73523850</v>
      </c>
      <c r="G312" s="86">
        <v>0.25</v>
      </c>
      <c r="H312" s="15"/>
      <c r="I312" s="19"/>
      <c r="J312" s="19"/>
      <c r="K312" s="88"/>
      <c r="L312" s="88"/>
      <c r="M312" s="55"/>
      <c r="N312" s="55"/>
      <c r="O312" s="55"/>
      <c r="P312" s="91">
        <v>1000600000</v>
      </c>
      <c r="Q312" s="73">
        <v>5528000</v>
      </c>
      <c r="R312" s="73">
        <f>IF(Tabela3[[#This Row],[Ativo || Passivo]]&gt;0,Tabela3[[#This Row],[Ativo || Passivo]]-Tabela3[[#This Row],[Patrimônio Líquido]],0)</f>
        <v>0</v>
      </c>
      <c r="S312" s="73">
        <f>Tabela3[[#This Row],[Cotação]]*Tabela3[[#This Row],[Total Ações]]</f>
        <v>0</v>
      </c>
      <c r="T312" s="37">
        <f>IF(Tabela3[[#This Row],[Passivo Circulante]]&gt;0,Tabela3[[#This Row],[Ativo Circulante]]/Tabela3[[#This Row],[Passivo Circulante]],0)</f>
        <v>0</v>
      </c>
      <c r="U312" s="37">
        <f>SUMPRODUCT(N([Liquidez Corrente]&gt;0),N(RIGHT([PAPEL],LEN([PAPEL])-(LEN([PAPEL])-1))="3"),[Liquidez Corrente])/SUMPRODUCT(N([Liquidez Corrente]&gt;0),N(RIGHT([PAPEL],LEN([PAPEL])-(LEN([PAPEL])-1))="3"))</f>
        <v>2.331224473064915</v>
      </c>
      <c r="V312" s="18">
        <f>IF(Tabela3[[#This Row],[Lucro Líquido]]&gt;0,Tabela3[[#This Row],[Lucro Líquido]]/Tabela3[[#This Row],[Patrimônio Líquido]],0)</f>
        <v>5.5246851888866681E-3</v>
      </c>
      <c r="W312" s="18">
        <f>SUMPRODUCT(N([Rentabilidade s/ PL]&gt;0),N(RIGHT([PAPEL],LEN([PAPEL])-(LEN([PAPEL])-1))="3"),[Rentabilidade s/ PL])/SUMPRODUCT(N([Rentabilidade s/ PL]&gt;0),N(RIGHT([PAPEL],LEN([PAPEL])-(LEN([PAPEL])-1))="3"))</f>
        <v>0.1261051308670782</v>
      </c>
      <c r="X312" s="18">
        <f>IF(Tabela3[[#This Row],[Dívida]]&gt;0,Tabela3[[#This Row],[Dívida]]/Tabela3[[#This Row],[Patrimônio Líquido]],0)</f>
        <v>0</v>
      </c>
      <c r="Y312" s="18">
        <f>SUMPRODUCT(N([Dívida / PL]&gt;0),N(RIGHT([PAPEL],LEN([PAPEL])-(LEN([PAPEL])-1))="3"),[Dívida / PL])/SUMPRODUCT(N([Dívida / PL]&gt;0),N(RIGHT([PAPEL],LEN([PAPEL])-(LEN([PAPEL])-1))="3"))</f>
        <v>2.1510410379481146</v>
      </c>
      <c r="Z312" s="13">
        <f>Tabela3[[#This Row],[Capital Social]]*20%</f>
        <v>203513969.84200001</v>
      </c>
      <c r="AA312" s="13">
        <f>IF(([Lucro Líquido]*5%)&gt;[Teto R. Legal],[Teto R. Legal],[Lucro Líquido]*5%)</f>
        <v>276400</v>
      </c>
      <c r="AB312" s="13">
        <f>IF([Lucro Líquido]&lt;0,0,[Lucro Líquido]-[Reserva Legal])</f>
        <v>5251600</v>
      </c>
      <c r="AC312" s="13">
        <f>Tabela3[[#This Row],[Lucro Distribuir]]*[%Div]</f>
        <v>1312900</v>
      </c>
      <c r="AD312" s="56">
        <f>SUMPRODUCT(N([Nome]=Tabela3[[#This Row],[Nome]]),[Ações])</f>
        <v>230031865</v>
      </c>
      <c r="AE312" s="6">
        <f>[Capital Social]/[Total Ações]</f>
        <v>4.4236038742284682</v>
      </c>
      <c r="AF312" s="78">
        <f>Tabela3[[#This Row],[Lucro Líquido]]/Tabela3[[#This Row],[Total Ações]]</f>
        <v>2.403145320758061E-2</v>
      </c>
      <c r="AG312" s="78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5.7074701368003949E-3</v>
      </c>
      <c r="AH312" s="78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312" s="78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312" s="78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5.7074701368003949E-3</v>
      </c>
      <c r="AK312" s="13">
        <f>[Div Base]*[Ações]</f>
        <v>419635.17821759172</v>
      </c>
      <c r="AL312" s="13">
        <f>SUMPRODUCT(N([Nome]=Tabela3[[#This Row],[Nome]]),[Div Base]*[Ações])</f>
        <v>1312900</v>
      </c>
      <c r="AM312" s="6">
        <f>[Patrimônio Líquido]/[Total Ações]</f>
        <v>4.3498321417339287</v>
      </c>
      <c r="AN312" s="48">
        <f>MAX(Tabela3[[#This Row],[Cotação 1]:[Cotação 5]])</f>
        <v>0</v>
      </c>
      <c r="AO312" s="44">
        <f>[Cotação]/[VPA]</f>
        <v>0</v>
      </c>
      <c r="AP312" s="40">
        <f>IF(Tabela3[[#This Row],[Lucro/Ação]]&gt;0,Tabela3[[#This Row],[Cotação]]/(Tabela3[[#This Row],[Lucro/Ação]]/[Ref]*4),0)</f>
        <v>0</v>
      </c>
      <c r="AQ312" s="78">
        <f>[Lucro Distribuir]/[Total Ações]</f>
        <v>2.2829880547201579E-2</v>
      </c>
      <c r="AR312" s="78">
        <f>IF([Unit ON]&gt;0,SUMPRODUCT(N([Nome]=Tabela3[[#This Row],[Nome]]),N(RIGHT([PAPEL],1)="3"),[Div Base])*[Unit ON]+SUMPRODUCT(N([Nome]=Tabela3[[#This Row],[Nome]]),N(RIGHT([PAPEL],1)="4"),[Div Base])*[Unit PN],[Div Base])</f>
        <v>5.7074701368003949E-3</v>
      </c>
      <c r="AS312" s="14" t="str">
        <f>IF(AND([% A.A.]&gt;=6%,SUMPRODUCT(N([Nome]=Tabela3[[#This Row],[Nome]]),[PL])&gt;0,[Rentabilidade s/ PL]&gt;=[Rentabilidade s/ PL Média]),"Sim","Não")</f>
        <v>Não</v>
      </c>
      <c r="AT312" s="42">
        <f>IF([Cotação]&gt;0,Tabela3[[#This Row],[Lucro]]/Tabela3[[#This Row],[Cotação]],0)</f>
        <v>0</v>
      </c>
      <c r="AU312" s="42">
        <f>((1+Tabela3[[#This Row],[% Yield]])^(1/(3*Tabela3[[#This Row],[Ref]])))^(12)-1</f>
        <v>0</v>
      </c>
      <c r="AV312" s="14">
        <f>IF([Cotação]&gt;0,($BH$1/Tabela3[[#This Row],[Cotação]]-MOD($BH$1/Tabela3[[#This Row],[Cotação]],100)),)</f>
        <v>0</v>
      </c>
      <c r="AW312" s="17">
        <f>Tabela3[[#This Row],[Ativos]]*[Lucro]</f>
        <v>0</v>
      </c>
      <c r="AX312" s="17">
        <f>SUMPRODUCT(N(Tabela1[Código]=Tabela3[[#This Row],[PAPEL]]),Tabela1[Fechamento])</f>
        <v>0</v>
      </c>
      <c r="AY312" s="17">
        <f>SUMPRODUCT(N(Tabela17[Código]=Tabela3[[#This Row],[PAPEL]]),Tabela17[Fechamento])</f>
        <v>0</v>
      </c>
      <c r="AZ312" s="7">
        <f>SUMPRODUCT(N(Tabela176[Código]=Tabela3[[#This Row],[PAPEL]]),Tabela176[Fechamento])</f>
        <v>0</v>
      </c>
      <c r="BA312" s="7">
        <f>SUMPRODUCT(N(Tabela1768[Código]=Tabela3[[#This Row],[PAPEL]]),Tabela1768[Fechamento])</f>
        <v>0</v>
      </c>
      <c r="BB312" s="7">
        <f>SUMPRODUCT(N(Tabela17683[Código]=Tabela3[[#This Row],[PAPEL]]),Tabela17683[Fechamento])</f>
        <v>0</v>
      </c>
    </row>
    <row r="313" spans="1:54" hidden="1">
      <c r="A313" s="3" t="s">
        <v>1356</v>
      </c>
      <c r="B313" s="57" t="s">
        <v>1358</v>
      </c>
      <c r="C313" s="16" t="str">
        <f>LEFT([PAPEL],LEN([PAPEL])-(LEN([PAPEL])-4))</f>
        <v>LUXM</v>
      </c>
      <c r="D313" s="16">
        <v>3</v>
      </c>
      <c r="E313" s="5">
        <v>20000000</v>
      </c>
      <c r="F313" s="56">
        <v>766000</v>
      </c>
      <c r="G313" s="81">
        <v>0.25</v>
      </c>
      <c r="H313" s="87"/>
      <c r="J313" s="18"/>
      <c r="K313" s="16"/>
      <c r="L313" s="87"/>
      <c r="M313" s="54"/>
      <c r="N313" s="54"/>
      <c r="O313" s="54"/>
      <c r="P313" s="91">
        <v>87897000</v>
      </c>
      <c r="Q313" s="73">
        <v>5492000</v>
      </c>
      <c r="R313" s="73">
        <f>IF(Tabela3[[#This Row],[Ativo || Passivo]]&gt;0,Tabela3[[#This Row],[Ativo || Passivo]]-Tabela3[[#This Row],[Patrimônio Líquido]],0)</f>
        <v>0</v>
      </c>
      <c r="S313" s="73">
        <f>Tabela3[[#This Row],[Cotação]]*Tabela3[[#This Row],[Total Ações]]</f>
        <v>83568000</v>
      </c>
      <c r="T313" s="37">
        <f>IF(Tabela3[[#This Row],[Passivo Circulante]]&gt;0,Tabela3[[#This Row],[Ativo Circulante]]/Tabela3[[#This Row],[Passivo Circulante]],0)</f>
        <v>0</v>
      </c>
      <c r="U313" s="37">
        <f>SUMPRODUCT(N([Liquidez Corrente]&gt;0),N(RIGHT([PAPEL],LEN([PAPEL])-(LEN([PAPEL])-1))="3"),[Liquidez Corrente])/SUMPRODUCT(N([Liquidez Corrente]&gt;0),N(RIGHT([PAPEL],LEN([PAPEL])-(LEN([PAPEL])-1))="3"))</f>
        <v>2.331224473064915</v>
      </c>
      <c r="V313" s="18">
        <f>IF(Tabela3[[#This Row],[Lucro Líquido]]&gt;0,Tabela3[[#This Row],[Lucro Líquido]]/Tabela3[[#This Row],[Patrimônio Líquido]],0)</f>
        <v>6.2482223511610181E-2</v>
      </c>
      <c r="W313" s="18">
        <f>SUMPRODUCT(N([Rentabilidade s/ PL]&gt;0),N(RIGHT([PAPEL],LEN([PAPEL])-(LEN([PAPEL])-1))="3"),[Rentabilidade s/ PL])/SUMPRODUCT(N([Rentabilidade s/ PL]&gt;0),N(RIGHT([PAPEL],LEN([PAPEL])-(LEN([PAPEL])-1))="3"))</f>
        <v>0.1261051308670782</v>
      </c>
      <c r="X313" s="18">
        <f>IF(Tabela3[[#This Row],[Dívida]]&gt;0,Tabela3[[#This Row],[Dívida]]/Tabela3[[#This Row],[Patrimônio Líquido]],0)</f>
        <v>0</v>
      </c>
      <c r="Y313" s="18">
        <f>SUMPRODUCT(N([Dívida / PL]&gt;0),N(RIGHT([PAPEL],LEN([PAPEL])-(LEN([PAPEL])-1))="3"),[Dívida / PL])/SUMPRODUCT(N([Dívida / PL]&gt;0),N(RIGHT([PAPEL],LEN([PAPEL])-(LEN([PAPEL])-1))="3"))</f>
        <v>2.1510410379481146</v>
      </c>
      <c r="Z313" s="7">
        <f>Tabela3[[#This Row],[Capital Social]]*20%</f>
        <v>4000000</v>
      </c>
      <c r="AA313" s="47">
        <f>IF(([Lucro Líquido]*5%)&gt;[Teto R. Legal],[Teto R. Legal],[Lucro Líquido]*5%)</f>
        <v>274600</v>
      </c>
      <c r="AB313" s="47">
        <f>IF([Lucro Líquido]&lt;0,0,[Lucro Líquido]-[Reserva Legal])</f>
        <v>5217400</v>
      </c>
      <c r="AC313" s="47">
        <f>Tabela3[[#This Row],[Lucro Distribuir]]*[%Div]</f>
        <v>1304350</v>
      </c>
      <c r="AD313" s="56">
        <f>SUMPRODUCT(N([Nome]=Tabela3[[#This Row],[Nome]]),[Ações])</f>
        <v>1741000</v>
      </c>
      <c r="AE313" s="85">
        <f>[Capital Social]/[Total Ações]</f>
        <v>11.487650775416427</v>
      </c>
      <c r="AF313" s="85">
        <f>Tabela3[[#This Row],[Lucro Líquido]]/Tabela3[[#This Row],[Total Ações]]</f>
        <v>3.1545089029293512</v>
      </c>
      <c r="AG313" s="85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0.72588553221062035</v>
      </c>
      <c r="AH313" s="85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313" s="77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313" s="85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0.72588553221062035</v>
      </c>
      <c r="AK313" s="7">
        <f>[Div Base]*[Ações]</f>
        <v>556028.3176733352</v>
      </c>
      <c r="AL313" s="120">
        <f>SUMPRODUCT(N([Nome]=Tabela3[[#This Row],[Nome]]),[Div Base]*[Ações])</f>
        <v>1334540.5520357057</v>
      </c>
      <c r="AM313" s="5">
        <f>[Patrimônio Líquido]/[Total Ações]</f>
        <v>50.486502010338889</v>
      </c>
      <c r="AN313" s="52">
        <f>MAX(Tabela3[[#This Row],[Cotação 1]:[Cotação 5]])</f>
        <v>48</v>
      </c>
      <c r="AO313" s="53">
        <f>[Cotação]/[VPA]</f>
        <v>0.95074917232670053</v>
      </c>
      <c r="AP313" s="37">
        <f>IF(Tabela3[[#This Row],[Lucro/Ação]]&gt;0,Tabela3[[#This Row],[Cotação]]/(Tabela3[[#This Row],[Lucro/Ação]]/[Ref]*4),0)</f>
        <v>11.412235979606699</v>
      </c>
      <c r="AQ313" s="85">
        <f>[Lucro Distribuir]/[Total Ações]</f>
        <v>2.9967834577828834</v>
      </c>
      <c r="AR313" s="85">
        <f>IF([Unit ON]&gt;0,SUMPRODUCT(N([Nome]=Tabela3[[#This Row],[Nome]]),N(RIGHT([PAPEL],1)="3"),[Div Base])*[Unit ON]+SUMPRODUCT(N([Nome]=Tabela3[[#This Row],[Nome]]),N(RIGHT([PAPEL],1)="4"),[Div Base])*[Unit PN],[Div Base])</f>
        <v>0.72588553221062035</v>
      </c>
      <c r="AS313" s="10" t="str">
        <f>IF(AND([% A.A.]&gt;=6%,SUMPRODUCT(N([Nome]=Tabela3[[#This Row],[Nome]]),[PL])&gt;0,[Rentabilidade s/ PL]&gt;=[Rentabilidade s/ PL Média]),"Sim","Não")</f>
        <v>Não</v>
      </c>
      <c r="AT313" s="22">
        <f>IF([Cotação]&gt;0,Tabela3[[#This Row],[Lucro]]/Tabela3[[#This Row],[Cotação]],0)</f>
        <v>1.5122615254387925E-2</v>
      </c>
      <c r="AU313" s="22">
        <f>((1+Tabela3[[#This Row],[% Yield]])^(1/(3*Tabela3[[#This Row],[Ref]])))^(12)-1</f>
        <v>2.0214138062082165E-2</v>
      </c>
      <c r="AV313" s="10">
        <f>IF([Cotação]&gt;0,($BH$1/Tabela3[[#This Row],[Cotação]]-MOD($BH$1/Tabela3[[#This Row],[Cotação]],100)),)</f>
        <v>0</v>
      </c>
      <c r="AW313" s="7">
        <f>Tabela3[[#This Row],[Ativos]]*[Lucro]</f>
        <v>0</v>
      </c>
      <c r="AX313" s="7">
        <f>SUMPRODUCT(N(Tabela1[Código]=Tabela3[[#This Row],[PAPEL]]),Tabela1[Fechamento])</f>
        <v>0</v>
      </c>
      <c r="AY313" s="7">
        <f>SUMPRODUCT(N(Tabela17[Código]=Tabela3[[#This Row],[PAPEL]]),Tabela17[Fechamento])</f>
        <v>0</v>
      </c>
      <c r="AZ313" s="7">
        <f>SUMPRODUCT(N(Tabela176[Código]=Tabela3[[#This Row],[PAPEL]]),Tabela176[Fechamento])</f>
        <v>0</v>
      </c>
      <c r="BA313" s="7">
        <f>SUMPRODUCT(N(Tabela1768[Código]=Tabela3[[#This Row],[PAPEL]]),Tabela1768[Fechamento])</f>
        <v>0</v>
      </c>
      <c r="BB313" s="7">
        <f>SUMPRODUCT(N(Tabela17683[Código]=Tabela3[[#This Row],[PAPEL]]),Tabela17683[Fechamento])</f>
        <v>48</v>
      </c>
    </row>
    <row r="314" spans="1:54" hidden="1">
      <c r="A314" s="3" t="s">
        <v>1356</v>
      </c>
      <c r="B314" s="57" t="s">
        <v>1359</v>
      </c>
      <c r="C314" s="16" t="str">
        <f>LEFT([PAPEL],LEN([PAPEL])-(LEN([PAPEL])-4))</f>
        <v>LUXM</v>
      </c>
      <c r="D314" s="16">
        <v>3</v>
      </c>
      <c r="E314" s="5">
        <v>20000000</v>
      </c>
      <c r="F314" s="56">
        <v>975000</v>
      </c>
      <c r="G314" s="81">
        <v>0.25</v>
      </c>
      <c r="H314" s="87"/>
      <c r="J314" s="18">
        <v>0.1</v>
      </c>
      <c r="K314" s="16"/>
      <c r="L314" s="87"/>
      <c r="M314" s="54"/>
      <c r="N314" s="54"/>
      <c r="O314" s="54"/>
      <c r="P314" s="91">
        <v>87897000</v>
      </c>
      <c r="Q314" s="73">
        <v>5492000</v>
      </c>
      <c r="R314" s="73">
        <f>IF(Tabela3[[#This Row],[Ativo || Passivo]]&gt;0,Tabela3[[#This Row],[Ativo || Passivo]]-Tabela3[[#This Row],[Patrimônio Líquido]],0)</f>
        <v>0</v>
      </c>
      <c r="S314" s="73">
        <f>Tabela3[[#This Row],[Cotação]]*Tabela3[[#This Row],[Total Ações]]</f>
        <v>54319200</v>
      </c>
      <c r="T314" s="37">
        <f>IF(Tabela3[[#This Row],[Passivo Circulante]]&gt;0,Tabela3[[#This Row],[Ativo Circulante]]/Tabela3[[#This Row],[Passivo Circulante]],0)</f>
        <v>0</v>
      </c>
      <c r="U314" s="37">
        <f>SUMPRODUCT(N([Liquidez Corrente]&gt;0),N(RIGHT([PAPEL],LEN([PAPEL])-(LEN([PAPEL])-1))="3"),[Liquidez Corrente])/SUMPRODUCT(N([Liquidez Corrente]&gt;0),N(RIGHT([PAPEL],LEN([PAPEL])-(LEN([PAPEL])-1))="3"))</f>
        <v>2.331224473064915</v>
      </c>
      <c r="V314" s="18">
        <f>IF(Tabela3[[#This Row],[Lucro Líquido]]&gt;0,Tabela3[[#This Row],[Lucro Líquido]]/Tabela3[[#This Row],[Patrimônio Líquido]],0)</f>
        <v>6.2482223511610181E-2</v>
      </c>
      <c r="W314" s="18">
        <f>SUMPRODUCT(N([Rentabilidade s/ PL]&gt;0),N(RIGHT([PAPEL],LEN([PAPEL])-(LEN([PAPEL])-1))="3"),[Rentabilidade s/ PL])/SUMPRODUCT(N([Rentabilidade s/ PL]&gt;0),N(RIGHT([PAPEL],LEN([PAPEL])-(LEN([PAPEL])-1))="3"))</f>
        <v>0.1261051308670782</v>
      </c>
      <c r="X314" s="18">
        <f>IF(Tabela3[[#This Row],[Dívida]]&gt;0,Tabela3[[#This Row],[Dívida]]/Tabela3[[#This Row],[Patrimônio Líquido]],0)</f>
        <v>0</v>
      </c>
      <c r="Y314" s="18">
        <f>SUMPRODUCT(N([Dívida / PL]&gt;0),N(RIGHT([PAPEL],LEN([PAPEL])-(LEN([PAPEL])-1))="3"),[Dívida / PL])/SUMPRODUCT(N([Dívida / PL]&gt;0),N(RIGHT([PAPEL],LEN([PAPEL])-(LEN([PAPEL])-1))="3"))</f>
        <v>2.1510410379481146</v>
      </c>
      <c r="Z314" s="7">
        <f>Tabela3[[#This Row],[Capital Social]]*20%</f>
        <v>4000000</v>
      </c>
      <c r="AA314" s="47">
        <f>IF(([Lucro Líquido]*5%)&gt;[Teto R. Legal],[Teto R. Legal],[Lucro Líquido]*5%)</f>
        <v>274600</v>
      </c>
      <c r="AB314" s="47">
        <f>IF([Lucro Líquido]&lt;0,0,[Lucro Líquido]-[Reserva Legal])</f>
        <v>5217400</v>
      </c>
      <c r="AC314" s="47">
        <f>Tabela3[[#This Row],[Lucro Distribuir]]*[%Div]</f>
        <v>1304350</v>
      </c>
      <c r="AD314" s="56">
        <f>SUMPRODUCT(N([Nome]=Tabela3[[#This Row],[Nome]]),[Ações])</f>
        <v>1741000</v>
      </c>
      <c r="AE314" s="85">
        <f>[Capital Social]/[Total Ações]</f>
        <v>11.487650775416427</v>
      </c>
      <c r="AF314" s="85">
        <f>Tabela3[[#This Row],[Lucro Líquido]]/Tabela3[[#This Row],[Total Ações]]</f>
        <v>3.1545089029293512</v>
      </c>
      <c r="AG314" s="85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0.79847408652550833</v>
      </c>
      <c r="AH314" s="85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314" s="77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314" s="85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0.79847408652550833</v>
      </c>
      <c r="AK314" s="7">
        <f>[Div Base]*[Ações]</f>
        <v>778512.23436237057</v>
      </c>
      <c r="AL314" s="120">
        <f>SUMPRODUCT(N([Nome]=Tabela3[[#This Row],[Nome]]),[Div Base]*[Ações])</f>
        <v>1334540.5520357057</v>
      </c>
      <c r="AM314" s="5">
        <f>[Patrimônio Líquido]/[Total Ações]</f>
        <v>50.486502010338889</v>
      </c>
      <c r="AN314" s="52">
        <f>MAX(Tabela3[[#This Row],[Cotação 1]:[Cotação 5]])</f>
        <v>31.2</v>
      </c>
      <c r="AO314" s="53">
        <f>[Cotação]/[VPA]</f>
        <v>0.61798696201235537</v>
      </c>
      <c r="AP314" s="37">
        <f>IF(Tabela3[[#This Row],[Lucro/Ação]]&gt;0,Tabela3[[#This Row],[Cotação]]/(Tabela3[[#This Row],[Lucro/Ação]]/[Ref]*4),0)</f>
        <v>7.4179533867443546</v>
      </c>
      <c r="AQ314" s="85">
        <f>[Lucro Distribuir]/[Total Ações]</f>
        <v>2.9967834577828834</v>
      </c>
      <c r="AR314" s="85">
        <f>IF([Unit ON]&gt;0,SUMPRODUCT(N([Nome]=Tabela3[[#This Row],[Nome]]),N(RIGHT([PAPEL],1)="3"),[Div Base])*[Unit ON]+SUMPRODUCT(N([Nome]=Tabela3[[#This Row],[Nome]]),N(RIGHT([PAPEL],1)="4"),[Div Base])*[Unit PN],[Div Base])</f>
        <v>0.79847408652550833</v>
      </c>
      <c r="AS314" s="10" t="str">
        <f>IF(AND([% A.A.]&gt;=6%,SUMPRODUCT(N([Nome]=Tabela3[[#This Row],[Nome]]),[PL])&gt;0,[Rentabilidade s/ PL]&gt;=[Rentabilidade s/ PL Média]),"Sim","Não")</f>
        <v>Não</v>
      </c>
      <c r="AT314" s="22">
        <f>IF([Cotação]&gt;0,Tabela3[[#This Row],[Lucro]]/Tabela3[[#This Row],[Cotação]],0)</f>
        <v>2.5592118157868857E-2</v>
      </c>
      <c r="AU314" s="22">
        <f>((1+Tabela3[[#This Row],[% Yield]])^(1/(3*Tabela3[[#This Row],[Ref]])))^(12)-1</f>
        <v>3.4267551070405577E-2</v>
      </c>
      <c r="AV314" s="10">
        <f>IF([Cotação]&gt;0,($BH$1/Tabela3[[#This Row],[Cotação]]-MOD($BH$1/Tabela3[[#This Row],[Cotação]],100)),)</f>
        <v>0</v>
      </c>
      <c r="AW314" s="7">
        <f>Tabela3[[#This Row],[Ativos]]*[Lucro]</f>
        <v>0</v>
      </c>
      <c r="AX314" s="7">
        <f>SUMPRODUCT(N(Tabela1[Código]=Tabela3[[#This Row],[PAPEL]]),Tabela1[Fechamento])</f>
        <v>0</v>
      </c>
      <c r="AY314" s="7">
        <f>SUMPRODUCT(N(Tabela17[Código]=Tabela3[[#This Row],[PAPEL]]),Tabela17[Fechamento])</f>
        <v>0</v>
      </c>
      <c r="AZ314" s="7">
        <f>SUMPRODUCT(N(Tabela176[Código]=Tabela3[[#This Row],[PAPEL]]),Tabela176[Fechamento])</f>
        <v>0</v>
      </c>
      <c r="BA314" s="7">
        <f>SUMPRODUCT(N(Tabela1768[Código]=Tabela3[[#This Row],[PAPEL]]),Tabela1768[Fechamento])</f>
        <v>0</v>
      </c>
      <c r="BB314" s="7">
        <f>SUMPRODUCT(N(Tabela17683[Código]=Tabela3[[#This Row],[PAPEL]]),Tabela17683[Fechamento])</f>
        <v>31.2</v>
      </c>
    </row>
    <row r="315" spans="1:54" hidden="1">
      <c r="A315" s="3" t="s">
        <v>296</v>
      </c>
      <c r="B315" s="58" t="s">
        <v>718</v>
      </c>
      <c r="C315" s="82" t="str">
        <f>LEFT([PAPEL],LEN([PAPEL])-(LEN([PAPEL])-4))</f>
        <v>HBTS</v>
      </c>
      <c r="D315" s="16">
        <v>3</v>
      </c>
      <c r="E315" s="6">
        <v>127181809.47</v>
      </c>
      <c r="F315" s="8">
        <v>3152764</v>
      </c>
      <c r="G315" s="86">
        <v>0.25</v>
      </c>
      <c r="H315" s="19"/>
      <c r="I315" s="19"/>
      <c r="J315" s="19"/>
      <c r="K315" s="88"/>
      <c r="L315" s="88"/>
      <c r="M315" s="55"/>
      <c r="N315" s="55"/>
      <c r="O315" s="55"/>
      <c r="P315" s="5">
        <v>500173000</v>
      </c>
      <c r="Q315" s="5">
        <v>5129000</v>
      </c>
      <c r="R315" s="5">
        <f>IF(Tabela3[[#This Row],[Ativo || Passivo]]&gt;0,Tabela3[[#This Row],[Ativo || Passivo]]-Tabela3[[#This Row],[Patrimônio Líquido]],0)</f>
        <v>0</v>
      </c>
      <c r="S315" s="5">
        <f>Tabela3[[#This Row],[Cotação]]*Tabela3[[#This Row],[Total Ações]]</f>
        <v>0</v>
      </c>
      <c r="T315" s="130">
        <f>IF(Tabela3[[#This Row],[Passivo Circulante]]&gt;0,Tabela3[[#This Row],[Ativo Circulante]]/Tabela3[[#This Row],[Passivo Circulante]],0)</f>
        <v>0</v>
      </c>
      <c r="U315" s="130">
        <f>SUMPRODUCT(N([Liquidez Corrente]&gt;0),N(RIGHT([PAPEL],LEN([PAPEL])-(LEN([PAPEL])-1))="3"),[Liquidez Corrente])/SUMPRODUCT(N([Liquidez Corrente]&gt;0),N(RIGHT([PAPEL],LEN([PAPEL])-(LEN([PAPEL])-1))="3"))</f>
        <v>2.331224473064915</v>
      </c>
      <c r="V315" s="18">
        <f>IF(Tabela3[[#This Row],[Lucro Líquido]]&gt;0,Tabela3[[#This Row],[Lucro Líquido]]/Tabela3[[#This Row],[Patrimônio Líquido]],0)</f>
        <v>1.0254451959621972E-2</v>
      </c>
      <c r="W315" s="18">
        <f>SUMPRODUCT(N([Rentabilidade s/ PL]&gt;0),N(RIGHT([PAPEL],LEN([PAPEL])-(LEN([PAPEL])-1))="3"),[Rentabilidade s/ PL])/SUMPRODUCT(N([Rentabilidade s/ PL]&gt;0),N(RIGHT([PAPEL],LEN([PAPEL])-(LEN([PAPEL])-1))="3"))</f>
        <v>0.1261051308670782</v>
      </c>
      <c r="X315" s="18">
        <f>IF(Tabela3[[#This Row],[Dívida]]&gt;0,Tabela3[[#This Row],[Dívida]]/Tabela3[[#This Row],[Patrimônio Líquido]],0)</f>
        <v>0</v>
      </c>
      <c r="Y315" s="18">
        <f>SUMPRODUCT(N([Dívida / PL]&gt;0),N(RIGHT([PAPEL],LEN([PAPEL])-(LEN([PAPEL])-1))="3"),[Dívida / PL])/SUMPRODUCT(N([Dívida / PL]&gt;0),N(RIGHT([PAPEL],LEN([PAPEL])-(LEN([PAPEL])-1))="3"))</f>
        <v>2.1510410379481146</v>
      </c>
      <c r="Z315" s="6">
        <f>Tabela3[[#This Row],[Capital Social]]*20%</f>
        <v>25436361.894000001</v>
      </c>
      <c r="AA315" s="6">
        <f>IF(([Lucro Líquido]*5%)&gt;[Teto R. Legal],[Teto R. Legal],[Lucro Líquido]*5%)</f>
        <v>256450</v>
      </c>
      <c r="AB315" s="89">
        <f>IF([Lucro Líquido]&lt;0,0,[Lucro Líquido]-[Reserva Legal])</f>
        <v>4872550</v>
      </c>
      <c r="AC315" s="89">
        <f>Tabela3[[#This Row],[Lucro Distribuir]]*[%Div]</f>
        <v>1218137.5</v>
      </c>
      <c r="AD315" s="56">
        <f>SUMPRODUCT(N([Nome]=Tabela3[[#This Row],[Nome]]),[Ações])</f>
        <v>9133687</v>
      </c>
      <c r="AE315" s="6">
        <f>[Capital Social]/[Total Ações]</f>
        <v>13.924476443083718</v>
      </c>
      <c r="AF315" s="78">
        <f>Tabela3[[#This Row],[Lucro Líquido]]/Tabela3[[#This Row],[Total Ações]]</f>
        <v>0.56154759846708124</v>
      </c>
      <c r="AG315" s="78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0.12921798286774472</v>
      </c>
      <c r="AH315" s="78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315" s="78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315" s="78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0.12921798286774472</v>
      </c>
      <c r="AK315" s="6">
        <f>[Div Base]*[Ações]</f>
        <v>407393.80453804228</v>
      </c>
      <c r="AL315" s="6">
        <f>SUMPRODUCT(N([Nome]=Tabela3[[#This Row],[Nome]]),[Div Base]*[Ações])</f>
        <v>1257520.8920246579</v>
      </c>
      <c r="AM315" s="6">
        <f>[Patrimônio Líquido]/[Total Ações]</f>
        <v>54.761346650043954</v>
      </c>
      <c r="AN315" s="48">
        <f>MAX(Tabela3[[#This Row],[Cotação 1]:[Cotação 5]])</f>
        <v>0</v>
      </c>
      <c r="AO315" s="44">
        <f>[Cotação]/[VPA]</f>
        <v>0</v>
      </c>
      <c r="AP315" s="40">
        <f>IF(Tabela3[[#This Row],[Lucro/Ação]]&gt;0,Tabela3[[#This Row],[Cotação]]/(Tabela3[[#This Row],[Lucro/Ação]]/[Ref]*4),0)</f>
        <v>0</v>
      </c>
      <c r="AQ315" s="78">
        <f>[Lucro Distribuir]/[Total Ações]</f>
        <v>0.53347021854372723</v>
      </c>
      <c r="AR315" s="78">
        <f>IF([Unit ON]&gt;0,SUMPRODUCT(N([Nome]=Tabela3[[#This Row],[Nome]]),N(RIGHT([PAPEL],1)="3"),[Div Base])*[Unit ON]+SUMPRODUCT(N([Nome]=Tabela3[[#This Row],[Nome]]),N(RIGHT([PAPEL],1)="4"),[Div Base])*[Unit PN],[Div Base])</f>
        <v>0.12921798286774472</v>
      </c>
      <c r="AS315" s="15" t="str">
        <f>IF(AND([% A.A.]&gt;=6%,SUMPRODUCT(N([Nome]=Tabela3[[#This Row],[Nome]]),[PL])&gt;0,[Rentabilidade s/ PL]&gt;=[Rentabilidade s/ PL Média]),"Sim","Não")</f>
        <v>Não</v>
      </c>
      <c r="AT315" s="42">
        <f>IF([Cotação]&gt;0,Tabela3[[#This Row],[Lucro]]/Tabela3[[#This Row],[Cotação]],0)</f>
        <v>0</v>
      </c>
      <c r="AU315" s="19">
        <f>((1+Tabela3[[#This Row],[% Yield]])^(1/(3*Tabela3[[#This Row],[Ref]])))^(12)-1</f>
        <v>0</v>
      </c>
      <c r="AV315" s="14">
        <f>IF([Cotação]&gt;0,($BH$1/Tabela3[[#This Row],[Cotação]]-MOD($BH$1/Tabela3[[#This Row],[Cotação]],100)),)</f>
        <v>0</v>
      </c>
      <c r="AW315" s="17">
        <f>Tabela3[[#This Row],[Ativos]]*[Lucro]</f>
        <v>0</v>
      </c>
      <c r="AX315" s="5">
        <f>SUMPRODUCT(N(Tabela1[Código]=Tabela3[[#This Row],[PAPEL]]),Tabela1[Fechamento])</f>
        <v>0</v>
      </c>
      <c r="AY315" s="5">
        <f>SUMPRODUCT(N(Tabela17[Código]=Tabela3[[#This Row],[PAPEL]]),Tabela17[Fechamento])</f>
        <v>0</v>
      </c>
      <c r="AZ315" s="7">
        <f>SUMPRODUCT(N(Tabela176[Código]=Tabela3[[#This Row],[PAPEL]]),Tabela176[Fechamento])</f>
        <v>0</v>
      </c>
      <c r="BA315" s="7">
        <f>SUMPRODUCT(N(Tabela1768[Código]=Tabela3[[#This Row],[PAPEL]]),Tabela1768[Fechamento])</f>
        <v>0</v>
      </c>
      <c r="BB315" s="7">
        <f>SUMPRODUCT(N(Tabela17683[Código]=Tabela3[[#This Row],[PAPEL]]),Tabela17683[Fechamento])</f>
        <v>0</v>
      </c>
    </row>
    <row r="316" spans="1:54" hidden="1">
      <c r="A316" s="3" t="s">
        <v>296</v>
      </c>
      <c r="B316" s="58" t="s">
        <v>300</v>
      </c>
      <c r="C316" s="82" t="str">
        <f>LEFT([PAPEL],LEN([PAPEL])-(LEN([PAPEL])-4))</f>
        <v>HBTS</v>
      </c>
      <c r="D316" s="16">
        <v>3</v>
      </c>
      <c r="E316" s="6">
        <v>127181809.47</v>
      </c>
      <c r="F316" s="8">
        <v>5950327</v>
      </c>
      <c r="G316" s="86">
        <v>0.25</v>
      </c>
      <c r="H316" s="19"/>
      <c r="I316" s="19"/>
      <c r="J316" s="19">
        <v>0.1</v>
      </c>
      <c r="K316" s="88"/>
      <c r="L316" s="88"/>
      <c r="M316" s="55"/>
      <c r="N316" s="55"/>
      <c r="O316" s="55"/>
      <c r="P316" s="5">
        <v>500173000</v>
      </c>
      <c r="Q316" s="5">
        <v>5129000</v>
      </c>
      <c r="R316" s="5">
        <f>IF(Tabela3[[#This Row],[Ativo || Passivo]]&gt;0,Tabela3[[#This Row],[Ativo || Passivo]]-Tabela3[[#This Row],[Patrimônio Líquido]],0)</f>
        <v>0</v>
      </c>
      <c r="S316" s="5">
        <f>Tabela3[[#This Row],[Cotação]]*Tabela3[[#This Row],[Total Ações]]</f>
        <v>120564668.39999999</v>
      </c>
      <c r="T316" s="130">
        <f>IF(Tabela3[[#This Row],[Passivo Circulante]]&gt;0,Tabela3[[#This Row],[Ativo Circulante]]/Tabela3[[#This Row],[Passivo Circulante]],0)</f>
        <v>0</v>
      </c>
      <c r="U316" s="130">
        <f>SUMPRODUCT(N([Liquidez Corrente]&gt;0),N(RIGHT([PAPEL],LEN([PAPEL])-(LEN([PAPEL])-1))="3"),[Liquidez Corrente])/SUMPRODUCT(N([Liquidez Corrente]&gt;0),N(RIGHT([PAPEL],LEN([PAPEL])-(LEN([PAPEL])-1))="3"))</f>
        <v>2.331224473064915</v>
      </c>
      <c r="V316" s="18">
        <f>IF(Tabela3[[#This Row],[Lucro Líquido]]&gt;0,Tabela3[[#This Row],[Lucro Líquido]]/Tabela3[[#This Row],[Patrimônio Líquido]],0)</f>
        <v>1.0254451959621972E-2</v>
      </c>
      <c r="W316" s="18">
        <f>SUMPRODUCT(N([Rentabilidade s/ PL]&gt;0),N(RIGHT([PAPEL],LEN([PAPEL])-(LEN([PAPEL])-1))="3"),[Rentabilidade s/ PL])/SUMPRODUCT(N([Rentabilidade s/ PL]&gt;0),N(RIGHT([PAPEL],LEN([PAPEL])-(LEN([PAPEL])-1))="3"))</f>
        <v>0.1261051308670782</v>
      </c>
      <c r="X316" s="18">
        <f>IF(Tabela3[[#This Row],[Dívida]]&gt;0,Tabela3[[#This Row],[Dívida]]/Tabela3[[#This Row],[Patrimônio Líquido]],0)</f>
        <v>0</v>
      </c>
      <c r="Y316" s="18">
        <f>SUMPRODUCT(N([Dívida / PL]&gt;0),N(RIGHT([PAPEL],LEN([PAPEL])-(LEN([PAPEL])-1))="3"),[Dívida / PL])/SUMPRODUCT(N([Dívida / PL]&gt;0),N(RIGHT([PAPEL],LEN([PAPEL])-(LEN([PAPEL])-1))="3"))</f>
        <v>2.1510410379481146</v>
      </c>
      <c r="Z316" s="6">
        <f>Tabela3[[#This Row],[Capital Social]]*20%</f>
        <v>25436361.894000001</v>
      </c>
      <c r="AA316" s="6">
        <f>IF(([Lucro Líquido]*5%)&gt;[Teto R. Legal],[Teto R. Legal],[Lucro Líquido]*5%)</f>
        <v>256450</v>
      </c>
      <c r="AB316" s="89">
        <f>IF([Lucro Líquido]&lt;0,0,[Lucro Líquido]-[Reserva Legal])</f>
        <v>4872550</v>
      </c>
      <c r="AC316" s="89">
        <f>Tabela3[[#This Row],[Lucro Distribuir]]*[%Div]</f>
        <v>1218137.5</v>
      </c>
      <c r="AD316" s="56">
        <f>SUMPRODUCT(N([Nome]=Tabela3[[#This Row],[Nome]]),[Ações])</f>
        <v>9133687</v>
      </c>
      <c r="AE316" s="6">
        <f>[Capital Social]/[Total Ações]</f>
        <v>13.924476443083718</v>
      </c>
      <c r="AF316" s="78">
        <f>Tabela3[[#This Row],[Lucro Líquido]]/Tabela3[[#This Row],[Total Ações]]</f>
        <v>0.56154759846708124</v>
      </c>
      <c r="AG316" s="78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0.1421397813492358</v>
      </c>
      <c r="AH316" s="78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316" s="78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316" s="78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0.1421397813492358</v>
      </c>
      <c r="AK316" s="6">
        <f>[Div Base]*[Ações]</f>
        <v>845778.17873645423</v>
      </c>
      <c r="AL316" s="6">
        <f>SUMPRODUCT(N([Nome]=Tabela3[[#This Row],[Nome]]),[Div Base]*[Ações])</f>
        <v>1257520.8920246579</v>
      </c>
      <c r="AM316" s="6">
        <f>[Patrimônio Líquido]/[Total Ações]</f>
        <v>54.761346650043954</v>
      </c>
      <c r="AN316" s="48">
        <f>MAX(Tabela3[[#This Row],[Cotação 1]:[Cotação 5]])</f>
        <v>13.2</v>
      </c>
      <c r="AO316" s="44">
        <f>[Cotação]/[VPA]</f>
        <v>0.24104593490652232</v>
      </c>
      <c r="AP316" s="40">
        <f>IF(Tabela3[[#This Row],[Lucro/Ação]]&gt;0,Tabela3[[#This Row],[Cotação]]/(Tabela3[[#This Row],[Lucro/Ação]]/[Ref]*4),0)</f>
        <v>17.629850126730357</v>
      </c>
      <c r="AQ316" s="78">
        <f>[Lucro Distribuir]/[Total Ações]</f>
        <v>0.53347021854372723</v>
      </c>
      <c r="AR316" s="78">
        <f>IF([Unit ON]&gt;0,SUMPRODUCT(N([Nome]=Tabela3[[#This Row],[Nome]]),N(RIGHT([PAPEL],1)="3"),[Div Base])*[Unit ON]+SUMPRODUCT(N([Nome]=Tabela3[[#This Row],[Nome]]),N(RIGHT([PAPEL],1)="4"),[Div Base])*[Unit PN],[Div Base])</f>
        <v>0.1421397813492358</v>
      </c>
      <c r="AS316" s="15" t="str">
        <f>IF(AND([% A.A.]&gt;=6%,SUMPRODUCT(N([Nome]=Tabela3[[#This Row],[Nome]]),[PL])&gt;0,[Rentabilidade s/ PL]&gt;=[Rentabilidade s/ PL Média]),"Sim","Não")</f>
        <v>Não</v>
      </c>
      <c r="AT316" s="42">
        <f>IF([Cotação]&gt;0,Tabela3[[#This Row],[Lucro]]/Tabela3[[#This Row],[Cotação]],0)</f>
        <v>1.0768165253729985E-2</v>
      </c>
      <c r="AU316" s="19">
        <f>((1+Tabela3[[#This Row],[% Yield]])^(1/(3*Tabela3[[#This Row],[Ref]])))^(12)-1</f>
        <v>1.4383259705623486E-2</v>
      </c>
      <c r="AV316" s="14">
        <f>IF([Cotação]&gt;0,($BH$1/Tabela3[[#This Row],[Cotação]]-MOD($BH$1/Tabela3[[#This Row],[Cotação]],100)),)</f>
        <v>0</v>
      </c>
      <c r="AW316" s="17">
        <f>Tabela3[[#This Row],[Ativos]]*[Lucro]</f>
        <v>0</v>
      </c>
      <c r="AX316" s="5">
        <f>SUMPRODUCT(N(Tabela1[Código]=Tabela3[[#This Row],[PAPEL]]),Tabela1[Fechamento])</f>
        <v>0</v>
      </c>
      <c r="AY316" s="5">
        <f>SUMPRODUCT(N(Tabela17[Código]=Tabela3[[#This Row],[PAPEL]]),Tabela17[Fechamento])</f>
        <v>13.2</v>
      </c>
      <c r="AZ316" s="7">
        <f>SUMPRODUCT(N(Tabela176[Código]=Tabela3[[#This Row],[PAPEL]]),Tabela176[Fechamento])</f>
        <v>0</v>
      </c>
      <c r="BA316" s="7">
        <f>SUMPRODUCT(N(Tabela1768[Código]=Tabela3[[#This Row],[PAPEL]]),Tabela1768[Fechamento])</f>
        <v>0</v>
      </c>
      <c r="BB316" s="7">
        <f>SUMPRODUCT(N(Tabela17683[Código]=Tabela3[[#This Row],[PAPEL]]),Tabela17683[Fechamento])</f>
        <v>0</v>
      </c>
    </row>
    <row r="317" spans="1:54" hidden="1">
      <c r="A317" s="3" t="s">
        <v>296</v>
      </c>
      <c r="B317" s="58" t="s">
        <v>719</v>
      </c>
      <c r="C317" s="83" t="str">
        <f>LEFT([PAPEL],LEN([PAPEL])-(LEN([PAPEL])-4))</f>
        <v>HBTS</v>
      </c>
      <c r="D317" s="16">
        <v>3</v>
      </c>
      <c r="E317" s="6">
        <v>127181809.47</v>
      </c>
      <c r="F317" s="56">
        <v>30596</v>
      </c>
      <c r="G317" s="81">
        <v>0.25</v>
      </c>
      <c r="H317" s="16"/>
      <c r="J317" s="18">
        <v>0.1</v>
      </c>
      <c r="K317" s="87"/>
      <c r="L317" s="87"/>
      <c r="M317" s="54"/>
      <c r="N317" s="54"/>
      <c r="O317" s="54"/>
      <c r="P317" s="5">
        <v>500173000</v>
      </c>
      <c r="Q317" s="5">
        <v>5129000</v>
      </c>
      <c r="R317" s="5">
        <f>IF(Tabela3[[#This Row],[Ativo || Passivo]]&gt;0,Tabela3[[#This Row],[Ativo || Passivo]]-Tabela3[[#This Row],[Patrimônio Líquido]],0)</f>
        <v>0</v>
      </c>
      <c r="S317" s="5">
        <f>Tabela3[[#This Row],[Cotação]]*Tabela3[[#This Row],[Total Ações]]</f>
        <v>0</v>
      </c>
      <c r="T317" s="130">
        <f>IF(Tabela3[[#This Row],[Passivo Circulante]]&gt;0,Tabela3[[#This Row],[Ativo Circulante]]/Tabela3[[#This Row],[Passivo Circulante]],0)</f>
        <v>0</v>
      </c>
      <c r="U317" s="130">
        <f>SUMPRODUCT(N([Liquidez Corrente]&gt;0),N(RIGHT([PAPEL],LEN([PAPEL])-(LEN([PAPEL])-1))="3"),[Liquidez Corrente])/SUMPRODUCT(N([Liquidez Corrente]&gt;0),N(RIGHT([PAPEL],LEN([PAPEL])-(LEN([PAPEL])-1))="3"))</f>
        <v>2.331224473064915</v>
      </c>
      <c r="V317" s="18">
        <f>IF(Tabela3[[#This Row],[Lucro Líquido]]&gt;0,Tabela3[[#This Row],[Lucro Líquido]]/Tabela3[[#This Row],[Patrimônio Líquido]],0)</f>
        <v>1.0254451959621972E-2</v>
      </c>
      <c r="W317" s="18">
        <f>SUMPRODUCT(N([Rentabilidade s/ PL]&gt;0),N(RIGHT([PAPEL],LEN([PAPEL])-(LEN([PAPEL])-1))="3"),[Rentabilidade s/ PL])/SUMPRODUCT(N([Rentabilidade s/ PL]&gt;0),N(RIGHT([PAPEL],LEN([PAPEL])-(LEN([PAPEL])-1))="3"))</f>
        <v>0.1261051308670782</v>
      </c>
      <c r="X317" s="18">
        <f>IF(Tabela3[[#This Row],[Dívida]]&gt;0,Tabela3[[#This Row],[Dívida]]/Tabela3[[#This Row],[Patrimônio Líquido]],0)</f>
        <v>0</v>
      </c>
      <c r="Y317" s="18">
        <f>SUMPRODUCT(N([Dívida / PL]&gt;0),N(RIGHT([PAPEL],LEN([PAPEL])-(LEN([PAPEL])-1))="3"),[Dívida / PL])/SUMPRODUCT(N([Dívida / PL]&gt;0),N(RIGHT([PAPEL],LEN([PAPEL])-(LEN([PAPEL])-1))="3"))</f>
        <v>2.1510410379481146</v>
      </c>
      <c r="Z317" s="5">
        <f>Tabela3[[#This Row],[Capital Social]]*20%</f>
        <v>25436361.894000001</v>
      </c>
      <c r="AA317" s="5">
        <f>IF(([Lucro Líquido]*5%)&gt;[Teto R. Legal],[Teto R. Legal],[Lucro Líquido]*5%)</f>
        <v>256450</v>
      </c>
      <c r="AB317" s="5">
        <f>IF([Lucro Líquido]&lt;0,0,[Lucro Líquido]-[Reserva Legal])</f>
        <v>4872550</v>
      </c>
      <c r="AC317" s="5">
        <f>Tabela3[[#This Row],[Lucro Distribuir]]*[%Div]</f>
        <v>1218137.5</v>
      </c>
      <c r="AD317" s="56">
        <f>SUMPRODUCT(N([Nome]=Tabela3[[#This Row],[Nome]]),[Ações])</f>
        <v>9133687</v>
      </c>
      <c r="AE317" s="5">
        <f>[Capital Social]/[Total Ações]</f>
        <v>13.924476443083718</v>
      </c>
      <c r="AF317" s="77">
        <f>Tabela3[[#This Row],[Lucro Líquido]]/Tabela3[[#This Row],[Total Ações]]</f>
        <v>0.56154759846708124</v>
      </c>
      <c r="AG317" s="77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0.1421397813492358</v>
      </c>
      <c r="AH317" s="77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317" s="77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317" s="77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0.1421397813492358</v>
      </c>
      <c r="AK317" s="5">
        <f>[Div Base]*[Ações]</f>
        <v>4348.9087501612184</v>
      </c>
      <c r="AL317" s="5">
        <f>SUMPRODUCT(N([Nome]=Tabela3[[#This Row],[Nome]]),[Div Base]*[Ações])</f>
        <v>1257520.8920246579</v>
      </c>
      <c r="AM317" s="5">
        <f>[Patrimônio Líquido]/[Total Ações]</f>
        <v>54.761346650043954</v>
      </c>
      <c r="AN317" s="52">
        <f>MAX(Tabela3[[#This Row],[Cotação 1]:[Cotação 5]])</f>
        <v>0</v>
      </c>
      <c r="AO317" s="53">
        <f>[Cotação]/[VPA]</f>
        <v>0</v>
      </c>
      <c r="AP317" s="37">
        <f>IF(Tabela3[[#This Row],[Lucro/Ação]]&gt;0,Tabela3[[#This Row],[Cotação]]/(Tabela3[[#This Row],[Lucro/Ação]]/[Ref]*4),0)</f>
        <v>0</v>
      </c>
      <c r="AQ317" s="77">
        <f>[Lucro Distribuir]/[Total Ações]</f>
        <v>0.53347021854372723</v>
      </c>
      <c r="AR317" s="77">
        <f>IF([Unit ON]&gt;0,SUMPRODUCT(N([Nome]=Tabela3[[#This Row],[Nome]]),N(RIGHT([PAPEL],1)="3"),[Div Base])*[Unit ON]+SUMPRODUCT(N([Nome]=Tabela3[[#This Row],[Nome]]),N(RIGHT([PAPEL],1)="4"),[Div Base])*[Unit PN],[Div Base])</f>
        <v>0.1421397813492358</v>
      </c>
      <c r="AS317" s="16" t="str">
        <f>IF(AND([% A.A.]&gt;=6%,SUMPRODUCT(N([Nome]=Tabela3[[#This Row],[Nome]]),[PL])&gt;0,[Rentabilidade s/ PL]&gt;=[Rentabilidade s/ PL Média]),"Sim","Não")</f>
        <v>Não</v>
      </c>
      <c r="AT317" s="22">
        <f>IF([Cotação]&gt;0,Tabela3[[#This Row],[Lucro]]/Tabela3[[#This Row],[Cotação]],0)</f>
        <v>0</v>
      </c>
      <c r="AU317" s="18">
        <f>((1+Tabela3[[#This Row],[% Yield]])^(1/(3*Tabela3[[#This Row],[Ref]])))^(12)-1</f>
        <v>0</v>
      </c>
      <c r="AV317" s="10">
        <f>IF([Cotação]&gt;0,($BH$1/Tabela3[[#This Row],[Cotação]]-MOD($BH$1/Tabela3[[#This Row],[Cotação]],100)),)</f>
        <v>0</v>
      </c>
      <c r="AW317" s="7">
        <f>Tabela3[[#This Row],[Ativos]]*[Lucro]</f>
        <v>0</v>
      </c>
      <c r="AX317" s="47">
        <f>SUMPRODUCT(N(Tabela1[Código]=Tabela3[[#This Row],[PAPEL]]),Tabela1[Fechamento])</f>
        <v>0</v>
      </c>
      <c r="AY317" s="54">
        <f>SUMPRODUCT(N(Tabela17[Código]=Tabela3[[#This Row],[PAPEL]]),Tabela17[Fechamento])</f>
        <v>0</v>
      </c>
      <c r="AZ317" s="7">
        <f>SUMPRODUCT(N(Tabela176[Código]=Tabela3[[#This Row],[PAPEL]]),Tabela176[Fechamento])</f>
        <v>0</v>
      </c>
      <c r="BA317" s="7">
        <f>SUMPRODUCT(N(Tabela1768[Código]=Tabela3[[#This Row],[PAPEL]]),Tabela1768[Fechamento])</f>
        <v>0</v>
      </c>
      <c r="BB317" s="7">
        <f>SUMPRODUCT(N(Tabela17683[Código]=Tabela3[[#This Row],[PAPEL]]),Tabela17683[Fechamento])</f>
        <v>0</v>
      </c>
    </row>
    <row r="318" spans="1:54" hidden="1">
      <c r="A318" s="4" t="s">
        <v>12</v>
      </c>
      <c r="B318" s="60" t="s">
        <v>164</v>
      </c>
      <c r="C318" s="14" t="str">
        <f>LEFT([PAPEL],LEN([PAPEL])-(LEN([PAPEL])-4))</f>
        <v>LIPR</v>
      </c>
      <c r="D318" s="15">
        <v>3</v>
      </c>
      <c r="E318" s="6">
        <v>118054887.48</v>
      </c>
      <c r="F318" s="8">
        <v>11764889</v>
      </c>
      <c r="G318" s="86">
        <v>0.25</v>
      </c>
      <c r="H318" s="15"/>
      <c r="I318" s="19"/>
      <c r="J318" s="19"/>
      <c r="K318" s="88"/>
      <c r="L318" s="88"/>
      <c r="M318" s="55"/>
      <c r="N318" s="55"/>
      <c r="O318" s="55"/>
      <c r="P318" s="89">
        <v>143016000</v>
      </c>
      <c r="Q318" s="89">
        <v>5000000</v>
      </c>
      <c r="R318" s="89">
        <f>IF(Tabela3[[#This Row],[Ativo || Passivo]]&gt;0,Tabela3[[#This Row],[Ativo || Passivo]]-Tabela3[[#This Row],[Patrimônio Líquido]],0)</f>
        <v>0</v>
      </c>
      <c r="S318" s="89">
        <f>Tabela3[[#This Row],[Cotação]]*Tabela3[[#This Row],[Total Ações]]</f>
        <v>585656174.41999996</v>
      </c>
      <c r="T318" s="132">
        <f>IF(Tabela3[[#This Row],[Passivo Circulante]]&gt;0,Tabela3[[#This Row],[Ativo Circulante]]/Tabela3[[#This Row],[Passivo Circulante]],0)</f>
        <v>0</v>
      </c>
      <c r="U318" s="132">
        <f>SUMPRODUCT(N([Liquidez Corrente]&gt;0),N(RIGHT([PAPEL],LEN([PAPEL])-(LEN([PAPEL])-1))="3"),[Liquidez Corrente])/SUMPRODUCT(N([Liquidez Corrente]&gt;0),N(RIGHT([PAPEL],LEN([PAPEL])-(LEN([PAPEL])-1))="3"))</f>
        <v>2.331224473064915</v>
      </c>
      <c r="V318" s="19">
        <f>IF(Tabela3[[#This Row],[Lucro Líquido]]&gt;0,Tabela3[[#This Row],[Lucro Líquido]]/Tabela3[[#This Row],[Patrimônio Líquido]],0)</f>
        <v>3.4961123230967166E-2</v>
      </c>
      <c r="W318" s="19">
        <f>SUMPRODUCT(N([Rentabilidade s/ PL]&gt;0),N(RIGHT([PAPEL],LEN([PAPEL])-(LEN([PAPEL])-1))="3"),[Rentabilidade s/ PL])/SUMPRODUCT(N([Rentabilidade s/ PL]&gt;0),N(RIGHT([PAPEL],LEN([PAPEL])-(LEN([PAPEL])-1))="3"))</f>
        <v>0.1261051308670782</v>
      </c>
      <c r="X318" s="19">
        <f>IF(Tabela3[[#This Row],[Dívida]]&gt;0,Tabela3[[#This Row],[Dívida]]/Tabela3[[#This Row],[Patrimônio Líquido]],0)</f>
        <v>0</v>
      </c>
      <c r="Y318" s="19">
        <f>SUMPRODUCT(N([Dívida / PL]&gt;0),N(RIGHT([PAPEL],LEN([PAPEL])-(LEN([PAPEL])-1))="3"),[Dívida / PL])/SUMPRODUCT(N([Dívida / PL]&gt;0),N(RIGHT([PAPEL],LEN([PAPEL])-(LEN([PAPEL])-1))="3"))</f>
        <v>2.1510410379481146</v>
      </c>
      <c r="Z318" s="6">
        <f>Tabela3[[#This Row],[Capital Social]]*20%</f>
        <v>23610977.496000003</v>
      </c>
      <c r="AA318" s="6">
        <f>IF(([Lucro Líquido]*5%)&gt;[Teto R. Legal],[Teto R. Legal],[Lucro Líquido]*5%)</f>
        <v>250000</v>
      </c>
      <c r="AB318" s="89">
        <f>IF([Lucro Líquido]&lt;0,0,[Lucro Líquido]-[Reserva Legal])</f>
        <v>4750000</v>
      </c>
      <c r="AC318" s="89">
        <f>Tabela3[[#This Row],[Lucro Distribuir]]*[%Div]</f>
        <v>1187500</v>
      </c>
      <c r="AD318" s="56">
        <f>SUMPRODUCT(N([Nome]=Tabela3[[#This Row],[Nome]]),[Ações])</f>
        <v>11764889</v>
      </c>
      <c r="AE318" s="6">
        <f>[Capital Social]/[Total Ações]</f>
        <v>10.034509248663545</v>
      </c>
      <c r="AF318" s="78">
        <f>Tabela3[[#This Row],[Lucro Líquido]]/Tabela3[[#This Row],[Total Ações]]</f>
        <v>0.4249933849779628</v>
      </c>
      <c r="AG318" s="78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0.10093592893226618</v>
      </c>
      <c r="AH318" s="78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318" s="78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318" s="78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0.10093592893226618</v>
      </c>
      <c r="AK318" s="6">
        <f>[Div Base]*[Ações]</f>
        <v>1187500</v>
      </c>
      <c r="AL318" s="6">
        <f>SUMPRODUCT(N([Nome]=Tabela3[[#This Row],[Nome]]),[Div Base]*[Ações])</f>
        <v>1187500</v>
      </c>
      <c r="AM318" s="6">
        <f>[Patrimônio Líquido]/[Total Ações]</f>
        <v>12.156170789201665</v>
      </c>
      <c r="AN318" s="48">
        <f>MAX(Tabela3[[#This Row],[Cotação 1]:[Cotação 5]])</f>
        <v>49.78</v>
      </c>
      <c r="AO318" s="44">
        <f>[Cotação]/[VPA]</f>
        <v>4.095039536974884</v>
      </c>
      <c r="AP318" s="40">
        <f>IF(Tabela3[[#This Row],[Lucro/Ação]]&gt;0,Tabela3[[#This Row],[Cotação]]/(Tabela3[[#This Row],[Lucro/Ação]]/[Ref]*4),0)</f>
        <v>87.848426163000013</v>
      </c>
      <c r="AQ318" s="78">
        <f>[Lucro Distribuir]/[Total Ações]</f>
        <v>0.4037437157290647</v>
      </c>
      <c r="AR318" s="78">
        <f>IF([Unit ON]&gt;0,SUMPRODUCT(N([Nome]=Tabela3[[#This Row],[Nome]]),N(RIGHT([PAPEL],1)="3"),[Div Base])*[Unit ON]+SUMPRODUCT(N([Nome]=Tabela3[[#This Row],[Nome]]),N(RIGHT([PAPEL],1)="4"),[Div Base])*[Unit PN],[Div Base])</f>
        <v>0.10093592893226618</v>
      </c>
      <c r="AS318" s="15" t="str">
        <f>IF(AND([% A.A.]&gt;=6%,SUMPRODUCT(N([Nome]=Tabela3[[#This Row],[Nome]]),[PL])&gt;0,[Rentabilidade s/ PL]&gt;=[Rentabilidade s/ PL Média]),"Sim","Não")</f>
        <v>Não</v>
      </c>
      <c r="AT318" s="42">
        <f>IF([Cotação]&gt;0,Tabela3[[#This Row],[Lucro]]/Tabela3[[#This Row],[Cotação]],0)</f>
        <v>2.0276401955055478E-3</v>
      </c>
      <c r="AU318" s="19">
        <f>((1+Tabela3[[#This Row],[% Yield]])^(1/(3*Tabela3[[#This Row],[Ref]])))^(12)-1</f>
        <v>2.7044334770780498E-3</v>
      </c>
      <c r="AV318" s="14">
        <f>IF([Cotação]&gt;0,($BH$1/Tabela3[[#This Row],[Cotação]]-MOD($BH$1/Tabela3[[#This Row],[Cotação]],100)),)</f>
        <v>0</v>
      </c>
      <c r="AW318" s="17">
        <f>Tabela3[[#This Row],[Ativos]]*[Lucro]</f>
        <v>0</v>
      </c>
      <c r="AX318" s="5">
        <f>SUMPRODUCT(N(Tabela1[Código]=Tabela3[[#This Row],[PAPEL]]),Tabela1[Fechamento])</f>
        <v>49.78</v>
      </c>
      <c r="AY318" s="5">
        <f>SUMPRODUCT(N(Tabela17[Código]=Tabela3[[#This Row],[PAPEL]]),Tabela17[Fechamento])</f>
        <v>0</v>
      </c>
      <c r="AZ318" s="7">
        <f>SUMPRODUCT(N(Tabela176[Código]=Tabela3[[#This Row],[PAPEL]]),Tabela176[Fechamento])</f>
        <v>0</v>
      </c>
      <c r="BA318" s="7">
        <f>SUMPRODUCT(N(Tabela1768[Código]=Tabela3[[#This Row],[PAPEL]]),Tabela1768[Fechamento])</f>
        <v>0</v>
      </c>
      <c r="BB318" s="7">
        <f>SUMPRODUCT(N(Tabela17683[Código]=Tabela3[[#This Row],[PAPEL]]),Tabela17683[Fechamento])</f>
        <v>0</v>
      </c>
    </row>
    <row r="319" spans="1:54" hidden="1">
      <c r="A319" s="3" t="s">
        <v>1283</v>
      </c>
      <c r="B319" s="57" t="s">
        <v>1270</v>
      </c>
      <c r="C319" s="16" t="str">
        <f>LEFT([PAPEL],LEN([PAPEL])-(LEN([PAPEL])-4))</f>
        <v>SOND</v>
      </c>
      <c r="D319" s="16">
        <v>3</v>
      </c>
      <c r="E319" s="5">
        <v>34200000</v>
      </c>
      <c r="F319" s="56">
        <v>856000</v>
      </c>
      <c r="G319" s="81">
        <v>0.25</v>
      </c>
      <c r="H319" s="87"/>
      <c r="J319" s="18"/>
      <c r="K319" s="16"/>
      <c r="L319" s="87"/>
      <c r="M319" s="54"/>
      <c r="N319" s="54"/>
      <c r="O319" s="54"/>
      <c r="P319" s="91">
        <v>89835000</v>
      </c>
      <c r="Q319" s="73">
        <v>4840000</v>
      </c>
      <c r="R319" s="73">
        <f>IF(Tabela3[[#This Row],[Ativo || Passivo]]&gt;0,Tabela3[[#This Row],[Ativo || Passivo]]-Tabela3[[#This Row],[Patrimônio Líquido]],0)</f>
        <v>0</v>
      </c>
      <c r="S319" s="73">
        <f>Tabela3[[#This Row],[Cotação]]*Tabela3[[#This Row],[Total Ações]]</f>
        <v>103231800</v>
      </c>
      <c r="T319" s="37">
        <f>IF(Tabela3[[#This Row],[Passivo Circulante]]&gt;0,Tabela3[[#This Row],[Ativo Circulante]]/Tabela3[[#This Row],[Passivo Circulante]],0)</f>
        <v>0</v>
      </c>
      <c r="U319" s="37">
        <f>SUMPRODUCT(N([Liquidez Corrente]&gt;0),N(RIGHT([PAPEL],LEN([PAPEL])-(LEN([PAPEL])-1))="3"),[Liquidez Corrente])/SUMPRODUCT(N([Liquidez Corrente]&gt;0),N(RIGHT([PAPEL],LEN([PAPEL])-(LEN([PAPEL])-1))="3"))</f>
        <v>2.331224473064915</v>
      </c>
      <c r="V319" s="18">
        <f>IF(Tabela3[[#This Row],[Lucro Líquido]]&gt;0,Tabela3[[#This Row],[Lucro Líquido]]/Tabela3[[#This Row],[Patrimônio Líquido]],0)</f>
        <v>5.3876551455446092E-2</v>
      </c>
      <c r="W319" s="18">
        <f>SUMPRODUCT(N([Rentabilidade s/ PL]&gt;0),N(RIGHT([PAPEL],LEN([PAPEL])-(LEN([PAPEL])-1))="3"),[Rentabilidade s/ PL])/SUMPRODUCT(N([Rentabilidade s/ PL]&gt;0),N(RIGHT([PAPEL],LEN([PAPEL])-(LEN([PAPEL])-1))="3"))</f>
        <v>0.1261051308670782</v>
      </c>
      <c r="X319" s="18">
        <f>IF(Tabela3[[#This Row],[Dívida]]&gt;0,Tabela3[[#This Row],[Dívida]]/Tabela3[[#This Row],[Patrimônio Líquido]],0)</f>
        <v>0</v>
      </c>
      <c r="Y319" s="18">
        <f>SUMPRODUCT(N([Dívida / PL]&gt;0),N(RIGHT([PAPEL],LEN([PAPEL])-(LEN([PAPEL])-1))="3"),[Dívida / PL])/SUMPRODUCT(N([Dívida / PL]&gt;0),N(RIGHT([PAPEL],LEN([PAPEL])-(LEN([PAPEL])-1))="3"))</f>
        <v>2.1510410379481146</v>
      </c>
      <c r="Z319" s="7">
        <f>Tabela3[[#This Row],[Capital Social]]*20%</f>
        <v>6840000</v>
      </c>
      <c r="AA319" s="47">
        <f>IF(([Lucro Líquido]*5%)&gt;[Teto R. Legal],[Teto R. Legal],[Lucro Líquido]*5%)</f>
        <v>242000</v>
      </c>
      <c r="AB319" s="47">
        <f>IF([Lucro Líquido]&lt;0,0,[Lucro Líquido]-[Reserva Legal])</f>
        <v>4598000</v>
      </c>
      <c r="AC319" s="47">
        <f>Tabela3[[#This Row],[Lucro Distribuir]]*[%Div]</f>
        <v>1149500</v>
      </c>
      <c r="AD319" s="56">
        <f>SUMPRODUCT(N([Nome]=Tabela3[[#This Row],[Nome]]),[Ações])</f>
        <v>2457900</v>
      </c>
      <c r="AE319" s="85">
        <f>[Capital Social]/[Total Ações]</f>
        <v>13.914317099963384</v>
      </c>
      <c r="AF319" s="85">
        <f>Tabela3[[#This Row],[Lucro Líquido]]/Tabela3[[#This Row],[Total Ações]]</f>
        <v>1.9691606656088532</v>
      </c>
      <c r="AG319" s="85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0.45312448997571098</v>
      </c>
      <c r="AH319" s="85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319" s="77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319" s="85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</v>
      </c>
      <c r="AK319" s="7">
        <f>[Div Base]*[Ações]</f>
        <v>0</v>
      </c>
      <c r="AL319" s="120">
        <f>SUMPRODUCT(N([Nome]=Tabela3[[#This Row],[Nome]]),[Div Base]*[Ações])</f>
        <v>2228934.4562431341</v>
      </c>
      <c r="AM319" s="5">
        <f>[Patrimônio Líquido]/[Total Ações]</f>
        <v>36.549493470035394</v>
      </c>
      <c r="AN319" s="52">
        <f>MAX(Tabela3[[#This Row],[Cotação 1]:[Cotação 5]])</f>
        <v>42</v>
      </c>
      <c r="AO319" s="53">
        <f>[Cotação]/[VPA]</f>
        <v>1.1491267323426282</v>
      </c>
      <c r="AP319" s="37">
        <f>IF(Tabela3[[#This Row],[Lucro/Ação]]&gt;0,Tabela3[[#This Row],[Cotação]]/(Tabela3[[#This Row],[Lucro/Ação]]/[Ref]*4),0)</f>
        <v>15.996663223140496</v>
      </c>
      <c r="AQ319" s="85">
        <f>[Lucro Distribuir]/[Total Ações]</f>
        <v>1.8707026323284104</v>
      </c>
      <c r="AR319" s="85">
        <f>IF([Unit ON]&gt;0,SUMPRODUCT(N([Nome]=Tabela3[[#This Row],[Nome]]),N(RIGHT([PAPEL],1)="3"),[Div Base])*[Unit ON]+SUMPRODUCT(N([Nome]=Tabela3[[#This Row],[Nome]]),N(RIGHT([PAPEL],1)="4"),[Div Base])*[Unit PN],[Div Base])</f>
        <v>0</v>
      </c>
      <c r="AS319" s="10" t="str">
        <f>IF(AND([% A.A.]&gt;=6%,SUMPRODUCT(N([Nome]=Tabela3[[#This Row],[Nome]]),[PL])&gt;0,[Rentabilidade s/ PL]&gt;=[Rentabilidade s/ PL Média]),"Sim","Não")</f>
        <v>Não</v>
      </c>
      <c r="AT319" s="22">
        <f>IF([Cotação]&gt;0,Tabela3[[#This Row],[Lucro]]/Tabela3[[#This Row],[Cotação]],0)</f>
        <v>0</v>
      </c>
      <c r="AU319" s="22">
        <f>((1+Tabela3[[#This Row],[% Yield]])^(1/(3*Tabela3[[#This Row],[Ref]])))^(12)-1</f>
        <v>0</v>
      </c>
      <c r="AV319" s="10">
        <f>IF([Cotação]&gt;0,($BH$1/Tabela3[[#This Row],[Cotação]]-MOD($BH$1/Tabela3[[#This Row],[Cotação]],100)),)</f>
        <v>0</v>
      </c>
      <c r="AW319" s="7">
        <f>Tabela3[[#This Row],[Ativos]]*[Lucro]</f>
        <v>0</v>
      </c>
      <c r="AX319" s="7">
        <f>SUMPRODUCT(N(Tabela1[Código]=Tabela3[[#This Row],[PAPEL]]),Tabela1[Fechamento])</f>
        <v>0</v>
      </c>
      <c r="AY319" s="7">
        <f>SUMPRODUCT(N(Tabela17[Código]=Tabela3[[#This Row],[PAPEL]]),Tabela17[Fechamento])</f>
        <v>0</v>
      </c>
      <c r="AZ319" s="7">
        <f>SUMPRODUCT(N(Tabela176[Código]=Tabela3[[#This Row],[PAPEL]]),Tabela176[Fechamento])</f>
        <v>0</v>
      </c>
      <c r="BA319" s="7">
        <f>SUMPRODUCT(N(Tabela1768[Código]=Tabela3[[#This Row],[PAPEL]]),Tabela1768[Fechamento])</f>
        <v>0</v>
      </c>
      <c r="BB319" s="7">
        <f>SUMPRODUCT(N(Tabela17683[Código]=Tabela3[[#This Row],[PAPEL]]),Tabela17683[Fechamento])</f>
        <v>42</v>
      </c>
    </row>
    <row r="320" spans="1:54" hidden="1">
      <c r="A320" s="3" t="s">
        <v>1283</v>
      </c>
      <c r="B320" s="57" t="s">
        <v>1271</v>
      </c>
      <c r="C320" s="16" t="str">
        <f>LEFT([PAPEL],LEN([PAPEL])-(LEN([PAPEL])-4))</f>
        <v>SOND</v>
      </c>
      <c r="D320" s="16">
        <v>3</v>
      </c>
      <c r="E320" s="5">
        <v>34200000</v>
      </c>
      <c r="F320" s="56">
        <v>784600</v>
      </c>
      <c r="G320" s="81">
        <v>0.25</v>
      </c>
      <c r="H320" s="87"/>
      <c r="I320" s="18">
        <v>0.1</v>
      </c>
      <c r="J320" s="18">
        <v>0.1</v>
      </c>
      <c r="K320" s="16"/>
      <c r="L320" s="87"/>
      <c r="M320" s="54"/>
      <c r="N320" s="54"/>
      <c r="O320" s="54"/>
      <c r="P320" s="91">
        <v>89835000</v>
      </c>
      <c r="Q320" s="73">
        <v>4840000</v>
      </c>
      <c r="R320" s="73">
        <f>IF(Tabela3[[#This Row],[Ativo || Passivo]]&gt;0,Tabela3[[#This Row],[Ativo || Passivo]]-Tabela3[[#This Row],[Patrimônio Líquido]],0)</f>
        <v>0</v>
      </c>
      <c r="S320" s="73">
        <f>Tabela3[[#This Row],[Cotação]]*Tabela3[[#This Row],[Total Ações]]</f>
        <v>100773900</v>
      </c>
      <c r="T320" s="37">
        <f>IF(Tabela3[[#This Row],[Passivo Circulante]]&gt;0,Tabela3[[#This Row],[Ativo Circulante]]/Tabela3[[#This Row],[Passivo Circulante]],0)</f>
        <v>0</v>
      </c>
      <c r="U320" s="37">
        <f>SUMPRODUCT(N([Liquidez Corrente]&gt;0),N(RIGHT([PAPEL],LEN([PAPEL])-(LEN([PAPEL])-1))="3"),[Liquidez Corrente])/SUMPRODUCT(N([Liquidez Corrente]&gt;0),N(RIGHT([PAPEL],LEN([PAPEL])-(LEN([PAPEL])-1))="3"))</f>
        <v>2.331224473064915</v>
      </c>
      <c r="V320" s="18">
        <f>IF(Tabela3[[#This Row],[Lucro Líquido]]&gt;0,Tabela3[[#This Row],[Lucro Líquido]]/Tabela3[[#This Row],[Patrimônio Líquido]],0)</f>
        <v>5.3876551455446092E-2</v>
      </c>
      <c r="W320" s="18">
        <f>SUMPRODUCT(N([Rentabilidade s/ PL]&gt;0),N(RIGHT([PAPEL],LEN([PAPEL])-(LEN([PAPEL])-1))="3"),[Rentabilidade s/ PL])/SUMPRODUCT(N([Rentabilidade s/ PL]&gt;0),N(RIGHT([PAPEL],LEN([PAPEL])-(LEN([PAPEL])-1))="3"))</f>
        <v>0.1261051308670782</v>
      </c>
      <c r="X320" s="18">
        <f>IF(Tabela3[[#This Row],[Dívida]]&gt;0,Tabela3[[#This Row],[Dívida]]/Tabela3[[#This Row],[Patrimônio Líquido]],0)</f>
        <v>0</v>
      </c>
      <c r="Y320" s="18">
        <f>SUMPRODUCT(N([Dívida / PL]&gt;0),N(RIGHT([PAPEL],LEN([PAPEL])-(LEN([PAPEL])-1))="3"),[Dívida / PL])/SUMPRODUCT(N([Dívida / PL]&gt;0),N(RIGHT([PAPEL],LEN([PAPEL])-(LEN([PAPEL])-1))="3"))</f>
        <v>2.1510410379481146</v>
      </c>
      <c r="Z320" s="7">
        <f>Tabela3[[#This Row],[Capital Social]]*20%</f>
        <v>6840000</v>
      </c>
      <c r="AA320" s="47">
        <f>IF(([Lucro Líquido]*5%)&gt;[Teto R. Legal],[Teto R. Legal],[Lucro Líquido]*5%)</f>
        <v>242000</v>
      </c>
      <c r="AB320" s="47">
        <f>IF([Lucro Líquido]&lt;0,0,[Lucro Líquido]-[Reserva Legal])</f>
        <v>4598000</v>
      </c>
      <c r="AC320" s="47">
        <f>Tabela3[[#This Row],[Lucro Distribuir]]*[%Div]</f>
        <v>1149500</v>
      </c>
      <c r="AD320" s="56">
        <f>SUMPRODUCT(N([Nome]=Tabela3[[#This Row],[Nome]]),[Ações])</f>
        <v>2457900</v>
      </c>
      <c r="AE320" s="85">
        <f>[Capital Social]/[Total Ações]</f>
        <v>13.914317099963384</v>
      </c>
      <c r="AF320" s="85">
        <f>Tabela3[[#This Row],[Lucro Líquido]]/Tabela3[[#This Row],[Total Ações]]</f>
        <v>1.9691606656088532</v>
      </c>
      <c r="AG320" s="85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0.49843693965608854</v>
      </c>
      <c r="AH320" s="85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320" s="77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1.3914317099963383</v>
      </c>
      <c r="AJ320" s="85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1.3914317099963383</v>
      </c>
      <c r="AK320" s="7">
        <f>[Div Base]*[Ações]</f>
        <v>1091717.319663127</v>
      </c>
      <c r="AL320" s="120">
        <f>SUMPRODUCT(N([Nome]=Tabela3[[#This Row],[Nome]]),[Div Base]*[Ações])</f>
        <v>2228934.4562431341</v>
      </c>
      <c r="AM320" s="5">
        <f>[Patrimônio Líquido]/[Total Ações]</f>
        <v>36.549493470035394</v>
      </c>
      <c r="AN320" s="52">
        <f>MAX(Tabela3[[#This Row],[Cotação 1]:[Cotação 5]])</f>
        <v>41</v>
      </c>
      <c r="AO320" s="53">
        <f>[Cotação]/[VPA]</f>
        <v>1.1217665720487562</v>
      </c>
      <c r="AP320" s="37">
        <f>IF(Tabela3[[#This Row],[Lucro/Ação]]&gt;0,Tabela3[[#This Row],[Cotação]]/(Tabela3[[#This Row],[Lucro/Ação]]/[Ref]*4),0)</f>
        <v>15.615790289256198</v>
      </c>
      <c r="AQ320" s="85">
        <f>[Lucro Distribuir]/[Total Ações]</f>
        <v>1.8707026323284104</v>
      </c>
      <c r="AR320" s="85">
        <f>IF([Unit ON]&gt;0,SUMPRODUCT(N([Nome]=Tabela3[[#This Row],[Nome]]),N(RIGHT([PAPEL],1)="3"),[Div Base])*[Unit ON]+SUMPRODUCT(N([Nome]=Tabela3[[#This Row],[Nome]]),N(RIGHT([PAPEL],1)="4"),[Div Base])*[Unit PN],[Div Base])</f>
        <v>1.3914317099963383</v>
      </c>
      <c r="AS320" s="10" t="str">
        <f>IF(AND([% A.A.]&gt;=6%,SUMPRODUCT(N([Nome]=Tabela3[[#This Row],[Nome]]),[PL])&gt;0,[Rentabilidade s/ PL]&gt;=[Rentabilidade s/ PL Média]),"Sim","Não")</f>
        <v>Não</v>
      </c>
      <c r="AT320" s="22">
        <f>IF([Cotação]&gt;0,Tabela3[[#This Row],[Lucro]]/Tabela3[[#This Row],[Cotação]],0)</f>
        <v>3.3937358780398497E-2</v>
      </c>
      <c r="AU320" s="22">
        <f>((1+Tabela3[[#This Row],[% Yield]])^(1/(3*Tabela3[[#This Row],[Ref]])))^(12)-1</f>
        <v>4.5503851470041878E-2</v>
      </c>
      <c r="AV320" s="10">
        <f>IF([Cotação]&gt;0,($BH$1/Tabela3[[#This Row],[Cotação]]-MOD($BH$1/Tabela3[[#This Row],[Cotação]],100)),)</f>
        <v>0</v>
      </c>
      <c r="AW320" s="7">
        <f>Tabela3[[#This Row],[Ativos]]*[Lucro]</f>
        <v>0</v>
      </c>
      <c r="AX320" s="7">
        <f>SUMPRODUCT(N(Tabela1[Código]=Tabela3[[#This Row],[PAPEL]]),Tabela1[Fechamento])</f>
        <v>0</v>
      </c>
      <c r="AY320" s="7">
        <f>SUMPRODUCT(N(Tabela17[Código]=Tabela3[[#This Row],[PAPEL]]),Tabela17[Fechamento])</f>
        <v>0</v>
      </c>
      <c r="AZ320" s="7">
        <f>SUMPRODUCT(N(Tabela176[Código]=Tabela3[[#This Row],[PAPEL]]),Tabela176[Fechamento])</f>
        <v>0</v>
      </c>
      <c r="BA320" s="7">
        <f>SUMPRODUCT(N(Tabela1768[Código]=Tabela3[[#This Row],[PAPEL]]),Tabela1768[Fechamento])</f>
        <v>0</v>
      </c>
      <c r="BB320" s="7">
        <f>SUMPRODUCT(N(Tabela17683[Código]=Tabela3[[#This Row],[PAPEL]]),Tabela17683[Fechamento])</f>
        <v>41</v>
      </c>
    </row>
    <row r="321" spans="1:54" hidden="1">
      <c r="A321" s="3" t="s">
        <v>1283</v>
      </c>
      <c r="B321" s="57" t="s">
        <v>1272</v>
      </c>
      <c r="C321" s="16" t="str">
        <f>LEFT([PAPEL],LEN([PAPEL])-(LEN([PAPEL])-4))</f>
        <v>SOND</v>
      </c>
      <c r="D321" s="16">
        <v>3</v>
      </c>
      <c r="E321" s="5">
        <v>34200000</v>
      </c>
      <c r="F321" s="56">
        <v>817300</v>
      </c>
      <c r="G321" s="81">
        <v>0.25</v>
      </c>
      <c r="H321" s="87"/>
      <c r="I321" s="18">
        <v>0.1</v>
      </c>
      <c r="J321" s="18">
        <v>0.1</v>
      </c>
      <c r="K321" s="16"/>
      <c r="L321" s="87"/>
      <c r="M321" s="54"/>
      <c r="N321" s="54"/>
      <c r="O321" s="54"/>
      <c r="P321" s="91">
        <v>89835000</v>
      </c>
      <c r="Q321" s="73">
        <v>4840000</v>
      </c>
      <c r="R321" s="73">
        <f>IF(Tabela3[[#This Row],[Ativo || Passivo]]&gt;0,Tabela3[[#This Row],[Ativo || Passivo]]-Tabela3[[#This Row],[Patrimônio Líquido]],0)</f>
        <v>0</v>
      </c>
      <c r="S321" s="73">
        <f>Tabela3[[#This Row],[Cotação]]*Tabela3[[#This Row],[Total Ações]]</f>
        <v>108147600</v>
      </c>
      <c r="T321" s="37">
        <f>IF(Tabela3[[#This Row],[Passivo Circulante]]&gt;0,Tabela3[[#This Row],[Ativo Circulante]]/Tabela3[[#This Row],[Passivo Circulante]],0)</f>
        <v>0</v>
      </c>
      <c r="U321" s="37">
        <f>SUMPRODUCT(N([Liquidez Corrente]&gt;0),N(RIGHT([PAPEL],LEN([PAPEL])-(LEN([PAPEL])-1))="3"),[Liquidez Corrente])/SUMPRODUCT(N([Liquidez Corrente]&gt;0),N(RIGHT([PAPEL],LEN([PAPEL])-(LEN([PAPEL])-1))="3"))</f>
        <v>2.331224473064915</v>
      </c>
      <c r="V321" s="18">
        <f>IF(Tabela3[[#This Row],[Lucro Líquido]]&gt;0,Tabela3[[#This Row],[Lucro Líquido]]/Tabela3[[#This Row],[Patrimônio Líquido]],0)</f>
        <v>5.3876551455446092E-2</v>
      </c>
      <c r="W321" s="18">
        <f>SUMPRODUCT(N([Rentabilidade s/ PL]&gt;0),N(RIGHT([PAPEL],LEN([PAPEL])-(LEN([PAPEL])-1))="3"),[Rentabilidade s/ PL])/SUMPRODUCT(N([Rentabilidade s/ PL]&gt;0),N(RIGHT([PAPEL],LEN([PAPEL])-(LEN([PAPEL])-1))="3"))</f>
        <v>0.1261051308670782</v>
      </c>
      <c r="X321" s="18">
        <f>IF(Tabela3[[#This Row],[Dívida]]&gt;0,Tabela3[[#This Row],[Dívida]]/Tabela3[[#This Row],[Patrimônio Líquido]],0)</f>
        <v>0</v>
      </c>
      <c r="Y321" s="18">
        <f>SUMPRODUCT(N([Dívida / PL]&gt;0),N(RIGHT([PAPEL],LEN([PAPEL])-(LEN([PAPEL])-1))="3"),[Dívida / PL])/SUMPRODUCT(N([Dívida / PL]&gt;0),N(RIGHT([PAPEL],LEN([PAPEL])-(LEN([PAPEL])-1))="3"))</f>
        <v>2.1510410379481146</v>
      </c>
      <c r="Z321" s="7">
        <f>Tabela3[[#This Row],[Capital Social]]*20%</f>
        <v>6840000</v>
      </c>
      <c r="AA321" s="47">
        <f>IF(([Lucro Líquido]*5%)&gt;[Teto R. Legal],[Teto R. Legal],[Lucro Líquido]*5%)</f>
        <v>242000</v>
      </c>
      <c r="AB321" s="47">
        <f>IF([Lucro Líquido]&lt;0,0,[Lucro Líquido]-[Reserva Legal])</f>
        <v>4598000</v>
      </c>
      <c r="AC321" s="47">
        <f>Tabela3[[#This Row],[Lucro Distribuir]]*[%Div]</f>
        <v>1149500</v>
      </c>
      <c r="AD321" s="56">
        <f>SUMPRODUCT(N([Nome]=Tabela3[[#This Row],[Nome]]),[Ações])</f>
        <v>2457900</v>
      </c>
      <c r="AE321" s="85">
        <f>[Capital Social]/[Total Ações]</f>
        <v>13.914317099963384</v>
      </c>
      <c r="AF321" s="85">
        <f>Tabela3[[#This Row],[Lucro Líquido]]/Tabela3[[#This Row],[Total Ações]]</f>
        <v>1.9691606656088532</v>
      </c>
      <c r="AG321" s="85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0.49843693965608854</v>
      </c>
      <c r="AH321" s="85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321" s="77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1.3914317099963383</v>
      </c>
      <c r="AJ321" s="85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1.3914317099963383</v>
      </c>
      <c r="AK321" s="7">
        <f>[Div Base]*[Ações]</f>
        <v>1137217.1365800072</v>
      </c>
      <c r="AL321" s="120">
        <f>SUMPRODUCT(N([Nome]=Tabela3[[#This Row],[Nome]]),[Div Base]*[Ações])</f>
        <v>2228934.4562431341</v>
      </c>
      <c r="AM321" s="5">
        <f>[Patrimônio Líquido]/[Total Ações]</f>
        <v>36.549493470035394</v>
      </c>
      <c r="AN321" s="52">
        <f>MAX(Tabela3[[#This Row],[Cotação 1]:[Cotação 5]])</f>
        <v>44</v>
      </c>
      <c r="AO321" s="53">
        <f>[Cotação]/[VPA]</f>
        <v>1.2038470529303724</v>
      </c>
      <c r="AP321" s="37">
        <f>IF(Tabela3[[#This Row],[Lucro/Ação]]&gt;0,Tabela3[[#This Row],[Cotação]]/(Tabela3[[#This Row],[Lucro/Ação]]/[Ref]*4),0)</f>
        <v>16.75840909090909</v>
      </c>
      <c r="AQ321" s="85">
        <f>[Lucro Distribuir]/[Total Ações]</f>
        <v>1.8707026323284104</v>
      </c>
      <c r="AR321" s="85">
        <f>IF([Unit ON]&gt;0,SUMPRODUCT(N([Nome]=Tabela3[[#This Row],[Nome]]),N(RIGHT([PAPEL],1)="3"),[Div Base])*[Unit ON]+SUMPRODUCT(N([Nome]=Tabela3[[#This Row],[Nome]]),N(RIGHT([PAPEL],1)="4"),[Div Base])*[Unit PN],[Div Base])</f>
        <v>1.3914317099963383</v>
      </c>
      <c r="AS321" s="10" t="str">
        <f>IF(AND([% A.A.]&gt;=6%,SUMPRODUCT(N([Nome]=Tabela3[[#This Row],[Nome]]),[PL])&gt;0,[Rentabilidade s/ PL]&gt;=[Rentabilidade s/ PL Média]),"Sim","Não")</f>
        <v>Não</v>
      </c>
      <c r="AT321" s="22">
        <f>IF([Cotação]&gt;0,Tabela3[[#This Row],[Lucro]]/Tabela3[[#This Row],[Cotação]],0)</f>
        <v>3.162344795446223E-2</v>
      </c>
      <c r="AU321" s="22">
        <f>((1+Tabela3[[#This Row],[% Yield]])^(1/(3*Tabela3[[#This Row],[Ref]])))^(12)-1</f>
        <v>4.2385287449836717E-2</v>
      </c>
      <c r="AV321" s="10">
        <f>IF([Cotação]&gt;0,($BH$1/Tabela3[[#This Row],[Cotação]]-MOD($BH$1/Tabela3[[#This Row],[Cotação]],100)),)</f>
        <v>0</v>
      </c>
      <c r="AW321" s="7">
        <f>Tabela3[[#This Row],[Ativos]]*[Lucro]</f>
        <v>0</v>
      </c>
      <c r="AX321" s="7">
        <f>SUMPRODUCT(N(Tabela1[Código]=Tabela3[[#This Row],[PAPEL]]),Tabela1[Fechamento])</f>
        <v>0</v>
      </c>
      <c r="AY321" s="7">
        <f>SUMPRODUCT(N(Tabela17[Código]=Tabela3[[#This Row],[PAPEL]]),Tabela17[Fechamento])</f>
        <v>0</v>
      </c>
      <c r="AZ321" s="7">
        <f>SUMPRODUCT(N(Tabela176[Código]=Tabela3[[#This Row],[PAPEL]]),Tabela176[Fechamento])</f>
        <v>0</v>
      </c>
      <c r="BA321" s="7">
        <f>SUMPRODUCT(N(Tabela1768[Código]=Tabela3[[#This Row],[PAPEL]]),Tabela1768[Fechamento])</f>
        <v>0</v>
      </c>
      <c r="BB321" s="7">
        <f>SUMPRODUCT(N(Tabela17683[Código]=Tabela3[[#This Row],[PAPEL]]),Tabela17683[Fechamento])</f>
        <v>44</v>
      </c>
    </row>
    <row r="322" spans="1:54" hidden="1">
      <c r="A322" s="4" t="s">
        <v>579</v>
      </c>
      <c r="B322" s="57" t="s">
        <v>586</v>
      </c>
      <c r="C322" s="15" t="str">
        <f>LEFT([PAPEL],LEN([PAPEL])-(LEN([PAPEL])-4))</f>
        <v>SNSL</v>
      </c>
      <c r="D322" s="15">
        <v>3</v>
      </c>
      <c r="E322" s="6">
        <v>50150513.700000003</v>
      </c>
      <c r="F322" s="8">
        <v>11655683</v>
      </c>
      <c r="G322" s="86">
        <v>0.25</v>
      </c>
      <c r="H322" s="15"/>
      <c r="I322" s="19"/>
      <c r="J322" s="19"/>
      <c r="K322" s="88"/>
      <c r="L322" s="88"/>
      <c r="M322" s="55"/>
      <c r="N322" s="55"/>
      <c r="O322" s="55"/>
      <c r="P322" s="92">
        <v>55043448</v>
      </c>
      <c r="Q322" s="93">
        <v>4261171</v>
      </c>
      <c r="R322" s="93">
        <f>IF(Tabela3[[#This Row],[Ativo || Passivo]]&gt;0,Tabela3[[#This Row],[Ativo || Passivo]]-Tabela3[[#This Row],[Patrimônio Líquido]],0)</f>
        <v>0</v>
      </c>
      <c r="S322" s="93">
        <f>Tabela3[[#This Row],[Cotação]]*Tabela3[[#This Row],[Total Ações]]</f>
        <v>121219103.2</v>
      </c>
      <c r="T322" s="40">
        <f>IF(Tabela3[[#This Row],[Passivo Circulante]]&gt;0,Tabela3[[#This Row],[Ativo Circulante]]/Tabela3[[#This Row],[Passivo Circulante]],0)</f>
        <v>0</v>
      </c>
      <c r="U322" s="40">
        <f>SUMPRODUCT(N([Liquidez Corrente]&gt;0),N(RIGHT([PAPEL],LEN([PAPEL])-(LEN([PAPEL])-1))="3"),[Liquidez Corrente])/SUMPRODUCT(N([Liquidez Corrente]&gt;0),N(RIGHT([PAPEL],LEN([PAPEL])-(LEN([PAPEL])-1))="3"))</f>
        <v>2.331224473064915</v>
      </c>
      <c r="V322" s="19">
        <f>IF(Tabela3[[#This Row],[Lucro Líquido]]&gt;0,Tabela3[[#This Row],[Lucro Líquido]]/Tabela3[[#This Row],[Patrimônio Líquido]],0)</f>
        <v>7.7414681580267278E-2</v>
      </c>
      <c r="W322" s="19">
        <f>SUMPRODUCT(N([Rentabilidade s/ PL]&gt;0),N(RIGHT([PAPEL],LEN([PAPEL])-(LEN([PAPEL])-1))="3"),[Rentabilidade s/ PL])/SUMPRODUCT(N([Rentabilidade s/ PL]&gt;0),N(RIGHT([PAPEL],LEN([PAPEL])-(LEN([PAPEL])-1))="3"))</f>
        <v>0.1261051308670782</v>
      </c>
      <c r="X322" s="19">
        <f>IF(Tabela3[[#This Row],[Dívida]]&gt;0,Tabela3[[#This Row],[Dívida]]/Tabela3[[#This Row],[Patrimônio Líquido]],0)</f>
        <v>0</v>
      </c>
      <c r="Y322" s="19">
        <f>SUMPRODUCT(N([Dívida / PL]&gt;0),N(RIGHT([PAPEL],LEN([PAPEL])-(LEN([PAPEL])-1))="3"),[Dívida / PL])/SUMPRODUCT(N([Dívida / PL]&gt;0),N(RIGHT([PAPEL],LEN([PAPEL])-(LEN([PAPEL])-1))="3"))</f>
        <v>2.1510410379481146</v>
      </c>
      <c r="Z322" s="13">
        <f>Tabela3[[#This Row],[Capital Social]]*20%</f>
        <v>10030102.74</v>
      </c>
      <c r="AA322" s="13">
        <f>IF(([Lucro Líquido]*5%)&gt;[Teto R. Legal],[Teto R. Legal],[Lucro Líquido]*5%)</f>
        <v>213058.55000000002</v>
      </c>
      <c r="AB322" s="13">
        <f>IF([Lucro Líquido]&lt;0,0,[Lucro Líquido]-[Reserva Legal])</f>
        <v>4048112.45</v>
      </c>
      <c r="AC322" s="13">
        <f>Tabela3[[#This Row],[Lucro Distribuir]]*[%Div]</f>
        <v>1012028.1125</v>
      </c>
      <c r="AD322" s="56">
        <f>SUMPRODUCT(N([Nome]=Tabela3[[#This Row],[Nome]]),[Ações])</f>
        <v>11655683</v>
      </c>
      <c r="AE322" s="6">
        <f>[Capital Social]/[Total Ações]</f>
        <v>4.3026662358610821</v>
      </c>
      <c r="AF322" s="78">
        <f>Tabela3[[#This Row],[Lucro Líquido]]/Tabela3[[#This Row],[Total Ações]]</f>
        <v>0.3655874134531627</v>
      </c>
      <c r="AG322" s="78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8.6827010695126147E-2</v>
      </c>
      <c r="AH322" s="78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322" s="78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322" s="78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8.6827010695126147E-2</v>
      </c>
      <c r="AK322" s="13">
        <f>[Div Base]*[Ações]</f>
        <v>1012028.1125</v>
      </c>
      <c r="AL322" s="13">
        <f>SUMPRODUCT(N([Nome]=Tabela3[[#This Row],[Nome]]),[Div Base]*[Ações])</f>
        <v>1012028.1125</v>
      </c>
      <c r="AM322" s="6">
        <f>[Patrimônio Líquido]/[Total Ações]</f>
        <v>4.722455818333426</v>
      </c>
      <c r="AN322" s="48">
        <f>MAX(Tabela3[[#This Row],[Cotação 1]:[Cotação 5]])</f>
        <v>10.4</v>
      </c>
      <c r="AO322" s="44">
        <f>[Cotação]/[VPA]</f>
        <v>2.2022440018655809</v>
      </c>
      <c r="AP322" s="40">
        <f>IF(Tabela3[[#This Row],[Lucro/Ação]]&gt;0,Tabela3[[#This Row],[Cotação]]/(Tabela3[[#This Row],[Lucro/Ação]]/[Ref]*4),0)</f>
        <v>21.335526642793731</v>
      </c>
      <c r="AQ322" s="78">
        <f>[Lucro Distribuir]/[Total Ações]</f>
        <v>0.34730804278050459</v>
      </c>
      <c r="AR322" s="78">
        <f>IF([Unit ON]&gt;0,SUMPRODUCT(N([Nome]=Tabela3[[#This Row],[Nome]]),N(RIGHT([PAPEL],1)="3"),[Div Base])*[Unit ON]+SUMPRODUCT(N([Nome]=Tabela3[[#This Row],[Nome]]),N(RIGHT([PAPEL],1)="4"),[Div Base])*[Unit PN],[Div Base])</f>
        <v>8.6827010695126147E-2</v>
      </c>
      <c r="AS322" s="14" t="str">
        <f>IF(AND([% A.A.]&gt;=6%,SUMPRODUCT(N([Nome]=Tabela3[[#This Row],[Nome]]),[PL])&gt;0,[Rentabilidade s/ PL]&gt;=[Rentabilidade s/ PL Média]),"Sim","Não")</f>
        <v>Não</v>
      </c>
      <c r="AT322" s="42">
        <f>IF([Cotação]&gt;0,Tabela3[[#This Row],[Lucro]]/Tabela3[[#This Row],[Cotação]],0)</f>
        <v>8.3487510283775136E-3</v>
      </c>
      <c r="AU322" s="42">
        <f>((1+Tabela3[[#This Row],[% Yield]])^(1/(3*Tabela3[[#This Row],[Ref]])))^(12)-1</f>
        <v>1.1147128654650951E-2</v>
      </c>
      <c r="AV322" s="14">
        <f>IF([Cotação]&gt;0,($BH$1/Tabela3[[#This Row],[Cotação]]-MOD($BH$1/Tabela3[[#This Row],[Cotação]],100)),)</f>
        <v>0</v>
      </c>
      <c r="AW322" s="17">
        <f>Tabela3[[#This Row],[Ativos]]*[Lucro]</f>
        <v>0</v>
      </c>
      <c r="AX322" s="17">
        <f>SUMPRODUCT(N(Tabela1[Código]=Tabela3[[#This Row],[PAPEL]]),Tabela1[Fechamento])</f>
        <v>0</v>
      </c>
      <c r="AY322" s="17">
        <f>SUMPRODUCT(N(Tabela17[Código]=Tabela3[[#This Row],[PAPEL]]),Tabela17[Fechamento])</f>
        <v>0</v>
      </c>
      <c r="AZ322" s="17">
        <f>SUMPRODUCT(N(Tabela176[Código]=Tabela3[[#This Row],[PAPEL]]),Tabela176[Fechamento])</f>
        <v>10.4</v>
      </c>
      <c r="BA322" s="17">
        <f>SUMPRODUCT(N(Tabela1768[Código]=Tabela3[[#This Row],[PAPEL]]),Tabela1768[Fechamento])</f>
        <v>0</v>
      </c>
      <c r="BB322" s="7">
        <f>SUMPRODUCT(N(Tabela17683[Código]=Tabela3[[#This Row],[PAPEL]]),Tabela17683[Fechamento])</f>
        <v>0</v>
      </c>
    </row>
    <row r="323" spans="1:54" hidden="1">
      <c r="A323" s="3" t="s">
        <v>1497</v>
      </c>
      <c r="B323" s="58" t="s">
        <v>1474</v>
      </c>
      <c r="C323" s="16" t="str">
        <f>LEFT([PAPEL],LEN([PAPEL])-(LEN([PAPEL])-4))</f>
        <v>MWET</v>
      </c>
      <c r="D323" s="16">
        <v>3</v>
      </c>
      <c r="E323" s="5">
        <v>47147375.020000003</v>
      </c>
      <c r="F323" s="56">
        <v>6860012</v>
      </c>
      <c r="G323" s="81">
        <v>0.25</v>
      </c>
      <c r="H323" s="87"/>
      <c r="J323" s="18"/>
      <c r="K323" s="16"/>
      <c r="L323" s="87"/>
      <c r="M323" s="54"/>
      <c r="N323" s="54"/>
      <c r="O323" s="54"/>
      <c r="P323" s="91">
        <v>-10141000</v>
      </c>
      <c r="Q323" s="73">
        <v>4196000</v>
      </c>
      <c r="R323" s="73">
        <f>IF(Tabela3[[#This Row],[Ativo || Passivo]]&gt;0,Tabela3[[#This Row],[Ativo || Passivo]]-Tabela3[[#This Row],[Patrimônio Líquido]],0)</f>
        <v>0</v>
      </c>
      <c r="S323" s="73">
        <f>Tabela3[[#This Row],[Cotação]]*Tabela3[[#This Row],[Total Ações]]</f>
        <v>82320144</v>
      </c>
      <c r="T323" s="37">
        <f>IF(Tabela3[[#This Row],[Passivo Circulante]]&gt;0,Tabela3[[#This Row],[Ativo Circulante]]/Tabela3[[#This Row],[Passivo Circulante]],0)</f>
        <v>0</v>
      </c>
      <c r="U323" s="37">
        <f>SUMPRODUCT(N([Liquidez Corrente]&gt;0),N(RIGHT([PAPEL],LEN([PAPEL])-(LEN([PAPEL])-1))="3"),[Liquidez Corrente])/SUMPRODUCT(N([Liquidez Corrente]&gt;0),N(RIGHT([PAPEL],LEN([PAPEL])-(LEN([PAPEL])-1))="3"))</f>
        <v>2.331224473064915</v>
      </c>
      <c r="V323" s="18">
        <f>IF(Tabela3[[#This Row],[Lucro Líquido]]&gt;0,Tabela3[[#This Row],[Lucro Líquido]]/Tabela3[[#This Row],[Patrimônio Líquido]],0)</f>
        <v>-0.41376590079873782</v>
      </c>
      <c r="W323" s="18">
        <f>SUMPRODUCT(N([Rentabilidade s/ PL]&gt;0),N(RIGHT([PAPEL],LEN([PAPEL])-(LEN([PAPEL])-1))="3"),[Rentabilidade s/ PL])/SUMPRODUCT(N([Rentabilidade s/ PL]&gt;0),N(RIGHT([PAPEL],LEN([PAPEL])-(LEN([PAPEL])-1))="3"))</f>
        <v>0.1261051308670782</v>
      </c>
      <c r="X323" s="18">
        <f>IF(Tabela3[[#This Row],[Dívida]]&gt;0,Tabela3[[#This Row],[Dívida]]/Tabela3[[#This Row],[Patrimônio Líquido]],0)</f>
        <v>0</v>
      </c>
      <c r="Y323" s="18">
        <f>SUMPRODUCT(N([Dívida / PL]&gt;0),N(RIGHT([PAPEL],LEN([PAPEL])-(LEN([PAPEL])-1))="3"),[Dívida / PL])/SUMPRODUCT(N([Dívida / PL]&gt;0),N(RIGHT([PAPEL],LEN([PAPEL])-(LEN([PAPEL])-1))="3"))</f>
        <v>2.1510410379481146</v>
      </c>
      <c r="Z323" s="7">
        <f>Tabela3[[#This Row],[Capital Social]]*20%</f>
        <v>9429475.0040000007</v>
      </c>
      <c r="AA323" s="47">
        <f>IF(([Lucro Líquido]*5%)&gt;[Teto R. Legal],[Teto R. Legal],[Lucro Líquido]*5%)</f>
        <v>209800</v>
      </c>
      <c r="AB323" s="47">
        <f>IF([Lucro Líquido]&lt;0,0,[Lucro Líquido]-[Reserva Legal])</f>
        <v>3986200</v>
      </c>
      <c r="AC323" s="47">
        <f>Tabela3[[#This Row],[Lucro Distribuir]]*[%Div]</f>
        <v>996550</v>
      </c>
      <c r="AD323" s="56">
        <f>SUMPRODUCT(N([Nome]=Tabela3[[#This Row],[Nome]]),[Ações])</f>
        <v>20580036</v>
      </c>
      <c r="AE323" s="85">
        <f>[Capital Social]/[Total Ações]</f>
        <v>2.2909277233528651</v>
      </c>
      <c r="AF323" s="85">
        <f>Tabela3[[#This Row],[Lucro Líquido]]/Tabela3[[#This Row],[Total Ações]]</f>
        <v>0.20388691253990032</v>
      </c>
      <c r="AG323" s="85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4.6916513655222467E-2</v>
      </c>
      <c r="AH323" s="85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323" s="77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323" s="85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4.6916513655222467E-2</v>
      </c>
      <c r="AK323" s="7">
        <f>[Div Base]*[Ações]</f>
        <v>321847.84667299001</v>
      </c>
      <c r="AL323" s="120">
        <f>SUMPRODUCT(N([Nome]=Tabela3[[#This Row],[Nome]]),[Div Base]*[Ações])</f>
        <v>1029913.1103235433</v>
      </c>
      <c r="AM323" s="5">
        <f>[Patrimônio Líquido]/[Total Ações]</f>
        <v>-0.49275909915803839</v>
      </c>
      <c r="AN323" s="52">
        <f>MAX(Tabela3[[#This Row],[Cotação 1]:[Cotação 5]])</f>
        <v>4</v>
      </c>
      <c r="AO323" s="53">
        <f>[Cotação]/[VPA]</f>
        <v>-8.1175568484370384</v>
      </c>
      <c r="AP323" s="37">
        <f>IF(Tabela3[[#This Row],[Lucro/Ação]]&gt;0,Tabela3[[#This Row],[Cotação]]/(Tabela3[[#This Row],[Lucro/Ação]]/[Ref]*4),0)</f>
        <v>14.714039084842707</v>
      </c>
      <c r="AQ323" s="85">
        <f>[Lucro Distribuir]/[Total Ações]</f>
        <v>0.19369256691290529</v>
      </c>
      <c r="AR323" s="85">
        <f>IF([Unit ON]&gt;0,SUMPRODUCT(N([Nome]=Tabela3[[#This Row],[Nome]]),N(RIGHT([PAPEL],1)="3"),[Div Base])*[Unit ON]+SUMPRODUCT(N([Nome]=Tabela3[[#This Row],[Nome]]),N(RIGHT([PAPEL],1)="4"),[Div Base])*[Unit PN],[Div Base])</f>
        <v>4.6916513655222467E-2</v>
      </c>
      <c r="AS323" s="10" t="str">
        <f>IF(AND([% A.A.]&gt;=6%,SUMPRODUCT(N([Nome]=Tabela3[[#This Row],[Nome]]),[PL])&gt;0,[Rentabilidade s/ PL]&gt;=[Rentabilidade s/ PL Média]),"Sim","Não")</f>
        <v>Não</v>
      </c>
      <c r="AT323" s="22">
        <f>IF([Cotação]&gt;0,Tabela3[[#This Row],[Lucro]]/Tabela3[[#This Row],[Cotação]],0)</f>
        <v>1.1729128413805617E-2</v>
      </c>
      <c r="AU323" s="22">
        <f>((1+Tabela3[[#This Row],[% Yield]])^(1/(3*Tabela3[[#This Row],[Ref]])))^(12)-1</f>
        <v>1.5669330244186597E-2</v>
      </c>
      <c r="AV323" s="10">
        <f>IF([Cotação]&gt;0,($BH$1/Tabela3[[#This Row],[Cotação]]-MOD($BH$1/Tabela3[[#This Row],[Cotação]],100)),)</f>
        <v>100</v>
      </c>
      <c r="AW323" s="7">
        <f>Tabela3[[#This Row],[Ativos]]*[Lucro]</f>
        <v>4.6916513655222465</v>
      </c>
      <c r="AX323" s="7">
        <f>SUMPRODUCT(N(Tabela1[Código]=Tabela3[[#This Row],[PAPEL]]),Tabela1[Fechamento])</f>
        <v>0</v>
      </c>
      <c r="AY323" s="7">
        <f>SUMPRODUCT(N(Tabela17[Código]=Tabela3[[#This Row],[PAPEL]]),Tabela17[Fechamento])</f>
        <v>0</v>
      </c>
      <c r="AZ323" s="7">
        <f>SUMPRODUCT(N(Tabela176[Código]=Tabela3[[#This Row],[PAPEL]]),Tabela176[Fechamento])</f>
        <v>0</v>
      </c>
      <c r="BA323" s="7">
        <f>SUMPRODUCT(N(Tabela1768[Código]=Tabela3[[#This Row],[PAPEL]]),Tabela1768[Fechamento])</f>
        <v>0</v>
      </c>
      <c r="BB323" s="7">
        <f>SUMPRODUCT(N(Tabela17683[Código]=Tabela3[[#This Row],[PAPEL]]),Tabela17683[Fechamento])</f>
        <v>4</v>
      </c>
    </row>
    <row r="324" spans="1:54" hidden="1">
      <c r="A324" s="3" t="s">
        <v>1497</v>
      </c>
      <c r="B324" s="58" t="s">
        <v>1475</v>
      </c>
      <c r="C324" s="16" t="str">
        <f>LEFT([PAPEL],LEN([PAPEL])-(LEN([PAPEL])-4))</f>
        <v>MWET</v>
      </c>
      <c r="D324" s="16">
        <v>3</v>
      </c>
      <c r="E324" s="5">
        <v>47147375.020000003</v>
      </c>
      <c r="F324" s="56">
        <v>13720024</v>
      </c>
      <c r="G324" s="81">
        <v>0.25</v>
      </c>
      <c r="H324" s="87"/>
      <c r="J324" s="18">
        <v>0.1</v>
      </c>
      <c r="K324" s="16"/>
      <c r="L324" s="87"/>
      <c r="M324" s="54"/>
      <c r="N324" s="54"/>
      <c r="O324" s="54"/>
      <c r="P324" s="91">
        <v>-10141000</v>
      </c>
      <c r="Q324" s="73">
        <v>4196000</v>
      </c>
      <c r="R324" s="73">
        <f>IF(Tabela3[[#This Row],[Ativo || Passivo]]&gt;0,Tabela3[[#This Row],[Ativo || Passivo]]-Tabela3[[#This Row],[Patrimônio Líquido]],0)</f>
        <v>0</v>
      </c>
      <c r="S324" s="73">
        <f>Tabela3[[#This Row],[Cotação]]*Tabela3[[#This Row],[Total Ações]]</f>
        <v>31075854.359999999</v>
      </c>
      <c r="T324" s="37">
        <f>IF(Tabela3[[#This Row],[Passivo Circulante]]&gt;0,Tabela3[[#This Row],[Ativo Circulante]]/Tabela3[[#This Row],[Passivo Circulante]],0)</f>
        <v>0</v>
      </c>
      <c r="U324" s="37">
        <f>SUMPRODUCT(N([Liquidez Corrente]&gt;0),N(RIGHT([PAPEL],LEN([PAPEL])-(LEN([PAPEL])-1))="3"),[Liquidez Corrente])/SUMPRODUCT(N([Liquidez Corrente]&gt;0),N(RIGHT([PAPEL],LEN([PAPEL])-(LEN([PAPEL])-1))="3"))</f>
        <v>2.331224473064915</v>
      </c>
      <c r="V324" s="18">
        <f>IF(Tabela3[[#This Row],[Lucro Líquido]]&gt;0,Tabela3[[#This Row],[Lucro Líquido]]/Tabela3[[#This Row],[Patrimônio Líquido]],0)</f>
        <v>-0.41376590079873782</v>
      </c>
      <c r="W324" s="18">
        <f>SUMPRODUCT(N([Rentabilidade s/ PL]&gt;0),N(RIGHT([PAPEL],LEN([PAPEL])-(LEN([PAPEL])-1))="3"),[Rentabilidade s/ PL])/SUMPRODUCT(N([Rentabilidade s/ PL]&gt;0),N(RIGHT([PAPEL],LEN([PAPEL])-(LEN([PAPEL])-1))="3"))</f>
        <v>0.1261051308670782</v>
      </c>
      <c r="X324" s="18">
        <f>IF(Tabela3[[#This Row],[Dívida]]&gt;0,Tabela3[[#This Row],[Dívida]]/Tabela3[[#This Row],[Patrimônio Líquido]],0)</f>
        <v>0</v>
      </c>
      <c r="Y324" s="18">
        <f>SUMPRODUCT(N([Dívida / PL]&gt;0),N(RIGHT([PAPEL],LEN([PAPEL])-(LEN([PAPEL])-1))="3"),[Dívida / PL])/SUMPRODUCT(N([Dívida / PL]&gt;0),N(RIGHT([PAPEL],LEN([PAPEL])-(LEN([PAPEL])-1))="3"))</f>
        <v>2.1510410379481146</v>
      </c>
      <c r="Z324" s="7">
        <f>Tabela3[[#This Row],[Capital Social]]*20%</f>
        <v>9429475.0040000007</v>
      </c>
      <c r="AA324" s="47">
        <f>IF(([Lucro Líquido]*5%)&gt;[Teto R. Legal],[Teto R. Legal],[Lucro Líquido]*5%)</f>
        <v>209800</v>
      </c>
      <c r="AB324" s="47">
        <f>IF([Lucro Líquido]&lt;0,0,[Lucro Líquido]-[Reserva Legal])</f>
        <v>3986200</v>
      </c>
      <c r="AC324" s="47">
        <f>Tabela3[[#This Row],[Lucro Distribuir]]*[%Div]</f>
        <v>996550</v>
      </c>
      <c r="AD324" s="56">
        <f>SUMPRODUCT(N([Nome]=Tabela3[[#This Row],[Nome]]),[Ações])</f>
        <v>20580036</v>
      </c>
      <c r="AE324" s="85">
        <f>[Capital Social]/[Total Ações]</f>
        <v>2.2909277233528651</v>
      </c>
      <c r="AF324" s="85">
        <f>Tabela3[[#This Row],[Lucro Líquido]]/Tabela3[[#This Row],[Total Ações]]</f>
        <v>0.20388691253990032</v>
      </c>
      <c r="AG324" s="85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5.1608165091442497E-2</v>
      </c>
      <c r="AH324" s="85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324" s="77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324" s="85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5.1608165091442497E-2</v>
      </c>
      <c r="AK324" s="7">
        <f>[Div Base]*[Ações]</f>
        <v>708065.2636505533</v>
      </c>
      <c r="AL324" s="120">
        <f>SUMPRODUCT(N([Nome]=Tabela3[[#This Row],[Nome]]),[Div Base]*[Ações])</f>
        <v>1029913.1103235433</v>
      </c>
      <c r="AM324" s="5">
        <f>[Patrimônio Líquido]/[Total Ações]</f>
        <v>-0.49275909915803839</v>
      </c>
      <c r="AN324" s="52">
        <f>MAX(Tabela3[[#This Row],[Cotação 1]:[Cotação 5]])</f>
        <v>1.51</v>
      </c>
      <c r="AO324" s="53">
        <f>[Cotação]/[VPA]</f>
        <v>-3.0643777102849818</v>
      </c>
      <c r="AP324" s="37">
        <f>IF(Tabela3[[#This Row],[Lucro/Ação]]&gt;0,Tabela3[[#This Row],[Cotação]]/(Tabela3[[#This Row],[Lucro/Ação]]/[Ref]*4),0)</f>
        <v>5.5545497545281215</v>
      </c>
      <c r="AQ324" s="85">
        <f>[Lucro Distribuir]/[Total Ações]</f>
        <v>0.19369256691290529</v>
      </c>
      <c r="AR324" s="85">
        <f>IF([Unit ON]&gt;0,SUMPRODUCT(N([Nome]=Tabela3[[#This Row],[Nome]]),N(RIGHT([PAPEL],1)="3"),[Div Base])*[Unit ON]+SUMPRODUCT(N([Nome]=Tabela3[[#This Row],[Nome]]),N(RIGHT([PAPEL],1)="4"),[Div Base])*[Unit PN],[Div Base])</f>
        <v>5.1608165091442497E-2</v>
      </c>
      <c r="AS324" s="10" t="str">
        <f>IF(AND([% A.A.]&gt;=6%,SUMPRODUCT(N([Nome]=Tabela3[[#This Row],[Nome]]),[PL])&gt;0,[Rentabilidade s/ PL]&gt;=[Rentabilidade s/ PL Média]),"Sim","Não")</f>
        <v>Não</v>
      </c>
      <c r="AT324" s="22">
        <f>IF([Cotação]&gt;0,Tabela3[[#This Row],[Lucro]]/Tabela3[[#This Row],[Cotação]],0)</f>
        <v>3.4177592775789731E-2</v>
      </c>
      <c r="AU324" s="22">
        <f>((1+Tabela3[[#This Row],[% Yield]])^(1/(3*Tabela3[[#This Row],[Ref]])))^(12)-1</f>
        <v>4.5827759285324232E-2</v>
      </c>
      <c r="AV324" s="10">
        <f>IF([Cotação]&gt;0,($BH$1/Tabela3[[#This Row],[Cotação]]-MOD($BH$1/Tabela3[[#This Row],[Cotação]],100)),)</f>
        <v>300</v>
      </c>
      <c r="AW324" s="7">
        <f>Tabela3[[#This Row],[Ativos]]*[Lucro]</f>
        <v>15.482449527432749</v>
      </c>
      <c r="AX324" s="7">
        <f>SUMPRODUCT(N(Tabela1[Código]=Tabela3[[#This Row],[PAPEL]]),Tabela1[Fechamento])</f>
        <v>0</v>
      </c>
      <c r="AY324" s="7">
        <f>SUMPRODUCT(N(Tabela17[Código]=Tabela3[[#This Row],[PAPEL]]),Tabela17[Fechamento])</f>
        <v>0</v>
      </c>
      <c r="AZ324" s="7">
        <f>SUMPRODUCT(N(Tabela176[Código]=Tabela3[[#This Row],[PAPEL]]),Tabela176[Fechamento])</f>
        <v>0</v>
      </c>
      <c r="BA324" s="7">
        <f>SUMPRODUCT(N(Tabela1768[Código]=Tabela3[[#This Row],[PAPEL]]),Tabela1768[Fechamento])</f>
        <v>0</v>
      </c>
      <c r="BB324" s="7">
        <f>SUMPRODUCT(N(Tabela17683[Código]=Tabela3[[#This Row],[PAPEL]]),Tabela17683[Fechamento])</f>
        <v>1.51</v>
      </c>
    </row>
    <row r="325" spans="1:54" hidden="1">
      <c r="A325" s="3" t="s">
        <v>881</v>
      </c>
      <c r="B325" s="58" t="s">
        <v>883</v>
      </c>
      <c r="C325" s="16" t="str">
        <f>LEFT([PAPEL],LEN([PAPEL])-(LEN([PAPEL])-4))</f>
        <v>RNAR</v>
      </c>
      <c r="D325" s="16">
        <v>3</v>
      </c>
      <c r="E325" s="5">
        <v>126986000</v>
      </c>
      <c r="F325" s="56">
        <v>150000000</v>
      </c>
      <c r="G325" s="81">
        <v>0.3</v>
      </c>
      <c r="H325" s="87"/>
      <c r="J325" s="18"/>
      <c r="K325" s="16"/>
      <c r="L325" s="87"/>
      <c r="M325" s="54"/>
      <c r="N325" s="54"/>
      <c r="O325" s="54"/>
      <c r="P325" s="91">
        <v>34621000</v>
      </c>
      <c r="Q325" s="73">
        <v>3617000</v>
      </c>
      <c r="R325" s="73">
        <f>IF(Tabela3[[#This Row],[Ativo || Passivo]]&gt;0,Tabela3[[#This Row],[Ativo || Passivo]]-Tabela3[[#This Row],[Patrimônio Líquido]],0)</f>
        <v>0</v>
      </c>
      <c r="S325" s="73">
        <f>Tabela3[[#This Row],[Cotação]]*Tabela3[[#This Row],[Total Ações]]</f>
        <v>22500000</v>
      </c>
      <c r="T325" s="37">
        <f>IF(Tabela3[[#This Row],[Passivo Circulante]]&gt;0,Tabela3[[#This Row],[Ativo Circulante]]/Tabela3[[#This Row],[Passivo Circulante]],0)</f>
        <v>0</v>
      </c>
      <c r="U325" s="37">
        <f>SUMPRODUCT(N([Liquidez Corrente]&gt;0),N(RIGHT([PAPEL],LEN([PAPEL])-(LEN([PAPEL])-1))="3"),[Liquidez Corrente])/SUMPRODUCT(N([Liquidez Corrente]&gt;0),N(RIGHT([PAPEL],LEN([PAPEL])-(LEN([PAPEL])-1))="3"))</f>
        <v>2.331224473064915</v>
      </c>
      <c r="V325" s="18">
        <f>IF(Tabela3[[#This Row],[Lucro Líquido]]&gt;0,Tabela3[[#This Row],[Lucro Líquido]]/Tabela3[[#This Row],[Patrimônio Líquido]],0)</f>
        <v>0.10447416308021143</v>
      </c>
      <c r="W325" s="18">
        <f>SUMPRODUCT(N([Rentabilidade s/ PL]&gt;0),N(RIGHT([PAPEL],LEN([PAPEL])-(LEN([PAPEL])-1))="3"),[Rentabilidade s/ PL])/SUMPRODUCT(N([Rentabilidade s/ PL]&gt;0),N(RIGHT([PAPEL],LEN([PAPEL])-(LEN([PAPEL])-1))="3"))</f>
        <v>0.1261051308670782</v>
      </c>
      <c r="X325" s="18">
        <f>IF(Tabela3[[#This Row],[Dívida]]&gt;0,Tabela3[[#This Row],[Dívida]]/Tabela3[[#This Row],[Patrimônio Líquido]],0)</f>
        <v>0</v>
      </c>
      <c r="Y325" s="18">
        <f>SUMPRODUCT(N([Dívida / PL]&gt;0),N(RIGHT([PAPEL],LEN([PAPEL])-(LEN([PAPEL])-1))="3"),[Dívida / PL])/SUMPRODUCT(N([Dívida / PL]&gt;0),N(RIGHT([PAPEL],LEN([PAPEL])-(LEN([PAPEL])-1))="3"))</f>
        <v>2.1510410379481146</v>
      </c>
      <c r="Z325" s="7">
        <f>Tabela3[[#This Row],[Capital Social]]*20%</f>
        <v>25397200</v>
      </c>
      <c r="AA325" s="47">
        <f>IF(([Lucro Líquido]*5%)&gt;[Teto R. Legal],[Teto R. Legal],[Lucro Líquido]*5%)</f>
        <v>180850</v>
      </c>
      <c r="AB325" s="47">
        <f>IF([Lucro Líquido]&lt;0,0,[Lucro Líquido]-[Reserva Legal])</f>
        <v>3436150</v>
      </c>
      <c r="AC325" s="47">
        <f>Tabela3[[#This Row],[Lucro Distribuir]]*[%Div]</f>
        <v>1030845</v>
      </c>
      <c r="AD325" s="56">
        <f>SUMPRODUCT(N([Nome]=Tabela3[[#This Row],[Nome]]),[Ações])</f>
        <v>150000000</v>
      </c>
      <c r="AE325" s="85">
        <f>[Capital Social]/[Total Ações]</f>
        <v>0.84657333333333329</v>
      </c>
      <c r="AF325" s="85">
        <f>Tabela3[[#This Row],[Lucro Líquido]]/Tabela3[[#This Row],[Total Ações]]</f>
        <v>2.4113333333333334E-2</v>
      </c>
      <c r="AG325" s="85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6.8722999999999996E-3</v>
      </c>
      <c r="AH325" s="85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325" s="77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325" s="85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6.8722999999999996E-3</v>
      </c>
      <c r="AK325" s="7">
        <f>[Div Base]*[Ações]</f>
        <v>1030844.9999999999</v>
      </c>
      <c r="AL325" s="7">
        <f>SUMPRODUCT(N([Nome]=Tabela3[[#This Row],[Nome]]),[Div Base]*[Ações])</f>
        <v>1030844.9999999999</v>
      </c>
      <c r="AM325" s="5">
        <f>[Patrimônio Líquido]/[Total Ações]</f>
        <v>0.23080666666666666</v>
      </c>
      <c r="AN325" s="52">
        <f>MAX(Tabela3[[#This Row],[Cotação 1]:[Cotação 5]])</f>
        <v>0.15</v>
      </c>
      <c r="AO325" s="53">
        <f>[Cotação]/[VPA]</f>
        <v>0.64989457265821327</v>
      </c>
      <c r="AP325" s="37">
        <f>IF(Tabela3[[#This Row],[Lucro/Ação]]&gt;0,Tabela3[[#This Row],[Cotação]]/(Tabela3[[#This Row],[Lucro/Ação]]/[Ref]*4),0)</f>
        <v>4.6654686204036491</v>
      </c>
      <c r="AQ325" s="85">
        <f>[Lucro Distribuir]/[Total Ações]</f>
        <v>2.2907666666666666E-2</v>
      </c>
      <c r="AR325" s="85">
        <f>IF([Unit ON]&gt;0,SUMPRODUCT(N([Nome]=Tabela3[[#This Row],[Nome]]),N(RIGHT([PAPEL],1)="3"),[Div Base])*[Unit ON]+SUMPRODUCT(N([Nome]=Tabela3[[#This Row],[Nome]]),N(RIGHT([PAPEL],1)="4"),[Div Base])*[Unit PN],[Div Base])</f>
        <v>6.8722999999999996E-3</v>
      </c>
      <c r="AS325" s="10" t="str">
        <f>IF(AND([% A.A.]&gt;=6%,SUMPRODUCT(N([Nome]=Tabela3[[#This Row],[Nome]]),[PL])&gt;0,[Rentabilidade s/ PL]&gt;=[Rentabilidade s/ PL Média]),"Sim","Não")</f>
        <v>Não</v>
      </c>
      <c r="AT325" s="22">
        <f>IF([Cotação]&gt;0,Tabela3[[#This Row],[Lucro]]/Tabela3[[#This Row],[Cotação]],0)</f>
        <v>4.5815333333333333E-2</v>
      </c>
      <c r="AU325" s="22">
        <f>((1+Tabela3[[#This Row],[% Yield]])^(1/(3*Tabela3[[#This Row],[Ref]])))^(12)-1</f>
        <v>6.1548904948721006E-2</v>
      </c>
      <c r="AV325" s="10">
        <f>IF([Cotação]&gt;0,($BH$1/Tabela3[[#This Row],[Cotação]]-MOD($BH$1/Tabela3[[#This Row],[Cotação]],100)),)</f>
        <v>3300</v>
      </c>
      <c r="AW325" s="7">
        <f>Tabela3[[#This Row],[Ativos]]*[Lucro]</f>
        <v>22.67859</v>
      </c>
      <c r="AX325" s="7">
        <f>SUMPRODUCT(N(Tabela1[Código]=Tabela3[[#This Row],[PAPEL]]),Tabela1[Fechamento])</f>
        <v>0</v>
      </c>
      <c r="AY325" s="7">
        <f>SUMPRODUCT(N(Tabela17[Código]=Tabela3[[#This Row],[PAPEL]]),Tabela17[Fechamento])</f>
        <v>0</v>
      </c>
      <c r="AZ325" s="7">
        <f>SUMPRODUCT(N(Tabela176[Código]=Tabela3[[#This Row],[PAPEL]]),Tabela176[Fechamento])</f>
        <v>0</v>
      </c>
      <c r="BA325" s="7">
        <f>SUMPRODUCT(N(Tabela1768[Código]=Tabela3[[#This Row],[PAPEL]]),Tabela1768[Fechamento])</f>
        <v>0.15</v>
      </c>
      <c r="BB325" s="7">
        <f>SUMPRODUCT(N(Tabela17683[Código]=Tabela3[[#This Row],[PAPEL]]),Tabela17683[Fechamento])</f>
        <v>0</v>
      </c>
    </row>
    <row r="326" spans="1:54" hidden="1">
      <c r="A326" s="3" t="s">
        <v>1268</v>
      </c>
      <c r="B326" s="57" t="s">
        <v>1244</v>
      </c>
      <c r="C326" s="16" t="str">
        <f>LEFT([PAPEL],LEN([PAPEL])-(LEN([PAPEL])-4))</f>
        <v>AZEV</v>
      </c>
      <c r="D326" s="16">
        <v>3</v>
      </c>
      <c r="E326" s="5">
        <v>53896441</v>
      </c>
      <c r="F326" s="56">
        <v>9000000</v>
      </c>
      <c r="G326" s="81">
        <v>0.25</v>
      </c>
      <c r="H326" s="87"/>
      <c r="J326" s="18"/>
      <c r="K326" s="16"/>
      <c r="L326" s="87"/>
      <c r="M326" s="54"/>
      <c r="N326" s="54"/>
      <c r="O326" s="54"/>
      <c r="P326" s="91">
        <v>35138000</v>
      </c>
      <c r="Q326" s="73">
        <v>2840000</v>
      </c>
      <c r="R326" s="73">
        <f>IF(Tabela3[[#This Row],[Ativo || Passivo]]&gt;0,Tabela3[[#This Row],[Ativo || Passivo]]-Tabela3[[#This Row],[Patrimônio Líquido]],0)</f>
        <v>0</v>
      </c>
      <c r="S326" s="73">
        <f>Tabela3[[#This Row],[Cotação]]*Tabela3[[#This Row],[Total Ações]]</f>
        <v>52650000</v>
      </c>
      <c r="T326" s="37">
        <f>IF(Tabela3[[#This Row],[Passivo Circulante]]&gt;0,Tabela3[[#This Row],[Ativo Circulante]]/Tabela3[[#This Row],[Passivo Circulante]],0)</f>
        <v>0</v>
      </c>
      <c r="U326" s="37">
        <f>SUMPRODUCT(N([Liquidez Corrente]&gt;0),N(RIGHT([PAPEL],LEN([PAPEL])-(LEN([PAPEL])-1))="3"),[Liquidez Corrente])/SUMPRODUCT(N([Liquidez Corrente]&gt;0),N(RIGHT([PAPEL],LEN([PAPEL])-(LEN([PAPEL])-1))="3"))</f>
        <v>2.331224473064915</v>
      </c>
      <c r="V326" s="18">
        <f>IF(Tabela3[[#This Row],[Lucro Líquido]]&gt;0,Tabela3[[#This Row],[Lucro Líquido]]/Tabela3[[#This Row],[Patrimônio Líquido]],0)</f>
        <v>8.0824178951562409E-2</v>
      </c>
      <c r="W326" s="18">
        <f>SUMPRODUCT(N([Rentabilidade s/ PL]&gt;0),N(RIGHT([PAPEL],LEN([PAPEL])-(LEN([PAPEL])-1))="3"),[Rentabilidade s/ PL])/SUMPRODUCT(N([Rentabilidade s/ PL]&gt;0),N(RIGHT([PAPEL],LEN([PAPEL])-(LEN([PAPEL])-1))="3"))</f>
        <v>0.1261051308670782</v>
      </c>
      <c r="X326" s="18">
        <f>IF(Tabela3[[#This Row],[Dívida]]&gt;0,Tabela3[[#This Row],[Dívida]]/Tabela3[[#This Row],[Patrimônio Líquido]],0)</f>
        <v>0</v>
      </c>
      <c r="Y326" s="18">
        <f>SUMPRODUCT(N([Dívida / PL]&gt;0),N(RIGHT([PAPEL],LEN([PAPEL])-(LEN([PAPEL])-1))="3"),[Dívida / PL])/SUMPRODUCT(N([Dívida / PL]&gt;0),N(RIGHT([PAPEL],LEN([PAPEL])-(LEN([PAPEL])-1))="3"))</f>
        <v>2.1510410379481146</v>
      </c>
      <c r="Z326" s="7">
        <f>Tabela3[[#This Row],[Capital Social]]*20%</f>
        <v>10779288.200000001</v>
      </c>
      <c r="AA326" s="47">
        <f>IF(([Lucro Líquido]*5%)&gt;[Teto R. Legal],[Teto R. Legal],[Lucro Líquido]*5%)</f>
        <v>142000</v>
      </c>
      <c r="AB326" s="47">
        <f>IF([Lucro Líquido]&lt;0,0,[Lucro Líquido]-[Reserva Legal])</f>
        <v>2698000</v>
      </c>
      <c r="AC326" s="47">
        <f>Tabela3[[#This Row],[Lucro Distribuir]]*[%Div]</f>
        <v>674500</v>
      </c>
      <c r="AD326" s="56">
        <f>SUMPRODUCT(N([Nome]=Tabela3[[#This Row],[Nome]]),[Ações])</f>
        <v>27000000</v>
      </c>
      <c r="AE326" s="85">
        <f>[Capital Social]/[Total Ações]</f>
        <v>1.9961644814814814</v>
      </c>
      <c r="AF326" s="85">
        <f>Tabela3[[#This Row],[Lucro Líquido]]/Tabela3[[#This Row],[Total Ações]]</f>
        <v>0.10518518518518519</v>
      </c>
      <c r="AG326" s="85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2.4981481481481483E-2</v>
      </c>
      <c r="AH326" s="85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326" s="77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326" s="85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2.4981481481481483E-2</v>
      </c>
      <c r="AK326" s="7">
        <f>[Div Base]*[Ações]</f>
        <v>224833.33333333334</v>
      </c>
      <c r="AL326" s="120">
        <f>SUMPRODUCT(N([Nome]=Tabela3[[#This Row],[Nome]]),[Div Base]*[Ações])</f>
        <v>674500</v>
      </c>
      <c r="AM326" s="5">
        <f>[Patrimônio Líquido]/[Total Ações]</f>
        <v>1.3014074074074073</v>
      </c>
      <c r="AN326" s="52">
        <f>MAX(Tabela3[[#This Row],[Cotação 1]:[Cotação 5]])</f>
        <v>1.95</v>
      </c>
      <c r="AO326" s="53">
        <f>[Cotação]/[VPA]</f>
        <v>1.4983778245773807</v>
      </c>
      <c r="AP326" s="37">
        <f>IF(Tabela3[[#This Row],[Lucro/Ação]]&gt;0,Tabela3[[#This Row],[Cotação]]/(Tabela3[[#This Row],[Lucro/Ação]]/[Ref]*4),0)</f>
        <v>13.904049295774648</v>
      </c>
      <c r="AQ326" s="85">
        <f>[Lucro Distribuir]/[Total Ações]</f>
        <v>9.9925925925925932E-2</v>
      </c>
      <c r="AR326" s="85">
        <f>IF([Unit ON]&gt;0,SUMPRODUCT(N([Nome]=Tabela3[[#This Row],[Nome]]),N(RIGHT([PAPEL],1)="3"),[Div Base])*[Unit ON]+SUMPRODUCT(N([Nome]=Tabela3[[#This Row],[Nome]]),N(RIGHT([PAPEL],1)="4"),[Div Base])*[Unit PN],[Div Base])</f>
        <v>2.4981481481481483E-2</v>
      </c>
      <c r="AS326" s="10" t="str">
        <f>IF(AND([% A.A.]&gt;=6%,SUMPRODUCT(N([Nome]=Tabela3[[#This Row],[Nome]]),[PL])&gt;0,[Rentabilidade s/ PL]&gt;=[Rentabilidade s/ PL Média]),"Sim","Não")</f>
        <v>Não</v>
      </c>
      <c r="AT326" s="22">
        <f>IF([Cotação]&gt;0,Tabela3[[#This Row],[Lucro]]/Tabela3[[#This Row],[Cotação]],0)</f>
        <v>1.2811016144349478E-2</v>
      </c>
      <c r="AU326" s="22">
        <f>((1+Tabela3[[#This Row],[% Yield]])^(1/(3*Tabela3[[#This Row],[Ref]])))^(12)-1</f>
        <v>1.7117723164410625E-2</v>
      </c>
      <c r="AV326" s="10">
        <f>IF([Cotação]&gt;0,($BH$1/Tabela3[[#This Row],[Cotação]]-MOD($BH$1/Tabela3[[#This Row],[Cotação]],100)),)</f>
        <v>200</v>
      </c>
      <c r="AW326" s="7">
        <f>Tabela3[[#This Row],[Ativos]]*[Lucro]</f>
        <v>4.9962962962962969</v>
      </c>
      <c r="AX326" s="7">
        <f>SUMPRODUCT(N(Tabela1[Código]=Tabela3[[#This Row],[PAPEL]]),Tabela1[Fechamento])</f>
        <v>0</v>
      </c>
      <c r="AY326" s="7">
        <f>SUMPRODUCT(N(Tabela17[Código]=Tabela3[[#This Row],[PAPEL]]),Tabela17[Fechamento])</f>
        <v>0</v>
      </c>
      <c r="AZ326" s="7">
        <f>SUMPRODUCT(N(Tabela176[Código]=Tabela3[[#This Row],[PAPEL]]),Tabela176[Fechamento])</f>
        <v>0</v>
      </c>
      <c r="BA326" s="7">
        <f>SUMPRODUCT(N(Tabela1768[Código]=Tabela3[[#This Row],[PAPEL]]),Tabela1768[Fechamento])</f>
        <v>0</v>
      </c>
      <c r="BB326" s="7">
        <f>SUMPRODUCT(N(Tabela17683[Código]=Tabela3[[#This Row],[PAPEL]]),Tabela17683[Fechamento])</f>
        <v>1.95</v>
      </c>
    </row>
    <row r="327" spans="1:54" hidden="1">
      <c r="A327" s="3" t="s">
        <v>1268</v>
      </c>
      <c r="B327" s="57" t="s">
        <v>1245</v>
      </c>
      <c r="C327" s="16" t="str">
        <f>LEFT([PAPEL],LEN([PAPEL])-(LEN([PAPEL])-4))</f>
        <v>AZEV</v>
      </c>
      <c r="D327" s="16">
        <v>3</v>
      </c>
      <c r="E327" s="5">
        <v>53896441</v>
      </c>
      <c r="F327" s="56">
        <v>18000000</v>
      </c>
      <c r="G327" s="81">
        <v>0.25</v>
      </c>
      <c r="H327" s="87"/>
      <c r="J327" s="18"/>
      <c r="K327" s="16"/>
      <c r="L327" s="87"/>
      <c r="M327" s="54"/>
      <c r="N327" s="54"/>
      <c r="O327" s="54"/>
      <c r="P327" s="91">
        <v>35138000</v>
      </c>
      <c r="Q327" s="73">
        <v>2840000</v>
      </c>
      <c r="R327" s="73">
        <f>IF(Tabela3[[#This Row],[Ativo || Passivo]]&gt;0,Tabela3[[#This Row],[Ativo || Passivo]]-Tabela3[[#This Row],[Patrimônio Líquido]],0)</f>
        <v>0</v>
      </c>
      <c r="S327" s="73">
        <f>Tabela3[[#This Row],[Cotação]]*Tabela3[[#This Row],[Total Ações]]</f>
        <v>40500000</v>
      </c>
      <c r="T327" s="37">
        <f>IF(Tabela3[[#This Row],[Passivo Circulante]]&gt;0,Tabela3[[#This Row],[Ativo Circulante]]/Tabela3[[#This Row],[Passivo Circulante]],0)</f>
        <v>0</v>
      </c>
      <c r="U327" s="37">
        <f>SUMPRODUCT(N([Liquidez Corrente]&gt;0),N(RIGHT([PAPEL],LEN([PAPEL])-(LEN([PAPEL])-1))="3"),[Liquidez Corrente])/SUMPRODUCT(N([Liquidez Corrente]&gt;0),N(RIGHT([PAPEL],LEN([PAPEL])-(LEN([PAPEL])-1))="3"))</f>
        <v>2.331224473064915</v>
      </c>
      <c r="V327" s="18">
        <f>IF(Tabela3[[#This Row],[Lucro Líquido]]&gt;0,Tabela3[[#This Row],[Lucro Líquido]]/Tabela3[[#This Row],[Patrimônio Líquido]],0)</f>
        <v>8.0824178951562409E-2</v>
      </c>
      <c r="W327" s="18">
        <f>SUMPRODUCT(N([Rentabilidade s/ PL]&gt;0),N(RIGHT([PAPEL],LEN([PAPEL])-(LEN([PAPEL])-1))="3"),[Rentabilidade s/ PL])/SUMPRODUCT(N([Rentabilidade s/ PL]&gt;0),N(RIGHT([PAPEL],LEN([PAPEL])-(LEN([PAPEL])-1))="3"))</f>
        <v>0.1261051308670782</v>
      </c>
      <c r="X327" s="18">
        <f>IF(Tabela3[[#This Row],[Dívida]]&gt;0,Tabela3[[#This Row],[Dívida]]/Tabela3[[#This Row],[Patrimônio Líquido]],0)</f>
        <v>0</v>
      </c>
      <c r="Y327" s="18">
        <f>SUMPRODUCT(N([Dívida / PL]&gt;0),N(RIGHT([PAPEL],LEN([PAPEL])-(LEN([PAPEL])-1))="3"),[Dívida / PL])/SUMPRODUCT(N([Dívida / PL]&gt;0),N(RIGHT([PAPEL],LEN([PAPEL])-(LEN([PAPEL])-1))="3"))</f>
        <v>2.1510410379481146</v>
      </c>
      <c r="Z327" s="7">
        <f>Tabela3[[#This Row],[Capital Social]]*20%</f>
        <v>10779288.200000001</v>
      </c>
      <c r="AA327" s="47">
        <f>IF(([Lucro Líquido]*5%)&gt;[Teto R. Legal],[Teto R. Legal],[Lucro Líquido]*5%)</f>
        <v>142000</v>
      </c>
      <c r="AB327" s="47">
        <f>IF([Lucro Líquido]&lt;0,0,[Lucro Líquido]-[Reserva Legal])</f>
        <v>2698000</v>
      </c>
      <c r="AC327" s="47">
        <f>Tabela3[[#This Row],[Lucro Distribuir]]*[%Div]</f>
        <v>674500</v>
      </c>
      <c r="AD327" s="56">
        <f>SUMPRODUCT(N([Nome]=Tabela3[[#This Row],[Nome]]),[Ações])</f>
        <v>27000000</v>
      </c>
      <c r="AE327" s="85">
        <f>[Capital Social]/[Total Ações]</f>
        <v>1.9961644814814814</v>
      </c>
      <c r="AF327" s="85">
        <f>Tabela3[[#This Row],[Lucro Líquido]]/Tabela3[[#This Row],[Total Ações]]</f>
        <v>0.10518518518518519</v>
      </c>
      <c r="AG327" s="85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2.4981481481481483E-2</v>
      </c>
      <c r="AH327" s="85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327" s="77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327" s="85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2.4981481481481483E-2</v>
      </c>
      <c r="AK327" s="7">
        <f>[Div Base]*[Ações]</f>
        <v>449666.66666666669</v>
      </c>
      <c r="AL327" s="120">
        <f>SUMPRODUCT(N([Nome]=Tabela3[[#This Row],[Nome]]),[Div Base]*[Ações])</f>
        <v>674500</v>
      </c>
      <c r="AM327" s="5">
        <f>[Patrimônio Líquido]/[Total Ações]</f>
        <v>1.3014074074074073</v>
      </c>
      <c r="AN327" s="52">
        <f>MAX(Tabela3[[#This Row],[Cotação 1]:[Cotação 5]])</f>
        <v>1.5</v>
      </c>
      <c r="AO327" s="53">
        <f>[Cotação]/[VPA]</f>
        <v>1.1525983265979851</v>
      </c>
      <c r="AP327" s="37">
        <f>IF(Tabela3[[#This Row],[Lucro/Ação]]&gt;0,Tabela3[[#This Row],[Cotação]]/(Tabela3[[#This Row],[Lucro/Ação]]/[Ref]*4),0)</f>
        <v>10.695422535211268</v>
      </c>
      <c r="AQ327" s="85">
        <f>[Lucro Distribuir]/[Total Ações]</f>
        <v>9.9925925925925932E-2</v>
      </c>
      <c r="AR327" s="85">
        <f>IF([Unit ON]&gt;0,SUMPRODUCT(N([Nome]=Tabela3[[#This Row],[Nome]]),N(RIGHT([PAPEL],1)="3"),[Div Base])*[Unit ON]+SUMPRODUCT(N([Nome]=Tabela3[[#This Row],[Nome]]),N(RIGHT([PAPEL],1)="4"),[Div Base])*[Unit PN],[Div Base])</f>
        <v>2.4981481481481483E-2</v>
      </c>
      <c r="AS327" s="10" t="str">
        <f>IF(AND([% A.A.]&gt;=6%,SUMPRODUCT(N([Nome]=Tabela3[[#This Row],[Nome]]),[PL])&gt;0,[Rentabilidade s/ PL]&gt;=[Rentabilidade s/ PL Média]),"Sim","Não")</f>
        <v>Não</v>
      </c>
      <c r="AT327" s="22">
        <f>IF([Cotação]&gt;0,Tabela3[[#This Row],[Lucro]]/Tabela3[[#This Row],[Cotação]],0)</f>
        <v>1.6654320987654323E-2</v>
      </c>
      <c r="AU327" s="22">
        <f>((1+Tabela3[[#This Row],[% Yield]])^(1/(3*Tabela3[[#This Row],[Ref]])))^(12)-1</f>
        <v>2.2267171749369208E-2</v>
      </c>
      <c r="AV327" s="10">
        <f>IF([Cotação]&gt;0,($BH$1/Tabela3[[#This Row],[Cotação]]-MOD($BH$1/Tabela3[[#This Row],[Cotação]],100)),)</f>
        <v>300</v>
      </c>
      <c r="AW327" s="7">
        <f>Tabela3[[#This Row],[Ativos]]*[Lucro]</f>
        <v>7.4944444444444445</v>
      </c>
      <c r="AX327" s="7">
        <f>SUMPRODUCT(N(Tabela1[Código]=Tabela3[[#This Row],[PAPEL]]),Tabela1[Fechamento])</f>
        <v>0</v>
      </c>
      <c r="AY327" s="7">
        <f>SUMPRODUCT(N(Tabela17[Código]=Tabela3[[#This Row],[PAPEL]]),Tabela17[Fechamento])</f>
        <v>0</v>
      </c>
      <c r="AZ327" s="7">
        <f>SUMPRODUCT(N(Tabela176[Código]=Tabela3[[#This Row],[PAPEL]]),Tabela176[Fechamento])</f>
        <v>0</v>
      </c>
      <c r="BA327" s="7">
        <f>SUMPRODUCT(N(Tabela1768[Código]=Tabela3[[#This Row],[PAPEL]]),Tabela1768[Fechamento])</f>
        <v>0</v>
      </c>
      <c r="BB327" s="7">
        <f>SUMPRODUCT(N(Tabela17683[Código]=Tabela3[[#This Row],[PAPEL]]),Tabela17683[Fechamento])</f>
        <v>1.5</v>
      </c>
    </row>
    <row r="328" spans="1:54" hidden="1">
      <c r="A328" s="3" t="s">
        <v>296</v>
      </c>
      <c r="B328" s="58" t="s">
        <v>305</v>
      </c>
      <c r="C328" s="83" t="str">
        <f>LEFT([PAPEL],LEN([PAPEL])-(LEN([PAPEL])-4))</f>
        <v>BAHI</v>
      </c>
      <c r="D328" s="16">
        <v>3</v>
      </c>
      <c r="E328" s="5">
        <v>26186518.66</v>
      </c>
      <c r="F328" s="56">
        <v>5996334</v>
      </c>
      <c r="G328" s="81">
        <v>0.25</v>
      </c>
      <c r="H328" s="16"/>
      <c r="J328" s="18"/>
      <c r="K328" s="87"/>
      <c r="L328" s="87"/>
      <c r="M328" s="54"/>
      <c r="N328" s="54"/>
      <c r="O328" s="54"/>
      <c r="P328" s="5">
        <v>43741000</v>
      </c>
      <c r="Q328" s="5">
        <v>2583000</v>
      </c>
      <c r="R328" s="5">
        <f>IF(Tabela3[[#This Row],[Ativo || Passivo]]&gt;0,Tabela3[[#This Row],[Ativo || Passivo]]-Tabela3[[#This Row],[Patrimônio Líquido]],0)</f>
        <v>0</v>
      </c>
      <c r="S328" s="5">
        <f>Tabela3[[#This Row],[Cotação]]*Tabela3[[#This Row],[Total Ações]]</f>
        <v>31600680.179999996</v>
      </c>
      <c r="T328" s="130">
        <f>IF(Tabela3[[#This Row],[Passivo Circulante]]&gt;0,Tabela3[[#This Row],[Ativo Circulante]]/Tabela3[[#This Row],[Passivo Circulante]],0)</f>
        <v>0</v>
      </c>
      <c r="U328" s="130">
        <f>SUMPRODUCT(N([Liquidez Corrente]&gt;0),N(RIGHT([PAPEL],LEN([PAPEL])-(LEN([PAPEL])-1))="3"),[Liquidez Corrente])/SUMPRODUCT(N([Liquidez Corrente]&gt;0),N(RIGHT([PAPEL],LEN([PAPEL])-(LEN([PAPEL])-1))="3"))</f>
        <v>2.331224473064915</v>
      </c>
      <c r="V328" s="18">
        <f>IF(Tabela3[[#This Row],[Lucro Líquido]]&gt;0,Tabela3[[#This Row],[Lucro Líquido]]/Tabela3[[#This Row],[Patrimônio Líquido]],0)</f>
        <v>5.9052147870419056E-2</v>
      </c>
      <c r="W328" s="18">
        <f>SUMPRODUCT(N([Rentabilidade s/ PL]&gt;0),N(RIGHT([PAPEL],LEN([PAPEL])-(LEN([PAPEL])-1))="3"),[Rentabilidade s/ PL])/SUMPRODUCT(N([Rentabilidade s/ PL]&gt;0),N(RIGHT([PAPEL],LEN([PAPEL])-(LEN([PAPEL])-1))="3"))</f>
        <v>0.1261051308670782</v>
      </c>
      <c r="X328" s="18">
        <f>IF(Tabela3[[#This Row],[Dívida]]&gt;0,Tabela3[[#This Row],[Dívida]]/Tabela3[[#This Row],[Patrimônio Líquido]],0)</f>
        <v>0</v>
      </c>
      <c r="Y328" s="18">
        <f>SUMPRODUCT(N([Dívida / PL]&gt;0),N(RIGHT([PAPEL],LEN([PAPEL])-(LEN([PAPEL])-1))="3"),[Dívida / PL])/SUMPRODUCT(N([Dívida / PL]&gt;0),N(RIGHT([PAPEL],LEN([PAPEL])-(LEN([PAPEL])-1))="3"))</f>
        <v>2.1510410379481146</v>
      </c>
      <c r="Z328" s="5">
        <f>Tabela3[[#This Row],[Capital Social]]*20%</f>
        <v>5237303.7320000008</v>
      </c>
      <c r="AA328" s="5">
        <f>IF(([Lucro Líquido]*5%)&gt;[Teto R. Legal],[Teto R. Legal],[Lucro Líquido]*5%)</f>
        <v>129150</v>
      </c>
      <c r="AB328" s="5">
        <f>IF([Lucro Líquido]&lt;0,0,[Lucro Líquido]-[Reserva Legal])</f>
        <v>2453850</v>
      </c>
      <c r="AC328" s="5">
        <f>Tabela3[[#This Row],[Lucro Distribuir]]*[%Div]</f>
        <v>613462.5</v>
      </c>
      <c r="AD328" s="21">
        <f>SUMPRODUCT(N([Nome]=Tabela3[[#This Row],[Nome]]),[Ações])</f>
        <v>5996334</v>
      </c>
      <c r="AE328" s="5">
        <f>[Capital Social]/[Total Ações]</f>
        <v>4.3670880674758941</v>
      </c>
      <c r="AF328" s="77">
        <f>Tabela3[[#This Row],[Lucro Líquido]]/Tabela3[[#This Row],[Total Ações]]</f>
        <v>0.43076319631294718</v>
      </c>
      <c r="AG328" s="77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0.10230625912432496</v>
      </c>
      <c r="AH328" s="77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328" s="77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328" s="77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0.10230625912432496</v>
      </c>
      <c r="AK328" s="5">
        <f>[Div Base]*[Ações]</f>
        <v>613462.5</v>
      </c>
      <c r="AL328" s="5">
        <f>SUMPRODUCT(N([Nome]=Tabela3[[#This Row],[Nome]]),[Div Base]*[Ações])</f>
        <v>613462.5</v>
      </c>
      <c r="AM328" s="5">
        <f>[Patrimônio Líquido]/[Total Ações]</f>
        <v>7.2946236817362076</v>
      </c>
      <c r="AN328" s="52">
        <f>MAX(Tabela3[[#This Row],[Cotação 1]:[Cotação 5]])</f>
        <v>5.27</v>
      </c>
      <c r="AO328" s="53">
        <f>[Cotação]/[VPA]</f>
        <v>0.72244987951807227</v>
      </c>
      <c r="AP328" s="37">
        <f>IF(Tabela3[[#This Row],[Lucro/Ação]]&gt;0,Tabela3[[#This Row],[Cotação]]/(Tabela3[[#This Row],[Lucro/Ação]]/[Ref]*4),0)</f>
        <v>9.1755749651567946</v>
      </c>
      <c r="AQ328" s="77">
        <f>[Lucro Distribuir]/[Total Ações]</f>
        <v>0.40922503649729985</v>
      </c>
      <c r="AR328" s="77">
        <f>IF([Unit ON]&gt;0,SUMPRODUCT(N([Nome]=Tabela3[[#This Row],[Nome]]),N(RIGHT([PAPEL],1)="3"),[Div Base])*[Unit ON]+SUMPRODUCT(N([Nome]=Tabela3[[#This Row],[Nome]]),N(RIGHT([PAPEL],1)="4"),[Div Base])*[Unit PN],[Div Base])</f>
        <v>0.10230625912432496</v>
      </c>
      <c r="AS328" s="16" t="str">
        <f>IF(AND([% A.A.]&gt;=6%,SUMPRODUCT(N([Nome]=Tabela3[[#This Row],[Nome]]),[PL])&gt;0,[Rentabilidade s/ PL]&gt;=[Rentabilidade s/ PL Média]),"Sim","Não")</f>
        <v>Não</v>
      </c>
      <c r="AT328" s="22">
        <f>IF([Cotação]&gt;0,Tabela3[[#This Row],[Lucro]]/Tabela3[[#This Row],[Cotação]],0)</f>
        <v>1.9412952395507586E-2</v>
      </c>
      <c r="AU328" s="18">
        <f>((1+Tabela3[[#This Row],[% Yield]])^(1/(3*Tabela3[[#This Row],[Ref]])))^(12)-1</f>
        <v>2.5967325406204056E-2</v>
      </c>
      <c r="AV328" s="10">
        <f>IF([Cotação]&gt;0,($BH$1/Tabela3[[#This Row],[Cotação]]-MOD($BH$1/Tabela3[[#This Row],[Cotação]],100)),)</f>
        <v>0</v>
      </c>
      <c r="AW328" s="7">
        <f>Tabela3[[#This Row],[Ativos]]*[Lucro]</f>
        <v>0</v>
      </c>
      <c r="AX328" s="47">
        <f>SUMPRODUCT(N(Tabela1[Código]=Tabela3[[#This Row],[PAPEL]]),Tabela1[Fechamento])</f>
        <v>0</v>
      </c>
      <c r="AY328" s="54">
        <f>SUMPRODUCT(N(Tabela17[Código]=Tabela3[[#This Row],[PAPEL]]),Tabela17[Fechamento])</f>
        <v>5.27</v>
      </c>
      <c r="AZ328" s="7">
        <f>SUMPRODUCT(N(Tabela176[Código]=Tabela3[[#This Row],[PAPEL]]),Tabela176[Fechamento])</f>
        <v>0</v>
      </c>
      <c r="BA328" s="7">
        <f>SUMPRODUCT(N(Tabela1768[Código]=Tabela3[[#This Row],[PAPEL]]),Tabela1768[Fechamento])</f>
        <v>0</v>
      </c>
      <c r="BB328" s="7">
        <f>SUMPRODUCT(N(Tabela17683[Código]=Tabela3[[#This Row],[PAPEL]]),Tabela17683[Fechamento])</f>
        <v>0</v>
      </c>
    </row>
    <row r="329" spans="1:54" hidden="1">
      <c r="A329" s="3" t="s">
        <v>1356</v>
      </c>
      <c r="B329" s="57" t="s">
        <v>1357</v>
      </c>
      <c r="C329" s="16" t="str">
        <f>LEFT([PAPEL],LEN([PAPEL])-(LEN([PAPEL])-4))</f>
        <v>LOGN</v>
      </c>
      <c r="D329" s="16">
        <v>3</v>
      </c>
      <c r="E329" s="5">
        <v>527000000</v>
      </c>
      <c r="F329" s="56">
        <v>91711620</v>
      </c>
      <c r="G329" s="81">
        <v>0.25</v>
      </c>
      <c r="H329" s="87"/>
      <c r="J329" s="18"/>
      <c r="K329" s="16"/>
      <c r="L329" s="87"/>
      <c r="M329" s="54"/>
      <c r="N329" s="54"/>
      <c r="O329" s="54"/>
      <c r="P329" s="91">
        <v>533102000</v>
      </c>
      <c r="Q329" s="73">
        <v>2534000</v>
      </c>
      <c r="R329" s="73">
        <f>IF(Tabela3[[#This Row],[Ativo || Passivo]]&gt;0,Tabela3[[#This Row],[Ativo || Passivo]]-Tabela3[[#This Row],[Patrimônio Líquido]],0)</f>
        <v>0</v>
      </c>
      <c r="S329" s="73">
        <f>Tabela3[[#This Row],[Cotação]]*Tabela3[[#This Row],[Total Ações]]</f>
        <v>833658625.79999995</v>
      </c>
      <c r="T329" s="37">
        <f>IF(Tabela3[[#This Row],[Passivo Circulante]]&gt;0,Tabela3[[#This Row],[Ativo Circulante]]/Tabela3[[#This Row],[Passivo Circulante]],0)</f>
        <v>0</v>
      </c>
      <c r="U329" s="37">
        <f>SUMPRODUCT(N([Liquidez Corrente]&gt;0),N(RIGHT([PAPEL],LEN([PAPEL])-(LEN([PAPEL])-1))="3"),[Liquidez Corrente])/SUMPRODUCT(N([Liquidez Corrente]&gt;0),N(RIGHT([PAPEL],LEN([PAPEL])-(LEN([PAPEL])-1))="3"))</f>
        <v>2.331224473064915</v>
      </c>
      <c r="V329" s="18">
        <f>IF(Tabela3[[#This Row],[Lucro Líquido]]&gt;0,Tabela3[[#This Row],[Lucro Líquido]]/Tabela3[[#This Row],[Patrimônio Líquido]],0)</f>
        <v>4.7533117489711165E-3</v>
      </c>
      <c r="W329" s="18">
        <f>SUMPRODUCT(N([Rentabilidade s/ PL]&gt;0),N(RIGHT([PAPEL],LEN([PAPEL])-(LEN([PAPEL])-1))="3"),[Rentabilidade s/ PL])/SUMPRODUCT(N([Rentabilidade s/ PL]&gt;0),N(RIGHT([PAPEL],LEN([PAPEL])-(LEN([PAPEL])-1))="3"))</f>
        <v>0.1261051308670782</v>
      </c>
      <c r="X329" s="18">
        <f>IF(Tabela3[[#This Row],[Dívida]]&gt;0,Tabela3[[#This Row],[Dívida]]/Tabela3[[#This Row],[Patrimônio Líquido]],0)</f>
        <v>0</v>
      </c>
      <c r="Y329" s="18">
        <f>SUMPRODUCT(N([Dívida / PL]&gt;0),N(RIGHT([PAPEL],LEN([PAPEL])-(LEN([PAPEL])-1))="3"),[Dívida / PL])/SUMPRODUCT(N([Dívida / PL]&gt;0),N(RIGHT([PAPEL],LEN([PAPEL])-(LEN([PAPEL])-1))="3"))</f>
        <v>2.1510410379481146</v>
      </c>
      <c r="Z329" s="7">
        <f>Tabela3[[#This Row],[Capital Social]]*20%</f>
        <v>105400000</v>
      </c>
      <c r="AA329" s="47">
        <f>IF(([Lucro Líquido]*5%)&gt;[Teto R. Legal],[Teto R. Legal],[Lucro Líquido]*5%)</f>
        <v>126700</v>
      </c>
      <c r="AB329" s="47">
        <f>IF([Lucro Líquido]&lt;0,0,[Lucro Líquido]-[Reserva Legal])</f>
        <v>2407300</v>
      </c>
      <c r="AC329" s="47">
        <f>Tabela3[[#This Row],[Lucro Distribuir]]*[%Div]</f>
        <v>601825</v>
      </c>
      <c r="AD329" s="56">
        <f>SUMPRODUCT(N([Nome]=Tabela3[[#This Row],[Nome]]),[Ações])</f>
        <v>91711620</v>
      </c>
      <c r="AE329" s="85">
        <f>[Capital Social]/[Total Ações]</f>
        <v>5.746272936842681</v>
      </c>
      <c r="AF329" s="85">
        <f>Tabela3[[#This Row],[Lucro Líquido]]/Tabela3[[#This Row],[Total Ações]]</f>
        <v>2.7630086569182838E-2</v>
      </c>
      <c r="AG329" s="85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6.5621455601809235E-3</v>
      </c>
      <c r="AH329" s="85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329" s="77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329" s="85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6.5621455601809235E-3</v>
      </c>
      <c r="AK329" s="7">
        <f>[Div Base]*[Ações]</f>
        <v>601825</v>
      </c>
      <c r="AL329" s="120">
        <f>SUMPRODUCT(N([Nome]=Tabela3[[#This Row],[Nome]]),[Div Base]*[Ações])</f>
        <v>601825</v>
      </c>
      <c r="AM329" s="5">
        <f>[Patrimônio Líquido]/[Total Ações]</f>
        <v>5.8128075809804693</v>
      </c>
      <c r="AN329" s="52">
        <f>MAX(Tabela3[[#This Row],[Cotação 1]:[Cotação 5]])</f>
        <v>9.09</v>
      </c>
      <c r="AO329" s="53">
        <f>[Cotação]/[VPA]</f>
        <v>1.5637882165139128</v>
      </c>
      <c r="AP329" s="37">
        <f>IF(Tabela3[[#This Row],[Lucro/Ação]]&gt;0,Tabela3[[#This Row],[Cotação]]/(Tabela3[[#This Row],[Lucro/Ação]]/[Ref]*4),0)</f>
        <v>246.7418979281768</v>
      </c>
      <c r="AQ329" s="85">
        <f>[Lucro Distribuir]/[Total Ações]</f>
        <v>2.6248582240723694E-2</v>
      </c>
      <c r="AR329" s="85">
        <f>IF([Unit ON]&gt;0,SUMPRODUCT(N([Nome]=Tabela3[[#This Row],[Nome]]),N(RIGHT([PAPEL],1)="3"),[Div Base])*[Unit ON]+SUMPRODUCT(N([Nome]=Tabela3[[#This Row],[Nome]]),N(RIGHT([PAPEL],1)="4"),[Div Base])*[Unit PN],[Div Base])</f>
        <v>6.5621455601809235E-3</v>
      </c>
      <c r="AS329" s="10" t="str">
        <f>IF(AND([% A.A.]&gt;=6%,SUMPRODUCT(N([Nome]=Tabela3[[#This Row],[Nome]]),[PL])&gt;0,[Rentabilidade s/ PL]&gt;=[Rentabilidade s/ PL Média]),"Sim","Não")</f>
        <v>Não</v>
      </c>
      <c r="AT329" s="22">
        <f>IF([Cotação]&gt;0,Tabela3[[#This Row],[Lucro]]/Tabela3[[#This Row],[Cotação]],0)</f>
        <v>7.2190820244014565E-4</v>
      </c>
      <c r="AU329" s="22">
        <f>((1+Tabela3[[#This Row],[% Yield]])^(1/(3*Tabela3[[#This Row],[Ref]])))^(12)-1</f>
        <v>9.6266006278011851E-4</v>
      </c>
      <c r="AV329" s="10">
        <f>IF([Cotação]&gt;0,($BH$1/Tabela3[[#This Row],[Cotação]]-MOD($BH$1/Tabela3[[#This Row],[Cotação]],100)),)</f>
        <v>0</v>
      </c>
      <c r="AW329" s="7">
        <f>Tabela3[[#This Row],[Ativos]]*[Lucro]</f>
        <v>0</v>
      </c>
      <c r="AX329" s="7">
        <f>SUMPRODUCT(N(Tabela1[Código]=Tabela3[[#This Row],[PAPEL]]),Tabela1[Fechamento])</f>
        <v>0</v>
      </c>
      <c r="AY329" s="7">
        <f>SUMPRODUCT(N(Tabela17[Código]=Tabela3[[#This Row],[PAPEL]]),Tabela17[Fechamento])</f>
        <v>0</v>
      </c>
      <c r="AZ329" s="7">
        <f>SUMPRODUCT(N(Tabela176[Código]=Tabela3[[#This Row],[PAPEL]]),Tabela176[Fechamento])</f>
        <v>0</v>
      </c>
      <c r="BA329" s="7">
        <f>SUMPRODUCT(N(Tabela1768[Código]=Tabela3[[#This Row],[PAPEL]]),Tabela1768[Fechamento])</f>
        <v>0</v>
      </c>
      <c r="BB329" s="7">
        <f>SUMPRODUCT(N(Tabela17683[Código]=Tabela3[[#This Row],[PAPEL]]),Tabela17683[Fechamento])</f>
        <v>9.09</v>
      </c>
    </row>
    <row r="330" spans="1:54" hidden="1">
      <c r="A330" s="3" t="s">
        <v>1090</v>
      </c>
      <c r="B330" s="58" t="s">
        <v>1092</v>
      </c>
      <c r="C330" s="16" t="str">
        <f>LEFT([PAPEL],LEN([PAPEL])-(LEN([PAPEL])-4))</f>
        <v>TECN</v>
      </c>
      <c r="D330" s="16">
        <v>3</v>
      </c>
      <c r="E330" s="5">
        <v>126331859.86</v>
      </c>
      <c r="F330" s="56">
        <v>77636196</v>
      </c>
      <c r="G330" s="81">
        <v>0.25</v>
      </c>
      <c r="H330" s="87"/>
      <c r="J330" s="18"/>
      <c r="K330" s="16"/>
      <c r="L330" s="87"/>
      <c r="M330" s="54"/>
      <c r="N330" s="54"/>
      <c r="O330" s="54"/>
      <c r="P330" s="91">
        <v>417585000</v>
      </c>
      <c r="Q330" s="73">
        <v>2518000</v>
      </c>
      <c r="R330" s="73">
        <f>IF(Tabela3[[#This Row],[Ativo || Passivo]]&gt;0,Tabela3[[#This Row],[Ativo || Passivo]]-Tabela3[[#This Row],[Patrimônio Líquido]],0)</f>
        <v>0</v>
      </c>
      <c r="S330" s="73">
        <f>Tabela3[[#This Row],[Cotação]]*Tabela3[[#This Row],[Total Ações]]</f>
        <v>1115632136.52</v>
      </c>
      <c r="T330" s="37">
        <f>IF(Tabela3[[#This Row],[Passivo Circulante]]&gt;0,Tabela3[[#This Row],[Ativo Circulante]]/Tabela3[[#This Row],[Passivo Circulante]],0)</f>
        <v>0</v>
      </c>
      <c r="U330" s="37">
        <f>SUMPRODUCT(N([Liquidez Corrente]&gt;0),N(RIGHT([PAPEL],LEN([PAPEL])-(LEN([PAPEL])-1))="3"),[Liquidez Corrente])/SUMPRODUCT(N([Liquidez Corrente]&gt;0),N(RIGHT([PAPEL],LEN([PAPEL])-(LEN([PAPEL])-1))="3"))</f>
        <v>2.331224473064915</v>
      </c>
      <c r="V330" s="18">
        <f>IF(Tabela3[[#This Row],[Lucro Líquido]]&gt;0,Tabela3[[#This Row],[Lucro Líquido]]/Tabela3[[#This Row],[Patrimônio Líquido]],0)</f>
        <v>6.0299100781876745E-3</v>
      </c>
      <c r="W330" s="18">
        <f>SUMPRODUCT(N([Rentabilidade s/ PL]&gt;0),N(RIGHT([PAPEL],LEN([PAPEL])-(LEN([PAPEL])-1))="3"),[Rentabilidade s/ PL])/SUMPRODUCT(N([Rentabilidade s/ PL]&gt;0),N(RIGHT([PAPEL],LEN([PAPEL])-(LEN([PAPEL])-1))="3"))</f>
        <v>0.1261051308670782</v>
      </c>
      <c r="X330" s="18">
        <f>IF(Tabela3[[#This Row],[Dívida]]&gt;0,Tabela3[[#This Row],[Dívida]]/Tabela3[[#This Row],[Patrimônio Líquido]],0)</f>
        <v>0</v>
      </c>
      <c r="Y330" s="18">
        <f>SUMPRODUCT(N([Dívida / PL]&gt;0),N(RIGHT([PAPEL],LEN([PAPEL])-(LEN([PAPEL])-1))="3"),[Dívida / PL])/SUMPRODUCT(N([Dívida / PL]&gt;0),N(RIGHT([PAPEL],LEN([PAPEL])-(LEN([PAPEL])-1))="3"))</f>
        <v>2.1510410379481146</v>
      </c>
      <c r="Z330" s="7">
        <f>Tabela3[[#This Row],[Capital Social]]*20%</f>
        <v>25266371.972000003</v>
      </c>
      <c r="AA330" s="47">
        <f>IF(([Lucro Líquido]*5%)&gt;[Teto R. Legal],[Teto R. Legal],[Lucro Líquido]*5%)</f>
        <v>125900</v>
      </c>
      <c r="AB330" s="47">
        <f>IF([Lucro Líquido]&lt;0,0,[Lucro Líquido]-[Reserva Legal])</f>
        <v>2392100</v>
      </c>
      <c r="AC330" s="47">
        <f>Tabela3[[#This Row],[Lucro Distribuir]]*[%Div]</f>
        <v>598025</v>
      </c>
      <c r="AD330" s="56">
        <f>SUMPRODUCT(N([Nome]=Tabela3[[#This Row],[Nome]]),[Ações])</f>
        <v>77636196</v>
      </c>
      <c r="AE330" s="85">
        <f>[Capital Social]/[Total Ações]</f>
        <v>1.62722887478928</v>
      </c>
      <c r="AF330" s="85">
        <f>Tabela3[[#This Row],[Lucro Líquido]]/Tabela3[[#This Row],[Total Ações]]</f>
        <v>3.243332530099749E-2</v>
      </c>
      <c r="AG330" s="85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7.7029147589869036E-3</v>
      </c>
      <c r="AH330" s="85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330" s="77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330" s="85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7.7029147589869036E-3</v>
      </c>
      <c r="AK330" s="7">
        <f>[Div Base]*[Ações]</f>
        <v>598025</v>
      </c>
      <c r="AL330" s="7">
        <f>SUMPRODUCT(N([Nome]=Tabela3[[#This Row],[Nome]]),[Div Base]*[Ações])</f>
        <v>598025</v>
      </c>
      <c r="AM330" s="5">
        <f>[Patrimônio Líquido]/[Total Ações]</f>
        <v>5.3787411222466384</v>
      </c>
      <c r="AN330" s="52">
        <f>MAX(Tabela3[[#This Row],[Cotação 1]:[Cotação 5]])</f>
        <v>14.37</v>
      </c>
      <c r="AO330" s="53">
        <f>[Cotação]/[VPA]</f>
        <v>2.6716288576457488</v>
      </c>
      <c r="AP330" s="37">
        <f>IF(Tabela3[[#This Row],[Lucro/Ação]]&gt;0,Tabela3[[#This Row],[Cotação]]/(Tabela3[[#This Row],[Lucro/Ação]]/[Ref]*4),0)</f>
        <v>332.29710182287522</v>
      </c>
      <c r="AQ330" s="85">
        <f>[Lucro Distribuir]/[Total Ações]</f>
        <v>3.0811659035947615E-2</v>
      </c>
      <c r="AR330" s="85">
        <f>IF([Unit ON]&gt;0,SUMPRODUCT(N([Nome]=Tabela3[[#This Row],[Nome]]),N(RIGHT([PAPEL],1)="3"),[Div Base])*[Unit ON]+SUMPRODUCT(N([Nome]=Tabela3[[#This Row],[Nome]]),N(RIGHT([PAPEL],1)="4"),[Div Base])*[Unit PN],[Div Base])</f>
        <v>7.7029147589869036E-3</v>
      </c>
      <c r="AS330" s="10" t="str">
        <f>IF(AND([% A.A.]&gt;=6%,SUMPRODUCT(N([Nome]=Tabela3[[#This Row],[Nome]]),[PL])&gt;0,[Rentabilidade s/ PL]&gt;=[Rentabilidade s/ PL Média]),"Sim","Não")</f>
        <v>Não</v>
      </c>
      <c r="AT330" s="22">
        <f>IF([Cotação]&gt;0,Tabela3[[#This Row],[Lucro]]/Tabela3[[#This Row],[Cotação]],0)</f>
        <v>5.3604138893437051E-4</v>
      </c>
      <c r="AU330" s="22">
        <f>((1+Tabela3[[#This Row],[% Yield]])^(1/(3*Tabela3[[#This Row],[Ref]])))^(12)-1</f>
        <v>7.1478569772387424E-4</v>
      </c>
      <c r="AV330" s="10">
        <f>IF([Cotação]&gt;0,($BH$1/Tabela3[[#This Row],[Cotação]]-MOD($BH$1/Tabela3[[#This Row],[Cotação]],100)),)</f>
        <v>0</v>
      </c>
      <c r="AW330" s="7">
        <f>Tabela3[[#This Row],[Ativos]]*[Lucro]</f>
        <v>0</v>
      </c>
      <c r="AX330" s="7">
        <f>SUMPRODUCT(N(Tabela1[Código]=Tabela3[[#This Row],[PAPEL]]),Tabela1[Fechamento])</f>
        <v>0</v>
      </c>
      <c r="AY330" s="7">
        <f>SUMPRODUCT(N(Tabela17[Código]=Tabela3[[#This Row],[PAPEL]]),Tabela17[Fechamento])</f>
        <v>0</v>
      </c>
      <c r="AZ330" s="7">
        <f>SUMPRODUCT(N(Tabela176[Código]=Tabela3[[#This Row],[PAPEL]]),Tabela176[Fechamento])</f>
        <v>0</v>
      </c>
      <c r="BA330" s="7">
        <f>SUMPRODUCT(N(Tabela1768[Código]=Tabela3[[#This Row],[PAPEL]]),Tabela1768[Fechamento])</f>
        <v>14.37</v>
      </c>
      <c r="BB330" s="7">
        <f>SUMPRODUCT(N(Tabela17683[Código]=Tabela3[[#This Row],[PAPEL]]),Tabela17683[Fechamento])</f>
        <v>0</v>
      </c>
    </row>
    <row r="331" spans="1:54">
      <c r="A331" s="4" t="s">
        <v>296</v>
      </c>
      <c r="B331" s="57" t="s">
        <v>727</v>
      </c>
      <c r="C331" s="15" t="str">
        <f>LEFT([PAPEL],LEN([PAPEL])-(LEN([PAPEL])-4))</f>
        <v>JBDU</v>
      </c>
      <c r="D331" s="15">
        <v>4</v>
      </c>
      <c r="E331" s="6">
        <v>96610827.730000004</v>
      </c>
      <c r="F331" s="8">
        <v>92915020</v>
      </c>
      <c r="G331" s="86">
        <v>0.25</v>
      </c>
      <c r="H331" s="15"/>
      <c r="I331" s="19"/>
      <c r="J331" s="19"/>
      <c r="K331" s="88"/>
      <c r="L331" s="88"/>
      <c r="M331" s="55"/>
      <c r="N331" s="55"/>
      <c r="O331" s="55"/>
      <c r="P331" s="92">
        <v>42441000</v>
      </c>
      <c r="Q331" s="93">
        <v>2353000</v>
      </c>
      <c r="R331" s="93">
        <f>IF(Tabela3[[#This Row],[Ativo || Passivo]]&gt;0,Tabela3[[#This Row],[Ativo || Passivo]]-Tabela3[[#This Row],[Patrimônio Líquido]],0)</f>
        <v>0</v>
      </c>
      <c r="S331" s="93">
        <f>Tabela3[[#This Row],[Cotação]]*Tabela3[[#This Row],[Total Ações]]</f>
        <v>75259395</v>
      </c>
      <c r="T331" s="40">
        <f>IF(Tabela3[[#This Row],[Passivo Circulante]]&gt;0,Tabela3[[#This Row],[Ativo Circulante]]/Tabela3[[#This Row],[Passivo Circulante]],0)</f>
        <v>0</v>
      </c>
      <c r="U331" s="40">
        <f>SUMPRODUCT(N([Liquidez Corrente]&gt;0),N(RIGHT([PAPEL],LEN([PAPEL])-(LEN([PAPEL])-1))="3"),[Liquidez Corrente])/SUMPRODUCT(N([Liquidez Corrente]&gt;0),N(RIGHT([PAPEL],LEN([PAPEL])-(LEN([PAPEL])-1))="3"))</f>
        <v>2.331224473064915</v>
      </c>
      <c r="V331" s="19">
        <f>IF(Tabela3[[#This Row],[Lucro Líquido]]&gt;0,Tabela3[[#This Row],[Lucro Líquido]]/Tabela3[[#This Row],[Patrimônio Líquido]],0)</f>
        <v>5.5441671968144014E-2</v>
      </c>
      <c r="W331" s="19">
        <f>SUMPRODUCT(N([Rentabilidade s/ PL]&gt;0),N(RIGHT([PAPEL],LEN([PAPEL])-(LEN([PAPEL])-1))="3"),[Rentabilidade s/ PL])/SUMPRODUCT(N([Rentabilidade s/ PL]&gt;0),N(RIGHT([PAPEL],LEN([PAPEL])-(LEN([PAPEL])-1))="3"))</f>
        <v>0.1261051308670782</v>
      </c>
      <c r="X331" s="19">
        <f>IF(Tabela3[[#This Row],[Dívida]]&gt;0,Tabela3[[#This Row],[Dívida]]/Tabela3[[#This Row],[Patrimônio Líquido]],0)</f>
        <v>0</v>
      </c>
      <c r="Y331" s="19">
        <f>SUMPRODUCT(N([Dívida / PL]&gt;0),N(RIGHT([PAPEL],LEN([PAPEL])-(LEN([PAPEL])-1))="3"),[Dívida / PL])/SUMPRODUCT(N([Dívida / PL]&gt;0),N(RIGHT([PAPEL],LEN([PAPEL])-(LEN([PAPEL])-1))="3"))</f>
        <v>2.1510410379481146</v>
      </c>
      <c r="Z331" s="13">
        <f>Tabela3[[#This Row],[Capital Social]]*20%</f>
        <v>19322165.546</v>
      </c>
      <c r="AA331" s="13">
        <f>IF(([Lucro Líquido]*5%)&gt;[Teto R. Legal],[Teto R. Legal],[Lucro Líquido]*5%)</f>
        <v>117650</v>
      </c>
      <c r="AB331" s="13">
        <f>IF([Lucro Líquido]&lt;0,0,[Lucro Líquido]-[Reserva Legal])</f>
        <v>2235350</v>
      </c>
      <c r="AC331" s="13">
        <f>Tabela3[[#This Row],[Lucro Distribuir]]*[%Div]</f>
        <v>558837.5</v>
      </c>
      <c r="AD331" s="21">
        <f>SUMPRODUCT(N([Nome]=Tabela3[[#This Row],[Nome]]),[Ações])</f>
        <v>278738500</v>
      </c>
      <c r="AE331" s="6">
        <f>[Capital Social]/[Total Ações]</f>
        <v>0.34660022827847609</v>
      </c>
      <c r="AF331" s="78">
        <f>Tabela3[[#This Row],[Lucro Líquido]]/Tabela3[[#This Row],[Total Ações]]</f>
        <v>8.4416038688591641E-3</v>
      </c>
      <c r="AG331" s="78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2.0048809188540516E-3</v>
      </c>
      <c r="AH331" s="78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331" s="78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331" s="78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2.0048809188540516E-3</v>
      </c>
      <c r="AK331" s="13">
        <f>[Div Base]*[Ações]</f>
        <v>186283.55067294257</v>
      </c>
      <c r="AL331" s="13">
        <f>SUMPRODUCT(N([Nome]=Tabela3[[#This Row],[Nome]]),[Div Base]*[Ações])</f>
        <v>558837.5</v>
      </c>
      <c r="AM331" s="6">
        <f>[Patrimônio Líquido]/[Total Ações]</f>
        <v>0.1522609901395035</v>
      </c>
      <c r="AN331" s="48">
        <f>MAX(Tabela3[[#This Row],[Cotação 1]:[Cotação 5]])</f>
        <v>0.27</v>
      </c>
      <c r="AO331" s="44">
        <f>[Cotação]/[VPA]</f>
        <v>1.7732710115218777</v>
      </c>
      <c r="AP331" s="40">
        <f>IF(Tabela3[[#This Row],[Lucro/Ação]]&gt;0,Tabela3[[#This Row],[Cotação]]/(Tabela3[[#This Row],[Lucro/Ação]]/[Ref]*4),0)</f>
        <v>31.984443263918404</v>
      </c>
      <c r="AQ331" s="78">
        <f>[Lucro Distribuir]/[Total Ações]</f>
        <v>8.0195236754162062E-3</v>
      </c>
      <c r="AR331" s="78">
        <f>IF([Unit ON]&gt;0,SUMPRODUCT(N([Nome]=Tabela3[[#This Row],[Nome]]),N(RIGHT([PAPEL],1)="3"),[Div Base])*[Unit ON]+SUMPRODUCT(N([Nome]=Tabela3[[#This Row],[Nome]]),N(RIGHT([PAPEL],1)="4"),[Div Base])*[Unit PN],[Div Base])</f>
        <v>2.0048809188540516E-3</v>
      </c>
      <c r="AS331" s="14" t="str">
        <f>IF(AND([% A.A.]&gt;=6%,SUMPRODUCT(N([Nome]=Tabela3[[#This Row],[Nome]]),[PL])&gt;0,[Rentabilidade s/ PL]&gt;=[Rentabilidade s/ PL Média]),"Sim","Não")</f>
        <v>Não</v>
      </c>
      <c r="AT331" s="42">
        <f>IF([Cotação]&gt;0,Tabela3[[#This Row],[Lucro]]/Tabela3[[#This Row],[Cotação]],0)</f>
        <v>7.4254848846446349E-3</v>
      </c>
      <c r="AU331" s="42">
        <f>((1+Tabela3[[#This Row],[% Yield]])^(1/(3*Tabela3[[#This Row],[Ref]])))^(12)-1</f>
        <v>7.4254848846435628E-3</v>
      </c>
      <c r="AV331" s="14">
        <f>IF([Cotação]&gt;0,($BH$1/Tabela3[[#This Row],[Cotação]]-MOD($BH$1/Tabela3[[#This Row],[Cotação]],100)),)</f>
        <v>1800</v>
      </c>
      <c r="AW331" s="17">
        <f>Tabela3[[#This Row],[Ativos]]*[Lucro]</f>
        <v>3.6087856539372929</v>
      </c>
      <c r="AX331" s="17">
        <f>SUMPRODUCT(N(Tabela1[Código]=Tabela3[[#This Row],[PAPEL]]),Tabela1[Fechamento])</f>
        <v>0</v>
      </c>
      <c r="AY331" s="17">
        <f>SUMPRODUCT(N(Tabela17[Código]=Tabela3[[#This Row],[PAPEL]]),Tabela17[Fechamento])</f>
        <v>0</v>
      </c>
      <c r="AZ331" s="17">
        <f>SUMPRODUCT(N(Tabela176[Código]=Tabela3[[#This Row],[PAPEL]]),Tabela176[Fechamento])</f>
        <v>0.27</v>
      </c>
      <c r="BA331" s="17">
        <f>SUMPRODUCT(N(Tabela1768[Código]=Tabela3[[#This Row],[PAPEL]]),Tabela1768[Fechamento])</f>
        <v>0</v>
      </c>
      <c r="BB331" s="7">
        <f>SUMPRODUCT(N(Tabela17683[Código]=Tabela3[[#This Row],[PAPEL]]),Tabela17683[Fechamento])</f>
        <v>0</v>
      </c>
    </row>
    <row r="332" spans="1:54">
      <c r="A332" s="4" t="s">
        <v>296</v>
      </c>
      <c r="B332" s="57" t="s">
        <v>728</v>
      </c>
      <c r="C332" s="15" t="str">
        <f>LEFT([PAPEL],LEN([PAPEL])-(LEN([PAPEL])-4))</f>
        <v>JBDU</v>
      </c>
      <c r="D332" s="15">
        <v>4</v>
      </c>
      <c r="E332" s="6">
        <v>96610827.730000004</v>
      </c>
      <c r="F332" s="8">
        <v>185823480</v>
      </c>
      <c r="G332" s="86">
        <v>0.25</v>
      </c>
      <c r="H332" s="15"/>
      <c r="I332" s="19"/>
      <c r="J332" s="19"/>
      <c r="K332" s="88"/>
      <c r="L332" s="88"/>
      <c r="M332" s="55"/>
      <c r="N332" s="55"/>
      <c r="O332" s="55"/>
      <c r="P332" s="92">
        <v>42441000</v>
      </c>
      <c r="Q332" s="93">
        <v>2353000</v>
      </c>
      <c r="R332" s="93">
        <f>IF(Tabela3[[#This Row],[Ativo || Passivo]]&gt;0,Tabela3[[#This Row],[Ativo || Passivo]]-Tabela3[[#This Row],[Patrimônio Líquido]],0)</f>
        <v>0</v>
      </c>
      <c r="S332" s="93">
        <f>Tabela3[[#This Row],[Cotação]]*Tabela3[[#This Row],[Total Ações]]</f>
        <v>52960315</v>
      </c>
      <c r="T332" s="40">
        <f>IF(Tabela3[[#This Row],[Passivo Circulante]]&gt;0,Tabela3[[#This Row],[Ativo Circulante]]/Tabela3[[#This Row],[Passivo Circulante]],0)</f>
        <v>0</v>
      </c>
      <c r="U332" s="40">
        <f>SUMPRODUCT(N([Liquidez Corrente]&gt;0),N(RIGHT([PAPEL],LEN([PAPEL])-(LEN([PAPEL])-1))="3"),[Liquidez Corrente])/SUMPRODUCT(N([Liquidez Corrente]&gt;0),N(RIGHT([PAPEL],LEN([PAPEL])-(LEN([PAPEL])-1))="3"))</f>
        <v>2.331224473064915</v>
      </c>
      <c r="V332" s="19">
        <f>IF(Tabela3[[#This Row],[Lucro Líquido]]&gt;0,Tabela3[[#This Row],[Lucro Líquido]]/Tabela3[[#This Row],[Patrimônio Líquido]],0)</f>
        <v>5.5441671968144014E-2</v>
      </c>
      <c r="W332" s="19">
        <f>SUMPRODUCT(N([Rentabilidade s/ PL]&gt;0),N(RIGHT([PAPEL],LEN([PAPEL])-(LEN([PAPEL])-1))="3"),[Rentabilidade s/ PL])/SUMPRODUCT(N([Rentabilidade s/ PL]&gt;0),N(RIGHT([PAPEL],LEN([PAPEL])-(LEN([PAPEL])-1))="3"))</f>
        <v>0.1261051308670782</v>
      </c>
      <c r="X332" s="19">
        <f>IF(Tabela3[[#This Row],[Dívida]]&gt;0,Tabela3[[#This Row],[Dívida]]/Tabela3[[#This Row],[Patrimônio Líquido]],0)</f>
        <v>0</v>
      </c>
      <c r="Y332" s="19">
        <f>SUMPRODUCT(N([Dívida / PL]&gt;0),N(RIGHT([PAPEL],LEN([PAPEL])-(LEN([PAPEL])-1))="3"),[Dívida / PL])/SUMPRODUCT(N([Dívida / PL]&gt;0),N(RIGHT([PAPEL],LEN([PAPEL])-(LEN([PAPEL])-1))="3"))</f>
        <v>2.1510410379481146</v>
      </c>
      <c r="Z332" s="13">
        <f>Tabela3[[#This Row],[Capital Social]]*20%</f>
        <v>19322165.546</v>
      </c>
      <c r="AA332" s="13">
        <f>IF(([Lucro Líquido]*5%)&gt;[Teto R. Legal],[Teto R. Legal],[Lucro Líquido]*5%)</f>
        <v>117650</v>
      </c>
      <c r="AB332" s="13">
        <f>IF([Lucro Líquido]&lt;0,0,[Lucro Líquido]-[Reserva Legal])</f>
        <v>2235350</v>
      </c>
      <c r="AC332" s="13">
        <f>Tabela3[[#This Row],[Lucro Distribuir]]*[%Div]</f>
        <v>558837.5</v>
      </c>
      <c r="AD332" s="21">
        <f>SUMPRODUCT(N([Nome]=Tabela3[[#This Row],[Nome]]),[Ações])</f>
        <v>278738500</v>
      </c>
      <c r="AE332" s="6">
        <f>[Capital Social]/[Total Ações]</f>
        <v>0.34660022827847609</v>
      </c>
      <c r="AF332" s="78">
        <f>Tabela3[[#This Row],[Lucro Líquido]]/Tabela3[[#This Row],[Total Ações]]</f>
        <v>8.4416038688591641E-3</v>
      </c>
      <c r="AG332" s="78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2.0048809188540516E-3</v>
      </c>
      <c r="AH332" s="78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332" s="78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332" s="78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2.0048809188540516E-3</v>
      </c>
      <c r="AK332" s="13">
        <f>[Div Base]*[Ações]</f>
        <v>372553.94932705746</v>
      </c>
      <c r="AL332" s="13">
        <f>SUMPRODUCT(N([Nome]=Tabela3[[#This Row],[Nome]]),[Div Base]*[Ações])</f>
        <v>558837.5</v>
      </c>
      <c r="AM332" s="6">
        <f>[Patrimônio Líquido]/[Total Ações]</f>
        <v>0.1522609901395035</v>
      </c>
      <c r="AN332" s="48">
        <f>MAX(Tabela3[[#This Row],[Cotação 1]:[Cotação 5]])</f>
        <v>0.19</v>
      </c>
      <c r="AO332" s="44">
        <f>[Cotação]/[VPA]</f>
        <v>1.2478573784783582</v>
      </c>
      <c r="AP332" s="40">
        <f>IF(Tabela3[[#This Row],[Lucro/Ação]]&gt;0,Tabela3[[#This Row],[Cotação]]/(Tabela3[[#This Row],[Lucro/Ação]]/[Ref]*4),0)</f>
        <v>22.507571185720355</v>
      </c>
      <c r="AQ332" s="78">
        <f>[Lucro Distribuir]/[Total Ações]</f>
        <v>8.0195236754162062E-3</v>
      </c>
      <c r="AR332" s="78">
        <f>IF([Unit ON]&gt;0,SUMPRODUCT(N([Nome]=Tabela3[[#This Row],[Nome]]),N(RIGHT([PAPEL],1)="3"),[Div Base])*[Unit ON]+SUMPRODUCT(N([Nome]=Tabela3[[#This Row],[Nome]]),N(RIGHT([PAPEL],1)="4"),[Div Base])*[Unit PN],[Div Base])</f>
        <v>2.0048809188540516E-3</v>
      </c>
      <c r="AS332" s="14" t="str">
        <f>IF(AND([% A.A.]&gt;=6%,SUMPRODUCT(N([Nome]=Tabela3[[#This Row],[Nome]]),[PL])&gt;0,[Rentabilidade s/ PL]&gt;=[Rentabilidade s/ PL Média]),"Sim","Não")</f>
        <v>Não</v>
      </c>
      <c r="AT332" s="42">
        <f>IF([Cotação]&gt;0,Tabela3[[#This Row],[Lucro]]/Tabela3[[#This Row],[Cotação]],0)</f>
        <v>1.0552004836073955E-2</v>
      </c>
      <c r="AU332" s="42">
        <f>((1+Tabela3[[#This Row],[% Yield]])^(1/(3*Tabela3[[#This Row],[Ref]])))^(12)-1</f>
        <v>1.0552004836073436E-2</v>
      </c>
      <c r="AV332" s="14">
        <f>IF([Cotação]&gt;0,($BH$1/Tabela3[[#This Row],[Cotação]]-MOD($BH$1/Tabela3[[#This Row],[Cotação]],100)),)</f>
        <v>2600</v>
      </c>
      <c r="AW332" s="17">
        <f>Tabela3[[#This Row],[Ativos]]*[Lucro]</f>
        <v>5.2126903890205343</v>
      </c>
      <c r="AX332" s="17">
        <f>SUMPRODUCT(N(Tabela1[Código]=Tabela3[[#This Row],[PAPEL]]),Tabela1[Fechamento])</f>
        <v>0</v>
      </c>
      <c r="AY332" s="17">
        <f>SUMPRODUCT(N(Tabela17[Código]=Tabela3[[#This Row],[PAPEL]]),Tabela17[Fechamento])</f>
        <v>0</v>
      </c>
      <c r="AZ332" s="17">
        <f>SUMPRODUCT(N(Tabela176[Código]=Tabela3[[#This Row],[PAPEL]]),Tabela176[Fechamento])</f>
        <v>0.19</v>
      </c>
      <c r="BA332" s="17">
        <f>SUMPRODUCT(N(Tabela1768[Código]=Tabela3[[#This Row],[PAPEL]]),Tabela1768[Fechamento])</f>
        <v>0</v>
      </c>
      <c r="BB332" s="7">
        <f>SUMPRODUCT(N(Tabela17683[Código]=Tabela3[[#This Row],[PAPEL]]),Tabela17683[Fechamento])</f>
        <v>0</v>
      </c>
    </row>
    <row r="333" spans="1:54" hidden="1">
      <c r="A333" s="3" t="s">
        <v>1090</v>
      </c>
      <c r="B333" s="58" t="s">
        <v>1091</v>
      </c>
      <c r="C333" s="16" t="str">
        <f>LEFT([PAPEL],LEN([PAPEL])-(LEN([PAPEL])-4))</f>
        <v>MNDL</v>
      </c>
      <c r="D333" s="16">
        <v>3</v>
      </c>
      <c r="E333" s="5">
        <v>43794105.18</v>
      </c>
      <c r="F333" s="56">
        <v>2480260</v>
      </c>
      <c r="G333" s="81">
        <v>0.25</v>
      </c>
      <c r="H333" s="87"/>
      <c r="J333" s="18"/>
      <c r="K333" s="16"/>
      <c r="L333" s="87"/>
      <c r="M333" s="54"/>
      <c r="N333" s="54"/>
      <c r="O333" s="54"/>
      <c r="P333" s="91">
        <v>34149000</v>
      </c>
      <c r="Q333" s="73">
        <v>2316000</v>
      </c>
      <c r="R333" s="73">
        <f>IF(Tabela3[[#This Row],[Ativo || Passivo]]&gt;0,Tabela3[[#This Row],[Ativo || Passivo]]-Tabela3[[#This Row],[Patrimônio Líquido]],0)</f>
        <v>0</v>
      </c>
      <c r="S333" s="73">
        <f>Tabela3[[#This Row],[Cotação]]*Tabela3[[#This Row],[Total Ações]]</f>
        <v>24703389.600000001</v>
      </c>
      <c r="T333" s="37">
        <f>IF(Tabela3[[#This Row],[Passivo Circulante]]&gt;0,Tabela3[[#This Row],[Ativo Circulante]]/Tabela3[[#This Row],[Passivo Circulante]],0)</f>
        <v>0</v>
      </c>
      <c r="U333" s="37">
        <f>SUMPRODUCT(N([Liquidez Corrente]&gt;0),N(RIGHT([PAPEL],LEN([PAPEL])-(LEN([PAPEL])-1))="3"),[Liquidez Corrente])/SUMPRODUCT(N([Liquidez Corrente]&gt;0),N(RIGHT([PAPEL],LEN([PAPEL])-(LEN([PAPEL])-1))="3"))</f>
        <v>2.331224473064915</v>
      </c>
      <c r="V333" s="18">
        <f>IF(Tabela3[[#This Row],[Lucro Líquido]]&gt;0,Tabela3[[#This Row],[Lucro Líquido]]/Tabela3[[#This Row],[Patrimônio Líquido]],0)</f>
        <v>6.7820433980497238E-2</v>
      </c>
      <c r="W333" s="18">
        <f>SUMPRODUCT(N([Rentabilidade s/ PL]&gt;0),N(RIGHT([PAPEL],LEN([PAPEL])-(LEN([PAPEL])-1))="3"),[Rentabilidade s/ PL])/SUMPRODUCT(N([Rentabilidade s/ PL]&gt;0),N(RIGHT([PAPEL],LEN([PAPEL])-(LEN([PAPEL])-1))="3"))</f>
        <v>0.1261051308670782</v>
      </c>
      <c r="X333" s="18">
        <f>IF(Tabela3[[#This Row],[Dívida]]&gt;0,Tabela3[[#This Row],[Dívida]]/Tabela3[[#This Row],[Patrimônio Líquido]],0)</f>
        <v>0</v>
      </c>
      <c r="Y333" s="18">
        <f>SUMPRODUCT(N([Dívida / PL]&gt;0),N(RIGHT([PAPEL],LEN([PAPEL])-(LEN([PAPEL])-1))="3"),[Dívida / PL])/SUMPRODUCT(N([Dívida / PL]&gt;0),N(RIGHT([PAPEL],LEN([PAPEL])-(LEN([PAPEL])-1))="3"))</f>
        <v>2.1510410379481146</v>
      </c>
      <c r="Z333" s="7">
        <f>Tabela3[[#This Row],[Capital Social]]*20%</f>
        <v>8758821.0360000003</v>
      </c>
      <c r="AA333" s="47">
        <f>IF(([Lucro Líquido]*5%)&gt;[Teto R. Legal],[Teto R. Legal],[Lucro Líquido]*5%)</f>
        <v>115800</v>
      </c>
      <c r="AB333" s="47">
        <f>IF([Lucro Líquido]&lt;0,0,[Lucro Líquido]-[Reserva Legal])</f>
        <v>2200200</v>
      </c>
      <c r="AC333" s="47">
        <f>Tabela3[[#This Row],[Lucro Distribuir]]*[%Div]</f>
        <v>550050</v>
      </c>
      <c r="AD333" s="56">
        <f>SUMPRODUCT(N([Nome]=Tabela3[[#This Row],[Nome]]),[Ações])</f>
        <v>2480260</v>
      </c>
      <c r="AE333" s="85">
        <f>[Capital Social]/[Total Ações]</f>
        <v>17.657062235410805</v>
      </c>
      <c r="AF333" s="85">
        <f>Tabela3[[#This Row],[Lucro Líquido]]/Tabela3[[#This Row],[Total Ações]]</f>
        <v>0.93377307217791683</v>
      </c>
      <c r="AG333" s="85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0.22177110464225525</v>
      </c>
      <c r="AH333" s="85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333" s="77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333" s="85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0.22177110464225525</v>
      </c>
      <c r="AK333" s="7">
        <f>[Div Base]*[Ações]</f>
        <v>550050</v>
      </c>
      <c r="AL333" s="7">
        <f>SUMPRODUCT(N([Nome]=Tabela3[[#This Row],[Nome]]),[Div Base]*[Ações])</f>
        <v>550050</v>
      </c>
      <c r="AM333" s="5">
        <f>[Patrimônio Líquido]/[Total Ações]</f>
        <v>13.768314612177756</v>
      </c>
      <c r="AN333" s="52">
        <f>MAX(Tabela3[[#This Row],[Cotação 1]:[Cotação 5]])</f>
        <v>9.9600000000000009</v>
      </c>
      <c r="AO333" s="53">
        <f>[Cotação]/[VPA]</f>
        <v>0.72340008785030319</v>
      </c>
      <c r="AP333" s="37">
        <f>IF(Tabela3[[#This Row],[Lucro/Ação]]&gt;0,Tabela3[[#This Row],[Cotação]]/(Tabela3[[#This Row],[Lucro/Ação]]/[Ref]*4),0)</f>
        <v>7.9998023316062188</v>
      </c>
      <c r="AQ333" s="85">
        <f>[Lucro Distribuir]/[Total Ações]</f>
        <v>0.88708441856902098</v>
      </c>
      <c r="AR333" s="85">
        <f>IF([Unit ON]&gt;0,SUMPRODUCT(N([Nome]=Tabela3[[#This Row],[Nome]]),N(RIGHT([PAPEL],1)="3"),[Div Base])*[Unit ON]+SUMPRODUCT(N([Nome]=Tabela3[[#This Row],[Nome]]),N(RIGHT([PAPEL],1)="4"),[Div Base])*[Unit PN],[Div Base])</f>
        <v>0.22177110464225525</v>
      </c>
      <c r="AS333" s="10" t="str">
        <f>IF(AND([% A.A.]&gt;=6%,SUMPRODUCT(N([Nome]=Tabela3[[#This Row],[Nome]]),[PL])&gt;0,[Rentabilidade s/ PL]&gt;=[Rentabilidade s/ PL Média]),"Sim","Não")</f>
        <v>Não</v>
      </c>
      <c r="AT333" s="22">
        <f>IF([Cotação]&gt;0,Tabela3[[#This Row],[Lucro]]/Tabela3[[#This Row],[Cotação]],0)</f>
        <v>2.2266175164885063E-2</v>
      </c>
      <c r="AU333" s="22">
        <f>((1+Tabela3[[#This Row],[% Yield]])^(1/(3*Tabela3[[#This Row],[Ref]])))^(12)-1</f>
        <v>2.9797867308229531E-2</v>
      </c>
      <c r="AV333" s="10">
        <f>IF([Cotação]&gt;0,($BH$1/Tabela3[[#This Row],[Cotação]]-MOD($BH$1/Tabela3[[#This Row],[Cotação]],100)),)</f>
        <v>0</v>
      </c>
      <c r="AW333" s="7">
        <f>Tabela3[[#This Row],[Ativos]]*[Lucro]</f>
        <v>0</v>
      </c>
      <c r="AX333" s="7">
        <f>SUMPRODUCT(N(Tabela1[Código]=Tabela3[[#This Row],[PAPEL]]),Tabela1[Fechamento])</f>
        <v>0</v>
      </c>
      <c r="AY333" s="7">
        <f>SUMPRODUCT(N(Tabela17[Código]=Tabela3[[#This Row],[PAPEL]]),Tabela17[Fechamento])</f>
        <v>0</v>
      </c>
      <c r="AZ333" s="7">
        <f>SUMPRODUCT(N(Tabela176[Código]=Tabela3[[#This Row],[PAPEL]]),Tabela176[Fechamento])</f>
        <v>0</v>
      </c>
      <c r="BA333" s="7">
        <f>SUMPRODUCT(N(Tabela1768[Código]=Tabela3[[#This Row],[PAPEL]]),Tabela1768[Fechamento])</f>
        <v>9.9600000000000009</v>
      </c>
      <c r="BB333" s="7">
        <f>SUMPRODUCT(N(Tabela17683[Código]=Tabela3[[#This Row],[PAPEL]]),Tabela17683[Fechamento])</f>
        <v>0</v>
      </c>
    </row>
    <row r="334" spans="1:54" hidden="1">
      <c r="A334" s="4" t="s">
        <v>338</v>
      </c>
      <c r="B334" s="58" t="s">
        <v>1292</v>
      </c>
      <c r="C334" s="16" t="str">
        <f>LEFT([PAPEL],LEN([PAPEL])-(LEN([PAPEL])-4))</f>
        <v>HAGA</v>
      </c>
      <c r="D334" s="16">
        <v>3</v>
      </c>
      <c r="E334" s="5">
        <v>10353000</v>
      </c>
      <c r="F334" s="56">
        <v>3966667</v>
      </c>
      <c r="G334" s="81">
        <v>0.25</v>
      </c>
      <c r="H334" s="18"/>
      <c r="J334" s="18"/>
      <c r="K334" s="16"/>
      <c r="L334" s="87"/>
      <c r="M334" s="54"/>
      <c r="N334" s="54"/>
      <c r="O334" s="54"/>
      <c r="P334" s="91">
        <v>-90174895</v>
      </c>
      <c r="Q334" s="73">
        <v>2123777</v>
      </c>
      <c r="R334" s="73">
        <f>IF(Tabela3[[#This Row],[Ativo || Passivo]]&gt;0,Tabela3[[#This Row],[Ativo || Passivo]]-Tabela3[[#This Row],[Patrimônio Líquido]],0)</f>
        <v>0</v>
      </c>
      <c r="S334" s="73">
        <f>Tabela3[[#This Row],[Cotação]]*Tabela3[[#This Row],[Total Ações]]</f>
        <v>23562000</v>
      </c>
      <c r="T334" s="37">
        <f>IF(Tabela3[[#This Row],[Passivo Circulante]]&gt;0,Tabela3[[#This Row],[Ativo Circulante]]/Tabela3[[#This Row],[Passivo Circulante]],0)</f>
        <v>0</v>
      </c>
      <c r="U334" s="37">
        <f>SUMPRODUCT(N([Liquidez Corrente]&gt;0),N(RIGHT([PAPEL],LEN([PAPEL])-(LEN([PAPEL])-1))="3"),[Liquidez Corrente])/SUMPRODUCT(N([Liquidez Corrente]&gt;0),N(RIGHT([PAPEL],LEN([PAPEL])-(LEN([PAPEL])-1))="3"))</f>
        <v>2.331224473064915</v>
      </c>
      <c r="V334" s="18">
        <f>IF(Tabela3[[#This Row],[Lucro Líquido]]&gt;0,Tabela3[[#This Row],[Lucro Líquido]]/Tabela3[[#This Row],[Patrimônio Líquido]],0)</f>
        <v>-2.355175462083987E-2</v>
      </c>
      <c r="W334" s="18">
        <f>SUMPRODUCT(N([Rentabilidade s/ PL]&gt;0),N(RIGHT([PAPEL],LEN([PAPEL])-(LEN([PAPEL])-1))="3"),[Rentabilidade s/ PL])/SUMPRODUCT(N([Rentabilidade s/ PL]&gt;0),N(RIGHT([PAPEL],LEN([PAPEL])-(LEN([PAPEL])-1))="3"))</f>
        <v>0.1261051308670782</v>
      </c>
      <c r="X334" s="18">
        <f>IF(Tabela3[[#This Row],[Dívida]]&gt;0,Tabela3[[#This Row],[Dívida]]/Tabela3[[#This Row],[Patrimônio Líquido]],0)</f>
        <v>0</v>
      </c>
      <c r="Y334" s="18">
        <f>SUMPRODUCT(N([Dívida / PL]&gt;0),N(RIGHT([PAPEL],LEN([PAPEL])-(LEN([PAPEL])-1))="3"),[Dívida / PL])/SUMPRODUCT(N([Dívida / PL]&gt;0),N(RIGHT([PAPEL],LEN([PAPEL])-(LEN([PAPEL])-1))="3"))</f>
        <v>2.1510410379481146</v>
      </c>
      <c r="Z334" s="7">
        <f>Tabela3[[#This Row],[Capital Social]]*20%</f>
        <v>2070600</v>
      </c>
      <c r="AA334" s="47">
        <f>IF(([Lucro Líquido]*5%)&gt;[Teto R. Legal],[Teto R. Legal],[Lucro Líquido]*5%)</f>
        <v>106188.85</v>
      </c>
      <c r="AB334" s="47">
        <f>IF([Lucro Líquido]&lt;0,0,[Lucro Líquido]-[Reserva Legal])</f>
        <v>2017588.15</v>
      </c>
      <c r="AC334" s="47">
        <f>Tabela3[[#This Row],[Lucro Distribuir]]*[%Div]</f>
        <v>504397.03749999998</v>
      </c>
      <c r="AD334" s="56">
        <f>SUMPRODUCT(N([Nome]=Tabela3[[#This Row],[Nome]]),[Ações])</f>
        <v>11900000</v>
      </c>
      <c r="AE334" s="85">
        <f>[Capital Social]/[Total Ações]</f>
        <v>0.87</v>
      </c>
      <c r="AF334" s="85">
        <f>Tabela3[[#This Row],[Lucro Líquido]]/Tabela3[[#This Row],[Total Ações]]</f>
        <v>0.17846865546218488</v>
      </c>
      <c r="AG334" s="85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4.1067506524638669E-2</v>
      </c>
      <c r="AH334" s="85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334" s="77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334" s="85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4.1067506524638669E-2</v>
      </c>
      <c r="AK334" s="7">
        <f>[Div Base]*[Ações]</f>
        <v>162901.1229035689</v>
      </c>
      <c r="AL334" s="120">
        <f>SUMPRODUCT(N([Nome]=Tabela3[[#This Row],[Nome]]),[Div Base]*[Ações])</f>
        <v>521283.54860810976</v>
      </c>
      <c r="AM334" s="5">
        <f>[Patrimônio Líquido]/[Total Ações]</f>
        <v>-7.5777222689075634</v>
      </c>
      <c r="AN334" s="52">
        <f>MAX(Tabela3[[#This Row],[Cotação 1]:[Cotação 5]])</f>
        <v>1.98</v>
      </c>
      <c r="AO334" s="53">
        <f>[Cotação]/[VPA]</f>
        <v>-0.2612922366031033</v>
      </c>
      <c r="AP334" s="37">
        <f>IF(Tabela3[[#This Row],[Lucro/Ação]]&gt;0,Tabela3[[#This Row],[Cotação]]/(Tabela3[[#This Row],[Lucro/Ação]]/[Ref]*4),0)</f>
        <v>8.3207888587172754</v>
      </c>
      <c r="AQ334" s="85">
        <f>[Lucro Distribuir]/[Total Ações]</f>
        <v>0.16954522268907563</v>
      </c>
      <c r="AR334" s="85">
        <f>IF([Unit ON]&gt;0,SUMPRODUCT(N([Nome]=Tabela3[[#This Row],[Nome]]),N(RIGHT([PAPEL],1)="3"),[Div Base])*[Unit ON]+SUMPRODUCT(N([Nome]=Tabela3[[#This Row],[Nome]]),N(RIGHT([PAPEL],1)="4"),[Div Base])*[Unit PN],[Div Base])</f>
        <v>4.1067506524638669E-2</v>
      </c>
      <c r="AS334" s="10" t="str">
        <f>IF(AND([% A.A.]&gt;=6%,SUMPRODUCT(N([Nome]=Tabela3[[#This Row],[Nome]]),[PL])&gt;0,[Rentabilidade s/ PL]&gt;=[Rentabilidade s/ PL Média]),"Sim","Não")</f>
        <v>Não</v>
      </c>
      <c r="AT334" s="22">
        <f>IF([Cotação]&gt;0,Tabela3[[#This Row],[Lucro]]/Tabela3[[#This Row],[Cotação]],0)</f>
        <v>2.0741164911433671E-2</v>
      </c>
      <c r="AU334" s="22">
        <f>((1+Tabela3[[#This Row],[% Yield]])^(1/(3*Tabela3[[#This Row],[Ref]])))^(12)-1</f>
        <v>2.7750048778378167E-2</v>
      </c>
      <c r="AV334" s="10">
        <f>IF([Cotação]&gt;0,($BH$1/Tabela3[[#This Row],[Cotação]]-MOD($BH$1/Tabela3[[#This Row],[Cotação]],100)),)</f>
        <v>200</v>
      </c>
      <c r="AW334" s="7">
        <f>Tabela3[[#This Row],[Ativos]]*[Lucro]</f>
        <v>8.2135013049277337</v>
      </c>
      <c r="AX334" s="7">
        <f>SUMPRODUCT(N(Tabela1[Código]=Tabela3[[#This Row],[PAPEL]]),Tabela1[Fechamento])</f>
        <v>0</v>
      </c>
      <c r="AY334" s="7">
        <f>SUMPRODUCT(N(Tabela17[Código]=Tabela3[[#This Row],[PAPEL]]),Tabela17[Fechamento])</f>
        <v>0</v>
      </c>
      <c r="AZ334" s="7">
        <f>SUMPRODUCT(N(Tabela176[Código]=Tabela3[[#This Row],[PAPEL]]),Tabela176[Fechamento])</f>
        <v>0</v>
      </c>
      <c r="BA334" s="7">
        <f>SUMPRODUCT(N(Tabela1768[Código]=Tabela3[[#This Row],[PAPEL]]),Tabela1768[Fechamento])</f>
        <v>0</v>
      </c>
      <c r="BB334" s="7">
        <f>SUMPRODUCT(N(Tabela17683[Código]=Tabela3[[#This Row],[PAPEL]]),Tabela17683[Fechamento])</f>
        <v>1.98</v>
      </c>
    </row>
    <row r="335" spans="1:54" hidden="1">
      <c r="A335" s="4" t="s">
        <v>338</v>
      </c>
      <c r="B335" s="58" t="s">
        <v>1293</v>
      </c>
      <c r="C335" s="16" t="str">
        <f>LEFT([PAPEL],LEN([PAPEL])-(LEN([PAPEL])-4))</f>
        <v>HAGA</v>
      </c>
      <c r="D335" s="16">
        <v>3</v>
      </c>
      <c r="E335" s="5">
        <v>10353000</v>
      </c>
      <c r="F335" s="56">
        <v>7933333</v>
      </c>
      <c r="G335" s="81">
        <v>0.25</v>
      </c>
      <c r="H335" s="18"/>
      <c r="J335" s="18">
        <v>0.1</v>
      </c>
      <c r="K335" s="16"/>
      <c r="L335" s="87"/>
      <c r="M335" s="54"/>
      <c r="N335" s="54"/>
      <c r="O335" s="54"/>
      <c r="P335" s="91">
        <v>-90174895</v>
      </c>
      <c r="Q335" s="73">
        <v>2123777</v>
      </c>
      <c r="R335" s="73">
        <f>IF(Tabela3[[#This Row],[Ativo || Passivo]]&gt;0,Tabela3[[#This Row],[Ativo || Passivo]]-Tabela3[[#This Row],[Patrimônio Líquido]],0)</f>
        <v>0</v>
      </c>
      <c r="S335" s="73">
        <f>Tabela3[[#This Row],[Cotação]]*Tabela3[[#This Row],[Total Ações]]</f>
        <v>16065000.000000002</v>
      </c>
      <c r="T335" s="37">
        <f>IF(Tabela3[[#This Row],[Passivo Circulante]]&gt;0,Tabela3[[#This Row],[Ativo Circulante]]/Tabela3[[#This Row],[Passivo Circulante]],0)</f>
        <v>0</v>
      </c>
      <c r="U335" s="37">
        <f>SUMPRODUCT(N([Liquidez Corrente]&gt;0),N(RIGHT([PAPEL],LEN([PAPEL])-(LEN([PAPEL])-1))="3"),[Liquidez Corrente])/SUMPRODUCT(N([Liquidez Corrente]&gt;0),N(RIGHT([PAPEL],LEN([PAPEL])-(LEN([PAPEL])-1))="3"))</f>
        <v>2.331224473064915</v>
      </c>
      <c r="V335" s="18">
        <f>IF(Tabela3[[#This Row],[Lucro Líquido]]&gt;0,Tabela3[[#This Row],[Lucro Líquido]]/Tabela3[[#This Row],[Patrimônio Líquido]],0)</f>
        <v>-2.355175462083987E-2</v>
      </c>
      <c r="W335" s="18">
        <f>SUMPRODUCT(N([Rentabilidade s/ PL]&gt;0),N(RIGHT([PAPEL],LEN([PAPEL])-(LEN([PAPEL])-1))="3"),[Rentabilidade s/ PL])/SUMPRODUCT(N([Rentabilidade s/ PL]&gt;0),N(RIGHT([PAPEL],LEN([PAPEL])-(LEN([PAPEL])-1))="3"))</f>
        <v>0.1261051308670782</v>
      </c>
      <c r="X335" s="18">
        <f>IF(Tabela3[[#This Row],[Dívida]]&gt;0,Tabela3[[#This Row],[Dívida]]/Tabela3[[#This Row],[Patrimônio Líquido]],0)</f>
        <v>0</v>
      </c>
      <c r="Y335" s="18">
        <f>SUMPRODUCT(N([Dívida / PL]&gt;0),N(RIGHT([PAPEL],LEN([PAPEL])-(LEN([PAPEL])-1))="3"),[Dívida / PL])/SUMPRODUCT(N([Dívida / PL]&gt;0),N(RIGHT([PAPEL],LEN([PAPEL])-(LEN([PAPEL])-1))="3"))</f>
        <v>2.1510410379481146</v>
      </c>
      <c r="Z335" s="7">
        <f>Tabela3[[#This Row],[Capital Social]]*20%</f>
        <v>2070600</v>
      </c>
      <c r="AA335" s="47">
        <f>IF(([Lucro Líquido]*5%)&gt;[Teto R. Legal],[Teto R. Legal],[Lucro Líquido]*5%)</f>
        <v>106188.85</v>
      </c>
      <c r="AB335" s="47">
        <f>IF([Lucro Líquido]&lt;0,0,[Lucro Líquido]-[Reserva Legal])</f>
        <v>2017588.15</v>
      </c>
      <c r="AC335" s="47">
        <f>Tabela3[[#This Row],[Lucro Distribuir]]*[%Div]</f>
        <v>504397.03749999998</v>
      </c>
      <c r="AD335" s="56">
        <f>SUMPRODUCT(N([Nome]=Tabela3[[#This Row],[Nome]]),[Ações])</f>
        <v>11900000</v>
      </c>
      <c r="AE335" s="85">
        <f>[Capital Social]/[Total Ações]</f>
        <v>0.87</v>
      </c>
      <c r="AF335" s="85">
        <f>Tabela3[[#This Row],[Lucro Líquido]]/Tabela3[[#This Row],[Total Ações]]</f>
        <v>0.17846865546218488</v>
      </c>
      <c r="AG335" s="85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4.5174257238986548E-2</v>
      </c>
      <c r="AH335" s="85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335" s="77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335" s="85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4.5174257238986548E-2</v>
      </c>
      <c r="AK335" s="7">
        <f>[Div Base]*[Ações]</f>
        <v>358382.42570454086</v>
      </c>
      <c r="AL335" s="120">
        <f>SUMPRODUCT(N([Nome]=Tabela3[[#This Row],[Nome]]),[Div Base]*[Ações])</f>
        <v>521283.54860810976</v>
      </c>
      <c r="AM335" s="5">
        <f>[Patrimônio Líquido]/[Total Ações]</f>
        <v>-7.5777222689075634</v>
      </c>
      <c r="AN335" s="52">
        <f>MAX(Tabela3[[#This Row],[Cotação 1]:[Cotação 5]])</f>
        <v>1.35</v>
      </c>
      <c r="AO335" s="53">
        <f>[Cotação]/[VPA]</f>
        <v>-0.17815379768393411</v>
      </c>
      <c r="AP335" s="37">
        <f>IF(Tabela3[[#This Row],[Lucro/Ação]]&gt;0,Tabela3[[#This Row],[Cotação]]/(Tabela3[[#This Row],[Lucro/Ação]]/[Ref]*4),0)</f>
        <v>5.6732651309435971</v>
      </c>
      <c r="AQ335" s="85">
        <f>[Lucro Distribuir]/[Total Ações]</f>
        <v>0.16954522268907563</v>
      </c>
      <c r="AR335" s="85">
        <f>IF([Unit ON]&gt;0,SUMPRODUCT(N([Nome]=Tabela3[[#This Row],[Nome]]),N(RIGHT([PAPEL],1)="3"),[Div Base])*[Unit ON]+SUMPRODUCT(N([Nome]=Tabela3[[#This Row],[Nome]]),N(RIGHT([PAPEL],1)="4"),[Div Base])*[Unit PN],[Div Base])</f>
        <v>4.5174257238986548E-2</v>
      </c>
      <c r="AS335" s="10" t="str">
        <f>IF(AND([% A.A.]&gt;=6%,SUMPRODUCT(N([Nome]=Tabela3[[#This Row],[Nome]]),[PL])&gt;0,[Rentabilidade s/ PL]&gt;=[Rentabilidade s/ PL Média]),"Sim","Não")</f>
        <v>Não</v>
      </c>
      <c r="AT335" s="22">
        <f>IF([Cotação]&gt;0,Tabela3[[#This Row],[Lucro]]/Tabela3[[#This Row],[Cotação]],0)</f>
        <v>3.3462412769619664E-2</v>
      </c>
      <c r="AU335" s="22">
        <f>((1+Tabela3[[#This Row],[% Yield]])^(1/(3*Tabela3[[#This Row],[Ref]])))^(12)-1</f>
        <v>4.4863554957922602E-2</v>
      </c>
      <c r="AV335" s="10">
        <f>IF([Cotação]&gt;0,($BH$1/Tabela3[[#This Row],[Cotação]]-MOD($BH$1/Tabela3[[#This Row],[Cotação]],100)),)</f>
        <v>300</v>
      </c>
      <c r="AW335" s="7">
        <f>Tabela3[[#This Row],[Ativos]]*[Lucro]</f>
        <v>13.552277171695964</v>
      </c>
      <c r="AX335" s="7">
        <f>SUMPRODUCT(N(Tabela1[Código]=Tabela3[[#This Row],[PAPEL]]),Tabela1[Fechamento])</f>
        <v>0</v>
      </c>
      <c r="AY335" s="7">
        <f>SUMPRODUCT(N(Tabela17[Código]=Tabela3[[#This Row],[PAPEL]]),Tabela17[Fechamento])</f>
        <v>0</v>
      </c>
      <c r="AZ335" s="7">
        <f>SUMPRODUCT(N(Tabela176[Código]=Tabela3[[#This Row],[PAPEL]]),Tabela176[Fechamento])</f>
        <v>0</v>
      </c>
      <c r="BA335" s="7">
        <f>SUMPRODUCT(N(Tabela1768[Código]=Tabela3[[#This Row],[PAPEL]]),Tabela1768[Fechamento])</f>
        <v>0</v>
      </c>
      <c r="BB335" s="7">
        <f>SUMPRODUCT(N(Tabela17683[Código]=Tabela3[[#This Row],[PAPEL]]),Tabela17683[Fechamento])</f>
        <v>1.35</v>
      </c>
    </row>
    <row r="336" spans="1:54">
      <c r="A336" s="4" t="s">
        <v>12</v>
      </c>
      <c r="B336" s="57" t="s">
        <v>172</v>
      </c>
      <c r="C336" s="14" t="str">
        <f>LEFT([PAPEL],LEN([PAPEL])-(LEN([PAPEL])-4))</f>
        <v>GTDP</v>
      </c>
      <c r="D336" s="15">
        <v>4</v>
      </c>
      <c r="E336" s="6">
        <v>9056481.0600000005</v>
      </c>
      <c r="F336" s="8">
        <v>84761786</v>
      </c>
      <c r="G336" s="81">
        <v>0.25</v>
      </c>
      <c r="H336" s="15"/>
      <c r="I336" s="19"/>
      <c r="J336" s="19"/>
      <c r="K336" s="88"/>
      <c r="L336" s="88"/>
      <c r="M336" s="55">
        <v>12416000</v>
      </c>
      <c r="N336" s="55">
        <v>3741000</v>
      </c>
      <c r="O336" s="55">
        <v>537000</v>
      </c>
      <c r="P336" s="89">
        <v>11722000</v>
      </c>
      <c r="Q336" s="89">
        <v>1886000</v>
      </c>
      <c r="R336" s="89">
        <f>IF(Tabela3[[#This Row],[Ativo || Passivo]]&gt;0,Tabela3[[#This Row],[Ativo || Passivo]]-Tabela3[[#This Row],[Patrimônio Líquido]],0)</f>
        <v>694000</v>
      </c>
      <c r="S336" s="89">
        <f>Tabela3[[#This Row],[Cotação]]*Tabela3[[#This Row],[Total Ações]]</f>
        <v>21626223.190000001</v>
      </c>
      <c r="T336" s="132">
        <f>IF(Tabela3[[#This Row],[Passivo Circulante]]&gt;0,Tabela3[[#This Row],[Ativo Circulante]]/Tabela3[[#This Row],[Passivo Circulante]],0)</f>
        <v>6.966480446927374</v>
      </c>
      <c r="U336" s="132">
        <f>SUMPRODUCT(N([Liquidez Corrente]&gt;0),N(RIGHT([PAPEL],LEN([PAPEL])-(LEN([PAPEL])-1))="3"),[Liquidez Corrente])/SUMPRODUCT(N([Liquidez Corrente]&gt;0),N(RIGHT([PAPEL],LEN([PAPEL])-(LEN([PAPEL])-1))="3"))</f>
        <v>2.331224473064915</v>
      </c>
      <c r="V336" s="19">
        <f>IF(Tabela3[[#This Row],[Lucro Líquido]]&gt;0,Tabela3[[#This Row],[Lucro Líquido]]/Tabela3[[#This Row],[Patrimônio Líquido]],0)</f>
        <v>0.16089404538474664</v>
      </c>
      <c r="W336" s="19">
        <f>SUMPRODUCT(N([Rentabilidade s/ PL]&gt;0),N(RIGHT([PAPEL],LEN([PAPEL])-(LEN([PAPEL])-1))="3"),[Rentabilidade s/ PL])/SUMPRODUCT(N([Rentabilidade s/ PL]&gt;0),N(RIGHT([PAPEL],LEN([PAPEL])-(LEN([PAPEL])-1))="3"))</f>
        <v>0.1261051308670782</v>
      </c>
      <c r="X336" s="19">
        <f>IF(Tabela3[[#This Row],[Dívida]]&gt;0,Tabela3[[#This Row],[Dívida]]/Tabela3[[#This Row],[Patrimônio Líquido]],0)</f>
        <v>5.9204913837229145E-2</v>
      </c>
      <c r="Y336" s="19">
        <f>SUMPRODUCT(N([Dívida / PL]&gt;0),N(RIGHT([PAPEL],LEN([PAPEL])-(LEN([PAPEL])-1))="3"),[Dívida / PL])/SUMPRODUCT(N([Dívida / PL]&gt;0),N(RIGHT([PAPEL],LEN([PAPEL])-(LEN([PAPEL])-1))="3"))</f>
        <v>2.1510410379481146</v>
      </c>
      <c r="Z336" s="6">
        <f>Tabela3[[#This Row],[Capital Social]]*20%</f>
        <v>1811296.2120000003</v>
      </c>
      <c r="AA336" s="6">
        <f>IF(([Lucro Líquido]*5%)&gt;[Teto R. Legal],[Teto R. Legal],[Lucro Líquido]*5%)</f>
        <v>94300</v>
      </c>
      <c r="AB336" s="89">
        <f>IF([Lucro Líquido]&lt;0,0,[Lucro Líquido]-[Reserva Legal])</f>
        <v>1791700</v>
      </c>
      <c r="AC336" s="89">
        <f>Tabela3[[#This Row],[Lucro Distribuir]]*[%Div]</f>
        <v>447925</v>
      </c>
      <c r="AD336" s="56">
        <f>SUMPRODUCT(N([Nome]=Tabela3[[#This Row],[Nome]]),[Ações])</f>
        <v>166355563</v>
      </c>
      <c r="AE336" s="6">
        <f>[Capital Social]/[Total Ações]</f>
        <v>5.4440506206576332E-2</v>
      </c>
      <c r="AF336" s="78">
        <f>Tabela3[[#This Row],[Lucro Líquido]]/Tabela3[[#This Row],[Total Ações]]</f>
        <v>1.1337162196373318E-2</v>
      </c>
      <c r="AG336" s="78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2.6087997428159045E-3</v>
      </c>
      <c r="AH336" s="78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336" s="78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336" s="78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2.6087997428159045E-3</v>
      </c>
      <c r="AK336" s="6">
        <f>[Div Base]*[Ações]</f>
        <v>221126.52551741674</v>
      </c>
      <c r="AL336" s="6">
        <f>SUMPRODUCT(N([Nome]=Tabela3[[#This Row],[Nome]]),[Div Base]*[Ações])</f>
        <v>455274.53273645107</v>
      </c>
      <c r="AM336" s="6">
        <f>[Patrimônio Líquido]/[Total Ações]</f>
        <v>7.0463528773005324E-2</v>
      </c>
      <c r="AN336" s="48">
        <f>MAX(Tabela3[[#This Row],[Cotação 1]:[Cotação 5]])</f>
        <v>0.13</v>
      </c>
      <c r="AO336" s="44">
        <f>[Cotação]/[VPA]</f>
        <v>1.8449260527213787</v>
      </c>
      <c r="AP336" s="40">
        <f>IF(Tabela3[[#This Row],[Lucro/Ação]]&gt;0,Tabela3[[#This Row],[Cotação]]/(Tabela3[[#This Row],[Lucro/Ação]]/[Ref]*4),0)</f>
        <v>11.466714310710499</v>
      </c>
      <c r="AQ336" s="78">
        <f>[Lucro Distribuir]/[Total Ações]</f>
        <v>1.0770304086554652E-2</v>
      </c>
      <c r="AR336" s="78">
        <f>IF([Unit ON]&gt;0,SUMPRODUCT(N([Nome]=Tabela3[[#This Row],[Nome]]),N(RIGHT([PAPEL],1)="3"),[Div Base])*[Unit ON]+SUMPRODUCT(N([Nome]=Tabela3[[#This Row],[Nome]]),N(RIGHT([PAPEL],1)="4"),[Div Base])*[Unit PN],[Div Base])</f>
        <v>2.6087997428159045E-3</v>
      </c>
      <c r="AS336" s="15" t="str">
        <f>IF(AND([% A.A.]&gt;=6%,SUMPRODUCT(N([Nome]=Tabela3[[#This Row],[Nome]]),[PL])&gt;0,[Rentabilidade s/ PL]&gt;=[Rentabilidade s/ PL Média]),"Sim","Não")</f>
        <v>Não</v>
      </c>
      <c r="AT336" s="42">
        <f>IF([Cotação]&gt;0,Tabela3[[#This Row],[Lucro]]/Tabela3[[#This Row],[Cotação]],0)</f>
        <v>2.006769032935311E-2</v>
      </c>
      <c r="AU336" s="19">
        <f>((1+Tabela3[[#This Row],[% Yield]])^(1/(3*Tabela3[[#This Row],[Ref]])))^(12)-1</f>
        <v>2.006769032935396E-2</v>
      </c>
      <c r="AV336" s="14">
        <f>IF([Cotação]&gt;0,($BH$1/Tabela3[[#This Row],[Cotação]]-MOD($BH$1/Tabela3[[#This Row],[Cotação]],100)),)</f>
        <v>3800</v>
      </c>
      <c r="AW336" s="17">
        <f>Tabela3[[#This Row],[Ativos]]*[Lucro]</f>
        <v>9.9134390227004374</v>
      </c>
      <c r="AX336" s="5">
        <f>SUMPRODUCT(N(Tabela1[Código]=Tabela3[[#This Row],[PAPEL]]),Tabela1[Fechamento])</f>
        <v>0.13</v>
      </c>
      <c r="AY336" s="5">
        <f>SUMPRODUCT(N(Tabela17[Código]=Tabela3[[#This Row],[PAPEL]]),Tabela17[Fechamento])</f>
        <v>0</v>
      </c>
      <c r="AZ336" s="7">
        <f>SUMPRODUCT(N(Tabela176[Código]=Tabela3[[#This Row],[PAPEL]]),Tabela176[Fechamento])</f>
        <v>0</v>
      </c>
      <c r="BA336" s="7">
        <f>SUMPRODUCT(N(Tabela1768[Código]=Tabela3[[#This Row],[PAPEL]]),Tabela1768[Fechamento])</f>
        <v>0</v>
      </c>
      <c r="BB336" s="7">
        <f>SUMPRODUCT(N(Tabela17683[Código]=Tabela3[[#This Row],[PAPEL]]),Tabela17683[Fechamento])</f>
        <v>0</v>
      </c>
    </row>
    <row r="337" spans="1:54">
      <c r="A337" s="4" t="s">
        <v>12</v>
      </c>
      <c r="B337" s="57" t="s">
        <v>173</v>
      </c>
      <c r="C337" s="82" t="str">
        <f>LEFT([PAPEL],LEN([PAPEL])-(LEN([PAPEL])-4))</f>
        <v>GTDP</v>
      </c>
      <c r="D337" s="15">
        <v>4</v>
      </c>
      <c r="E337" s="6">
        <v>9056481.0600000005</v>
      </c>
      <c r="F337" s="8">
        <v>81593777</v>
      </c>
      <c r="G337" s="86">
        <v>0.25</v>
      </c>
      <c r="H337" s="19"/>
      <c r="I337" s="19"/>
      <c r="J337" s="19">
        <v>0.1</v>
      </c>
      <c r="K337" s="88"/>
      <c r="L337" s="88"/>
      <c r="M337" s="55">
        <v>12416000</v>
      </c>
      <c r="N337" s="55">
        <v>3741000</v>
      </c>
      <c r="O337" s="55">
        <v>537000</v>
      </c>
      <c r="P337" s="89">
        <v>11722000</v>
      </c>
      <c r="Q337" s="89">
        <v>1886000</v>
      </c>
      <c r="R337" s="89">
        <f>IF(Tabela3[[#This Row],[Ativo || Passivo]]&gt;0,Tabela3[[#This Row],[Ativo || Passivo]]-Tabela3[[#This Row],[Patrimônio Líquido]],0)</f>
        <v>694000</v>
      </c>
      <c r="S337" s="89">
        <f>Tabela3[[#This Row],[Cotação]]*Tabela3[[#This Row],[Total Ações]]</f>
        <v>19962667.559999999</v>
      </c>
      <c r="T337" s="132">
        <f>IF(Tabela3[[#This Row],[Passivo Circulante]]&gt;0,Tabela3[[#This Row],[Ativo Circulante]]/Tabela3[[#This Row],[Passivo Circulante]],0)</f>
        <v>6.966480446927374</v>
      </c>
      <c r="U337" s="132">
        <f>SUMPRODUCT(N([Liquidez Corrente]&gt;0),N(RIGHT([PAPEL],LEN([PAPEL])-(LEN([PAPEL])-1))="3"),[Liquidez Corrente])/SUMPRODUCT(N([Liquidez Corrente]&gt;0),N(RIGHT([PAPEL],LEN([PAPEL])-(LEN([PAPEL])-1))="3"))</f>
        <v>2.331224473064915</v>
      </c>
      <c r="V337" s="19">
        <f>IF(Tabela3[[#This Row],[Lucro Líquido]]&gt;0,Tabela3[[#This Row],[Lucro Líquido]]/Tabela3[[#This Row],[Patrimônio Líquido]],0)</f>
        <v>0.16089404538474664</v>
      </c>
      <c r="W337" s="19">
        <f>SUMPRODUCT(N([Rentabilidade s/ PL]&gt;0),N(RIGHT([PAPEL],LEN([PAPEL])-(LEN([PAPEL])-1))="3"),[Rentabilidade s/ PL])/SUMPRODUCT(N([Rentabilidade s/ PL]&gt;0),N(RIGHT([PAPEL],LEN([PAPEL])-(LEN([PAPEL])-1))="3"))</f>
        <v>0.1261051308670782</v>
      </c>
      <c r="X337" s="19">
        <f>IF(Tabela3[[#This Row],[Dívida]]&gt;0,Tabela3[[#This Row],[Dívida]]/Tabela3[[#This Row],[Patrimônio Líquido]],0)</f>
        <v>5.9204913837229145E-2</v>
      </c>
      <c r="Y337" s="19">
        <f>SUMPRODUCT(N([Dívida / PL]&gt;0),N(RIGHT([PAPEL],LEN([PAPEL])-(LEN([PAPEL])-1))="3"),[Dívida / PL])/SUMPRODUCT(N([Dívida / PL]&gt;0),N(RIGHT([PAPEL],LEN([PAPEL])-(LEN([PAPEL])-1))="3"))</f>
        <v>2.1510410379481146</v>
      </c>
      <c r="Z337" s="6">
        <f>Tabela3[[#This Row],[Capital Social]]*20%</f>
        <v>1811296.2120000003</v>
      </c>
      <c r="AA337" s="6">
        <f>IF(([Lucro Líquido]*5%)&gt;[Teto R. Legal],[Teto R. Legal],[Lucro Líquido]*5%)</f>
        <v>94300</v>
      </c>
      <c r="AB337" s="89">
        <f>IF([Lucro Líquido]&lt;0,0,[Lucro Líquido]-[Reserva Legal])</f>
        <v>1791700</v>
      </c>
      <c r="AC337" s="89">
        <f>Tabela3[[#This Row],[Lucro Distribuir]]*[%Div]</f>
        <v>447925</v>
      </c>
      <c r="AD337" s="56">
        <f>SUMPRODUCT(N([Nome]=Tabela3[[#This Row],[Nome]]),[Ações])</f>
        <v>166355563</v>
      </c>
      <c r="AE337" s="6">
        <f>[Capital Social]/[Total Ações]</f>
        <v>5.4440506206576332E-2</v>
      </c>
      <c r="AF337" s="78">
        <f>Tabela3[[#This Row],[Lucro Líquido]]/Tabela3[[#This Row],[Total Ações]]</f>
        <v>1.1337162196373318E-2</v>
      </c>
      <c r="AG337" s="78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2.8696797210286556E-3</v>
      </c>
      <c r="AH337" s="78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337" s="78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337" s="78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2.8696797210286556E-3</v>
      </c>
      <c r="AK337" s="6">
        <f>[Div Base]*[Ações]</f>
        <v>234148.00721903433</v>
      </c>
      <c r="AL337" s="6">
        <f>SUMPRODUCT(N([Nome]=Tabela3[[#This Row],[Nome]]),[Div Base]*[Ações])</f>
        <v>455274.53273645107</v>
      </c>
      <c r="AM337" s="6">
        <f>[Patrimônio Líquido]/[Total Ações]</f>
        <v>7.0463528773005324E-2</v>
      </c>
      <c r="AN337" s="48">
        <f>MAX(Tabela3[[#This Row],[Cotação 1]:[Cotação 5]])</f>
        <v>0.12</v>
      </c>
      <c r="AO337" s="44">
        <f>[Cotação]/[VPA]</f>
        <v>1.7030086640505033</v>
      </c>
      <c r="AP337" s="40">
        <f>IF(Tabela3[[#This Row],[Lucro/Ação]]&gt;0,Tabela3[[#This Row],[Cotação]]/(Tabela3[[#This Row],[Lucro/Ação]]/[Ref]*4),0)</f>
        <v>10.584659363732769</v>
      </c>
      <c r="AQ337" s="78">
        <f>[Lucro Distribuir]/[Total Ações]</f>
        <v>1.0770304086554652E-2</v>
      </c>
      <c r="AR337" s="78">
        <f>IF([Unit ON]&gt;0,SUMPRODUCT(N([Nome]=Tabela3[[#This Row],[Nome]]),N(RIGHT([PAPEL],1)="3"),[Div Base])*[Unit ON]+SUMPRODUCT(N([Nome]=Tabela3[[#This Row],[Nome]]),N(RIGHT([PAPEL],1)="4"),[Div Base])*[Unit PN],[Div Base])</f>
        <v>2.8696797210286556E-3</v>
      </c>
      <c r="AS337" s="15" t="str">
        <f>IF(AND([% A.A.]&gt;=6%,SUMPRODUCT(N([Nome]=Tabela3[[#This Row],[Nome]]),[PL])&gt;0,[Rentabilidade s/ PL]&gt;=[Rentabilidade s/ PL Média]),"Sim","Não")</f>
        <v>Não</v>
      </c>
      <c r="AT337" s="42">
        <f>IF([Cotação]&gt;0,Tabela3[[#This Row],[Lucro]]/Tabela3[[#This Row],[Cotação]],0)</f>
        <v>2.3913997675238798E-2</v>
      </c>
      <c r="AU337" s="19">
        <f>((1+Tabela3[[#This Row],[% Yield]])^(1/(3*Tabela3[[#This Row],[Ref]])))^(12)-1</f>
        <v>2.3913997675238718E-2</v>
      </c>
      <c r="AV337" s="14">
        <f>IF([Cotação]&gt;0,($BH$1/Tabela3[[#This Row],[Cotação]]-MOD($BH$1/Tabela3[[#This Row],[Cotação]],100)),)</f>
        <v>4100</v>
      </c>
      <c r="AW337" s="17">
        <f>Tabela3[[#This Row],[Ativos]]*[Lucro]</f>
        <v>11.765686856217489</v>
      </c>
      <c r="AX337" s="5">
        <f>SUMPRODUCT(N(Tabela1[Código]=Tabela3[[#This Row],[PAPEL]]),Tabela1[Fechamento])</f>
        <v>0.12</v>
      </c>
      <c r="AY337" s="5">
        <f>SUMPRODUCT(N(Tabela17[Código]=Tabela3[[#This Row],[PAPEL]]),Tabela17[Fechamento])</f>
        <v>0</v>
      </c>
      <c r="AZ337" s="7">
        <f>SUMPRODUCT(N(Tabela176[Código]=Tabela3[[#This Row],[PAPEL]]),Tabela176[Fechamento])</f>
        <v>0</v>
      </c>
      <c r="BA337" s="7">
        <f>SUMPRODUCT(N(Tabela1768[Código]=Tabela3[[#This Row],[PAPEL]]),Tabela1768[Fechamento])</f>
        <v>0</v>
      </c>
      <c r="BB337" s="7">
        <f>SUMPRODUCT(N(Tabela17683[Código]=Tabela3[[#This Row],[PAPEL]]),Tabela17683[Fechamento])</f>
        <v>0</v>
      </c>
    </row>
    <row r="338" spans="1:54">
      <c r="A338" s="3" t="s">
        <v>929</v>
      </c>
      <c r="B338" s="58" t="s">
        <v>1059</v>
      </c>
      <c r="C338" s="16" t="str">
        <f>LEFT([PAPEL],LEN([PAPEL])-(LEN([PAPEL])-4))</f>
        <v>PTNT</v>
      </c>
      <c r="D338" s="16">
        <v>4</v>
      </c>
      <c r="E338" s="5">
        <v>50000000</v>
      </c>
      <c r="F338" s="56">
        <v>16016924</v>
      </c>
      <c r="G338" s="81">
        <v>0.25</v>
      </c>
      <c r="H338" s="87"/>
      <c r="J338" s="18"/>
      <c r="K338" s="16"/>
      <c r="L338" s="87"/>
      <c r="M338" s="54"/>
      <c r="N338" s="54"/>
      <c r="O338" s="54"/>
      <c r="P338" s="91">
        <v>118772709</v>
      </c>
      <c r="Q338" s="73">
        <v>1579998</v>
      </c>
      <c r="R338" s="73">
        <f>IF(Tabela3[[#This Row],[Ativo || Passivo]]&gt;0,Tabela3[[#This Row],[Ativo || Passivo]]-Tabela3[[#This Row],[Patrimônio Líquido]],0)</f>
        <v>0</v>
      </c>
      <c r="S338" s="73">
        <f>Tabela3[[#This Row],[Cotação]]*Tabela3[[#This Row],[Total Ações]]</f>
        <v>108104598</v>
      </c>
      <c r="T338" s="37">
        <f>IF(Tabela3[[#This Row],[Passivo Circulante]]&gt;0,Tabela3[[#This Row],[Ativo Circulante]]/Tabela3[[#This Row],[Passivo Circulante]],0)</f>
        <v>0</v>
      </c>
      <c r="U338" s="37">
        <f>SUMPRODUCT(N([Liquidez Corrente]&gt;0),N(RIGHT([PAPEL],LEN([PAPEL])-(LEN([PAPEL])-1))="3"),[Liquidez Corrente])/SUMPRODUCT(N([Liquidez Corrente]&gt;0),N(RIGHT([PAPEL],LEN([PAPEL])-(LEN([PAPEL])-1))="3"))</f>
        <v>2.331224473064915</v>
      </c>
      <c r="V338" s="18">
        <f>IF(Tabela3[[#This Row],[Lucro Líquido]]&gt;0,Tabela3[[#This Row],[Lucro Líquido]]/Tabela3[[#This Row],[Patrimônio Líquido]],0)</f>
        <v>1.3302702391001286E-2</v>
      </c>
      <c r="W338" s="18">
        <f>SUMPRODUCT(N([Rentabilidade s/ PL]&gt;0),N(RIGHT([PAPEL],LEN([PAPEL])-(LEN([PAPEL])-1))="3"),[Rentabilidade s/ PL])/SUMPRODUCT(N([Rentabilidade s/ PL]&gt;0),N(RIGHT([PAPEL],LEN([PAPEL])-(LEN([PAPEL])-1))="3"))</f>
        <v>0.1261051308670782</v>
      </c>
      <c r="X338" s="18">
        <f>IF(Tabela3[[#This Row],[Dívida]]&gt;0,Tabela3[[#This Row],[Dívida]]/Tabela3[[#This Row],[Patrimônio Líquido]],0)</f>
        <v>0</v>
      </c>
      <c r="Y338" s="18">
        <f>SUMPRODUCT(N([Dívida / PL]&gt;0),N(RIGHT([PAPEL],LEN([PAPEL])-(LEN([PAPEL])-1))="3"),[Dívida / PL])/SUMPRODUCT(N([Dívida / PL]&gt;0),N(RIGHT([PAPEL],LEN([PAPEL])-(LEN([PAPEL])-1))="3"))</f>
        <v>2.1510410379481146</v>
      </c>
      <c r="Z338" s="7">
        <f>Tabela3[[#This Row],[Capital Social]]*20%</f>
        <v>10000000</v>
      </c>
      <c r="AA338" s="47">
        <f>IF(([Lucro Líquido]*5%)&gt;[Teto R. Legal],[Teto R. Legal],[Lucro Líquido]*5%)</f>
        <v>78999.900000000009</v>
      </c>
      <c r="AB338" s="47">
        <f>IF([Lucro Líquido]&lt;0,0,[Lucro Líquido]-[Reserva Legal])</f>
        <v>1500998.1</v>
      </c>
      <c r="AC338" s="47">
        <f>Tabela3[[#This Row],[Lucro Distribuir]]*[%Div]</f>
        <v>375249.52500000002</v>
      </c>
      <c r="AD338" s="56">
        <f>SUMPRODUCT(N([Nome]=Tabela3[[#This Row],[Nome]]),[Ações])</f>
        <v>48046488</v>
      </c>
      <c r="AE338" s="85">
        <f>[Capital Social]/[Total Ações]</f>
        <v>1.0406587886298786</v>
      </c>
      <c r="AF338" s="85">
        <f>Tabela3[[#This Row],[Lucro Líquido]]/Tabela3[[#This Row],[Total Ações]]</f>
        <v>3.288477609435262E-2</v>
      </c>
      <c r="AG338" s="85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7.810134322408748E-3</v>
      </c>
      <c r="AH338" s="85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338" s="77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338" s="85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</v>
      </c>
      <c r="AK338" s="7">
        <f>[Div Base]*[Ações]</f>
        <v>0</v>
      </c>
      <c r="AL338" s="7">
        <f>SUMPRODUCT(N([Nome]=Tabela3[[#This Row],[Nome]]),[Div Base]*[Ações])</f>
        <v>1500998.1</v>
      </c>
      <c r="AM338" s="5">
        <f>[Patrimônio Líquido]/[Total Ações]</f>
        <v>2.4720372694045816</v>
      </c>
      <c r="AN338" s="52">
        <f>MAX(Tabela3[[#This Row],[Cotação 1]:[Cotação 5]])</f>
        <v>2.25</v>
      </c>
      <c r="AO338" s="53">
        <f>[Cotação]/[VPA]</f>
        <v>0.91018045231249212</v>
      </c>
      <c r="AP338" s="37">
        <f>IF(Tabela3[[#This Row],[Lucro/Ação]]&gt;0,Tabela3[[#This Row],[Cotação]]/(Tabela3[[#This Row],[Lucro/Ação]]/[Ref]*4),0)</f>
        <v>68.420718254073734</v>
      </c>
      <c r="AQ338" s="85">
        <f>[Lucro Distribuir]/[Total Ações]</f>
        <v>3.1240537289634992E-2</v>
      </c>
      <c r="AR338" s="85">
        <f>IF([Unit ON]&gt;0,SUMPRODUCT(N([Nome]=Tabela3[[#This Row],[Nome]]),N(RIGHT([PAPEL],1)="3"),[Div Base])*[Unit ON]+SUMPRODUCT(N([Nome]=Tabela3[[#This Row],[Nome]]),N(RIGHT([PAPEL],1)="4"),[Div Base])*[Unit PN],[Div Base])</f>
        <v>0</v>
      </c>
      <c r="AS338" s="10" t="str">
        <f>IF(AND([% A.A.]&gt;=6%,SUMPRODUCT(N([Nome]=Tabela3[[#This Row],[Nome]]),[PL])&gt;0,[Rentabilidade s/ PL]&gt;=[Rentabilidade s/ PL Média]),"Sim","Não")</f>
        <v>Não</v>
      </c>
      <c r="AT338" s="22">
        <f>IF([Cotação]&gt;0,Tabela3[[#This Row],[Lucro]]/Tabela3[[#This Row],[Cotação]],0)</f>
        <v>0</v>
      </c>
      <c r="AU338" s="22">
        <f>((1+Tabela3[[#This Row],[% Yield]])^(1/(3*Tabela3[[#This Row],[Ref]])))^(12)-1</f>
        <v>0</v>
      </c>
      <c r="AV338" s="10">
        <f>IF([Cotação]&gt;0,($BH$1/Tabela3[[#This Row],[Cotação]]-MOD($BH$1/Tabela3[[#This Row],[Cotação]],100)),)</f>
        <v>200</v>
      </c>
      <c r="AW338" s="7">
        <f>Tabela3[[#This Row],[Ativos]]*[Lucro]</f>
        <v>0</v>
      </c>
      <c r="AX338" s="7">
        <f>SUMPRODUCT(N(Tabela1[Código]=Tabela3[[#This Row],[PAPEL]]),Tabela1[Fechamento])</f>
        <v>0</v>
      </c>
      <c r="AY338" s="7">
        <f>SUMPRODUCT(N(Tabela17[Código]=Tabela3[[#This Row],[PAPEL]]),Tabela17[Fechamento])</f>
        <v>0</v>
      </c>
      <c r="AZ338" s="7">
        <f>SUMPRODUCT(N(Tabela176[Código]=Tabela3[[#This Row],[PAPEL]]),Tabela176[Fechamento])</f>
        <v>0</v>
      </c>
      <c r="BA338" s="7">
        <f>SUMPRODUCT(N(Tabela1768[Código]=Tabela3[[#This Row],[PAPEL]]),Tabela1768[Fechamento])</f>
        <v>2.25</v>
      </c>
      <c r="BB338" s="7">
        <f>SUMPRODUCT(N(Tabela17683[Código]=Tabela3[[#This Row],[PAPEL]]),Tabela17683[Fechamento])</f>
        <v>0</v>
      </c>
    </row>
    <row r="339" spans="1:54">
      <c r="A339" s="3" t="s">
        <v>929</v>
      </c>
      <c r="B339" s="58" t="s">
        <v>1060</v>
      </c>
      <c r="C339" s="16" t="str">
        <f>LEFT([PAPEL],LEN([PAPEL])-(LEN([PAPEL])-4))</f>
        <v>PTNT</v>
      </c>
      <c r="D339" s="16">
        <v>4</v>
      </c>
      <c r="E339" s="5">
        <v>50000000</v>
      </c>
      <c r="F339" s="56">
        <v>32029564</v>
      </c>
      <c r="G339" s="81">
        <v>0.25</v>
      </c>
      <c r="H339" s="87"/>
      <c r="I339" s="18">
        <v>0.12</v>
      </c>
      <c r="J339" s="18"/>
      <c r="K339" s="16"/>
      <c r="L339" s="87"/>
      <c r="M339" s="54"/>
      <c r="N339" s="54"/>
      <c r="O339" s="54"/>
      <c r="P339" s="91">
        <v>118772709</v>
      </c>
      <c r="Q339" s="93">
        <v>1579998</v>
      </c>
      <c r="R339" s="73">
        <f>IF(Tabela3[[#This Row],[Ativo || Passivo]]&gt;0,Tabela3[[#This Row],[Ativo || Passivo]]-Tabela3[[#This Row],[Patrimônio Líquido]],0)</f>
        <v>0</v>
      </c>
      <c r="S339" s="73">
        <f>Tabela3[[#This Row],[Cotação]]*Tabela3[[#This Row],[Total Ações]]</f>
        <v>67265083.200000003</v>
      </c>
      <c r="T339" s="37">
        <f>IF(Tabela3[[#This Row],[Passivo Circulante]]&gt;0,Tabela3[[#This Row],[Ativo Circulante]]/Tabela3[[#This Row],[Passivo Circulante]],0)</f>
        <v>0</v>
      </c>
      <c r="U339" s="37">
        <f>SUMPRODUCT(N([Liquidez Corrente]&gt;0),N(RIGHT([PAPEL],LEN([PAPEL])-(LEN([PAPEL])-1))="3"),[Liquidez Corrente])/SUMPRODUCT(N([Liquidez Corrente]&gt;0),N(RIGHT([PAPEL],LEN([PAPEL])-(LEN([PAPEL])-1))="3"))</f>
        <v>2.331224473064915</v>
      </c>
      <c r="V339" s="18">
        <f>IF(Tabela3[[#This Row],[Lucro Líquido]]&gt;0,Tabela3[[#This Row],[Lucro Líquido]]/Tabela3[[#This Row],[Patrimônio Líquido]],0)</f>
        <v>1.3302702391001286E-2</v>
      </c>
      <c r="W339" s="18">
        <f>SUMPRODUCT(N([Rentabilidade s/ PL]&gt;0),N(RIGHT([PAPEL],LEN([PAPEL])-(LEN([PAPEL])-1))="3"),[Rentabilidade s/ PL])/SUMPRODUCT(N([Rentabilidade s/ PL]&gt;0),N(RIGHT([PAPEL],LEN([PAPEL])-(LEN([PAPEL])-1))="3"))</f>
        <v>0.1261051308670782</v>
      </c>
      <c r="X339" s="18">
        <f>IF(Tabela3[[#This Row],[Dívida]]&gt;0,Tabela3[[#This Row],[Dívida]]/Tabela3[[#This Row],[Patrimônio Líquido]],0)</f>
        <v>0</v>
      </c>
      <c r="Y339" s="18">
        <f>SUMPRODUCT(N([Dívida / PL]&gt;0),N(RIGHT([PAPEL],LEN([PAPEL])-(LEN([PAPEL])-1))="3"),[Dívida / PL])/SUMPRODUCT(N([Dívida / PL]&gt;0),N(RIGHT([PAPEL],LEN([PAPEL])-(LEN([PAPEL])-1))="3"))</f>
        <v>2.1510410379481146</v>
      </c>
      <c r="Z339" s="7">
        <f>Tabela3[[#This Row],[Capital Social]]*20%</f>
        <v>10000000</v>
      </c>
      <c r="AA339" s="47">
        <f>IF(([Lucro Líquido]*5%)&gt;[Teto R. Legal],[Teto R. Legal],[Lucro Líquido]*5%)</f>
        <v>78999.900000000009</v>
      </c>
      <c r="AB339" s="47">
        <f>IF([Lucro Líquido]&lt;0,0,[Lucro Líquido]-[Reserva Legal])</f>
        <v>1500998.1</v>
      </c>
      <c r="AC339" s="47">
        <f>Tabela3[[#This Row],[Lucro Distribuir]]*[%Div]</f>
        <v>375249.52500000002</v>
      </c>
      <c r="AD339" s="56">
        <f>SUMPRODUCT(N([Nome]=Tabela3[[#This Row],[Nome]]),[Ações])</f>
        <v>48046488</v>
      </c>
      <c r="AE339" s="85">
        <f>[Capital Social]/[Total Ações]</f>
        <v>1.0406587886298786</v>
      </c>
      <c r="AF339" s="85">
        <f>Tabela3[[#This Row],[Lucro Líquido]]/Tabela3[[#This Row],[Total Ações]]</f>
        <v>3.288477609435262E-2</v>
      </c>
      <c r="AG339" s="85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7.810134322408748E-3</v>
      </c>
      <c r="AH339" s="85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339" s="77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4.6862895167726917E-2</v>
      </c>
      <c r="AJ339" s="85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4.6862895167726917E-2</v>
      </c>
      <c r="AK339" s="7">
        <f>[Div Base]*[Ações]</f>
        <v>1500998.1</v>
      </c>
      <c r="AL339" s="7">
        <f>SUMPRODUCT(N([Nome]=Tabela3[[#This Row],[Nome]]),[Div Base]*[Ações])</f>
        <v>1500998.1</v>
      </c>
      <c r="AM339" s="5">
        <f>[Patrimônio Líquido]/[Total Ações]</f>
        <v>2.4720372694045816</v>
      </c>
      <c r="AN339" s="52">
        <f>MAX(Tabela3[[#This Row],[Cotação 1]:[Cotação 5]])</f>
        <v>1.4</v>
      </c>
      <c r="AO339" s="53">
        <f>[Cotação]/[VPA]</f>
        <v>0.56633450366110616</v>
      </c>
      <c r="AP339" s="37">
        <f>IF(Tabela3[[#This Row],[Lucro/Ação]]&gt;0,Tabela3[[#This Row],[Cotação]]/(Tabela3[[#This Row],[Lucro/Ação]]/[Ref]*4),0)</f>
        <v>42.572891358090324</v>
      </c>
      <c r="AQ339" s="85">
        <f>[Lucro Distribuir]/[Total Ações]</f>
        <v>3.1240537289634992E-2</v>
      </c>
      <c r="AR339" s="85">
        <f>IF([Unit ON]&gt;0,SUMPRODUCT(N([Nome]=Tabela3[[#This Row],[Nome]]),N(RIGHT([PAPEL],1)="3"),[Div Base])*[Unit ON]+SUMPRODUCT(N([Nome]=Tabela3[[#This Row],[Nome]]),N(RIGHT([PAPEL],1)="4"),[Div Base])*[Unit PN],[Div Base])</f>
        <v>4.6862895167726917E-2</v>
      </c>
      <c r="AS339" s="10" t="str">
        <f>IF(AND([% A.A.]&gt;=6%,SUMPRODUCT(N([Nome]=Tabela3[[#This Row],[Nome]]),[PL])&gt;0,[Rentabilidade s/ PL]&gt;=[Rentabilidade s/ PL Média]),"Sim","Não")</f>
        <v>Não</v>
      </c>
      <c r="AT339" s="22">
        <f>IF([Cotação]&gt;0,Tabela3[[#This Row],[Lucro]]/Tabela3[[#This Row],[Cotação]],0)</f>
        <v>3.3473496548376371E-2</v>
      </c>
      <c r="AU339" s="22">
        <f>((1+Tabela3[[#This Row],[% Yield]])^(1/(3*Tabela3[[#This Row],[Ref]])))^(12)-1</f>
        <v>3.3473496548376058E-2</v>
      </c>
      <c r="AV339" s="10">
        <f>IF([Cotação]&gt;0,($BH$1/Tabela3[[#This Row],[Cotação]]-MOD($BH$1/Tabela3[[#This Row],[Cotação]],100)),)</f>
        <v>300</v>
      </c>
      <c r="AW339" s="7">
        <f>Tabela3[[#This Row],[Ativos]]*[Lucro]</f>
        <v>14.058868550318076</v>
      </c>
      <c r="AX339" s="7">
        <f>SUMPRODUCT(N(Tabela1[Código]=Tabela3[[#This Row],[PAPEL]]),Tabela1[Fechamento])</f>
        <v>0</v>
      </c>
      <c r="AY339" s="7">
        <f>SUMPRODUCT(N(Tabela17[Código]=Tabela3[[#This Row],[PAPEL]]),Tabela17[Fechamento])</f>
        <v>0</v>
      </c>
      <c r="AZ339" s="7">
        <f>SUMPRODUCT(N(Tabela176[Código]=Tabela3[[#This Row],[PAPEL]]),Tabela176[Fechamento])</f>
        <v>0</v>
      </c>
      <c r="BA339" s="7">
        <f>SUMPRODUCT(N(Tabela1768[Código]=Tabela3[[#This Row],[PAPEL]]),Tabela1768[Fechamento])</f>
        <v>1.4</v>
      </c>
      <c r="BB339" s="7">
        <f>SUMPRODUCT(N(Tabela17683[Código]=Tabela3[[#This Row],[PAPEL]]),Tabela17683[Fechamento])</f>
        <v>0</v>
      </c>
    </row>
    <row r="340" spans="1:54">
      <c r="A340" s="3" t="s">
        <v>1440</v>
      </c>
      <c r="B340" s="57" t="s">
        <v>1419</v>
      </c>
      <c r="C340" s="16" t="str">
        <f>LEFT([PAPEL],LEN([PAPEL])-(LEN([PAPEL])-4))</f>
        <v>ROMI</v>
      </c>
      <c r="D340" s="16">
        <v>4</v>
      </c>
      <c r="E340" s="5">
        <v>502935785</v>
      </c>
      <c r="F340" s="56">
        <v>71757647</v>
      </c>
      <c r="G340" s="81">
        <v>0.25</v>
      </c>
      <c r="H340" s="87"/>
      <c r="J340" s="18"/>
      <c r="K340" s="16"/>
      <c r="L340" s="87"/>
      <c r="M340" s="54"/>
      <c r="N340" s="54"/>
      <c r="O340" s="54"/>
      <c r="P340" s="91">
        <v>648235000</v>
      </c>
      <c r="Q340" s="73">
        <v>1365000</v>
      </c>
      <c r="R340" s="73">
        <f>IF(Tabela3[[#This Row],[Ativo || Passivo]]&gt;0,Tabela3[[#This Row],[Ativo || Passivo]]-Tabela3[[#This Row],[Patrimônio Líquido]],0)</f>
        <v>0</v>
      </c>
      <c r="S340" s="73">
        <f>Tabela3[[#This Row],[Cotação]]*Tabela3[[#This Row],[Total Ações]]</f>
        <v>369551882.05000001</v>
      </c>
      <c r="T340" s="37">
        <f>IF(Tabela3[[#This Row],[Passivo Circulante]]&gt;0,Tabela3[[#This Row],[Ativo Circulante]]/Tabela3[[#This Row],[Passivo Circulante]],0)</f>
        <v>0</v>
      </c>
      <c r="U340" s="37">
        <f>SUMPRODUCT(N([Liquidez Corrente]&gt;0),N(RIGHT([PAPEL],LEN([PAPEL])-(LEN([PAPEL])-1))="3"),[Liquidez Corrente])/SUMPRODUCT(N([Liquidez Corrente]&gt;0),N(RIGHT([PAPEL],LEN([PAPEL])-(LEN([PAPEL])-1))="3"))</f>
        <v>2.331224473064915</v>
      </c>
      <c r="V340" s="18">
        <f>IF(Tabela3[[#This Row],[Lucro Líquido]]&gt;0,Tabela3[[#This Row],[Lucro Líquido]]/Tabela3[[#This Row],[Patrimônio Líquido]],0)</f>
        <v>2.1057178338102695E-3</v>
      </c>
      <c r="W340" s="18">
        <f>SUMPRODUCT(N([Rentabilidade s/ PL]&gt;0),N(RIGHT([PAPEL],LEN([PAPEL])-(LEN([PAPEL])-1))="3"),[Rentabilidade s/ PL])/SUMPRODUCT(N([Rentabilidade s/ PL]&gt;0),N(RIGHT([PAPEL],LEN([PAPEL])-(LEN([PAPEL])-1))="3"))</f>
        <v>0.1261051308670782</v>
      </c>
      <c r="X340" s="18">
        <f>IF(Tabela3[[#This Row],[Dívida]]&gt;0,Tabela3[[#This Row],[Dívida]]/Tabela3[[#This Row],[Patrimônio Líquido]],0)</f>
        <v>0</v>
      </c>
      <c r="Y340" s="18">
        <f>SUMPRODUCT(N([Dívida / PL]&gt;0),N(RIGHT([PAPEL],LEN([PAPEL])-(LEN([PAPEL])-1))="3"),[Dívida / PL])/SUMPRODUCT(N([Dívida / PL]&gt;0),N(RIGHT([PAPEL],LEN([PAPEL])-(LEN([PAPEL])-1))="3"))</f>
        <v>2.1510410379481146</v>
      </c>
      <c r="Z340" s="7">
        <f>Tabela3[[#This Row],[Capital Social]]*20%</f>
        <v>100587157</v>
      </c>
      <c r="AA340" s="47">
        <f>IF(([Lucro Líquido]*5%)&gt;[Teto R. Legal],[Teto R. Legal],[Lucro Líquido]*5%)</f>
        <v>68250</v>
      </c>
      <c r="AB340" s="47">
        <f>IF([Lucro Líquido]&lt;0,0,[Lucro Líquido]-[Reserva Legal])</f>
        <v>1296750</v>
      </c>
      <c r="AC340" s="47">
        <f>Tabela3[[#This Row],[Lucro Distribuir]]*[%Div]</f>
        <v>324187.5</v>
      </c>
      <c r="AD340" s="56">
        <f>SUMPRODUCT(N([Nome]=Tabela3[[#This Row],[Nome]]),[Ações])</f>
        <v>71757647</v>
      </c>
      <c r="AE340" s="85">
        <f>[Capital Social]/[Total Ações]</f>
        <v>7.0088109912522629</v>
      </c>
      <c r="AF340" s="85">
        <f>Tabela3[[#This Row],[Lucro Líquido]]/Tabela3[[#This Row],[Total Ações]]</f>
        <v>1.9022362870956457E-2</v>
      </c>
      <c r="AG340" s="85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4.5178111818521584E-3</v>
      </c>
      <c r="AH340" s="85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340" s="77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340" s="85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4.5178111818521584E-3</v>
      </c>
      <c r="AK340" s="7">
        <f>[Div Base]*[Ações]</f>
        <v>324187.5</v>
      </c>
      <c r="AL340" s="120">
        <f>SUMPRODUCT(N([Nome]=Tabela3[[#This Row],[Nome]]),[Div Base]*[Ações])</f>
        <v>324187.5</v>
      </c>
      <c r="AM340" s="5">
        <f>[Patrimônio Líquido]/[Total Ações]</f>
        <v>9.0336713521278096</v>
      </c>
      <c r="AN340" s="52">
        <f>MAX(Tabela3[[#This Row],[Cotação 1]:[Cotação 5]])</f>
        <v>5.15</v>
      </c>
      <c r="AO340" s="53">
        <f>[Cotação]/[VPA]</f>
        <v>0.57008936890171003</v>
      </c>
      <c r="AP340" s="37">
        <f>IF(Tabela3[[#This Row],[Lucro/Ação]]&gt;0,Tabela3[[#This Row],[Cotação]]/(Tabela3[[#This Row],[Lucro/Ação]]/[Ref]*4),0)</f>
        <v>270.73397952380952</v>
      </c>
      <c r="AQ340" s="85">
        <f>[Lucro Distribuir]/[Total Ações]</f>
        <v>1.8071244727408634E-2</v>
      </c>
      <c r="AR340" s="85">
        <f>IF([Unit ON]&gt;0,SUMPRODUCT(N([Nome]=Tabela3[[#This Row],[Nome]]),N(RIGHT([PAPEL],1)="3"),[Div Base])*[Unit ON]+SUMPRODUCT(N([Nome]=Tabela3[[#This Row],[Nome]]),N(RIGHT([PAPEL],1)="4"),[Div Base])*[Unit PN],[Div Base])</f>
        <v>4.5178111818521584E-3</v>
      </c>
      <c r="AS340" s="10" t="str">
        <f>IF(AND([% A.A.]&gt;=6%,SUMPRODUCT(N([Nome]=Tabela3[[#This Row],[Nome]]),[PL])&gt;0,[Rentabilidade s/ PL]&gt;=[Rentabilidade s/ PL Média]),"Sim","Não")</f>
        <v>Não</v>
      </c>
      <c r="AT340" s="22">
        <f>IF([Cotação]&gt;0,Tabela3[[#This Row],[Lucro]]/Tabela3[[#This Row],[Cotação]],0)</f>
        <v>8.7724488968003072E-4</v>
      </c>
      <c r="AU340" s="22">
        <f>((1+Tabela3[[#This Row],[% Yield]])^(1/(3*Tabela3[[#This Row],[Ref]])))^(12)-1</f>
        <v>8.7724488967988457E-4</v>
      </c>
      <c r="AV340" s="10">
        <f>IF([Cotação]&gt;0,($BH$1/Tabela3[[#This Row],[Cotação]]-MOD($BH$1/Tabela3[[#This Row],[Cotação]],100)),)</f>
        <v>0</v>
      </c>
      <c r="AW340" s="7">
        <f>Tabela3[[#This Row],[Ativos]]*[Lucro]</f>
        <v>0</v>
      </c>
      <c r="AX340" s="7">
        <f>SUMPRODUCT(N(Tabela1[Código]=Tabela3[[#This Row],[PAPEL]]),Tabela1[Fechamento])</f>
        <v>0</v>
      </c>
      <c r="AY340" s="7">
        <f>SUMPRODUCT(N(Tabela17[Código]=Tabela3[[#This Row],[PAPEL]]),Tabela17[Fechamento])</f>
        <v>0</v>
      </c>
      <c r="AZ340" s="7">
        <f>SUMPRODUCT(N(Tabela176[Código]=Tabela3[[#This Row],[PAPEL]]),Tabela176[Fechamento])</f>
        <v>0</v>
      </c>
      <c r="BA340" s="7">
        <f>SUMPRODUCT(N(Tabela1768[Código]=Tabela3[[#This Row],[PAPEL]]),Tabela1768[Fechamento])</f>
        <v>0</v>
      </c>
      <c r="BB340" s="7">
        <f>SUMPRODUCT(N(Tabela17683[Código]=Tabela3[[#This Row],[PAPEL]]),Tabela17683[Fechamento])</f>
        <v>5.15</v>
      </c>
    </row>
    <row r="341" spans="1:54" hidden="1">
      <c r="A341" s="4" t="s">
        <v>14</v>
      </c>
      <c r="B341" s="57" t="s">
        <v>210</v>
      </c>
      <c r="C341" s="14" t="str">
        <f>LEFT([PAPEL],LEN([PAPEL])-(LEN([PAPEL])-4))</f>
        <v>BMIN</v>
      </c>
      <c r="D341" s="15">
        <v>3</v>
      </c>
      <c r="E341" s="6">
        <v>25552800</v>
      </c>
      <c r="F341" s="8">
        <v>111505680</v>
      </c>
      <c r="G341" s="81">
        <v>0.25</v>
      </c>
      <c r="H341" s="15"/>
      <c r="I341" s="19"/>
      <c r="J341" s="19"/>
      <c r="K341" s="88"/>
      <c r="L341" s="88"/>
      <c r="M341" s="55"/>
      <c r="N341" s="55"/>
      <c r="O341" s="55"/>
      <c r="P341" s="6">
        <v>56483000</v>
      </c>
      <c r="Q341" s="6">
        <v>1359000</v>
      </c>
      <c r="R341" s="6">
        <f>IF(Tabela3[[#This Row],[Ativo || Passivo]]&gt;0,Tabela3[[#This Row],[Ativo || Passivo]]-Tabela3[[#This Row],[Patrimônio Líquido]],0)</f>
        <v>0</v>
      </c>
      <c r="S341" s="6">
        <f>Tabela3[[#This Row],[Cotação]]*Tabela3[[#This Row],[Total Ações]]</f>
        <v>182520000</v>
      </c>
      <c r="T341" s="132">
        <f>IF(Tabela3[[#This Row],[Passivo Circulante]]&gt;0,Tabela3[[#This Row],[Ativo Circulante]]/Tabela3[[#This Row],[Passivo Circulante]],0)</f>
        <v>0</v>
      </c>
      <c r="U341" s="132">
        <f>SUMPRODUCT(N([Liquidez Corrente]&gt;0),N(RIGHT([PAPEL],LEN([PAPEL])-(LEN([PAPEL])-1))="3"),[Liquidez Corrente])/SUMPRODUCT(N([Liquidez Corrente]&gt;0),N(RIGHT([PAPEL],LEN([PAPEL])-(LEN([PAPEL])-1))="3"))</f>
        <v>2.331224473064915</v>
      </c>
      <c r="V341" s="19">
        <f>IF(Tabela3[[#This Row],[Lucro Líquido]]&gt;0,Tabela3[[#This Row],[Lucro Líquido]]/Tabela3[[#This Row],[Patrimônio Líquido]],0)</f>
        <v>2.4060336738487686E-2</v>
      </c>
      <c r="W341" s="19">
        <f>SUMPRODUCT(N([Rentabilidade s/ PL]&gt;0),N(RIGHT([PAPEL],LEN([PAPEL])-(LEN([PAPEL])-1))="3"),[Rentabilidade s/ PL])/SUMPRODUCT(N([Rentabilidade s/ PL]&gt;0),N(RIGHT([PAPEL],LEN([PAPEL])-(LEN([PAPEL])-1))="3"))</f>
        <v>0.1261051308670782</v>
      </c>
      <c r="X341" s="19">
        <f>IF(Tabela3[[#This Row],[Dívida]]&gt;0,Tabela3[[#This Row],[Dívida]]/Tabela3[[#This Row],[Patrimônio Líquido]],0)</f>
        <v>0</v>
      </c>
      <c r="Y341" s="19">
        <f>SUMPRODUCT(N([Dívida / PL]&gt;0),N(RIGHT([PAPEL],LEN([PAPEL])-(LEN([PAPEL])-1))="3"),[Dívida / PL])/SUMPRODUCT(N([Dívida / PL]&gt;0),N(RIGHT([PAPEL],LEN([PAPEL])-(LEN([PAPEL])-1))="3"))</f>
        <v>2.1510410379481146</v>
      </c>
      <c r="Z341" s="6">
        <f>Tabela3[[#This Row],[Capital Social]]*20%</f>
        <v>5110560</v>
      </c>
      <c r="AA341" s="6">
        <f>IF(([Lucro Líquido]*5%)&gt;[Teto R. Legal],[Teto R. Legal],[Lucro Líquido]*5%)</f>
        <v>67950</v>
      </c>
      <c r="AB341" s="6">
        <f>IF([Lucro Líquido]&lt;0,0,[Lucro Líquido]-[Reserva Legal])</f>
        <v>1291050</v>
      </c>
      <c r="AC341" s="6">
        <f>Tabela3[[#This Row],[Lucro Distribuir]]*[%Div]</f>
        <v>322762.5</v>
      </c>
      <c r="AD341" s="21">
        <f>SUMPRODUCT(N([Nome]=Tabela3[[#This Row],[Nome]]),[Ações])</f>
        <v>182520000</v>
      </c>
      <c r="AE341" s="6">
        <f>[Capital Social]/[Total Ações]</f>
        <v>0.14000000000000001</v>
      </c>
      <c r="AF341" s="78">
        <f>Tabela3[[#This Row],[Lucro Líquido]]/Tabela3[[#This Row],[Total Ações]]</f>
        <v>7.4457593688362919E-3</v>
      </c>
      <c r="AG341" s="78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1.7683678500986194E-3</v>
      </c>
      <c r="AH341" s="78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341" s="78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341" s="78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</v>
      </c>
      <c r="AK341" s="6">
        <f>[Div Base]*[Ações]</f>
        <v>0</v>
      </c>
      <c r="AL341" s="6">
        <f>SUMPRODUCT(N([Nome]=Tabela3[[#This Row],[Nome]]),[Div Base]*[Ações])</f>
        <v>695940.33600000013</v>
      </c>
      <c r="AM341" s="6">
        <f>[Patrimônio Líquido]/[Total Ações]</f>
        <v>0.30946197676966908</v>
      </c>
      <c r="AN341" s="48">
        <f>MAX(Tabela3[[#This Row],[Cotação 1]:[Cotação 5]])</f>
        <v>1</v>
      </c>
      <c r="AO341" s="44">
        <f>[Cotação]/[VPA]</f>
        <v>3.2314147619637765</v>
      </c>
      <c r="AP341" s="40">
        <f>IF(Tabela3[[#This Row],[Lucro/Ação]]&gt;0,Tabela3[[#This Row],[Cotação]]/(Tabela3[[#This Row],[Lucro/Ação]]/[Ref]*4),0)</f>
        <v>100.72847682119205</v>
      </c>
      <c r="AQ341" s="78">
        <f>[Lucro Distribuir]/[Total Ações]</f>
        <v>7.0734714003944776E-3</v>
      </c>
      <c r="AR341" s="78">
        <f>IF([Unit ON]&gt;0,SUMPRODUCT(N([Nome]=Tabela3[[#This Row],[Nome]]),N(RIGHT([PAPEL],1)="3"),[Div Base])*[Unit ON]+SUMPRODUCT(N([Nome]=Tabela3[[#This Row],[Nome]]),N(RIGHT([PAPEL],1)="4"),[Div Base])*[Unit PN],[Div Base])</f>
        <v>0</v>
      </c>
      <c r="AS341" s="15" t="str">
        <f>IF(AND([% A.A.]&gt;=6%,SUMPRODUCT(N([Nome]=Tabela3[[#This Row],[Nome]]),[PL])&gt;0,[Rentabilidade s/ PL]&gt;=[Rentabilidade s/ PL Média]),"Sim","Não")</f>
        <v>Não</v>
      </c>
      <c r="AT341" s="42">
        <f>IF([Cotação]&gt;0,Tabela3[[#This Row],[Lucro]]/Tabela3[[#This Row],[Cotação]],0)</f>
        <v>0</v>
      </c>
      <c r="AU341" s="19">
        <f>((1+Tabela3[[#This Row],[% Yield]])^(1/(3*Tabela3[[#This Row],[Ref]])))^(12)-1</f>
        <v>0</v>
      </c>
      <c r="AV341" s="14">
        <f>IF([Cotação]&gt;0,($BH$1/Tabela3[[#This Row],[Cotação]]-MOD($BH$1/Tabela3[[#This Row],[Cotação]],100)),)</f>
        <v>500</v>
      </c>
      <c r="AW341" s="17">
        <f>Tabela3[[#This Row],[Ativos]]*[Lucro]</f>
        <v>0</v>
      </c>
      <c r="AX341" s="5">
        <f>SUMPRODUCT(N(Tabela1[Código]=Tabela3[[#This Row],[PAPEL]]),Tabela1[Fechamento])</f>
        <v>1</v>
      </c>
      <c r="AY341" s="5">
        <f>SUMPRODUCT(N(Tabela17[Código]=Tabela3[[#This Row],[PAPEL]]),Tabela17[Fechamento])</f>
        <v>0</v>
      </c>
      <c r="AZ341" s="7">
        <f>SUMPRODUCT(N(Tabela176[Código]=Tabela3[[#This Row],[PAPEL]]),Tabela176[Fechamento])</f>
        <v>0</v>
      </c>
      <c r="BA341" s="7">
        <f>SUMPRODUCT(N(Tabela1768[Código]=Tabela3[[#This Row],[PAPEL]]),Tabela1768[Fechamento])</f>
        <v>0</v>
      </c>
      <c r="BB341" s="7">
        <f>SUMPRODUCT(N(Tabela17683[Código]=Tabela3[[#This Row],[PAPEL]]),Tabela17683[Fechamento])</f>
        <v>0</v>
      </c>
    </row>
    <row r="342" spans="1:54" hidden="1">
      <c r="A342" s="4" t="s">
        <v>14</v>
      </c>
      <c r="B342" s="57" t="s">
        <v>61</v>
      </c>
      <c r="C342" s="14" t="str">
        <f>LEFT([PAPEL],LEN([PAPEL])-(LEN([PAPEL])-4))</f>
        <v>BMIN</v>
      </c>
      <c r="D342" s="15">
        <v>3</v>
      </c>
      <c r="E342" s="6">
        <v>25552800</v>
      </c>
      <c r="F342" s="8">
        <v>71014320</v>
      </c>
      <c r="G342" s="86">
        <v>0.25</v>
      </c>
      <c r="H342" s="15"/>
      <c r="I342" s="19">
        <v>7.0000000000000007E-2</v>
      </c>
      <c r="J342" s="19"/>
      <c r="K342" s="88"/>
      <c r="L342" s="88"/>
      <c r="M342" s="55"/>
      <c r="N342" s="55"/>
      <c r="O342" s="55"/>
      <c r="P342" s="6">
        <v>56483000</v>
      </c>
      <c r="Q342" s="6">
        <v>1359000</v>
      </c>
      <c r="R342" s="6">
        <f>IF(Tabela3[[#This Row],[Ativo || Passivo]]&gt;0,Tabela3[[#This Row],[Ativo || Passivo]]-Tabela3[[#This Row],[Patrimônio Líquido]],0)</f>
        <v>0</v>
      </c>
      <c r="S342" s="6">
        <f>Tabela3[[#This Row],[Cotação]]*Tabela3[[#This Row],[Total Ações]]</f>
        <v>43804800</v>
      </c>
      <c r="T342" s="132">
        <f>IF(Tabela3[[#This Row],[Passivo Circulante]]&gt;0,Tabela3[[#This Row],[Ativo Circulante]]/Tabela3[[#This Row],[Passivo Circulante]],0)</f>
        <v>0</v>
      </c>
      <c r="U342" s="132">
        <f>SUMPRODUCT(N([Liquidez Corrente]&gt;0),N(RIGHT([PAPEL],LEN([PAPEL])-(LEN([PAPEL])-1))="3"),[Liquidez Corrente])/SUMPRODUCT(N([Liquidez Corrente]&gt;0),N(RIGHT([PAPEL],LEN([PAPEL])-(LEN([PAPEL])-1))="3"))</f>
        <v>2.331224473064915</v>
      </c>
      <c r="V342" s="19">
        <f>IF(Tabela3[[#This Row],[Lucro Líquido]]&gt;0,Tabela3[[#This Row],[Lucro Líquido]]/Tabela3[[#This Row],[Patrimônio Líquido]],0)</f>
        <v>2.4060336738487686E-2</v>
      </c>
      <c r="W342" s="19">
        <f>SUMPRODUCT(N([Rentabilidade s/ PL]&gt;0),N(RIGHT([PAPEL],LEN([PAPEL])-(LEN([PAPEL])-1))="3"),[Rentabilidade s/ PL])/SUMPRODUCT(N([Rentabilidade s/ PL]&gt;0),N(RIGHT([PAPEL],LEN([PAPEL])-(LEN([PAPEL])-1))="3"))</f>
        <v>0.1261051308670782</v>
      </c>
      <c r="X342" s="19">
        <f>IF(Tabela3[[#This Row],[Dívida]]&gt;0,Tabela3[[#This Row],[Dívida]]/Tabela3[[#This Row],[Patrimônio Líquido]],0)</f>
        <v>0</v>
      </c>
      <c r="Y342" s="19">
        <f>SUMPRODUCT(N([Dívida / PL]&gt;0),N(RIGHT([PAPEL],LEN([PAPEL])-(LEN([PAPEL])-1))="3"),[Dívida / PL])/SUMPRODUCT(N([Dívida / PL]&gt;0),N(RIGHT([PAPEL],LEN([PAPEL])-(LEN([PAPEL])-1))="3"))</f>
        <v>2.1510410379481146</v>
      </c>
      <c r="Z342" s="6">
        <f>Tabela3[[#This Row],[Capital Social]]*20%</f>
        <v>5110560</v>
      </c>
      <c r="AA342" s="6">
        <f>IF(([Lucro Líquido]*5%)&gt;[Teto R. Legal],[Teto R. Legal],[Lucro Líquido]*5%)</f>
        <v>67950</v>
      </c>
      <c r="AB342" s="6">
        <f>IF([Lucro Líquido]&lt;0,0,[Lucro Líquido]-[Reserva Legal])</f>
        <v>1291050</v>
      </c>
      <c r="AC342" s="6">
        <f>Tabela3[[#This Row],[Lucro Distribuir]]*[%Div]</f>
        <v>322762.5</v>
      </c>
      <c r="AD342" s="21">
        <f>SUMPRODUCT(N([Nome]=Tabela3[[#This Row],[Nome]]),[Ações])</f>
        <v>182520000</v>
      </c>
      <c r="AE342" s="6">
        <f>[Capital Social]/[Total Ações]</f>
        <v>0.14000000000000001</v>
      </c>
      <c r="AF342" s="78">
        <f>Tabela3[[#This Row],[Lucro Líquido]]/Tabela3[[#This Row],[Total Ações]]</f>
        <v>7.4457593688362919E-3</v>
      </c>
      <c r="AG342" s="78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1.7683678500986194E-3</v>
      </c>
      <c r="AH342" s="78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342" s="78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9.8000000000000014E-3</v>
      </c>
      <c r="AJ342" s="78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9.8000000000000014E-3</v>
      </c>
      <c r="AK342" s="6">
        <f>[Div Base]*[Ações]</f>
        <v>695940.33600000013</v>
      </c>
      <c r="AL342" s="6">
        <f>SUMPRODUCT(N([Nome]=Tabela3[[#This Row],[Nome]]),[Div Base]*[Ações])</f>
        <v>695940.33600000013</v>
      </c>
      <c r="AM342" s="6">
        <f>[Patrimônio Líquido]/[Total Ações]</f>
        <v>0.30946197676966908</v>
      </c>
      <c r="AN342" s="48">
        <f>MAX(Tabela3[[#This Row],[Cotação 1]:[Cotação 5]])</f>
        <v>0.24</v>
      </c>
      <c r="AO342" s="44">
        <f>[Cotação]/[VPA]</f>
        <v>0.77553954287130633</v>
      </c>
      <c r="AP342" s="40">
        <f>IF(Tabela3[[#This Row],[Lucro/Ação]]&gt;0,Tabela3[[#This Row],[Cotação]]/(Tabela3[[#This Row],[Lucro/Ação]]/[Ref]*4),0)</f>
        <v>24.174834437086091</v>
      </c>
      <c r="AQ342" s="78">
        <f>[Lucro Distribuir]/[Total Ações]</f>
        <v>7.0734714003944776E-3</v>
      </c>
      <c r="AR342" s="78">
        <f>IF([Unit ON]&gt;0,SUMPRODUCT(N([Nome]=Tabela3[[#This Row],[Nome]]),N(RIGHT([PAPEL],1)="3"),[Div Base])*[Unit ON]+SUMPRODUCT(N([Nome]=Tabela3[[#This Row],[Nome]]),N(RIGHT([PAPEL],1)="4"),[Div Base])*[Unit PN],[Div Base])</f>
        <v>9.8000000000000014E-3</v>
      </c>
      <c r="AS342" s="15" t="str">
        <f>IF(AND([% A.A.]&gt;=6%,SUMPRODUCT(N([Nome]=Tabela3[[#This Row],[Nome]]),[PL])&gt;0,[Rentabilidade s/ PL]&gt;=[Rentabilidade s/ PL Média]),"Sim","Não")</f>
        <v>Não</v>
      </c>
      <c r="AT342" s="42">
        <f>IF([Cotação]&gt;0,Tabela3[[#This Row],[Lucro]]/Tabela3[[#This Row],[Cotação]],0)</f>
        <v>4.083333333333334E-2</v>
      </c>
      <c r="AU342" s="19">
        <f>((1+Tabela3[[#This Row],[% Yield]])^(1/(3*Tabela3[[#This Row],[Ref]])))^(12)-1</f>
        <v>5.4811662955365881E-2</v>
      </c>
      <c r="AV342" s="14">
        <f>IF([Cotação]&gt;0,($BH$1/Tabela3[[#This Row],[Cotação]]-MOD($BH$1/Tabela3[[#This Row],[Cotação]],100)),)</f>
        <v>2000</v>
      </c>
      <c r="AW342" s="17">
        <f>Tabela3[[#This Row],[Ativos]]*[Lucro]</f>
        <v>19.600000000000001</v>
      </c>
      <c r="AX342" s="5">
        <f>SUMPRODUCT(N(Tabela1[Código]=Tabela3[[#This Row],[PAPEL]]),Tabela1[Fechamento])</f>
        <v>0.24</v>
      </c>
      <c r="AY342" s="5">
        <f>SUMPRODUCT(N(Tabela17[Código]=Tabela3[[#This Row],[PAPEL]]),Tabela17[Fechamento])</f>
        <v>0</v>
      </c>
      <c r="AZ342" s="7">
        <f>SUMPRODUCT(N(Tabela176[Código]=Tabela3[[#This Row],[PAPEL]]),Tabela176[Fechamento])</f>
        <v>0</v>
      </c>
      <c r="BA342" s="7">
        <f>SUMPRODUCT(N(Tabela1768[Código]=Tabela3[[#This Row],[PAPEL]]),Tabela1768[Fechamento])</f>
        <v>0</v>
      </c>
      <c r="BB342" s="7">
        <f>SUMPRODUCT(N(Tabela17683[Código]=Tabela3[[#This Row],[PAPEL]]),Tabela17683[Fechamento])</f>
        <v>0</v>
      </c>
    </row>
    <row r="343" spans="1:54" hidden="1">
      <c r="A343" s="3" t="s">
        <v>1083</v>
      </c>
      <c r="B343" s="58" t="s">
        <v>1084</v>
      </c>
      <c r="C343" s="16" t="str">
        <f>LEFT([PAPEL],LEN([PAPEL])-(LEN([PAPEL])-4))</f>
        <v>CAMB</v>
      </c>
      <c r="D343" s="16">
        <v>3</v>
      </c>
      <c r="E343" s="5">
        <v>32340000</v>
      </c>
      <c r="F343" s="56">
        <v>13087267</v>
      </c>
      <c r="G343" s="81">
        <v>0.25</v>
      </c>
      <c r="H343" s="87"/>
      <c r="J343" s="18"/>
      <c r="K343" s="16"/>
      <c r="L343" s="87"/>
      <c r="M343" s="54"/>
      <c r="N343" s="54"/>
      <c r="O343" s="54"/>
      <c r="P343" s="91">
        <v>29017000</v>
      </c>
      <c r="Q343" s="73">
        <v>1159000</v>
      </c>
      <c r="R343" s="73">
        <f>IF(Tabela3[[#This Row],[Ativo || Passivo]]&gt;0,Tabela3[[#This Row],[Ativo || Passivo]]-Tabela3[[#This Row],[Patrimônio Líquido]],0)</f>
        <v>0</v>
      </c>
      <c r="S343" s="73">
        <f>Tabela3[[#This Row],[Cotação]]*Tabela3[[#This Row],[Total Ações]]</f>
        <v>0</v>
      </c>
      <c r="T343" s="37">
        <f>IF(Tabela3[[#This Row],[Passivo Circulante]]&gt;0,Tabela3[[#This Row],[Ativo Circulante]]/Tabela3[[#This Row],[Passivo Circulante]],0)</f>
        <v>0</v>
      </c>
      <c r="U343" s="37">
        <f>SUMPRODUCT(N([Liquidez Corrente]&gt;0),N(RIGHT([PAPEL],LEN([PAPEL])-(LEN([PAPEL])-1))="3"),[Liquidez Corrente])/SUMPRODUCT(N([Liquidez Corrente]&gt;0),N(RIGHT([PAPEL],LEN([PAPEL])-(LEN([PAPEL])-1))="3"))</f>
        <v>2.331224473064915</v>
      </c>
      <c r="V343" s="18">
        <f>IF(Tabela3[[#This Row],[Lucro Líquido]]&gt;0,Tabela3[[#This Row],[Lucro Líquido]]/Tabela3[[#This Row],[Patrimônio Líquido]],0)</f>
        <v>3.9942102905193511E-2</v>
      </c>
      <c r="W343" s="18">
        <f>SUMPRODUCT(N([Rentabilidade s/ PL]&gt;0),N(RIGHT([PAPEL],LEN([PAPEL])-(LEN([PAPEL])-1))="3"),[Rentabilidade s/ PL])/SUMPRODUCT(N([Rentabilidade s/ PL]&gt;0),N(RIGHT([PAPEL],LEN([PAPEL])-(LEN([PAPEL])-1))="3"))</f>
        <v>0.1261051308670782</v>
      </c>
      <c r="X343" s="18">
        <f>IF(Tabela3[[#This Row],[Dívida]]&gt;0,Tabela3[[#This Row],[Dívida]]/Tabela3[[#This Row],[Patrimônio Líquido]],0)</f>
        <v>0</v>
      </c>
      <c r="Y343" s="18">
        <f>SUMPRODUCT(N([Dívida / PL]&gt;0),N(RIGHT([PAPEL],LEN([PAPEL])-(LEN([PAPEL])-1))="3"),[Dívida / PL])/SUMPRODUCT(N([Dívida / PL]&gt;0),N(RIGHT([PAPEL],LEN([PAPEL])-(LEN([PAPEL])-1))="3"))</f>
        <v>2.1510410379481146</v>
      </c>
      <c r="Z343" s="7">
        <f>Tabela3[[#This Row],[Capital Social]]*20%</f>
        <v>6468000</v>
      </c>
      <c r="AA343" s="47">
        <f>IF(([Lucro Líquido]*5%)&gt;[Teto R. Legal],[Teto R. Legal],[Lucro Líquido]*5%)</f>
        <v>57950</v>
      </c>
      <c r="AB343" s="47">
        <f>IF([Lucro Líquido]&lt;0,0,[Lucro Líquido]-[Reserva Legal])</f>
        <v>1101050</v>
      </c>
      <c r="AC343" s="47">
        <f>Tabela3[[#This Row],[Lucro Distribuir]]*[%Div]</f>
        <v>275262.5</v>
      </c>
      <c r="AD343" s="56">
        <f>SUMPRODUCT(N([Nome]=Tabela3[[#This Row],[Nome]]),[Ações])</f>
        <v>38552249</v>
      </c>
      <c r="AE343" s="85">
        <f>[Capital Social]/[Total Ações]</f>
        <v>0.83886156680509094</v>
      </c>
      <c r="AF343" s="85">
        <f>Tabela3[[#This Row],[Lucro Líquido]]/Tabela3[[#This Row],[Total Ações]]</f>
        <v>3.0063096967442807E-2</v>
      </c>
      <c r="AG343" s="85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7.139985529767667E-3</v>
      </c>
      <c r="AH343" s="85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343" s="77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343" s="85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7.139985529767667E-3</v>
      </c>
      <c r="AK343" s="7">
        <f>[Div Base]*[Ações]</f>
        <v>93442.897004205908</v>
      </c>
      <c r="AL343" s="7">
        <f>SUMPRODUCT(N([Nome]=Tabela3[[#This Row],[Nome]]),[Div Base]*[Ações])</f>
        <v>275262.5</v>
      </c>
      <c r="AM343" s="5">
        <f>[Patrimônio Líquido]/[Total Ações]</f>
        <v>0.75266685479231055</v>
      </c>
      <c r="AN343" s="52">
        <f>MAX(Tabela3[[#This Row],[Cotação 1]:[Cotação 5]])</f>
        <v>0</v>
      </c>
      <c r="AO343" s="53">
        <f>[Cotação]/[VPA]</f>
        <v>0</v>
      </c>
      <c r="AP343" s="37">
        <f>IF(Tabela3[[#This Row],[Lucro/Ação]]&gt;0,Tabela3[[#This Row],[Cotação]]/(Tabela3[[#This Row],[Lucro/Ação]]/[Ref]*4),0)</f>
        <v>0</v>
      </c>
      <c r="AQ343" s="85">
        <f>[Lucro Distribuir]/[Total Ações]</f>
        <v>2.8559942119070668E-2</v>
      </c>
      <c r="AR343" s="85">
        <f>IF([Unit ON]&gt;0,SUMPRODUCT(N([Nome]=Tabela3[[#This Row],[Nome]]),N(RIGHT([PAPEL],1)="3"),[Div Base])*[Unit ON]+SUMPRODUCT(N([Nome]=Tabela3[[#This Row],[Nome]]),N(RIGHT([PAPEL],1)="4"),[Div Base])*[Unit PN],[Div Base])</f>
        <v>7.139985529767667E-3</v>
      </c>
      <c r="AS343" s="10" t="str">
        <f>IF(AND([% A.A.]&gt;=6%,SUMPRODUCT(N([Nome]=Tabela3[[#This Row],[Nome]]),[PL])&gt;0,[Rentabilidade s/ PL]&gt;=[Rentabilidade s/ PL Média]),"Sim","Não")</f>
        <v>Não</v>
      </c>
      <c r="AT343" s="22">
        <f>IF([Cotação]&gt;0,Tabela3[[#This Row],[Lucro]]/Tabela3[[#This Row],[Cotação]],0)</f>
        <v>0</v>
      </c>
      <c r="AU343" s="22">
        <f>((1+Tabela3[[#This Row],[% Yield]])^(1/(3*Tabela3[[#This Row],[Ref]])))^(12)-1</f>
        <v>0</v>
      </c>
      <c r="AV343" s="10">
        <f>IF([Cotação]&gt;0,($BH$1/Tabela3[[#This Row],[Cotação]]-MOD($BH$1/Tabela3[[#This Row],[Cotação]],100)),)</f>
        <v>0</v>
      </c>
      <c r="AW343" s="7">
        <f>Tabela3[[#This Row],[Ativos]]*[Lucro]</f>
        <v>0</v>
      </c>
      <c r="AX343" s="7">
        <f>SUMPRODUCT(N(Tabela1[Código]=Tabela3[[#This Row],[PAPEL]]),Tabela1[Fechamento])</f>
        <v>0</v>
      </c>
      <c r="AY343" s="7">
        <f>SUMPRODUCT(N(Tabela17[Código]=Tabela3[[#This Row],[PAPEL]]),Tabela17[Fechamento])</f>
        <v>0</v>
      </c>
      <c r="AZ343" s="7">
        <f>SUMPRODUCT(N(Tabela176[Código]=Tabela3[[#This Row],[PAPEL]]),Tabela176[Fechamento])</f>
        <v>0</v>
      </c>
      <c r="BA343" s="7">
        <f>SUMPRODUCT(N(Tabela1768[Código]=Tabela3[[#This Row],[PAPEL]]),Tabela1768[Fechamento])</f>
        <v>0</v>
      </c>
      <c r="BB343" s="7">
        <f>SUMPRODUCT(N(Tabela17683[Código]=Tabela3[[#This Row],[PAPEL]]),Tabela17683[Fechamento])</f>
        <v>0</v>
      </c>
    </row>
    <row r="344" spans="1:54" hidden="1">
      <c r="A344" s="3" t="s">
        <v>1083</v>
      </c>
      <c r="B344" s="58" t="s">
        <v>1085</v>
      </c>
      <c r="C344" s="16" t="str">
        <f>LEFT([PAPEL],LEN([PAPEL])-(LEN([PAPEL])-4))</f>
        <v>CAMB</v>
      </c>
      <c r="D344" s="16">
        <v>3</v>
      </c>
      <c r="E344" s="5">
        <v>32340000</v>
      </c>
      <c r="F344" s="56">
        <v>25464982</v>
      </c>
      <c r="G344" s="81">
        <v>0.25</v>
      </c>
      <c r="H344" s="87"/>
      <c r="J344" s="18"/>
      <c r="K344" s="16"/>
      <c r="L344" s="87"/>
      <c r="M344" s="54"/>
      <c r="N344" s="54"/>
      <c r="O344" s="54"/>
      <c r="P344" s="91">
        <v>29017000</v>
      </c>
      <c r="Q344" s="73">
        <v>1159000</v>
      </c>
      <c r="R344" s="73">
        <f>IF(Tabela3[[#This Row],[Ativo || Passivo]]&gt;0,Tabela3[[#This Row],[Ativo || Passivo]]-Tabela3[[#This Row],[Patrimônio Líquido]],0)</f>
        <v>0</v>
      </c>
      <c r="S344" s="73">
        <f>Tabela3[[#This Row],[Cotação]]*Tabela3[[#This Row],[Total Ações]]</f>
        <v>83272857.840000004</v>
      </c>
      <c r="T344" s="37">
        <f>IF(Tabela3[[#This Row],[Passivo Circulante]]&gt;0,Tabela3[[#This Row],[Ativo Circulante]]/Tabela3[[#This Row],[Passivo Circulante]],0)</f>
        <v>0</v>
      </c>
      <c r="U344" s="37">
        <f>SUMPRODUCT(N([Liquidez Corrente]&gt;0),N(RIGHT([PAPEL],LEN([PAPEL])-(LEN([PAPEL])-1))="3"),[Liquidez Corrente])/SUMPRODUCT(N([Liquidez Corrente]&gt;0),N(RIGHT([PAPEL],LEN([PAPEL])-(LEN([PAPEL])-1))="3"))</f>
        <v>2.331224473064915</v>
      </c>
      <c r="V344" s="18">
        <f>IF(Tabela3[[#This Row],[Lucro Líquido]]&gt;0,Tabela3[[#This Row],[Lucro Líquido]]/Tabela3[[#This Row],[Patrimônio Líquido]],0)</f>
        <v>3.9942102905193511E-2</v>
      </c>
      <c r="W344" s="18">
        <f>SUMPRODUCT(N([Rentabilidade s/ PL]&gt;0),N(RIGHT([PAPEL],LEN([PAPEL])-(LEN([PAPEL])-1))="3"),[Rentabilidade s/ PL])/SUMPRODUCT(N([Rentabilidade s/ PL]&gt;0),N(RIGHT([PAPEL],LEN([PAPEL])-(LEN([PAPEL])-1))="3"))</f>
        <v>0.1261051308670782</v>
      </c>
      <c r="X344" s="18">
        <f>IF(Tabela3[[#This Row],[Dívida]]&gt;0,Tabela3[[#This Row],[Dívida]]/Tabela3[[#This Row],[Patrimônio Líquido]],0)</f>
        <v>0</v>
      </c>
      <c r="Y344" s="18">
        <f>SUMPRODUCT(N([Dívida / PL]&gt;0),N(RIGHT([PAPEL],LEN([PAPEL])-(LEN([PAPEL])-1))="3"),[Dívida / PL])/SUMPRODUCT(N([Dívida / PL]&gt;0),N(RIGHT([PAPEL],LEN([PAPEL])-(LEN([PAPEL])-1))="3"))</f>
        <v>2.1510410379481146</v>
      </c>
      <c r="Z344" s="7">
        <f>Tabela3[[#This Row],[Capital Social]]*20%</f>
        <v>6468000</v>
      </c>
      <c r="AA344" s="47">
        <f>IF(([Lucro Líquido]*5%)&gt;[Teto R. Legal],[Teto R. Legal],[Lucro Líquido]*5%)</f>
        <v>57950</v>
      </c>
      <c r="AB344" s="47">
        <f>IF([Lucro Líquido]&lt;0,0,[Lucro Líquido]-[Reserva Legal])</f>
        <v>1101050</v>
      </c>
      <c r="AC344" s="47">
        <f>Tabela3[[#This Row],[Lucro Distribuir]]*[%Div]</f>
        <v>275262.5</v>
      </c>
      <c r="AD344" s="56">
        <f>SUMPRODUCT(N([Nome]=Tabela3[[#This Row],[Nome]]),[Ações])</f>
        <v>38552249</v>
      </c>
      <c r="AE344" s="85">
        <f>[Capital Social]/[Total Ações]</f>
        <v>0.83886156680509094</v>
      </c>
      <c r="AF344" s="85">
        <f>Tabela3[[#This Row],[Lucro Líquido]]/Tabela3[[#This Row],[Total Ações]]</f>
        <v>3.0063096967442807E-2</v>
      </c>
      <c r="AG344" s="85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7.139985529767667E-3</v>
      </c>
      <c r="AH344" s="85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344" s="77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344" s="85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7.139985529767667E-3</v>
      </c>
      <c r="AK344" s="7">
        <f>[Div Base]*[Ações]</f>
        <v>181819.60299579409</v>
      </c>
      <c r="AL344" s="7">
        <f>SUMPRODUCT(N([Nome]=Tabela3[[#This Row],[Nome]]),[Div Base]*[Ações])</f>
        <v>275262.5</v>
      </c>
      <c r="AM344" s="5">
        <f>[Patrimônio Líquido]/[Total Ações]</f>
        <v>0.75266685479231055</v>
      </c>
      <c r="AN344" s="52">
        <f>MAX(Tabela3[[#This Row],[Cotação 1]:[Cotação 5]])</f>
        <v>2.16</v>
      </c>
      <c r="AO344" s="53">
        <f>[Cotação]/[VPA]</f>
        <v>2.8697955626012339</v>
      </c>
      <c r="AP344" s="37">
        <f>IF(Tabela3[[#This Row],[Lucro/Ação]]&gt;0,Tabela3[[#This Row],[Cotação]]/(Tabela3[[#This Row],[Lucro/Ação]]/[Ref]*4),0)</f>
        <v>53.8866638308887</v>
      </c>
      <c r="AQ344" s="85">
        <f>[Lucro Distribuir]/[Total Ações]</f>
        <v>2.8559942119070668E-2</v>
      </c>
      <c r="AR344" s="85">
        <f>IF([Unit ON]&gt;0,SUMPRODUCT(N([Nome]=Tabela3[[#This Row],[Nome]]),N(RIGHT([PAPEL],1)="3"),[Div Base])*[Unit ON]+SUMPRODUCT(N([Nome]=Tabela3[[#This Row],[Nome]]),N(RIGHT([PAPEL],1)="4"),[Div Base])*[Unit PN],[Div Base])</f>
        <v>7.139985529767667E-3</v>
      </c>
      <c r="AS344" s="10" t="str">
        <f>IF(AND([% A.A.]&gt;=6%,SUMPRODUCT(N([Nome]=Tabela3[[#This Row],[Nome]]),[PL])&gt;0,[Rentabilidade s/ PL]&gt;=[Rentabilidade s/ PL Média]),"Sim","Não")</f>
        <v>Não</v>
      </c>
      <c r="AT344" s="22">
        <f>IF([Cotação]&gt;0,Tabela3[[#This Row],[Lucro]]/Tabela3[[#This Row],[Cotação]],0)</f>
        <v>3.3055488563739199E-3</v>
      </c>
      <c r="AU344" s="22">
        <f>((1+Tabela3[[#This Row],[% Yield]])^(1/(3*Tabela3[[#This Row],[Ref]])))^(12)-1</f>
        <v>4.4098248391468697E-3</v>
      </c>
      <c r="AV344" s="10">
        <f>IF([Cotação]&gt;0,($BH$1/Tabela3[[#This Row],[Cotação]]-MOD($BH$1/Tabela3[[#This Row],[Cotação]],100)),)</f>
        <v>200</v>
      </c>
      <c r="AW344" s="7">
        <f>Tabela3[[#This Row],[Ativos]]*[Lucro]</f>
        <v>1.4279971059535335</v>
      </c>
      <c r="AX344" s="7">
        <f>SUMPRODUCT(N(Tabela1[Código]=Tabela3[[#This Row],[PAPEL]]),Tabela1[Fechamento])</f>
        <v>0</v>
      </c>
      <c r="AY344" s="7">
        <f>SUMPRODUCT(N(Tabela17[Código]=Tabela3[[#This Row],[PAPEL]]),Tabela17[Fechamento])</f>
        <v>0</v>
      </c>
      <c r="AZ344" s="7">
        <f>SUMPRODUCT(N(Tabela176[Código]=Tabela3[[#This Row],[PAPEL]]),Tabela176[Fechamento])</f>
        <v>0</v>
      </c>
      <c r="BA344" s="7">
        <f>SUMPRODUCT(N(Tabela1768[Código]=Tabela3[[#This Row],[PAPEL]]),Tabela1768[Fechamento])</f>
        <v>2.16</v>
      </c>
      <c r="BB344" s="7">
        <f>SUMPRODUCT(N(Tabela17683[Código]=Tabela3[[#This Row],[PAPEL]]),Tabela17683[Fechamento])</f>
        <v>0</v>
      </c>
    </row>
    <row r="345" spans="1:54" hidden="1">
      <c r="A345" s="3" t="s">
        <v>1104</v>
      </c>
      <c r="B345" s="58" t="s">
        <v>1111</v>
      </c>
      <c r="C345" s="16" t="str">
        <f>LEFT([PAPEL],LEN([PAPEL])-(LEN([PAPEL])-4))</f>
        <v>SLED</v>
      </c>
      <c r="D345" s="16">
        <v>3</v>
      </c>
      <c r="E345" s="5">
        <v>279901000</v>
      </c>
      <c r="F345" s="56">
        <v>9622313</v>
      </c>
      <c r="G345" s="81">
        <v>0.25</v>
      </c>
      <c r="H345" s="87"/>
      <c r="J345" s="18"/>
      <c r="K345" s="16"/>
      <c r="L345" s="87"/>
      <c r="M345" s="54"/>
      <c r="N345" s="54"/>
      <c r="O345" s="54"/>
      <c r="P345" s="91">
        <v>509456000</v>
      </c>
      <c r="Q345" s="73">
        <v>1040000</v>
      </c>
      <c r="R345" s="73">
        <f>IF(Tabela3[[#This Row],[Ativo || Passivo]]&gt;0,Tabela3[[#This Row],[Ativo || Passivo]]-Tabela3[[#This Row],[Patrimônio Líquido]],0)</f>
        <v>0</v>
      </c>
      <c r="S345" s="73">
        <f>Tabela3[[#This Row],[Cotação]]*Tabela3[[#This Row],[Total Ações]]</f>
        <v>528456353.04000002</v>
      </c>
      <c r="T345" s="37">
        <f>IF(Tabela3[[#This Row],[Passivo Circulante]]&gt;0,Tabela3[[#This Row],[Ativo Circulante]]/Tabela3[[#This Row],[Passivo Circulante]],0)</f>
        <v>0</v>
      </c>
      <c r="U345" s="37">
        <f>SUMPRODUCT(N([Liquidez Corrente]&gt;0),N(RIGHT([PAPEL],LEN([PAPEL])-(LEN([PAPEL])-1))="3"),[Liquidez Corrente])/SUMPRODUCT(N([Liquidez Corrente]&gt;0),N(RIGHT([PAPEL],LEN([PAPEL])-(LEN([PAPEL])-1))="3"))</f>
        <v>2.331224473064915</v>
      </c>
      <c r="V345" s="18">
        <f>IF(Tabela3[[#This Row],[Lucro Líquido]]&gt;0,Tabela3[[#This Row],[Lucro Líquido]]/Tabela3[[#This Row],[Patrimônio Líquido]],0)</f>
        <v>2.0413931723249896E-3</v>
      </c>
      <c r="W345" s="18">
        <f>SUMPRODUCT(N([Rentabilidade s/ PL]&gt;0),N(RIGHT([PAPEL],LEN([PAPEL])-(LEN([PAPEL])-1))="3"),[Rentabilidade s/ PL])/SUMPRODUCT(N([Rentabilidade s/ PL]&gt;0),N(RIGHT([PAPEL],LEN([PAPEL])-(LEN([PAPEL])-1))="3"))</f>
        <v>0.1261051308670782</v>
      </c>
      <c r="X345" s="18">
        <f>IF(Tabela3[[#This Row],[Dívida]]&gt;0,Tabela3[[#This Row],[Dívida]]/Tabela3[[#This Row],[Patrimônio Líquido]],0)</f>
        <v>0</v>
      </c>
      <c r="Y345" s="18">
        <f>SUMPRODUCT(N([Dívida / PL]&gt;0),N(RIGHT([PAPEL],LEN([PAPEL])-(LEN([PAPEL])-1))="3"),[Dívida / PL])/SUMPRODUCT(N([Dívida / PL]&gt;0),N(RIGHT([PAPEL],LEN([PAPEL])-(LEN([PAPEL])-1))="3"))</f>
        <v>2.1510410379481146</v>
      </c>
      <c r="Z345" s="7">
        <f>Tabela3[[#This Row],[Capital Social]]*20%</f>
        <v>55980200</v>
      </c>
      <c r="AA345" s="47">
        <f>IF(([Lucro Líquido]*5%)&gt;[Teto R. Legal],[Teto R. Legal],[Lucro Líquido]*5%)</f>
        <v>52000</v>
      </c>
      <c r="AB345" s="47">
        <f>IF([Lucro Líquido]&lt;0,0,[Lucro Líquido]-[Reserva Legal])</f>
        <v>988000</v>
      </c>
      <c r="AC345" s="47">
        <f>Tabela3[[#This Row],[Lucro Distribuir]]*[%Div]</f>
        <v>247000</v>
      </c>
      <c r="AD345" s="56">
        <f>SUMPRODUCT(N([Nome]=Tabela3[[#This Row],[Nome]]),[Ações])</f>
        <v>28596123</v>
      </c>
      <c r="AE345" s="85">
        <f>[Capital Social]/[Total Ações]</f>
        <v>9.7880751177353655</v>
      </c>
      <c r="AF345" s="85">
        <f>Tabela3[[#This Row],[Lucro Líquido]]/Tabela3[[#This Row],[Total Ações]]</f>
        <v>3.6368566466160462E-2</v>
      </c>
      <c r="AG345" s="85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8.6375345357131098E-3</v>
      </c>
      <c r="AH345" s="85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345" s="77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345" s="85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8.6375345357131098E-3</v>
      </c>
      <c r="AK345" s="7">
        <f>[Div Base]*[Ações]</f>
        <v>83113.060850941227</v>
      </c>
      <c r="AL345" s="120">
        <f>SUMPRODUCT(N([Nome]=Tabela3[[#This Row],[Nome]]),[Div Base]*[Ações])</f>
        <v>247000</v>
      </c>
      <c r="AM345" s="5">
        <f>[Patrimônio Líquido]/[Total Ações]</f>
        <v>17.815561920754082</v>
      </c>
      <c r="AN345" s="52">
        <f>MAX(Tabela3[[#This Row],[Cotação 1]:[Cotação 5]])</f>
        <v>18.48</v>
      </c>
      <c r="AO345" s="53">
        <f>[Cotação]/[VPA]</f>
        <v>1.0372953759304042</v>
      </c>
      <c r="AP345" s="37">
        <f>IF(Tabela3[[#This Row],[Lucro/Ação]]&gt;0,Tabela3[[#This Row],[Cotação]]/(Tabela3[[#This Row],[Lucro/Ação]]/[Ref]*4),0)</f>
        <v>381.09833151923078</v>
      </c>
      <c r="AQ345" s="85">
        <f>[Lucro Distribuir]/[Total Ações]</f>
        <v>3.4550138142852439E-2</v>
      </c>
      <c r="AR345" s="85">
        <f>IF([Unit ON]&gt;0,SUMPRODUCT(N([Nome]=Tabela3[[#This Row],[Nome]]),N(RIGHT([PAPEL],1)="3"),[Div Base])*[Unit ON]+SUMPRODUCT(N([Nome]=Tabela3[[#This Row],[Nome]]),N(RIGHT([PAPEL],1)="4"),[Div Base])*[Unit PN],[Div Base])</f>
        <v>8.6375345357131098E-3</v>
      </c>
      <c r="AS345" s="10" t="str">
        <f>IF(AND([% A.A.]&gt;=6%,SUMPRODUCT(N([Nome]=Tabela3[[#This Row],[Nome]]),[PL])&gt;0,[Rentabilidade s/ PL]&gt;=[Rentabilidade s/ PL Média]),"Sim","Não")</f>
        <v>Não</v>
      </c>
      <c r="AT345" s="22">
        <f>IF([Cotação]&gt;0,Tabela3[[#This Row],[Lucro]]/Tabela3[[#This Row],[Cotação]],0)</f>
        <v>4.6739905496283058E-4</v>
      </c>
      <c r="AU345" s="22">
        <f>((1+Tabela3[[#This Row],[% Yield]])^(1/(3*Tabela3[[#This Row],[Ref]])))^(12)-1</f>
        <v>6.2324728199358859E-4</v>
      </c>
      <c r="AV345" s="10">
        <f>IF([Cotação]&gt;0,($BH$1/Tabela3[[#This Row],[Cotação]]-MOD($BH$1/Tabela3[[#This Row],[Cotação]],100)),)</f>
        <v>0</v>
      </c>
      <c r="AW345" s="7">
        <f>Tabela3[[#This Row],[Ativos]]*[Lucro]</f>
        <v>0</v>
      </c>
      <c r="AX345" s="7">
        <f>SUMPRODUCT(N(Tabela1[Código]=Tabela3[[#This Row],[PAPEL]]),Tabela1[Fechamento])</f>
        <v>0</v>
      </c>
      <c r="AY345" s="7">
        <f>SUMPRODUCT(N(Tabela17[Código]=Tabela3[[#This Row],[PAPEL]]),Tabela17[Fechamento])</f>
        <v>0</v>
      </c>
      <c r="AZ345" s="7">
        <f>SUMPRODUCT(N(Tabela176[Código]=Tabela3[[#This Row],[PAPEL]]),Tabela176[Fechamento])</f>
        <v>0</v>
      </c>
      <c r="BA345" s="7">
        <f>SUMPRODUCT(N(Tabela1768[Código]=Tabela3[[#This Row],[PAPEL]]),Tabela1768[Fechamento])</f>
        <v>18.48</v>
      </c>
      <c r="BB345" s="7">
        <f>SUMPRODUCT(N(Tabela17683[Código]=Tabela3[[#This Row],[PAPEL]]),Tabela17683[Fechamento])</f>
        <v>0</v>
      </c>
    </row>
    <row r="346" spans="1:54" hidden="1">
      <c r="A346" s="3" t="s">
        <v>1104</v>
      </c>
      <c r="B346" s="58" t="s">
        <v>1112</v>
      </c>
      <c r="C346" s="16" t="str">
        <f>LEFT([PAPEL],LEN([PAPEL])-(LEN([PAPEL])-4))</f>
        <v>SLED</v>
      </c>
      <c r="D346" s="16">
        <v>3</v>
      </c>
      <c r="E346" s="5">
        <v>279901000</v>
      </c>
      <c r="F346" s="56">
        <v>18973810</v>
      </c>
      <c r="G346" s="81">
        <v>0.25</v>
      </c>
      <c r="H346" s="87"/>
      <c r="J346" s="18"/>
      <c r="K346" s="16"/>
      <c r="L346" s="87"/>
      <c r="M346" s="54"/>
      <c r="N346" s="54"/>
      <c r="O346" s="54"/>
      <c r="P346" s="91">
        <v>509456000</v>
      </c>
      <c r="Q346" s="73">
        <v>1040000</v>
      </c>
      <c r="R346" s="73">
        <f>IF(Tabela3[[#This Row],[Ativo || Passivo]]&gt;0,Tabela3[[#This Row],[Ativo || Passivo]]-Tabela3[[#This Row],[Patrimônio Líquido]],0)</f>
        <v>0</v>
      </c>
      <c r="S346" s="73">
        <f>Tabela3[[#This Row],[Cotação]]*Tabela3[[#This Row],[Total Ações]]</f>
        <v>543326337</v>
      </c>
      <c r="T346" s="37">
        <f>IF(Tabela3[[#This Row],[Passivo Circulante]]&gt;0,Tabela3[[#This Row],[Ativo Circulante]]/Tabela3[[#This Row],[Passivo Circulante]],0)</f>
        <v>0</v>
      </c>
      <c r="U346" s="37">
        <f>SUMPRODUCT(N([Liquidez Corrente]&gt;0),N(RIGHT([PAPEL],LEN([PAPEL])-(LEN([PAPEL])-1))="3"),[Liquidez Corrente])/SUMPRODUCT(N([Liquidez Corrente]&gt;0),N(RIGHT([PAPEL],LEN([PAPEL])-(LEN([PAPEL])-1))="3"))</f>
        <v>2.331224473064915</v>
      </c>
      <c r="V346" s="18">
        <f>IF(Tabela3[[#This Row],[Lucro Líquido]]&gt;0,Tabela3[[#This Row],[Lucro Líquido]]/Tabela3[[#This Row],[Patrimônio Líquido]],0)</f>
        <v>2.0413931723249896E-3</v>
      </c>
      <c r="W346" s="18">
        <f>SUMPRODUCT(N([Rentabilidade s/ PL]&gt;0),N(RIGHT([PAPEL],LEN([PAPEL])-(LEN([PAPEL])-1))="3"),[Rentabilidade s/ PL])/SUMPRODUCT(N([Rentabilidade s/ PL]&gt;0),N(RIGHT([PAPEL],LEN([PAPEL])-(LEN([PAPEL])-1))="3"))</f>
        <v>0.1261051308670782</v>
      </c>
      <c r="X346" s="18">
        <f>IF(Tabela3[[#This Row],[Dívida]]&gt;0,Tabela3[[#This Row],[Dívida]]/Tabela3[[#This Row],[Patrimônio Líquido]],0)</f>
        <v>0</v>
      </c>
      <c r="Y346" s="18">
        <f>SUMPRODUCT(N([Dívida / PL]&gt;0),N(RIGHT([PAPEL],LEN([PAPEL])-(LEN([PAPEL])-1))="3"),[Dívida / PL])/SUMPRODUCT(N([Dívida / PL]&gt;0),N(RIGHT([PAPEL],LEN([PAPEL])-(LEN([PAPEL])-1))="3"))</f>
        <v>2.1510410379481146</v>
      </c>
      <c r="Z346" s="7">
        <f>Tabela3[[#This Row],[Capital Social]]*20%</f>
        <v>55980200</v>
      </c>
      <c r="AA346" s="47">
        <f>IF(([Lucro Líquido]*5%)&gt;[Teto R. Legal],[Teto R. Legal],[Lucro Líquido]*5%)</f>
        <v>52000</v>
      </c>
      <c r="AB346" s="47">
        <f>IF([Lucro Líquido]&lt;0,0,[Lucro Líquido]-[Reserva Legal])</f>
        <v>988000</v>
      </c>
      <c r="AC346" s="47">
        <f>Tabela3[[#This Row],[Lucro Distribuir]]*[%Div]</f>
        <v>247000</v>
      </c>
      <c r="AD346" s="56">
        <f>SUMPRODUCT(N([Nome]=Tabela3[[#This Row],[Nome]]),[Ações])</f>
        <v>28596123</v>
      </c>
      <c r="AE346" s="85">
        <f>[Capital Social]/[Total Ações]</f>
        <v>9.7880751177353655</v>
      </c>
      <c r="AF346" s="85">
        <f>Tabela3[[#This Row],[Lucro Líquido]]/Tabela3[[#This Row],[Total Ações]]</f>
        <v>3.6368566466160462E-2</v>
      </c>
      <c r="AG346" s="85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8.6375345357131098E-3</v>
      </c>
      <c r="AH346" s="85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346" s="77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346" s="85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8.6375345357131098E-3</v>
      </c>
      <c r="AK346" s="7">
        <f>[Div Base]*[Ações]</f>
        <v>163886.93914905877</v>
      </c>
      <c r="AL346" s="120">
        <f>SUMPRODUCT(N([Nome]=Tabela3[[#This Row],[Nome]]),[Div Base]*[Ações])</f>
        <v>247000</v>
      </c>
      <c r="AM346" s="5">
        <f>[Patrimônio Líquido]/[Total Ações]</f>
        <v>17.815561920754082</v>
      </c>
      <c r="AN346" s="52">
        <f>MAX(Tabela3[[#This Row],[Cotação 1]:[Cotação 5]])</f>
        <v>19</v>
      </c>
      <c r="AO346" s="53">
        <f>[Cotação]/[VPA]</f>
        <v>1.0664833410539871</v>
      </c>
      <c r="AP346" s="37">
        <f>IF(Tabela3[[#This Row],[Lucro/Ação]]&gt;0,Tabela3[[#This Row],[Cotação]]/(Tabela3[[#This Row],[Lucro/Ação]]/[Ref]*4),0)</f>
        <v>391.82187764423077</v>
      </c>
      <c r="AQ346" s="85">
        <f>[Lucro Distribuir]/[Total Ações]</f>
        <v>3.4550138142852439E-2</v>
      </c>
      <c r="AR346" s="85">
        <f>IF([Unit ON]&gt;0,SUMPRODUCT(N([Nome]=Tabela3[[#This Row],[Nome]]),N(RIGHT([PAPEL],1)="3"),[Div Base])*[Unit ON]+SUMPRODUCT(N([Nome]=Tabela3[[#This Row],[Nome]]),N(RIGHT([PAPEL],1)="4"),[Div Base])*[Unit PN],[Div Base])</f>
        <v>8.6375345357131098E-3</v>
      </c>
      <c r="AS346" s="10" t="str">
        <f>IF(AND([% A.A.]&gt;=6%,SUMPRODUCT(N([Nome]=Tabela3[[#This Row],[Nome]]),[PL])&gt;0,[Rentabilidade s/ PL]&gt;=[Rentabilidade s/ PL Média]),"Sim","Não")</f>
        <v>Não</v>
      </c>
      <c r="AT346" s="22">
        <f>IF([Cotação]&gt;0,Tabela3[[#This Row],[Lucro]]/Tabela3[[#This Row],[Cotação]],0)</f>
        <v>4.5460708082700578E-4</v>
      </c>
      <c r="AU346" s="22">
        <f>((1+Tabela3[[#This Row],[% Yield]])^(1/(3*Tabela3[[#This Row],[Ref]])))^(12)-1</f>
        <v>6.0618869592876656E-4</v>
      </c>
      <c r="AV346" s="10">
        <f>IF([Cotação]&gt;0,($BH$1/Tabela3[[#This Row],[Cotação]]-MOD($BH$1/Tabela3[[#This Row],[Cotação]],100)),)</f>
        <v>0</v>
      </c>
      <c r="AW346" s="7">
        <f>Tabela3[[#This Row],[Ativos]]*[Lucro]</f>
        <v>0</v>
      </c>
      <c r="AX346" s="7">
        <f>SUMPRODUCT(N(Tabela1[Código]=Tabela3[[#This Row],[PAPEL]]),Tabela1[Fechamento])</f>
        <v>0</v>
      </c>
      <c r="AY346" s="7">
        <f>SUMPRODUCT(N(Tabela17[Código]=Tabela3[[#This Row],[PAPEL]]),Tabela17[Fechamento])</f>
        <v>0</v>
      </c>
      <c r="AZ346" s="7">
        <f>SUMPRODUCT(N(Tabela176[Código]=Tabela3[[#This Row],[PAPEL]]),Tabela176[Fechamento])</f>
        <v>0</v>
      </c>
      <c r="BA346" s="7">
        <f>SUMPRODUCT(N(Tabela1768[Código]=Tabela3[[#This Row],[PAPEL]]),Tabela1768[Fechamento])</f>
        <v>19</v>
      </c>
      <c r="BB346" s="7">
        <f>SUMPRODUCT(N(Tabela17683[Código]=Tabela3[[#This Row],[PAPEL]]),Tabela17683[Fechamento])</f>
        <v>0</v>
      </c>
    </row>
    <row r="347" spans="1:54" hidden="1">
      <c r="A347" s="4" t="s">
        <v>26</v>
      </c>
      <c r="B347" s="57" t="s">
        <v>247</v>
      </c>
      <c r="C347" s="82" t="str">
        <f>LEFT([PAPEL],LEN([PAPEL])-(LEN([PAPEL])-4))</f>
        <v>CSAB</v>
      </c>
      <c r="D347" s="15">
        <v>3</v>
      </c>
      <c r="E347" s="6">
        <v>100000000</v>
      </c>
      <c r="F347" s="8">
        <v>3840000</v>
      </c>
      <c r="G347" s="81">
        <v>0.25</v>
      </c>
      <c r="H347" s="15"/>
      <c r="I347" s="19"/>
      <c r="J347" s="19"/>
      <c r="K347" s="88"/>
      <c r="L347" s="88"/>
      <c r="M347" s="55"/>
      <c r="N347" s="55"/>
      <c r="O347" s="55"/>
      <c r="P347" s="6">
        <v>168049000</v>
      </c>
      <c r="Q347" s="6">
        <v>901000</v>
      </c>
      <c r="R347" s="6">
        <f>IF(Tabela3[[#This Row],[Ativo || Passivo]]&gt;0,Tabela3[[#This Row],[Ativo || Passivo]]-Tabela3[[#This Row],[Patrimônio Líquido]],0)</f>
        <v>0</v>
      </c>
      <c r="S347" s="6">
        <f>Tabela3[[#This Row],[Cotação]]*Tabela3[[#This Row],[Total Ações]]</f>
        <v>230400000</v>
      </c>
      <c r="T347" s="132">
        <f>IF(Tabela3[[#This Row],[Passivo Circulante]]&gt;0,Tabela3[[#This Row],[Ativo Circulante]]/Tabela3[[#This Row],[Passivo Circulante]],0)</f>
        <v>0</v>
      </c>
      <c r="U347" s="132">
        <f>SUMPRODUCT(N([Liquidez Corrente]&gt;0),N(RIGHT([PAPEL],LEN([PAPEL])-(LEN([PAPEL])-1))="3"),[Liquidez Corrente])/SUMPRODUCT(N([Liquidez Corrente]&gt;0),N(RIGHT([PAPEL],LEN([PAPEL])-(LEN([PAPEL])-1))="3"))</f>
        <v>2.331224473064915</v>
      </c>
      <c r="V347" s="19">
        <f>IF(Tabela3[[#This Row],[Lucro Líquido]]&gt;0,Tabela3[[#This Row],[Lucro Líquido]]/Tabela3[[#This Row],[Patrimônio Líquido]],0)</f>
        <v>5.3615314580866295E-3</v>
      </c>
      <c r="W347" s="19">
        <f>SUMPRODUCT(N([Rentabilidade s/ PL]&gt;0),N(RIGHT([PAPEL],LEN([PAPEL])-(LEN([PAPEL])-1))="3"),[Rentabilidade s/ PL])/SUMPRODUCT(N([Rentabilidade s/ PL]&gt;0),N(RIGHT([PAPEL],LEN([PAPEL])-(LEN([PAPEL])-1))="3"))</f>
        <v>0.1261051308670782</v>
      </c>
      <c r="X347" s="19">
        <f>IF(Tabela3[[#This Row],[Dívida]]&gt;0,Tabela3[[#This Row],[Dívida]]/Tabela3[[#This Row],[Patrimônio Líquido]],0)</f>
        <v>0</v>
      </c>
      <c r="Y347" s="19">
        <f>SUMPRODUCT(N([Dívida / PL]&gt;0),N(RIGHT([PAPEL],LEN([PAPEL])-(LEN([PAPEL])-1))="3"),[Dívida / PL])/SUMPRODUCT(N([Dívida / PL]&gt;0),N(RIGHT([PAPEL],LEN([PAPEL])-(LEN([PAPEL])-1))="3"))</f>
        <v>2.1510410379481146</v>
      </c>
      <c r="Z347" s="6">
        <f>Tabela3[[#This Row],[Capital Social]]*20%</f>
        <v>20000000</v>
      </c>
      <c r="AA347" s="6">
        <f>IF(([Lucro Líquido]*5%)&gt;[Teto R. Legal],[Teto R. Legal],[Lucro Líquido]*5%)</f>
        <v>45050</v>
      </c>
      <c r="AB347" s="6">
        <f>IF([Lucro Líquido]&lt;0,0,[Lucro Líquido]-[Reserva Legal])</f>
        <v>855950</v>
      </c>
      <c r="AC347" s="6">
        <f>Tabela3[[#This Row],[Lucro Distribuir]]*[%Div]</f>
        <v>213987.5</v>
      </c>
      <c r="AD347" s="21">
        <f>SUMPRODUCT(N([Nome]=Tabela3[[#This Row],[Nome]]),[Ações])</f>
        <v>7680000</v>
      </c>
      <c r="AE347" s="6">
        <f>[Capital Social]/[Total Ações]</f>
        <v>13.020833333333334</v>
      </c>
      <c r="AF347" s="78">
        <f>Tabela3[[#This Row],[Lucro Líquido]]/Tabela3[[#This Row],[Total Ações]]</f>
        <v>0.11731770833333334</v>
      </c>
      <c r="AG347" s="78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2.7862955729166666E-2</v>
      </c>
      <c r="AH347" s="78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347" s="78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347" s="78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2.7862955729166666E-2</v>
      </c>
      <c r="AK347" s="6">
        <f>[Div Base]*[Ações]</f>
        <v>106993.75</v>
      </c>
      <c r="AL347" s="6">
        <f>SUMPRODUCT(N([Nome]=Tabela3[[#This Row],[Nome]]),[Div Base]*[Ações])</f>
        <v>213987.5</v>
      </c>
      <c r="AM347" s="6">
        <f>[Patrimônio Líquido]/[Total Ações]</f>
        <v>21.881380208333333</v>
      </c>
      <c r="AN347" s="48">
        <f>MAX(Tabela3[[#This Row],[Cotação 1]:[Cotação 5]])</f>
        <v>30</v>
      </c>
      <c r="AO347" s="44">
        <f>[Cotação]/[VPA]</f>
        <v>1.3710286880612204</v>
      </c>
      <c r="AP347" s="40">
        <f>IF(Tabela3[[#This Row],[Lucro/Ação]]&gt;0,Tabela3[[#This Row],[Cotação]]/(Tabela3[[#This Row],[Lucro/Ação]]/[Ref]*4),0)</f>
        <v>191.78690344062153</v>
      </c>
      <c r="AQ347" s="78">
        <f>[Lucro Distribuir]/[Total Ações]</f>
        <v>0.11145182291666667</v>
      </c>
      <c r="AR347" s="78">
        <f>IF([Unit ON]&gt;0,SUMPRODUCT(N([Nome]=Tabela3[[#This Row],[Nome]]),N(RIGHT([PAPEL],1)="3"),[Div Base])*[Unit ON]+SUMPRODUCT(N([Nome]=Tabela3[[#This Row],[Nome]]),N(RIGHT([PAPEL],1)="4"),[Div Base])*[Unit PN],[Div Base])</f>
        <v>2.7862955729166666E-2</v>
      </c>
      <c r="AS347" s="15" t="str">
        <f>IF(AND([% A.A.]&gt;=6%,SUMPRODUCT(N([Nome]=Tabela3[[#This Row],[Nome]]),[PL])&gt;0,[Rentabilidade s/ PL]&gt;=[Rentabilidade s/ PL Média]),"Sim","Não")</f>
        <v>Não</v>
      </c>
      <c r="AT347" s="42">
        <f>IF([Cotação]&gt;0,Tabela3[[#This Row],[Lucro]]/Tabela3[[#This Row],[Cotação]],0)</f>
        <v>9.2876519097222221E-4</v>
      </c>
      <c r="AU347" s="19">
        <f>((1+Tabela3[[#This Row],[% Yield]])^(1/(3*Tabela3[[#This Row],[Ref]])))^(12)-1</f>
        <v>1.2385452383660844E-3</v>
      </c>
      <c r="AV347" s="14">
        <f>IF([Cotação]&gt;0,($BH$1/Tabela3[[#This Row],[Cotação]]-MOD($BH$1/Tabela3[[#This Row],[Cotação]],100)),)</f>
        <v>0</v>
      </c>
      <c r="AW347" s="17">
        <f>Tabela3[[#This Row],[Ativos]]*[Lucro]</f>
        <v>0</v>
      </c>
      <c r="AX347" s="13">
        <f>SUMPRODUCT(N(Tabela1[Código]=Tabela3[[#This Row],[PAPEL]]),Tabela1[Fechamento])</f>
        <v>0</v>
      </c>
      <c r="AY347" s="13">
        <f>SUMPRODUCT(N(Tabela17[Código]=Tabela3[[#This Row],[PAPEL]]),Tabela17[Fechamento])</f>
        <v>30</v>
      </c>
      <c r="AZ347" s="7">
        <f>SUMPRODUCT(N(Tabela176[Código]=Tabela3[[#This Row],[PAPEL]]),Tabela176[Fechamento])</f>
        <v>0</v>
      </c>
      <c r="BA347" s="7">
        <f>SUMPRODUCT(N(Tabela1768[Código]=Tabela3[[#This Row],[PAPEL]]),Tabela1768[Fechamento])</f>
        <v>0</v>
      </c>
      <c r="BB347" s="7">
        <f>SUMPRODUCT(N(Tabela17683[Código]=Tabela3[[#This Row],[PAPEL]]),Tabela17683[Fechamento])</f>
        <v>0</v>
      </c>
    </row>
    <row r="348" spans="1:54" hidden="1">
      <c r="A348" s="4" t="s">
        <v>26</v>
      </c>
      <c r="B348" s="57" t="s">
        <v>248</v>
      </c>
      <c r="C348" s="82" t="str">
        <f>LEFT([PAPEL],LEN([PAPEL])-(LEN([PAPEL])-4))</f>
        <v>CSAB</v>
      </c>
      <c r="D348" s="15">
        <v>3</v>
      </c>
      <c r="E348" s="6">
        <v>100000000</v>
      </c>
      <c r="F348" s="8">
        <v>3840000</v>
      </c>
      <c r="G348" s="86">
        <v>0.25</v>
      </c>
      <c r="H348" s="15"/>
      <c r="I348" s="19"/>
      <c r="J348" s="19"/>
      <c r="K348" s="88"/>
      <c r="L348" s="88"/>
      <c r="M348" s="55"/>
      <c r="N348" s="55"/>
      <c r="O348" s="55"/>
      <c r="P348" s="6">
        <v>168049000</v>
      </c>
      <c r="Q348" s="6">
        <v>901000</v>
      </c>
      <c r="R348" s="6">
        <f>IF(Tabela3[[#This Row],[Ativo || Passivo]]&gt;0,Tabela3[[#This Row],[Ativo || Passivo]]-Tabela3[[#This Row],[Patrimônio Líquido]],0)</f>
        <v>0</v>
      </c>
      <c r="S348" s="6">
        <f>Tabela3[[#This Row],[Cotação]]*Tabela3[[#This Row],[Total Ações]]</f>
        <v>231321600</v>
      </c>
      <c r="T348" s="132">
        <f>IF(Tabela3[[#This Row],[Passivo Circulante]]&gt;0,Tabela3[[#This Row],[Ativo Circulante]]/Tabela3[[#This Row],[Passivo Circulante]],0)</f>
        <v>0</v>
      </c>
      <c r="U348" s="132">
        <f>SUMPRODUCT(N([Liquidez Corrente]&gt;0),N(RIGHT([PAPEL],LEN([PAPEL])-(LEN([PAPEL])-1))="3"),[Liquidez Corrente])/SUMPRODUCT(N([Liquidez Corrente]&gt;0),N(RIGHT([PAPEL],LEN([PAPEL])-(LEN([PAPEL])-1))="3"))</f>
        <v>2.331224473064915</v>
      </c>
      <c r="V348" s="19">
        <f>IF(Tabela3[[#This Row],[Lucro Líquido]]&gt;0,Tabela3[[#This Row],[Lucro Líquido]]/Tabela3[[#This Row],[Patrimônio Líquido]],0)</f>
        <v>5.3615314580866295E-3</v>
      </c>
      <c r="W348" s="19">
        <f>SUMPRODUCT(N([Rentabilidade s/ PL]&gt;0),N(RIGHT([PAPEL],LEN([PAPEL])-(LEN([PAPEL])-1))="3"),[Rentabilidade s/ PL])/SUMPRODUCT(N([Rentabilidade s/ PL]&gt;0),N(RIGHT([PAPEL],LEN([PAPEL])-(LEN([PAPEL])-1))="3"))</f>
        <v>0.1261051308670782</v>
      </c>
      <c r="X348" s="19">
        <f>IF(Tabela3[[#This Row],[Dívida]]&gt;0,Tabela3[[#This Row],[Dívida]]/Tabela3[[#This Row],[Patrimônio Líquido]],0)</f>
        <v>0</v>
      </c>
      <c r="Y348" s="19">
        <f>SUMPRODUCT(N([Dívida / PL]&gt;0),N(RIGHT([PAPEL],LEN([PAPEL])-(LEN([PAPEL])-1))="3"),[Dívida / PL])/SUMPRODUCT(N([Dívida / PL]&gt;0),N(RIGHT([PAPEL],LEN([PAPEL])-(LEN([PAPEL])-1))="3"))</f>
        <v>2.1510410379481146</v>
      </c>
      <c r="Z348" s="6">
        <f>Tabela3[[#This Row],[Capital Social]]*20%</f>
        <v>20000000</v>
      </c>
      <c r="AA348" s="6">
        <f>IF(([Lucro Líquido]*5%)&gt;[Teto R. Legal],[Teto R. Legal],[Lucro Líquido]*5%)</f>
        <v>45050</v>
      </c>
      <c r="AB348" s="6">
        <f>IF([Lucro Líquido]&lt;0,0,[Lucro Líquido]-[Reserva Legal])</f>
        <v>855950</v>
      </c>
      <c r="AC348" s="6">
        <f>Tabela3[[#This Row],[Lucro Distribuir]]*[%Div]</f>
        <v>213987.5</v>
      </c>
      <c r="AD348" s="21">
        <f>SUMPRODUCT(N([Nome]=Tabela3[[#This Row],[Nome]]),[Ações])</f>
        <v>7680000</v>
      </c>
      <c r="AE348" s="6">
        <f>[Capital Social]/[Total Ações]</f>
        <v>13.020833333333334</v>
      </c>
      <c r="AF348" s="78">
        <f>Tabela3[[#This Row],[Lucro Líquido]]/Tabela3[[#This Row],[Total Ações]]</f>
        <v>0.11731770833333334</v>
      </c>
      <c r="AG348" s="78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2.7862955729166666E-2</v>
      </c>
      <c r="AH348" s="78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348" s="78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348" s="78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2.7862955729166666E-2</v>
      </c>
      <c r="AK348" s="6">
        <f>[Div Base]*[Ações]</f>
        <v>106993.75</v>
      </c>
      <c r="AL348" s="6">
        <f>SUMPRODUCT(N([Nome]=Tabela3[[#This Row],[Nome]]),[Div Base]*[Ações])</f>
        <v>213987.5</v>
      </c>
      <c r="AM348" s="6">
        <f>[Patrimônio Líquido]/[Total Ações]</f>
        <v>21.881380208333333</v>
      </c>
      <c r="AN348" s="48">
        <f>MAX(Tabela3[[#This Row],[Cotação 1]:[Cotação 5]])</f>
        <v>30.12</v>
      </c>
      <c r="AO348" s="44">
        <f>[Cotação]/[VPA]</f>
        <v>1.3765128028134652</v>
      </c>
      <c r="AP348" s="40">
        <f>IF(Tabela3[[#This Row],[Lucro/Ação]]&gt;0,Tabela3[[#This Row],[Cotação]]/(Tabela3[[#This Row],[Lucro/Ação]]/[Ref]*4),0)</f>
        <v>192.55405105438402</v>
      </c>
      <c r="AQ348" s="78">
        <f>[Lucro Distribuir]/[Total Ações]</f>
        <v>0.11145182291666667</v>
      </c>
      <c r="AR348" s="78">
        <f>IF([Unit ON]&gt;0,SUMPRODUCT(N([Nome]=Tabela3[[#This Row],[Nome]]),N(RIGHT([PAPEL],1)="3"),[Div Base])*[Unit ON]+SUMPRODUCT(N([Nome]=Tabela3[[#This Row],[Nome]]),N(RIGHT([PAPEL],1)="4"),[Div Base])*[Unit PN],[Div Base])</f>
        <v>2.7862955729166666E-2</v>
      </c>
      <c r="AS348" s="15" t="str">
        <f>IF(AND([% A.A.]&gt;=6%,SUMPRODUCT(N([Nome]=Tabela3[[#This Row],[Nome]]),[PL])&gt;0,[Rentabilidade s/ PL]&gt;=[Rentabilidade s/ PL Média]),"Sim","Não")</f>
        <v>Não</v>
      </c>
      <c r="AT348" s="42">
        <f>IF([Cotação]&gt;0,Tabela3[[#This Row],[Lucro]]/Tabela3[[#This Row],[Cotação]],0)</f>
        <v>9.2506493124723326E-4</v>
      </c>
      <c r="AU348" s="19">
        <f>((1+Tabela3[[#This Row],[% Yield]])^(1/(3*Tabela3[[#This Row],[Ref]])))^(12)-1</f>
        <v>1.2336100348351309E-3</v>
      </c>
      <c r="AV348" s="14">
        <f>IF([Cotação]&gt;0,($BH$1/Tabela3[[#This Row],[Cotação]]-MOD($BH$1/Tabela3[[#This Row],[Cotação]],100)),)</f>
        <v>0</v>
      </c>
      <c r="AW348" s="17">
        <f>Tabela3[[#This Row],[Ativos]]*[Lucro]</f>
        <v>0</v>
      </c>
      <c r="AX348" s="13">
        <f>SUMPRODUCT(N(Tabela1[Código]=Tabela3[[#This Row],[PAPEL]]),Tabela1[Fechamento])</f>
        <v>0</v>
      </c>
      <c r="AY348" s="13">
        <f>SUMPRODUCT(N(Tabela17[Código]=Tabela3[[#This Row],[PAPEL]]),Tabela17[Fechamento])</f>
        <v>30.12</v>
      </c>
      <c r="AZ348" s="7">
        <f>SUMPRODUCT(N(Tabela176[Código]=Tabela3[[#This Row],[PAPEL]]),Tabela176[Fechamento])</f>
        <v>0</v>
      </c>
      <c r="BA348" s="7">
        <f>SUMPRODUCT(N(Tabela1768[Código]=Tabela3[[#This Row],[PAPEL]]),Tabela1768[Fechamento])</f>
        <v>0</v>
      </c>
      <c r="BB348" s="7">
        <f>SUMPRODUCT(N(Tabela17683[Código]=Tabela3[[#This Row],[PAPEL]]),Tabela17683[Fechamento])</f>
        <v>0</v>
      </c>
    </row>
    <row r="349" spans="1:54" hidden="1">
      <c r="A349" s="4" t="s">
        <v>579</v>
      </c>
      <c r="B349" s="57" t="s">
        <v>577</v>
      </c>
      <c r="C349" s="15" t="str">
        <f>LEFT([PAPEL],LEN([PAPEL])-(LEN([PAPEL])-4))</f>
        <v>IDNT</v>
      </c>
      <c r="D349" s="15">
        <v>3</v>
      </c>
      <c r="E349" s="6">
        <v>103029730.59999999</v>
      </c>
      <c r="F349" s="8">
        <v>122269681</v>
      </c>
      <c r="G349" s="86">
        <v>0.25</v>
      </c>
      <c r="H349" s="15"/>
      <c r="I349" s="19"/>
      <c r="J349" s="19"/>
      <c r="K349" s="88"/>
      <c r="L349" s="88"/>
      <c r="M349" s="55"/>
      <c r="N349" s="55"/>
      <c r="O349" s="55"/>
      <c r="P349" s="92">
        <v>151280000</v>
      </c>
      <c r="Q349" s="93">
        <v>349000</v>
      </c>
      <c r="R349" s="93">
        <f>IF(Tabela3[[#This Row],[Ativo || Passivo]]&gt;0,Tabela3[[#This Row],[Ativo || Passivo]]-Tabela3[[#This Row],[Patrimônio Líquido]],0)</f>
        <v>0</v>
      </c>
      <c r="S349" s="93">
        <f>Tabela3[[#This Row],[Cotação]]*Tabela3[[#This Row],[Total Ações]]</f>
        <v>169954856.58999997</v>
      </c>
      <c r="T349" s="40">
        <f>IF(Tabela3[[#This Row],[Passivo Circulante]]&gt;0,Tabela3[[#This Row],[Ativo Circulante]]/Tabela3[[#This Row],[Passivo Circulante]],0)</f>
        <v>0</v>
      </c>
      <c r="U349" s="40">
        <f>SUMPRODUCT(N([Liquidez Corrente]&gt;0),N(RIGHT([PAPEL],LEN([PAPEL])-(LEN([PAPEL])-1))="3"),[Liquidez Corrente])/SUMPRODUCT(N([Liquidez Corrente]&gt;0),N(RIGHT([PAPEL],LEN([PAPEL])-(LEN([PAPEL])-1))="3"))</f>
        <v>2.331224473064915</v>
      </c>
      <c r="V349" s="19">
        <f>IF(Tabela3[[#This Row],[Lucro Líquido]]&gt;0,Tabela3[[#This Row],[Lucro Líquido]]/Tabela3[[#This Row],[Patrimônio Líquido]],0)</f>
        <v>2.3069804336329986E-3</v>
      </c>
      <c r="W349" s="19">
        <f>SUMPRODUCT(N([Rentabilidade s/ PL]&gt;0),N(RIGHT([PAPEL],LEN([PAPEL])-(LEN([PAPEL])-1))="3"),[Rentabilidade s/ PL])/SUMPRODUCT(N([Rentabilidade s/ PL]&gt;0),N(RIGHT([PAPEL],LEN([PAPEL])-(LEN([PAPEL])-1))="3"))</f>
        <v>0.1261051308670782</v>
      </c>
      <c r="X349" s="19">
        <f>IF(Tabela3[[#This Row],[Dívida]]&gt;0,Tabela3[[#This Row],[Dívida]]/Tabela3[[#This Row],[Patrimônio Líquido]],0)</f>
        <v>0</v>
      </c>
      <c r="Y349" s="19">
        <f>SUMPRODUCT(N([Dívida / PL]&gt;0),N(RIGHT([PAPEL],LEN([PAPEL])-(LEN([PAPEL])-1))="3"),[Dívida / PL])/SUMPRODUCT(N([Dívida / PL]&gt;0),N(RIGHT([PAPEL],LEN([PAPEL])-(LEN([PAPEL])-1))="3"))</f>
        <v>2.1510410379481146</v>
      </c>
      <c r="Z349" s="13">
        <f>Tabela3[[#This Row],[Capital Social]]*20%</f>
        <v>20605946.120000001</v>
      </c>
      <c r="AA349" s="13">
        <f>IF(([Lucro Líquido]*5%)&gt;[Teto R. Legal],[Teto R. Legal],[Lucro Líquido]*5%)</f>
        <v>17450</v>
      </c>
      <c r="AB349" s="13">
        <f>IF([Lucro Líquido]&lt;0,0,[Lucro Líquido]-[Reserva Legal])</f>
        <v>331550</v>
      </c>
      <c r="AC349" s="13">
        <f>Tabela3[[#This Row],[Lucro Distribuir]]*[%Div]</f>
        <v>82887.5</v>
      </c>
      <c r="AD349" s="56">
        <f>SUMPRODUCT(N([Nome]=Tabela3[[#This Row],[Nome]]),[Ações])</f>
        <v>122269681</v>
      </c>
      <c r="AE349" s="6">
        <f>[Capital Social]/[Total Ações]</f>
        <v>0.84264332545367482</v>
      </c>
      <c r="AF349" s="78">
        <f>Tabela3[[#This Row],[Lucro Líquido]]/Tabela3[[#This Row],[Total Ações]]</f>
        <v>2.8543462054178418E-3</v>
      </c>
      <c r="AG349" s="78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6.7790722378673746E-4</v>
      </c>
      <c r="AH349" s="78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349" s="78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349" s="78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6.7790722378673746E-4</v>
      </c>
      <c r="AK349" s="13">
        <f>[Div Base]*[Ações]</f>
        <v>82887.5</v>
      </c>
      <c r="AL349" s="13">
        <f>SUMPRODUCT(N([Nome]=Tabela3[[#This Row],[Nome]]),[Div Base]*[Ações])</f>
        <v>82887.5</v>
      </c>
      <c r="AM349" s="6">
        <f>[Patrimônio Líquido]/[Total Ações]</f>
        <v>1.2372650256607769</v>
      </c>
      <c r="AN349" s="48">
        <f>MAX(Tabela3[[#This Row],[Cotação 1]:[Cotação 5]])</f>
        <v>1.39</v>
      </c>
      <c r="AO349" s="44">
        <f>[Cotação]/[VPA]</f>
        <v>1.1234456411290321</v>
      </c>
      <c r="AP349" s="40">
        <f>IF(Tabela3[[#This Row],[Lucro/Ação]]&gt;0,Tabela3[[#This Row],[Cotação]]/(Tabela3[[#This Row],[Lucro/Ação]]/[Ref]*4),0)</f>
        <v>365.23249983524352</v>
      </c>
      <c r="AQ349" s="78">
        <f>[Lucro Distribuir]/[Total Ações]</f>
        <v>2.7116288951469498E-3</v>
      </c>
      <c r="AR349" s="78">
        <f>IF([Unit ON]&gt;0,SUMPRODUCT(N([Nome]=Tabela3[[#This Row],[Nome]]),N(RIGHT([PAPEL],1)="3"),[Div Base])*[Unit ON]+SUMPRODUCT(N([Nome]=Tabela3[[#This Row],[Nome]]),N(RIGHT([PAPEL],1)="4"),[Div Base])*[Unit PN],[Div Base])</f>
        <v>6.7790722378673746E-4</v>
      </c>
      <c r="AS349" s="14" t="str">
        <f>IF(AND([% A.A.]&gt;=6%,SUMPRODUCT(N([Nome]=Tabela3[[#This Row],[Nome]]),[PL])&gt;0,[Rentabilidade s/ PL]&gt;=[Rentabilidade s/ PL Média]),"Sim","Não")</f>
        <v>Não</v>
      </c>
      <c r="AT349" s="42">
        <f>IF([Cotação]&gt;0,Tabela3[[#This Row],[Lucro]]/Tabela3[[#This Row],[Cotação]],0)</f>
        <v>4.8770303869549459E-4</v>
      </c>
      <c r="AU349" s="42">
        <f>((1+Tabela3[[#This Row],[% Yield]])^(1/(3*Tabela3[[#This Row],[Ref]])))^(12)-1</f>
        <v>6.5032356903471644E-4</v>
      </c>
      <c r="AV349" s="14">
        <f>IF([Cotação]&gt;0,($BH$1/Tabela3[[#This Row],[Cotação]]-MOD($BH$1/Tabela3[[#This Row],[Cotação]],100)),)</f>
        <v>300</v>
      </c>
      <c r="AW349" s="17">
        <f>Tabela3[[#This Row],[Ativos]]*[Lucro]</f>
        <v>0.20337216713602124</v>
      </c>
      <c r="AX349" s="17">
        <f>SUMPRODUCT(N(Tabela1[Código]=Tabela3[[#This Row],[PAPEL]]),Tabela1[Fechamento])</f>
        <v>0</v>
      </c>
      <c r="AY349" s="17">
        <f>SUMPRODUCT(N(Tabela17[Código]=Tabela3[[#This Row],[PAPEL]]),Tabela17[Fechamento])</f>
        <v>0</v>
      </c>
      <c r="AZ349" s="17">
        <f>SUMPRODUCT(N(Tabela176[Código]=Tabela3[[#This Row],[PAPEL]]),Tabela176[Fechamento])</f>
        <v>1.39</v>
      </c>
      <c r="BA349" s="17">
        <f>SUMPRODUCT(N(Tabela1768[Código]=Tabela3[[#This Row],[PAPEL]]),Tabela1768[Fechamento])</f>
        <v>0</v>
      </c>
      <c r="BB349" s="7">
        <f>SUMPRODUCT(N(Tabela17683[Código]=Tabela3[[#This Row],[PAPEL]]),Tabela17683[Fechamento])</f>
        <v>0</v>
      </c>
    </row>
    <row r="350" spans="1:54" hidden="1">
      <c r="A350" s="3" t="s">
        <v>1329</v>
      </c>
      <c r="B350" s="57" t="s">
        <v>1324</v>
      </c>
      <c r="C350" s="16" t="str">
        <f>LEFT([PAPEL],LEN([PAPEL])-(LEN([PAPEL])-4))</f>
        <v>TPIS</v>
      </c>
      <c r="D350" s="16">
        <v>3</v>
      </c>
      <c r="E350" s="5">
        <v>512979226.55000001</v>
      </c>
      <c r="F350" s="56">
        <v>176000000</v>
      </c>
      <c r="G350" s="81">
        <v>0.25</v>
      </c>
      <c r="H350" s="87"/>
      <c r="J350" s="18"/>
      <c r="K350" s="16"/>
      <c r="L350" s="87"/>
      <c r="M350" s="54"/>
      <c r="N350" s="54"/>
      <c r="O350" s="54"/>
      <c r="P350" s="91">
        <v>2109303000</v>
      </c>
      <c r="Q350" s="73">
        <v>172000</v>
      </c>
      <c r="R350" s="73">
        <f>IF(Tabela3[[#This Row],[Ativo || Passivo]]&gt;0,Tabela3[[#This Row],[Ativo || Passivo]]-Tabela3[[#This Row],[Patrimônio Líquido]],0)</f>
        <v>0</v>
      </c>
      <c r="S350" s="73">
        <f>Tabela3[[#This Row],[Cotação]]*Tabela3[[#This Row],[Total Ações]]</f>
        <v>1543520000</v>
      </c>
      <c r="T350" s="37">
        <f>IF(Tabela3[[#This Row],[Passivo Circulante]]&gt;0,Tabela3[[#This Row],[Ativo Circulante]]/Tabela3[[#This Row],[Passivo Circulante]],0)</f>
        <v>0</v>
      </c>
      <c r="U350" s="37">
        <f>SUMPRODUCT(N([Liquidez Corrente]&gt;0),N(RIGHT([PAPEL],LEN([PAPEL])-(LEN([PAPEL])-1))="3"),[Liquidez Corrente])/SUMPRODUCT(N([Liquidez Corrente]&gt;0),N(RIGHT([PAPEL],LEN([PAPEL])-(LEN([PAPEL])-1))="3"))</f>
        <v>2.331224473064915</v>
      </c>
      <c r="V350" s="18">
        <f>IF(Tabela3[[#This Row],[Lucro Líquido]]&gt;0,Tabela3[[#This Row],[Lucro Líquido]]/Tabela3[[#This Row],[Patrimônio Líquido]],0)</f>
        <v>8.1543524093029786E-5</v>
      </c>
      <c r="W350" s="18">
        <f>SUMPRODUCT(N([Rentabilidade s/ PL]&gt;0),N(RIGHT([PAPEL],LEN([PAPEL])-(LEN([PAPEL])-1))="3"),[Rentabilidade s/ PL])/SUMPRODUCT(N([Rentabilidade s/ PL]&gt;0),N(RIGHT([PAPEL],LEN([PAPEL])-(LEN([PAPEL])-1))="3"))</f>
        <v>0.1261051308670782</v>
      </c>
      <c r="X350" s="18">
        <f>IF(Tabela3[[#This Row],[Dívida]]&gt;0,Tabela3[[#This Row],[Dívida]]/Tabela3[[#This Row],[Patrimônio Líquido]],0)</f>
        <v>0</v>
      </c>
      <c r="Y350" s="18">
        <f>SUMPRODUCT(N([Dívida / PL]&gt;0),N(RIGHT([PAPEL],LEN([PAPEL])-(LEN([PAPEL])-1))="3"),[Dívida / PL])/SUMPRODUCT(N([Dívida / PL]&gt;0),N(RIGHT([PAPEL],LEN([PAPEL])-(LEN([PAPEL])-1))="3"))</f>
        <v>2.1510410379481146</v>
      </c>
      <c r="Z350" s="7">
        <f>Tabela3[[#This Row],[Capital Social]]*20%</f>
        <v>102595845.31</v>
      </c>
      <c r="AA350" s="47">
        <f>IF(([Lucro Líquido]*5%)&gt;[Teto R. Legal],[Teto R. Legal],[Lucro Líquido]*5%)</f>
        <v>8600</v>
      </c>
      <c r="AB350" s="47">
        <f>IF([Lucro Líquido]&lt;0,0,[Lucro Líquido]-[Reserva Legal])</f>
        <v>163400</v>
      </c>
      <c r="AC350" s="47">
        <f>Tabela3[[#This Row],[Lucro Distribuir]]*[%Div]</f>
        <v>40850</v>
      </c>
      <c r="AD350" s="56">
        <f>SUMPRODUCT(N([Nome]=Tabela3[[#This Row],[Nome]]),[Ações])</f>
        <v>176000000</v>
      </c>
      <c r="AE350" s="85">
        <f>[Capital Social]/[Total Ações]</f>
        <v>2.9146546963068181</v>
      </c>
      <c r="AF350" s="85">
        <f>Tabela3[[#This Row],[Lucro Líquido]]/Tabela3[[#This Row],[Total Ações]]</f>
        <v>9.7727272727272723E-4</v>
      </c>
      <c r="AG350" s="85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2.3210227272727274E-4</v>
      </c>
      <c r="AH350" s="85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350" s="77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350" s="85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2.3210227272727274E-4</v>
      </c>
      <c r="AK350" s="7">
        <f>[Div Base]*[Ações]</f>
        <v>40850</v>
      </c>
      <c r="AL350" s="120">
        <f>SUMPRODUCT(N([Nome]=Tabela3[[#This Row],[Nome]]),[Div Base]*[Ações])</f>
        <v>40850</v>
      </c>
      <c r="AM350" s="5">
        <f>[Patrimônio Líquido]/[Total Ações]</f>
        <v>11.984676136363637</v>
      </c>
      <c r="AN350" s="52">
        <f>MAX(Tabela3[[#This Row],[Cotação 1]:[Cotação 5]])</f>
        <v>8.77</v>
      </c>
      <c r="AO350" s="53">
        <f>[Cotação]/[VPA]</f>
        <v>0.73176779248879831</v>
      </c>
      <c r="AP350" s="37">
        <f>IF(Tabela3[[#This Row],[Lucro/Ação]]&gt;0,Tabela3[[#This Row],[Cotação]]/(Tabela3[[#This Row],[Lucro/Ação]]/[Ref]*4),0)</f>
        <v>6730.4651162790697</v>
      </c>
      <c r="AQ350" s="85">
        <f>[Lucro Distribuir]/[Total Ações]</f>
        <v>9.2840909090909096E-4</v>
      </c>
      <c r="AR350" s="85">
        <f>IF([Unit ON]&gt;0,SUMPRODUCT(N([Nome]=Tabela3[[#This Row],[Nome]]),N(RIGHT([PAPEL],1)="3"),[Div Base])*[Unit ON]+SUMPRODUCT(N([Nome]=Tabela3[[#This Row],[Nome]]),N(RIGHT([PAPEL],1)="4"),[Div Base])*[Unit PN],[Div Base])</f>
        <v>2.3210227272727274E-4</v>
      </c>
      <c r="AS350" s="10" t="str">
        <f>IF(AND([% A.A.]&gt;=6%,SUMPRODUCT(N([Nome]=Tabela3[[#This Row],[Nome]]),[PL])&gt;0,[Rentabilidade s/ PL]&gt;=[Rentabilidade s/ PL Média]),"Sim","Não")</f>
        <v>Não</v>
      </c>
      <c r="AT350" s="22">
        <f>IF([Cotação]&gt;0,Tabela3[[#This Row],[Lucro]]/Tabela3[[#This Row],[Cotação]],0)</f>
        <v>2.6465481496838397E-5</v>
      </c>
      <c r="AU350" s="22">
        <f>((1+Tabela3[[#This Row],[% Yield]])^(1/(3*Tabela3[[#This Row],[Ref]])))^(12)-1</f>
        <v>3.5287464311473116E-5</v>
      </c>
      <c r="AV350" s="10">
        <f>IF([Cotação]&gt;0,($BH$1/Tabela3[[#This Row],[Cotação]]-MOD($BH$1/Tabela3[[#This Row],[Cotação]],100)),)</f>
        <v>0</v>
      </c>
      <c r="AW350" s="7">
        <f>Tabela3[[#This Row],[Ativos]]*[Lucro]</f>
        <v>0</v>
      </c>
      <c r="AX350" s="7">
        <f>SUMPRODUCT(N(Tabela1[Código]=Tabela3[[#This Row],[PAPEL]]),Tabela1[Fechamento])</f>
        <v>0</v>
      </c>
      <c r="AY350" s="7">
        <f>SUMPRODUCT(N(Tabela17[Código]=Tabela3[[#This Row],[PAPEL]]),Tabela17[Fechamento])</f>
        <v>0</v>
      </c>
      <c r="AZ350" s="7">
        <f>SUMPRODUCT(N(Tabela176[Código]=Tabela3[[#This Row],[PAPEL]]),Tabela176[Fechamento])</f>
        <v>0</v>
      </c>
      <c r="BA350" s="7">
        <f>SUMPRODUCT(N(Tabela1768[Código]=Tabela3[[#This Row],[PAPEL]]),Tabela1768[Fechamento])</f>
        <v>0</v>
      </c>
      <c r="BB350" s="7">
        <f>SUMPRODUCT(N(Tabela17683[Código]=Tabela3[[#This Row],[PAPEL]]),Tabela17683[Fechamento])</f>
        <v>8.77</v>
      </c>
    </row>
    <row r="351" spans="1:54" hidden="1">
      <c r="A351" s="3" t="s">
        <v>1168</v>
      </c>
      <c r="B351" s="58" t="s">
        <v>1179</v>
      </c>
      <c r="C351" s="16" t="str">
        <f>LEFT([PAPEL],LEN([PAPEL])-(LEN([PAPEL])-4))</f>
        <v>LHER</v>
      </c>
      <c r="D351" s="16">
        <v>3</v>
      </c>
      <c r="E351" s="5">
        <v>17359611.57</v>
      </c>
      <c r="F351" s="56">
        <v>46272</v>
      </c>
      <c r="G351" s="81">
        <v>0.25</v>
      </c>
      <c r="H351" s="87"/>
      <c r="J351" s="18"/>
      <c r="K351" s="16"/>
      <c r="L351" s="87"/>
      <c r="M351" s="54"/>
      <c r="N351" s="54"/>
      <c r="O351" s="54"/>
      <c r="P351" s="91">
        <v>4004000</v>
      </c>
      <c r="Q351" s="73">
        <v>130000</v>
      </c>
      <c r="R351" s="73">
        <f>IF(Tabela3[[#This Row],[Ativo || Passivo]]&gt;0,Tabela3[[#This Row],[Ativo || Passivo]]-Tabela3[[#This Row],[Patrimônio Líquido]],0)</f>
        <v>0</v>
      </c>
      <c r="S351" s="73">
        <f>Tabela3[[#This Row],[Cotação]]*Tabela3[[#This Row],[Total Ações]]</f>
        <v>0</v>
      </c>
      <c r="T351" s="37">
        <f>IF(Tabela3[[#This Row],[Passivo Circulante]]&gt;0,Tabela3[[#This Row],[Ativo Circulante]]/Tabela3[[#This Row],[Passivo Circulante]],0)</f>
        <v>0</v>
      </c>
      <c r="U351" s="37">
        <f>SUMPRODUCT(N([Liquidez Corrente]&gt;0),N(RIGHT([PAPEL],LEN([PAPEL])-(LEN([PAPEL])-1))="3"),[Liquidez Corrente])/SUMPRODUCT(N([Liquidez Corrente]&gt;0),N(RIGHT([PAPEL],LEN([PAPEL])-(LEN([PAPEL])-1))="3"))</f>
        <v>2.331224473064915</v>
      </c>
      <c r="V351" s="18">
        <f>IF(Tabela3[[#This Row],[Lucro Líquido]]&gt;0,Tabela3[[#This Row],[Lucro Líquido]]/Tabela3[[#This Row],[Patrimônio Líquido]],0)</f>
        <v>3.2467532467532464E-2</v>
      </c>
      <c r="W351" s="18">
        <f>SUMPRODUCT(N([Rentabilidade s/ PL]&gt;0),N(RIGHT([PAPEL],LEN([PAPEL])-(LEN([PAPEL])-1))="3"),[Rentabilidade s/ PL])/SUMPRODUCT(N([Rentabilidade s/ PL]&gt;0),N(RIGHT([PAPEL],LEN([PAPEL])-(LEN([PAPEL])-1))="3"))</f>
        <v>0.1261051308670782</v>
      </c>
      <c r="X351" s="18">
        <f>IF(Tabela3[[#This Row],[Dívida]]&gt;0,Tabela3[[#This Row],[Dívida]]/Tabela3[[#This Row],[Patrimônio Líquido]],0)</f>
        <v>0</v>
      </c>
      <c r="Y351" s="18">
        <f>SUMPRODUCT(N([Dívida / PL]&gt;0),N(RIGHT([PAPEL],LEN([PAPEL])-(LEN([PAPEL])-1))="3"),[Dívida / PL])/SUMPRODUCT(N([Dívida / PL]&gt;0),N(RIGHT([PAPEL],LEN([PAPEL])-(LEN([PAPEL])-1))="3"))</f>
        <v>2.1510410379481146</v>
      </c>
      <c r="Z351" s="7">
        <f>Tabela3[[#This Row],[Capital Social]]*20%</f>
        <v>3471922.3140000002</v>
      </c>
      <c r="AA351" s="47">
        <f>IF(([Lucro Líquido]*5%)&gt;[Teto R. Legal],[Teto R. Legal],[Lucro Líquido]*5%)</f>
        <v>6500</v>
      </c>
      <c r="AB351" s="47">
        <f>IF([Lucro Líquido]&lt;0,0,[Lucro Líquido]-[Reserva Legal])</f>
        <v>123500</v>
      </c>
      <c r="AC351" s="47">
        <f>Tabela3[[#This Row],[Lucro Distribuir]]*[%Div]</f>
        <v>30875</v>
      </c>
      <c r="AD351" s="56">
        <f>SUMPRODUCT(N([Nome]=Tabela3[[#This Row],[Nome]]),[Ações])</f>
        <v>131055</v>
      </c>
      <c r="AE351" s="85">
        <f>[Capital Social]/[Total Ações]</f>
        <v>132.46050566556028</v>
      </c>
      <c r="AF351" s="85">
        <f>Tabela3[[#This Row],[Lucro Líquido]]/Tabela3[[#This Row],[Total Ações]]</f>
        <v>0.99194994467971465</v>
      </c>
      <c r="AG351" s="85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0.23558811186143222</v>
      </c>
      <c r="AH351" s="85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351" s="77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351" s="85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0.23558811186143222</v>
      </c>
      <c r="AK351" s="7">
        <f>[Div Base]*[Ações]</f>
        <v>10901.133112052192</v>
      </c>
      <c r="AL351" s="120">
        <f>SUMPRODUCT(N([Nome]=Tabela3[[#This Row],[Nome]]),[Div Base]*[Ações])</f>
        <v>30875</v>
      </c>
      <c r="AM351" s="5">
        <f>[Patrimônio Líquido]/[Total Ações]</f>
        <v>30.552058296135211</v>
      </c>
      <c r="AN351" s="52">
        <f>MAX(Tabela3[[#This Row],[Cotação 1]:[Cotação 5]])</f>
        <v>0</v>
      </c>
      <c r="AO351" s="53">
        <f>[Cotação]/[VPA]</f>
        <v>0</v>
      </c>
      <c r="AP351" s="37">
        <f>IF(Tabela3[[#This Row],[Lucro/Ação]]&gt;0,Tabela3[[#This Row],[Cotação]]/(Tabela3[[#This Row],[Lucro/Ação]]/[Ref]*4),0)</f>
        <v>0</v>
      </c>
      <c r="AQ351" s="85">
        <f>[Lucro Distribuir]/[Total Ações]</f>
        <v>0.94235244744572888</v>
      </c>
      <c r="AR351" s="85">
        <f>IF([Unit ON]&gt;0,SUMPRODUCT(N([Nome]=Tabela3[[#This Row],[Nome]]),N(RIGHT([PAPEL],1)="3"),[Div Base])*[Unit ON]+SUMPRODUCT(N([Nome]=Tabela3[[#This Row],[Nome]]),N(RIGHT([PAPEL],1)="4"),[Div Base])*[Unit PN],[Div Base])</f>
        <v>0.23558811186143222</v>
      </c>
      <c r="AS351" s="10" t="str">
        <f>IF(AND([% A.A.]&gt;=6%,SUMPRODUCT(N([Nome]=Tabela3[[#This Row],[Nome]]),[PL])&gt;0,[Rentabilidade s/ PL]&gt;=[Rentabilidade s/ PL Média]),"Sim","Não")</f>
        <v>Não</v>
      </c>
      <c r="AT351" s="22">
        <f>IF([Cotação]&gt;0,Tabela3[[#This Row],[Lucro]]/Tabela3[[#This Row],[Cotação]],0)</f>
        <v>0</v>
      </c>
      <c r="AU351" s="22">
        <f>((1+Tabela3[[#This Row],[% Yield]])^(1/(3*Tabela3[[#This Row],[Ref]])))^(12)-1</f>
        <v>0</v>
      </c>
      <c r="AV351" s="10">
        <f>IF([Cotação]&gt;0,($BH$1/Tabela3[[#This Row],[Cotação]]-MOD($BH$1/Tabela3[[#This Row],[Cotação]],100)),)</f>
        <v>0</v>
      </c>
      <c r="AW351" s="7">
        <f>Tabela3[[#This Row],[Ativos]]*[Lucro]</f>
        <v>0</v>
      </c>
      <c r="AX351" s="7">
        <f>SUMPRODUCT(N(Tabela1[Código]=Tabela3[[#This Row],[PAPEL]]),Tabela1[Fechamento])</f>
        <v>0</v>
      </c>
      <c r="AY351" s="7">
        <f>SUMPRODUCT(N(Tabela17[Código]=Tabela3[[#This Row],[PAPEL]]),Tabela17[Fechamento])</f>
        <v>0</v>
      </c>
      <c r="AZ351" s="7">
        <f>SUMPRODUCT(N(Tabela176[Código]=Tabela3[[#This Row],[PAPEL]]),Tabela176[Fechamento])</f>
        <v>0</v>
      </c>
      <c r="BA351" s="7">
        <f>SUMPRODUCT(N(Tabela1768[Código]=Tabela3[[#This Row],[PAPEL]]),Tabela1768[Fechamento])</f>
        <v>0</v>
      </c>
      <c r="BB351" s="7">
        <f>SUMPRODUCT(N(Tabela17683[Código]=Tabela3[[#This Row],[PAPEL]]),Tabela17683[Fechamento])</f>
        <v>0</v>
      </c>
    </row>
    <row r="352" spans="1:54" hidden="1">
      <c r="A352" s="3" t="s">
        <v>1168</v>
      </c>
      <c r="B352" s="58" t="s">
        <v>1180</v>
      </c>
      <c r="C352" s="16" t="str">
        <f>LEFT([PAPEL],LEN([PAPEL])-(LEN([PAPEL])-4))</f>
        <v>LHER</v>
      </c>
      <c r="D352" s="16">
        <v>3</v>
      </c>
      <c r="E352" s="5">
        <v>17359611.57</v>
      </c>
      <c r="F352" s="56">
        <v>84783</v>
      </c>
      <c r="G352" s="81">
        <v>0.25</v>
      </c>
      <c r="H352" s="87"/>
      <c r="J352" s="18"/>
      <c r="K352" s="16"/>
      <c r="L352" s="87"/>
      <c r="M352" s="54"/>
      <c r="N352" s="54"/>
      <c r="O352" s="54"/>
      <c r="P352" s="91">
        <v>4004000</v>
      </c>
      <c r="Q352" s="73">
        <v>130000</v>
      </c>
      <c r="R352" s="73">
        <f>IF(Tabela3[[#This Row],[Ativo || Passivo]]&gt;0,Tabela3[[#This Row],[Ativo || Passivo]]-Tabela3[[#This Row],[Patrimônio Líquido]],0)</f>
        <v>0</v>
      </c>
      <c r="S352" s="73">
        <f>Tabela3[[#This Row],[Cotação]]*Tabela3[[#This Row],[Total Ações]]</f>
        <v>8518575</v>
      </c>
      <c r="T352" s="37">
        <f>IF(Tabela3[[#This Row],[Passivo Circulante]]&gt;0,Tabela3[[#This Row],[Ativo Circulante]]/Tabela3[[#This Row],[Passivo Circulante]],0)</f>
        <v>0</v>
      </c>
      <c r="U352" s="37">
        <f>SUMPRODUCT(N([Liquidez Corrente]&gt;0),N(RIGHT([PAPEL],LEN([PAPEL])-(LEN([PAPEL])-1))="3"),[Liquidez Corrente])/SUMPRODUCT(N([Liquidez Corrente]&gt;0),N(RIGHT([PAPEL],LEN([PAPEL])-(LEN([PAPEL])-1))="3"))</f>
        <v>2.331224473064915</v>
      </c>
      <c r="V352" s="18">
        <f>IF(Tabela3[[#This Row],[Lucro Líquido]]&gt;0,Tabela3[[#This Row],[Lucro Líquido]]/Tabela3[[#This Row],[Patrimônio Líquido]],0)</f>
        <v>3.2467532467532464E-2</v>
      </c>
      <c r="W352" s="18">
        <f>SUMPRODUCT(N([Rentabilidade s/ PL]&gt;0),N(RIGHT([PAPEL],LEN([PAPEL])-(LEN([PAPEL])-1))="3"),[Rentabilidade s/ PL])/SUMPRODUCT(N([Rentabilidade s/ PL]&gt;0),N(RIGHT([PAPEL],LEN([PAPEL])-(LEN([PAPEL])-1))="3"))</f>
        <v>0.1261051308670782</v>
      </c>
      <c r="X352" s="18">
        <f>IF(Tabela3[[#This Row],[Dívida]]&gt;0,Tabela3[[#This Row],[Dívida]]/Tabela3[[#This Row],[Patrimônio Líquido]],0)</f>
        <v>0</v>
      </c>
      <c r="Y352" s="18">
        <f>SUMPRODUCT(N([Dívida / PL]&gt;0),N(RIGHT([PAPEL],LEN([PAPEL])-(LEN([PAPEL])-1))="3"),[Dívida / PL])/SUMPRODUCT(N([Dívida / PL]&gt;0),N(RIGHT([PAPEL],LEN([PAPEL])-(LEN([PAPEL])-1))="3"))</f>
        <v>2.1510410379481146</v>
      </c>
      <c r="Z352" s="7">
        <f>Tabela3[[#This Row],[Capital Social]]*20%</f>
        <v>3471922.3140000002</v>
      </c>
      <c r="AA352" s="47">
        <f>IF(([Lucro Líquido]*5%)&gt;[Teto R. Legal],[Teto R. Legal],[Lucro Líquido]*5%)</f>
        <v>6500</v>
      </c>
      <c r="AB352" s="47">
        <f>IF([Lucro Líquido]&lt;0,0,[Lucro Líquido]-[Reserva Legal])</f>
        <v>123500</v>
      </c>
      <c r="AC352" s="47">
        <f>Tabela3[[#This Row],[Lucro Distribuir]]*[%Div]</f>
        <v>30875</v>
      </c>
      <c r="AD352" s="56">
        <f>SUMPRODUCT(N([Nome]=Tabela3[[#This Row],[Nome]]),[Ações])</f>
        <v>131055</v>
      </c>
      <c r="AE352" s="85">
        <f>[Capital Social]/[Total Ações]</f>
        <v>132.46050566556028</v>
      </c>
      <c r="AF352" s="85">
        <f>Tabela3[[#This Row],[Lucro Líquido]]/Tabela3[[#This Row],[Total Ações]]</f>
        <v>0.99194994467971465</v>
      </c>
      <c r="AG352" s="85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0.23558811186143222</v>
      </c>
      <c r="AH352" s="85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352" s="77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352" s="85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0.23558811186143222</v>
      </c>
      <c r="AK352" s="7">
        <f>[Div Base]*[Ações]</f>
        <v>19973.866887947806</v>
      </c>
      <c r="AL352" s="120">
        <f>SUMPRODUCT(N([Nome]=Tabela3[[#This Row],[Nome]]),[Div Base]*[Ações])</f>
        <v>30875</v>
      </c>
      <c r="AM352" s="5">
        <f>[Patrimônio Líquido]/[Total Ações]</f>
        <v>30.552058296135211</v>
      </c>
      <c r="AN352" s="52">
        <f>MAX(Tabela3[[#This Row],[Cotação 1]:[Cotação 5]])</f>
        <v>65</v>
      </c>
      <c r="AO352" s="53">
        <f>[Cotação]/[VPA]</f>
        <v>2.1275162337662339</v>
      </c>
      <c r="AP352" s="37">
        <f>IF(Tabela3[[#This Row],[Lucro/Ação]]&gt;0,Tabela3[[#This Row],[Cotação]]/(Tabela3[[#This Row],[Lucro/Ação]]/[Ref]*4),0)</f>
        <v>49.145624999999995</v>
      </c>
      <c r="AQ352" s="85">
        <f>[Lucro Distribuir]/[Total Ações]</f>
        <v>0.94235244744572888</v>
      </c>
      <c r="AR352" s="85">
        <f>IF([Unit ON]&gt;0,SUMPRODUCT(N([Nome]=Tabela3[[#This Row],[Nome]]),N(RIGHT([PAPEL],1)="3"),[Div Base])*[Unit ON]+SUMPRODUCT(N([Nome]=Tabela3[[#This Row],[Nome]]),N(RIGHT([PAPEL],1)="4"),[Div Base])*[Unit PN],[Div Base])</f>
        <v>0.23558811186143222</v>
      </c>
      <c r="AS352" s="10" t="str">
        <f>IF(AND([% A.A.]&gt;=6%,SUMPRODUCT(N([Nome]=Tabela3[[#This Row],[Nome]]),[PL])&gt;0,[Rentabilidade s/ PL]&gt;=[Rentabilidade s/ PL Média]),"Sim","Não")</f>
        <v>Não</v>
      </c>
      <c r="AT352" s="22">
        <f>IF([Cotação]&gt;0,Tabela3[[#This Row],[Lucro]]/Tabela3[[#This Row],[Cotação]],0)</f>
        <v>3.6244324901758803E-3</v>
      </c>
      <c r="AU352" s="22">
        <f>((1+Tabela3[[#This Row],[% Yield]])^(1/(3*Tabela3[[#This Row],[Ref]])))^(12)-1</f>
        <v>4.8354935305212621E-3</v>
      </c>
      <c r="AV352" s="10">
        <f>IF([Cotação]&gt;0,($BH$1/Tabela3[[#This Row],[Cotação]]-MOD($BH$1/Tabela3[[#This Row],[Cotação]],100)),)</f>
        <v>0</v>
      </c>
      <c r="AW352" s="7">
        <f>Tabela3[[#This Row],[Ativos]]*[Lucro]</f>
        <v>0</v>
      </c>
      <c r="AX352" s="7">
        <f>SUMPRODUCT(N(Tabela1[Código]=Tabela3[[#This Row],[PAPEL]]),Tabela1[Fechamento])</f>
        <v>0</v>
      </c>
      <c r="AY352" s="7">
        <f>SUMPRODUCT(N(Tabela17[Código]=Tabela3[[#This Row],[PAPEL]]),Tabela17[Fechamento])</f>
        <v>0</v>
      </c>
      <c r="AZ352" s="7">
        <f>SUMPRODUCT(N(Tabela176[Código]=Tabela3[[#This Row],[PAPEL]]),Tabela176[Fechamento])</f>
        <v>0</v>
      </c>
      <c r="BA352" s="7">
        <f>SUMPRODUCT(N(Tabela1768[Código]=Tabela3[[#This Row],[PAPEL]]),Tabela1768[Fechamento])</f>
        <v>65</v>
      </c>
      <c r="BB352" s="7">
        <f>SUMPRODUCT(N(Tabela17683[Código]=Tabela3[[#This Row],[PAPEL]]),Tabela17683[Fechamento])</f>
        <v>0</v>
      </c>
    </row>
    <row r="353" spans="1:54" hidden="1">
      <c r="A353" s="4" t="s">
        <v>26</v>
      </c>
      <c r="B353" s="57" t="s">
        <v>705</v>
      </c>
      <c r="C353" s="15" t="str">
        <f>LEFT([PAPEL],LEN([PAPEL])-(LEN([PAPEL])-4))</f>
        <v>PEAB</v>
      </c>
      <c r="D353" s="15">
        <v>3</v>
      </c>
      <c r="E353" s="6">
        <v>400000000</v>
      </c>
      <c r="F353" s="8">
        <v>6425139</v>
      </c>
      <c r="G353" s="86">
        <v>0.25</v>
      </c>
      <c r="H353" s="15"/>
      <c r="I353" s="19"/>
      <c r="J353" s="19"/>
      <c r="K353" s="88"/>
      <c r="L353" s="88"/>
      <c r="M353" s="55"/>
      <c r="N353" s="55"/>
      <c r="O353" s="55"/>
      <c r="P353" s="92">
        <v>525856000</v>
      </c>
      <c r="Q353" s="93">
        <v>84000</v>
      </c>
      <c r="R353" s="93">
        <f>IF(Tabela3[[#This Row],[Ativo || Passivo]]&gt;0,Tabela3[[#This Row],[Ativo || Passivo]]-Tabela3[[#This Row],[Patrimônio Líquido]],0)</f>
        <v>0</v>
      </c>
      <c r="S353" s="93">
        <f>Tabela3[[#This Row],[Cotação]]*Tabela3[[#This Row],[Total Ações]]</f>
        <v>385508340</v>
      </c>
      <c r="T353" s="40">
        <f>IF(Tabela3[[#This Row],[Passivo Circulante]]&gt;0,Tabela3[[#This Row],[Ativo Circulante]]/Tabela3[[#This Row],[Passivo Circulante]],0)</f>
        <v>0</v>
      </c>
      <c r="U353" s="40">
        <f>SUMPRODUCT(N([Liquidez Corrente]&gt;0),N(RIGHT([PAPEL],LEN([PAPEL])-(LEN([PAPEL])-1))="3"),[Liquidez Corrente])/SUMPRODUCT(N([Liquidez Corrente]&gt;0),N(RIGHT([PAPEL],LEN([PAPEL])-(LEN([PAPEL])-1))="3"))</f>
        <v>2.331224473064915</v>
      </c>
      <c r="V353" s="19">
        <f>IF(Tabela3[[#This Row],[Lucro Líquido]]&gt;0,Tabela3[[#This Row],[Lucro Líquido]]/Tabela3[[#This Row],[Patrimônio Líquido]],0)</f>
        <v>1.59739548469543E-4</v>
      </c>
      <c r="W353" s="19">
        <f>SUMPRODUCT(N([Rentabilidade s/ PL]&gt;0),N(RIGHT([PAPEL],LEN([PAPEL])-(LEN([PAPEL])-1))="3"),[Rentabilidade s/ PL])/SUMPRODUCT(N([Rentabilidade s/ PL]&gt;0),N(RIGHT([PAPEL],LEN([PAPEL])-(LEN([PAPEL])-1))="3"))</f>
        <v>0.1261051308670782</v>
      </c>
      <c r="X353" s="19">
        <f>IF(Tabela3[[#This Row],[Dívida]]&gt;0,Tabela3[[#This Row],[Dívida]]/Tabela3[[#This Row],[Patrimônio Líquido]],0)</f>
        <v>0</v>
      </c>
      <c r="Y353" s="19">
        <f>SUMPRODUCT(N([Dívida / PL]&gt;0),N(RIGHT([PAPEL],LEN([PAPEL])-(LEN([PAPEL])-1))="3"),[Dívida / PL])/SUMPRODUCT(N([Dívida / PL]&gt;0),N(RIGHT([PAPEL],LEN([PAPEL])-(LEN([PAPEL])-1))="3"))</f>
        <v>2.1510410379481146</v>
      </c>
      <c r="Z353" s="13">
        <f>Tabela3[[#This Row],[Capital Social]]*20%</f>
        <v>80000000</v>
      </c>
      <c r="AA353" s="13">
        <f>IF(([Lucro Líquido]*5%)&gt;[Teto R. Legal],[Teto R. Legal],[Lucro Líquido]*5%)</f>
        <v>4200</v>
      </c>
      <c r="AB353" s="13">
        <f>IF([Lucro Líquido]&lt;0,0,[Lucro Líquido]-[Reserva Legal])</f>
        <v>79800</v>
      </c>
      <c r="AC353" s="13">
        <f>Tabela3[[#This Row],[Lucro Distribuir]]*[%Div]</f>
        <v>19950</v>
      </c>
      <c r="AD353" s="56">
        <f>SUMPRODUCT(N([Nome]=Tabela3[[#This Row],[Nome]]),[Ações])</f>
        <v>12850278</v>
      </c>
      <c r="AE353" s="6">
        <f>[Capital Social]/[Total Ações]</f>
        <v>31.127731244413546</v>
      </c>
      <c r="AF353" s="78">
        <f>Tabela3[[#This Row],[Lucro Líquido]]/Tabela3[[#This Row],[Total Ações]]</f>
        <v>6.5368235613268441E-3</v>
      </c>
      <c r="AG353" s="78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1.5041915543095644E-3</v>
      </c>
      <c r="AH353" s="78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353" s="78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353" s="78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1.5041915543095644E-3</v>
      </c>
      <c r="AK353" s="13">
        <f>[Div Base]*[Ações]</f>
        <v>9664.6398190649998</v>
      </c>
      <c r="AL353" s="13">
        <f>SUMPRODUCT(N([Nome]=Tabela3[[#This Row],[Nome]]),[Div Base]*[Ações])</f>
        <v>20295.743634600003</v>
      </c>
      <c r="AM353" s="6">
        <f>[Patrimônio Líquido]/[Total Ações]</f>
        <v>40.921760603155825</v>
      </c>
      <c r="AN353" s="48">
        <f>MAX(Tabela3[[#This Row],[Cotação 1]:[Cotação 5]])</f>
        <v>30</v>
      </c>
      <c r="AO353" s="44">
        <f>[Cotação]/[VPA]</f>
        <v>0.73310628765289354</v>
      </c>
      <c r="AP353" s="40">
        <f>IF(Tabela3[[#This Row],[Lucro/Ação]]&gt;0,Tabela3[[#This Row],[Cotação]]/(Tabela3[[#This Row],[Lucro/Ação]]/[Ref]*4),0)</f>
        <v>3442.0387500000002</v>
      </c>
      <c r="AQ353" s="78">
        <f>[Lucro Distribuir]/[Total Ações]</f>
        <v>6.2099823832605025E-3</v>
      </c>
      <c r="AR353" s="78">
        <f>IF([Unit ON]&gt;0,SUMPRODUCT(N([Nome]=Tabela3[[#This Row],[Nome]]),N(RIGHT([PAPEL],1)="3"),[Div Base])*[Unit ON]+SUMPRODUCT(N([Nome]=Tabela3[[#This Row],[Nome]]),N(RIGHT([PAPEL],1)="4"),[Div Base])*[Unit PN],[Div Base])</f>
        <v>1.5041915543095644E-3</v>
      </c>
      <c r="AS353" s="14" t="str">
        <f>IF(AND([% A.A.]&gt;=6%,SUMPRODUCT(N([Nome]=Tabela3[[#This Row],[Nome]]),[PL])&gt;0,[Rentabilidade s/ PL]&gt;=[Rentabilidade s/ PL Média]),"Sim","Não")</f>
        <v>Não</v>
      </c>
      <c r="AT353" s="42">
        <f>IF([Cotação]&gt;0,Tabela3[[#This Row],[Lucro]]/Tabela3[[#This Row],[Cotação]],0)</f>
        <v>5.0139718476985482E-5</v>
      </c>
      <c r="AU353" s="42">
        <f>((1+Tabela3[[#This Row],[% Yield]])^(1/(3*Tabela3[[#This Row],[Ref]])))^(12)-1</f>
        <v>6.6853516628384568E-5</v>
      </c>
      <c r="AV353" s="14">
        <f>IF([Cotação]&gt;0,($BH$1/Tabela3[[#This Row],[Cotação]]-MOD($BH$1/Tabela3[[#This Row],[Cotação]],100)),)</f>
        <v>0</v>
      </c>
      <c r="AW353" s="17">
        <f>Tabela3[[#This Row],[Ativos]]*[Lucro]</f>
        <v>0</v>
      </c>
      <c r="AX353" s="17">
        <f>SUMPRODUCT(N(Tabela1[Código]=Tabela3[[#This Row],[PAPEL]]),Tabela1[Fechamento])</f>
        <v>0</v>
      </c>
      <c r="AY353" s="17">
        <f>SUMPRODUCT(N(Tabela17[Código]=Tabela3[[#This Row],[PAPEL]]),Tabela17[Fechamento])</f>
        <v>0</v>
      </c>
      <c r="AZ353" s="17">
        <f>SUMPRODUCT(N(Tabela176[Código]=Tabela3[[#This Row],[PAPEL]]),Tabela176[Fechamento])</f>
        <v>30</v>
      </c>
      <c r="BA353" s="17">
        <f>SUMPRODUCT(N(Tabela1768[Código]=Tabela3[[#This Row],[PAPEL]]),Tabela1768[Fechamento])</f>
        <v>0</v>
      </c>
      <c r="BB353" s="7">
        <f>SUMPRODUCT(N(Tabela17683[Código]=Tabela3[[#This Row],[PAPEL]]),Tabela17683[Fechamento])</f>
        <v>0</v>
      </c>
    </row>
    <row r="354" spans="1:54" hidden="1">
      <c r="A354" s="4" t="s">
        <v>26</v>
      </c>
      <c r="B354" s="57" t="s">
        <v>706</v>
      </c>
      <c r="C354" s="15" t="str">
        <f>LEFT([PAPEL],LEN([PAPEL])-(LEN([PAPEL])-4))</f>
        <v>PEAB</v>
      </c>
      <c r="D354" s="15">
        <v>3</v>
      </c>
      <c r="E354" s="6">
        <v>400000000</v>
      </c>
      <c r="F354" s="8">
        <v>6425139</v>
      </c>
      <c r="G354" s="86">
        <v>0.25</v>
      </c>
      <c r="H354" s="15"/>
      <c r="I354" s="19"/>
      <c r="J354" s="19">
        <v>0.1</v>
      </c>
      <c r="K354" s="88"/>
      <c r="L354" s="88"/>
      <c r="M354" s="55"/>
      <c r="N354" s="55"/>
      <c r="O354" s="55"/>
      <c r="P354" s="92">
        <v>525856000</v>
      </c>
      <c r="Q354" s="93">
        <v>84000</v>
      </c>
      <c r="R354" s="93">
        <f>IF(Tabela3[[#This Row],[Ativo || Passivo]]&gt;0,Tabela3[[#This Row],[Ativo || Passivo]]-Tabela3[[#This Row],[Patrimônio Líquido]],0)</f>
        <v>0</v>
      </c>
      <c r="S354" s="93">
        <f>Tabela3[[#This Row],[Cotação]]*Tabela3[[#This Row],[Total Ações]]</f>
        <v>385508340</v>
      </c>
      <c r="T354" s="40">
        <f>IF(Tabela3[[#This Row],[Passivo Circulante]]&gt;0,Tabela3[[#This Row],[Ativo Circulante]]/Tabela3[[#This Row],[Passivo Circulante]],0)</f>
        <v>0</v>
      </c>
      <c r="U354" s="40">
        <f>SUMPRODUCT(N([Liquidez Corrente]&gt;0),N(RIGHT([PAPEL],LEN([PAPEL])-(LEN([PAPEL])-1))="3"),[Liquidez Corrente])/SUMPRODUCT(N([Liquidez Corrente]&gt;0),N(RIGHT([PAPEL],LEN([PAPEL])-(LEN([PAPEL])-1))="3"))</f>
        <v>2.331224473064915</v>
      </c>
      <c r="V354" s="19">
        <f>IF(Tabela3[[#This Row],[Lucro Líquido]]&gt;0,Tabela3[[#This Row],[Lucro Líquido]]/Tabela3[[#This Row],[Patrimônio Líquido]],0)</f>
        <v>1.59739548469543E-4</v>
      </c>
      <c r="W354" s="19">
        <f>SUMPRODUCT(N([Rentabilidade s/ PL]&gt;0),N(RIGHT([PAPEL],LEN([PAPEL])-(LEN([PAPEL])-1))="3"),[Rentabilidade s/ PL])/SUMPRODUCT(N([Rentabilidade s/ PL]&gt;0),N(RIGHT([PAPEL],LEN([PAPEL])-(LEN([PAPEL])-1))="3"))</f>
        <v>0.1261051308670782</v>
      </c>
      <c r="X354" s="19">
        <f>IF(Tabela3[[#This Row],[Dívida]]&gt;0,Tabela3[[#This Row],[Dívida]]/Tabela3[[#This Row],[Patrimônio Líquido]],0)</f>
        <v>0</v>
      </c>
      <c r="Y354" s="19">
        <f>SUMPRODUCT(N([Dívida / PL]&gt;0),N(RIGHT([PAPEL],LEN([PAPEL])-(LEN([PAPEL])-1))="3"),[Dívida / PL])/SUMPRODUCT(N([Dívida / PL]&gt;0),N(RIGHT([PAPEL],LEN([PAPEL])-(LEN([PAPEL])-1))="3"))</f>
        <v>2.1510410379481146</v>
      </c>
      <c r="Z354" s="13">
        <f>Tabela3[[#This Row],[Capital Social]]*20%</f>
        <v>80000000</v>
      </c>
      <c r="AA354" s="13">
        <f>IF(([Lucro Líquido]*5%)&gt;[Teto R. Legal],[Teto R. Legal],[Lucro Líquido]*5%)</f>
        <v>4200</v>
      </c>
      <c r="AB354" s="13">
        <f>IF([Lucro Líquido]&lt;0,0,[Lucro Líquido]-[Reserva Legal])</f>
        <v>79800</v>
      </c>
      <c r="AC354" s="13">
        <f>Tabela3[[#This Row],[Lucro Distribuir]]*[%Div]</f>
        <v>19950</v>
      </c>
      <c r="AD354" s="56">
        <f>SUMPRODUCT(N([Nome]=Tabela3[[#This Row],[Nome]]),[Ações])</f>
        <v>12850278</v>
      </c>
      <c r="AE354" s="6">
        <f>[Capital Social]/[Total Ações]</f>
        <v>31.127731244413546</v>
      </c>
      <c r="AF354" s="78">
        <f>Tabela3[[#This Row],[Lucro Líquido]]/Tabela3[[#This Row],[Total Ações]]</f>
        <v>6.5368235613268441E-3</v>
      </c>
      <c r="AG354" s="78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1.6546107120071645E-3</v>
      </c>
      <c r="AH354" s="78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354" s="78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354" s="78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1.6546107120071645E-3</v>
      </c>
      <c r="AK354" s="13">
        <f>[Div Base]*[Ações]</f>
        <v>10631.103815535002</v>
      </c>
      <c r="AL354" s="13">
        <f>SUMPRODUCT(N([Nome]=Tabela3[[#This Row],[Nome]]),[Div Base]*[Ações])</f>
        <v>20295.743634600003</v>
      </c>
      <c r="AM354" s="6">
        <f>[Patrimônio Líquido]/[Total Ações]</f>
        <v>40.921760603155825</v>
      </c>
      <c r="AN354" s="48">
        <f>MAX(Tabela3[[#This Row],[Cotação 1]:[Cotação 5]])</f>
        <v>30</v>
      </c>
      <c r="AO354" s="44">
        <f>[Cotação]/[VPA]</f>
        <v>0.73310628765289354</v>
      </c>
      <c r="AP354" s="40">
        <f>IF(Tabela3[[#This Row],[Lucro/Ação]]&gt;0,Tabela3[[#This Row],[Cotação]]/(Tabela3[[#This Row],[Lucro/Ação]]/[Ref]*4),0)</f>
        <v>3442.0387500000002</v>
      </c>
      <c r="AQ354" s="78">
        <f>[Lucro Distribuir]/[Total Ações]</f>
        <v>6.2099823832605025E-3</v>
      </c>
      <c r="AR354" s="78">
        <f>IF([Unit ON]&gt;0,SUMPRODUCT(N([Nome]=Tabela3[[#This Row],[Nome]]),N(RIGHT([PAPEL],1)="3"),[Div Base])*[Unit ON]+SUMPRODUCT(N([Nome]=Tabela3[[#This Row],[Nome]]),N(RIGHT([PAPEL],1)="4"),[Div Base])*[Unit PN],[Div Base])</f>
        <v>1.6546107120071645E-3</v>
      </c>
      <c r="AS354" s="14" t="str">
        <f>IF(AND([% A.A.]&gt;=6%,SUMPRODUCT(N([Nome]=Tabela3[[#This Row],[Nome]]),[PL])&gt;0,[Rentabilidade s/ PL]&gt;=[Rentabilidade s/ PL Média]),"Sim","Não")</f>
        <v>Não</v>
      </c>
      <c r="AT354" s="42">
        <f>IF([Cotação]&gt;0,Tabela3[[#This Row],[Lucro]]/Tabela3[[#This Row],[Cotação]],0)</f>
        <v>5.5153690400238815E-5</v>
      </c>
      <c r="AU354" s="42">
        <f>((1+Tabela3[[#This Row],[% Yield]])^(1/(3*Tabela3[[#This Row],[Ref]])))^(12)-1</f>
        <v>7.3538929842520417E-5</v>
      </c>
      <c r="AV354" s="14">
        <f>IF([Cotação]&gt;0,($BH$1/Tabela3[[#This Row],[Cotação]]-MOD($BH$1/Tabela3[[#This Row],[Cotação]],100)),)</f>
        <v>0</v>
      </c>
      <c r="AW354" s="17">
        <f>Tabela3[[#This Row],[Ativos]]*[Lucro]</f>
        <v>0</v>
      </c>
      <c r="AX354" s="17">
        <f>SUMPRODUCT(N(Tabela1[Código]=Tabela3[[#This Row],[PAPEL]]),Tabela1[Fechamento])</f>
        <v>0</v>
      </c>
      <c r="AY354" s="17">
        <f>SUMPRODUCT(N(Tabela17[Código]=Tabela3[[#This Row],[PAPEL]]),Tabela17[Fechamento])</f>
        <v>0</v>
      </c>
      <c r="AZ354" s="17">
        <f>SUMPRODUCT(N(Tabela176[Código]=Tabela3[[#This Row],[PAPEL]]),Tabela176[Fechamento])</f>
        <v>30</v>
      </c>
      <c r="BA354" s="17">
        <f>SUMPRODUCT(N(Tabela1768[Código]=Tabela3[[#This Row],[PAPEL]]),Tabela1768[Fechamento])</f>
        <v>0</v>
      </c>
      <c r="BB354" s="7">
        <f>SUMPRODUCT(N(Tabela17683[Código]=Tabela3[[#This Row],[PAPEL]]),Tabela17683[Fechamento])</f>
        <v>0</v>
      </c>
    </row>
    <row r="355" spans="1:54" hidden="1">
      <c r="A355" s="4" t="s">
        <v>333</v>
      </c>
      <c r="B355" s="126" t="s">
        <v>631</v>
      </c>
      <c r="C355" s="15" t="str">
        <f>LEFT([PAPEL],LEN([PAPEL])-(LEN([PAPEL])-4))</f>
        <v>DUQE</v>
      </c>
      <c r="D355" s="15">
        <v>3</v>
      </c>
      <c r="E355" s="6">
        <v>45000000</v>
      </c>
      <c r="F355" s="8">
        <v>1077753</v>
      </c>
      <c r="G355" s="86">
        <v>0.25</v>
      </c>
      <c r="H355" s="9"/>
      <c r="I355" s="19"/>
      <c r="J355" s="19"/>
      <c r="K355" s="88"/>
      <c r="L355" s="88"/>
      <c r="M355" s="55"/>
      <c r="N355" s="55"/>
      <c r="O355" s="55"/>
      <c r="P355" s="92">
        <v>78931000</v>
      </c>
      <c r="Q355" s="93">
        <v>75000</v>
      </c>
      <c r="R355" s="93">
        <f>IF(Tabela3[[#This Row],[Ativo || Passivo]]&gt;0,Tabela3[[#This Row],[Ativo || Passivo]]-Tabela3[[#This Row],[Patrimônio Líquido]],0)</f>
        <v>0</v>
      </c>
      <c r="S355" s="93">
        <f>Tabela3[[#This Row],[Cotação]]*Tabela3[[#This Row],[Total Ações]]</f>
        <v>78848112</v>
      </c>
      <c r="T355" s="40">
        <f>IF(Tabela3[[#This Row],[Passivo Circulante]]&gt;0,Tabela3[[#This Row],[Ativo Circulante]]/Tabela3[[#This Row],[Passivo Circulante]],0)</f>
        <v>0</v>
      </c>
      <c r="U355" s="40">
        <f>SUMPRODUCT(N([Liquidez Corrente]&gt;0),N(RIGHT([PAPEL],LEN([PAPEL])-(LEN([PAPEL])-1))="3"),[Liquidez Corrente])/SUMPRODUCT(N([Liquidez Corrente]&gt;0),N(RIGHT([PAPEL],LEN([PAPEL])-(LEN([PAPEL])-1))="3"))</f>
        <v>2.331224473064915</v>
      </c>
      <c r="V355" s="19">
        <f>IF(Tabela3[[#This Row],[Lucro Líquido]]&gt;0,Tabela3[[#This Row],[Lucro Líquido]]/Tabela3[[#This Row],[Patrimônio Líquido]],0)</f>
        <v>9.5019700751289098E-4</v>
      </c>
      <c r="W355" s="19">
        <f>SUMPRODUCT(N([Rentabilidade s/ PL]&gt;0),N(RIGHT([PAPEL],LEN([PAPEL])-(LEN([PAPEL])-1))="3"),[Rentabilidade s/ PL])/SUMPRODUCT(N([Rentabilidade s/ PL]&gt;0),N(RIGHT([PAPEL],LEN([PAPEL])-(LEN([PAPEL])-1))="3"))</f>
        <v>0.1261051308670782</v>
      </c>
      <c r="X355" s="19">
        <f>IF(Tabela3[[#This Row],[Dívida]]&gt;0,Tabela3[[#This Row],[Dívida]]/Tabela3[[#This Row],[Patrimônio Líquido]],0)</f>
        <v>0</v>
      </c>
      <c r="Y355" s="19">
        <f>SUMPRODUCT(N([Dívida / PL]&gt;0),N(RIGHT([PAPEL],LEN([PAPEL])-(LEN([PAPEL])-1))="3"),[Dívida / PL])/SUMPRODUCT(N([Dívida / PL]&gt;0),N(RIGHT([PAPEL],LEN([PAPEL])-(LEN([PAPEL])-1))="3"))</f>
        <v>2.1510410379481146</v>
      </c>
      <c r="Z355" s="13">
        <f>Tabela3[[#This Row],[Capital Social]]*20%</f>
        <v>9000000</v>
      </c>
      <c r="AA355" s="13">
        <f>IF(([Lucro Líquido]*5%)&gt;[Teto R. Legal],[Teto R. Legal],[Lucro Líquido]*5%)</f>
        <v>3750</v>
      </c>
      <c r="AB355" s="13">
        <f>IF([Lucro Líquido]&lt;0,0,[Lucro Líquido]-[Reserva Legal])</f>
        <v>71250</v>
      </c>
      <c r="AC355" s="13">
        <f>Tabela3[[#This Row],[Lucro Distribuir]]*[%Div]</f>
        <v>17812.5</v>
      </c>
      <c r="AD355" s="56">
        <f>SUMPRODUCT(N([Nome]=Tabela3[[#This Row],[Nome]]),[Ações])</f>
        <v>2816004</v>
      </c>
      <c r="AE355" s="6">
        <f>[Capital Social]/[Total Ações]</f>
        <v>15.980090937370827</v>
      </c>
      <c r="AF355" s="78">
        <f>Tabela3[[#This Row],[Lucro Líquido]]/Tabela3[[#This Row],[Total Ações]]</f>
        <v>2.6633484895618047E-2</v>
      </c>
      <c r="AG355" s="78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6.1286437772061046E-3</v>
      </c>
      <c r="AH355" s="78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355" s="78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355" s="78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6.1286437772061046E-3</v>
      </c>
      <c r="AK355" s="13">
        <f>[Div Base]*[Ações]</f>
        <v>6605.1642168152111</v>
      </c>
      <c r="AL355" s="13">
        <f>SUMPRODUCT(N([Nome]=Tabela3[[#This Row],[Nome]]),[Div Base]*[Ações])</f>
        <v>18323.597524677756</v>
      </c>
      <c r="AM355" s="6">
        <f>[Patrimônio Líquido]/[Total Ações]</f>
        <v>28.029434617280373</v>
      </c>
      <c r="AN355" s="48">
        <f>MAX(Tabela3[[#This Row],[Cotação 1]:[Cotação 5]])</f>
        <v>28</v>
      </c>
      <c r="AO355" s="44">
        <f>[Cotação]/[VPA]</f>
        <v>0.99894986760588367</v>
      </c>
      <c r="AP355" s="40">
        <f>IF(Tabela3[[#This Row],[Lucro/Ação]]&gt;0,Tabela3[[#This Row],[Cotação]]/(Tabela3[[#This Row],[Lucro/Ação]]/[Ref]*4),0)</f>
        <v>788.48112000000003</v>
      </c>
      <c r="AQ355" s="78">
        <f>[Lucro Distribuir]/[Total Ações]</f>
        <v>2.5301810650837142E-2</v>
      </c>
      <c r="AR355" s="78">
        <f>IF([Unit ON]&gt;0,SUMPRODUCT(N([Nome]=Tabela3[[#This Row],[Nome]]),N(RIGHT([PAPEL],1)="3"),[Div Base])*[Unit ON]+SUMPRODUCT(N([Nome]=Tabela3[[#This Row],[Nome]]),N(RIGHT([PAPEL],1)="4"),[Div Base])*[Unit PN],[Div Base])</f>
        <v>6.1286437772061046E-3</v>
      </c>
      <c r="AS355" s="14" t="str">
        <f>IF(AND([% A.A.]&gt;=6%,SUMPRODUCT(N([Nome]=Tabela3[[#This Row],[Nome]]),[PL])&gt;0,[Rentabilidade s/ PL]&gt;=[Rentabilidade s/ PL Média]),"Sim","Não")</f>
        <v>Não</v>
      </c>
      <c r="AT355" s="42">
        <f>IF([Cotação]&gt;0,Tabela3[[#This Row],[Lucro]]/Tabela3[[#This Row],[Cotação]],0)</f>
        <v>2.1888013490021802E-4</v>
      </c>
      <c r="AU355" s="42">
        <f>((1+Tabela3[[#This Row],[% Yield]])^(1/(3*Tabela3[[#This Row],[Ref]])))^(12)-1</f>
        <v>2.9185082568461418E-4</v>
      </c>
      <c r="AV355" s="14">
        <f>IF([Cotação]&gt;0,($BH$1/Tabela3[[#This Row],[Cotação]]-MOD($BH$1/Tabela3[[#This Row],[Cotação]],100)),)</f>
        <v>0</v>
      </c>
      <c r="AW355" s="17">
        <f>Tabela3[[#This Row],[Ativos]]*[Lucro]</f>
        <v>0</v>
      </c>
      <c r="AX355" s="17">
        <f>SUMPRODUCT(N(Tabela1[Código]=Tabela3[[#This Row],[PAPEL]]),Tabela1[Fechamento])</f>
        <v>0</v>
      </c>
      <c r="AY355" s="17">
        <f>SUMPRODUCT(N(Tabela17[Código]=Tabela3[[#This Row],[PAPEL]]),Tabela17[Fechamento])</f>
        <v>0</v>
      </c>
      <c r="AZ355" s="17">
        <f>SUMPRODUCT(N(Tabela176[Código]=Tabela3[[#This Row],[PAPEL]]),Tabela176[Fechamento])</f>
        <v>28</v>
      </c>
      <c r="BA355" s="17">
        <f>SUMPRODUCT(N(Tabela1768[Código]=Tabela3[[#This Row],[PAPEL]]),Tabela1768[Fechamento])</f>
        <v>0</v>
      </c>
      <c r="BB355" s="7">
        <f>SUMPRODUCT(N(Tabela17683[Código]=Tabela3[[#This Row],[PAPEL]]),Tabela17683[Fechamento])</f>
        <v>0</v>
      </c>
    </row>
    <row r="356" spans="1:54" hidden="1">
      <c r="A356" s="4" t="s">
        <v>333</v>
      </c>
      <c r="B356" s="126" t="s">
        <v>632</v>
      </c>
      <c r="C356" s="15" t="str">
        <f>LEFT([PAPEL],LEN([PAPEL])-(LEN([PAPEL])-4))</f>
        <v>DUQE</v>
      </c>
      <c r="D356" s="15">
        <v>3</v>
      </c>
      <c r="E356" s="6">
        <v>45000000</v>
      </c>
      <c r="F356" s="8">
        <v>1738251</v>
      </c>
      <c r="G356" s="86">
        <v>0.25</v>
      </c>
      <c r="H356" s="9"/>
      <c r="I356" s="19"/>
      <c r="J356" s="19">
        <v>0.1</v>
      </c>
      <c r="K356" s="88"/>
      <c r="L356" s="88"/>
      <c r="M356" s="55"/>
      <c r="N356" s="55"/>
      <c r="O356" s="55"/>
      <c r="P356" s="92">
        <v>78931000</v>
      </c>
      <c r="Q356" s="93">
        <v>75000</v>
      </c>
      <c r="R356" s="93">
        <f>IF(Tabela3[[#This Row],[Ativo || Passivo]]&gt;0,Tabela3[[#This Row],[Ativo || Passivo]]-Tabela3[[#This Row],[Patrimônio Líquido]],0)</f>
        <v>0</v>
      </c>
      <c r="S356" s="93">
        <f>Tabela3[[#This Row],[Cotação]]*Tabela3[[#This Row],[Total Ações]]</f>
        <v>14080020</v>
      </c>
      <c r="T356" s="40">
        <f>IF(Tabela3[[#This Row],[Passivo Circulante]]&gt;0,Tabela3[[#This Row],[Ativo Circulante]]/Tabela3[[#This Row],[Passivo Circulante]],0)</f>
        <v>0</v>
      </c>
      <c r="U356" s="40">
        <f>SUMPRODUCT(N([Liquidez Corrente]&gt;0),N(RIGHT([PAPEL],LEN([PAPEL])-(LEN([PAPEL])-1))="3"),[Liquidez Corrente])/SUMPRODUCT(N([Liquidez Corrente]&gt;0),N(RIGHT([PAPEL],LEN([PAPEL])-(LEN([PAPEL])-1))="3"))</f>
        <v>2.331224473064915</v>
      </c>
      <c r="V356" s="19">
        <f>IF(Tabela3[[#This Row],[Lucro Líquido]]&gt;0,Tabela3[[#This Row],[Lucro Líquido]]/Tabela3[[#This Row],[Patrimônio Líquido]],0)</f>
        <v>9.5019700751289098E-4</v>
      </c>
      <c r="W356" s="19">
        <f>SUMPRODUCT(N([Rentabilidade s/ PL]&gt;0),N(RIGHT([PAPEL],LEN([PAPEL])-(LEN([PAPEL])-1))="3"),[Rentabilidade s/ PL])/SUMPRODUCT(N([Rentabilidade s/ PL]&gt;0),N(RIGHT([PAPEL],LEN([PAPEL])-(LEN([PAPEL])-1))="3"))</f>
        <v>0.1261051308670782</v>
      </c>
      <c r="X356" s="19">
        <f>IF(Tabela3[[#This Row],[Dívida]]&gt;0,Tabela3[[#This Row],[Dívida]]/Tabela3[[#This Row],[Patrimônio Líquido]],0)</f>
        <v>0</v>
      </c>
      <c r="Y356" s="19">
        <f>SUMPRODUCT(N([Dívida / PL]&gt;0),N(RIGHT([PAPEL],LEN([PAPEL])-(LEN([PAPEL])-1))="3"),[Dívida / PL])/SUMPRODUCT(N([Dívida / PL]&gt;0),N(RIGHT([PAPEL],LEN([PAPEL])-(LEN([PAPEL])-1))="3"))</f>
        <v>2.1510410379481146</v>
      </c>
      <c r="Z356" s="13">
        <f>Tabela3[[#This Row],[Capital Social]]*20%</f>
        <v>9000000</v>
      </c>
      <c r="AA356" s="13">
        <f>IF(([Lucro Líquido]*5%)&gt;[Teto R. Legal],[Teto R. Legal],[Lucro Líquido]*5%)</f>
        <v>3750</v>
      </c>
      <c r="AB356" s="13">
        <f>IF([Lucro Líquido]&lt;0,0,[Lucro Líquido]-[Reserva Legal])</f>
        <v>71250</v>
      </c>
      <c r="AC356" s="13">
        <f>Tabela3[[#This Row],[Lucro Distribuir]]*[%Div]</f>
        <v>17812.5</v>
      </c>
      <c r="AD356" s="56">
        <f>SUMPRODUCT(N([Nome]=Tabela3[[#This Row],[Nome]]),[Ações])</f>
        <v>2816004</v>
      </c>
      <c r="AE356" s="6">
        <f>[Capital Social]/[Total Ações]</f>
        <v>15.980090937370827</v>
      </c>
      <c r="AF356" s="78">
        <f>Tabela3[[#This Row],[Lucro Líquido]]/Tabela3[[#This Row],[Total Ações]]</f>
        <v>2.6633484895618047E-2</v>
      </c>
      <c r="AG356" s="78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6.7415081641618762E-3</v>
      </c>
      <c r="AH356" s="78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356" s="78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356" s="78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6.7415081641618762E-3</v>
      </c>
      <c r="AK356" s="13">
        <f>[Div Base]*[Ações]</f>
        <v>11718.433307862546</v>
      </c>
      <c r="AL356" s="13">
        <f>SUMPRODUCT(N([Nome]=Tabela3[[#This Row],[Nome]]),[Div Base]*[Ações])</f>
        <v>18323.597524677756</v>
      </c>
      <c r="AM356" s="6">
        <f>[Patrimônio Líquido]/[Total Ações]</f>
        <v>28.029434617280373</v>
      </c>
      <c r="AN356" s="48">
        <f>MAX(Tabela3[[#This Row],[Cotação 1]:[Cotação 5]])</f>
        <v>5</v>
      </c>
      <c r="AO356" s="44">
        <f>[Cotação]/[VPA]</f>
        <v>0.17838390492962208</v>
      </c>
      <c r="AP356" s="40">
        <f>IF(Tabela3[[#This Row],[Lucro/Ação]]&gt;0,Tabela3[[#This Row],[Cotação]]/(Tabela3[[#This Row],[Lucro/Ação]]/[Ref]*4),0)</f>
        <v>140.80019999999999</v>
      </c>
      <c r="AQ356" s="78">
        <f>[Lucro Distribuir]/[Total Ações]</f>
        <v>2.5301810650837142E-2</v>
      </c>
      <c r="AR356" s="78">
        <f>IF([Unit ON]&gt;0,SUMPRODUCT(N([Nome]=Tabela3[[#This Row],[Nome]]),N(RIGHT([PAPEL],1)="3"),[Div Base])*[Unit ON]+SUMPRODUCT(N([Nome]=Tabela3[[#This Row],[Nome]]),N(RIGHT([PAPEL],1)="4"),[Div Base])*[Unit PN],[Div Base])</f>
        <v>6.7415081641618762E-3</v>
      </c>
      <c r="AS356" s="14" t="str">
        <f>IF(AND([% A.A.]&gt;=6%,SUMPRODUCT(N([Nome]=Tabela3[[#This Row],[Nome]]),[PL])&gt;0,[Rentabilidade s/ PL]&gt;=[Rentabilidade s/ PL Média]),"Sim","Não")</f>
        <v>Não</v>
      </c>
      <c r="AT356" s="42">
        <f>IF([Cotação]&gt;0,Tabela3[[#This Row],[Lucro]]/Tabela3[[#This Row],[Cotação]],0)</f>
        <v>1.3483016328323751E-3</v>
      </c>
      <c r="AU356" s="42">
        <f>((1+Tabela3[[#This Row],[% Yield]])^(1/(3*Tabela3[[#This Row],[Ref]])))^(12)-1</f>
        <v>1.7981393710906346E-3</v>
      </c>
      <c r="AV356" s="14">
        <f>IF([Cotação]&gt;0,($BH$1/Tabela3[[#This Row],[Cotação]]-MOD($BH$1/Tabela3[[#This Row],[Cotação]],100)),)</f>
        <v>100</v>
      </c>
      <c r="AW356" s="17">
        <f>Tabela3[[#This Row],[Ativos]]*[Lucro]</f>
        <v>0.67415081641618757</v>
      </c>
      <c r="AX356" s="17">
        <f>SUMPRODUCT(N(Tabela1[Código]=Tabela3[[#This Row],[PAPEL]]),Tabela1[Fechamento])</f>
        <v>0</v>
      </c>
      <c r="AY356" s="17">
        <f>SUMPRODUCT(N(Tabela17[Código]=Tabela3[[#This Row],[PAPEL]]),Tabela17[Fechamento])</f>
        <v>0</v>
      </c>
      <c r="AZ356" s="17">
        <f>SUMPRODUCT(N(Tabela176[Código]=Tabela3[[#This Row],[PAPEL]]),Tabela176[Fechamento])</f>
        <v>5</v>
      </c>
      <c r="BA356" s="17">
        <f>SUMPRODUCT(N(Tabela1768[Código]=Tabela3[[#This Row],[PAPEL]]),Tabela1768[Fechamento])</f>
        <v>0</v>
      </c>
      <c r="BB356" s="7">
        <f>SUMPRODUCT(N(Tabela17683[Código]=Tabela3[[#This Row],[PAPEL]]),Tabela17683[Fechamento])</f>
        <v>0</v>
      </c>
    </row>
    <row r="357" spans="1:54" hidden="1">
      <c r="A357" s="3" t="s">
        <v>1330</v>
      </c>
      <c r="B357" s="57" t="s">
        <v>1331</v>
      </c>
      <c r="C357" s="16" t="str">
        <f>LEFT([PAPEL],LEN([PAPEL])-(LEN([PAPEL])-4))</f>
        <v>IMBI</v>
      </c>
      <c r="D357" s="16">
        <v>3</v>
      </c>
      <c r="E357" s="5">
        <v>11238171.720000001</v>
      </c>
      <c r="F357" s="56">
        <v>145137632</v>
      </c>
      <c r="G357" s="81">
        <v>0.25</v>
      </c>
      <c r="H357" s="87"/>
      <c r="J357" s="18"/>
      <c r="K357" s="16"/>
      <c r="L357" s="87"/>
      <c r="M357" s="54"/>
      <c r="N357" s="54"/>
      <c r="O357" s="54"/>
      <c r="P357" s="91">
        <v>60300000</v>
      </c>
      <c r="Q357" s="73">
        <v>0</v>
      </c>
      <c r="R357" s="73">
        <f>IF(Tabela3[[#This Row],[Ativo || Passivo]]&gt;0,Tabela3[[#This Row],[Ativo || Passivo]]-Tabela3[[#This Row],[Patrimônio Líquido]],0)</f>
        <v>0</v>
      </c>
      <c r="S357" s="73">
        <f>Tabela3[[#This Row],[Cotação]]*Tabela3[[#This Row],[Total Ações]]</f>
        <v>176896019.74000001</v>
      </c>
      <c r="T357" s="37">
        <f>IF(Tabela3[[#This Row],[Passivo Circulante]]&gt;0,Tabela3[[#This Row],[Ativo Circulante]]/Tabela3[[#This Row],[Passivo Circulante]],0)</f>
        <v>0</v>
      </c>
      <c r="U357" s="37">
        <f>SUMPRODUCT(N([Liquidez Corrente]&gt;0),N(RIGHT([PAPEL],LEN([PAPEL])-(LEN([PAPEL])-1))="3"),[Liquidez Corrente])/SUMPRODUCT(N([Liquidez Corrente]&gt;0),N(RIGHT([PAPEL],LEN([PAPEL])-(LEN([PAPEL])-1))="3"))</f>
        <v>2.331224473064915</v>
      </c>
      <c r="V357" s="18">
        <f>IF(Tabela3[[#This Row],[Lucro Líquido]]&gt;0,Tabela3[[#This Row],[Lucro Líquido]]/Tabela3[[#This Row],[Patrimônio Líquido]],0)</f>
        <v>0</v>
      </c>
      <c r="W357" s="18">
        <f>SUMPRODUCT(N([Rentabilidade s/ PL]&gt;0),N(RIGHT([PAPEL],LEN([PAPEL])-(LEN([PAPEL])-1))="3"),[Rentabilidade s/ PL])/SUMPRODUCT(N([Rentabilidade s/ PL]&gt;0),N(RIGHT([PAPEL],LEN([PAPEL])-(LEN([PAPEL])-1))="3"))</f>
        <v>0.1261051308670782</v>
      </c>
      <c r="X357" s="18">
        <f>IF(Tabela3[[#This Row],[Dívida]]&gt;0,Tabela3[[#This Row],[Dívida]]/Tabela3[[#This Row],[Patrimônio Líquido]],0)</f>
        <v>0</v>
      </c>
      <c r="Y357" s="18">
        <f>SUMPRODUCT(N([Dívida / PL]&gt;0),N(RIGHT([PAPEL],LEN([PAPEL])-(LEN([PAPEL])-1))="3"),[Dívida / PL])/SUMPRODUCT(N([Dívida / PL]&gt;0),N(RIGHT([PAPEL],LEN([PAPEL])-(LEN([PAPEL])-1))="3"))</f>
        <v>2.1510410379481146</v>
      </c>
      <c r="Z357" s="7">
        <f>Tabela3[[#This Row],[Capital Social]]*20%</f>
        <v>2247634.344</v>
      </c>
      <c r="AA357" s="47">
        <f>IF(([Lucro Líquido]*5%)&gt;[Teto R. Legal],[Teto R. Legal],[Lucro Líquido]*5%)</f>
        <v>0</v>
      </c>
      <c r="AB357" s="47">
        <f>IF([Lucro Líquido]&lt;0,0,[Lucro Líquido]-[Reserva Legal])</f>
        <v>0</v>
      </c>
      <c r="AC357" s="47">
        <f>Tabela3[[#This Row],[Lucro Distribuir]]*[%Div]</f>
        <v>0</v>
      </c>
      <c r="AD357" s="56">
        <f>SUMPRODUCT(N([Nome]=Tabela3[[#This Row],[Nome]]),[Ações])</f>
        <v>175144574</v>
      </c>
      <c r="AE357" s="85">
        <f>[Capital Social]/[Total Ações]</f>
        <v>6.4165114929566711E-2</v>
      </c>
      <c r="AF357" s="85">
        <f>Tabela3[[#This Row],[Lucro Líquido]]/Tabela3[[#This Row],[Total Ações]]</f>
        <v>0</v>
      </c>
      <c r="AG357" s="85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</v>
      </c>
      <c r="AH357" s="85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357" s="77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357" s="85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</v>
      </c>
      <c r="AK357" s="7">
        <f>[Div Base]*[Ações]</f>
        <v>0</v>
      </c>
      <c r="AL357" s="120">
        <f>SUMPRODUCT(N([Nome]=Tabela3[[#This Row],[Nome]]),[Div Base]*[Ações])</f>
        <v>0</v>
      </c>
      <c r="AM357" s="5">
        <f>[Patrimônio Líquido]/[Total Ações]</f>
        <v>0.34428700029268394</v>
      </c>
      <c r="AN357" s="52">
        <f>MAX(Tabela3[[#This Row],[Cotação 1]:[Cotação 5]])</f>
        <v>1.01</v>
      </c>
      <c r="AO357" s="53">
        <f>[Cotação]/[VPA]</f>
        <v>2.9335990006633499</v>
      </c>
      <c r="AP357" s="37">
        <f>IF(Tabela3[[#This Row],[Lucro/Ação]]&gt;0,Tabela3[[#This Row],[Cotação]]/(Tabela3[[#This Row],[Lucro/Ação]]/[Ref]*4),0)</f>
        <v>0</v>
      </c>
      <c r="AQ357" s="85">
        <f>[Lucro Distribuir]/[Total Ações]</f>
        <v>0</v>
      </c>
      <c r="AR357" s="85">
        <f>IF([Unit ON]&gt;0,SUMPRODUCT(N([Nome]=Tabela3[[#This Row],[Nome]]),N(RIGHT([PAPEL],1)="3"),[Div Base])*[Unit ON]+SUMPRODUCT(N([Nome]=Tabela3[[#This Row],[Nome]]),N(RIGHT([PAPEL],1)="4"),[Div Base])*[Unit PN],[Div Base])</f>
        <v>0</v>
      </c>
      <c r="AS357" s="10" t="str">
        <f>IF(AND([% A.A.]&gt;=6%,SUMPRODUCT(N([Nome]=Tabela3[[#This Row],[Nome]]),[PL])&gt;0,[Rentabilidade s/ PL]&gt;=[Rentabilidade s/ PL Média]),"Sim","Não")</f>
        <v>Não</v>
      </c>
      <c r="AT357" s="22">
        <f>IF([Cotação]&gt;0,Tabela3[[#This Row],[Lucro]]/Tabela3[[#This Row],[Cotação]],0)</f>
        <v>0</v>
      </c>
      <c r="AU357" s="22">
        <f>((1+Tabela3[[#This Row],[% Yield]])^(1/(3*Tabela3[[#This Row],[Ref]])))^(12)-1</f>
        <v>0</v>
      </c>
      <c r="AV357" s="10">
        <f>IF([Cotação]&gt;0,($BH$1/Tabela3[[#This Row],[Cotação]]-MOD($BH$1/Tabela3[[#This Row],[Cotação]],100)),)</f>
        <v>400</v>
      </c>
      <c r="AW357" s="7">
        <f>Tabela3[[#This Row],[Ativos]]*[Lucro]</f>
        <v>0</v>
      </c>
      <c r="AX357" s="7">
        <f>SUMPRODUCT(N(Tabela1[Código]=Tabela3[[#This Row],[PAPEL]]),Tabela1[Fechamento])</f>
        <v>0</v>
      </c>
      <c r="AY357" s="7">
        <f>SUMPRODUCT(N(Tabela17[Código]=Tabela3[[#This Row],[PAPEL]]),Tabela17[Fechamento])</f>
        <v>0</v>
      </c>
      <c r="AZ357" s="7">
        <f>SUMPRODUCT(N(Tabela176[Código]=Tabela3[[#This Row],[PAPEL]]),Tabela176[Fechamento])</f>
        <v>0</v>
      </c>
      <c r="BA357" s="7">
        <f>SUMPRODUCT(N(Tabela1768[Código]=Tabela3[[#This Row],[PAPEL]]),Tabela1768[Fechamento])</f>
        <v>0</v>
      </c>
      <c r="BB357" s="7">
        <f>SUMPRODUCT(N(Tabela17683[Código]=Tabela3[[#This Row],[PAPEL]]),Tabela17683[Fechamento])</f>
        <v>1.01</v>
      </c>
    </row>
    <row r="358" spans="1:54" hidden="1">
      <c r="A358" s="3" t="s">
        <v>1330</v>
      </c>
      <c r="B358" s="57" t="s">
        <v>1332</v>
      </c>
      <c r="C358" s="16" t="str">
        <f>LEFT([PAPEL],LEN([PAPEL])-(LEN([PAPEL])-4))</f>
        <v>IMBI</v>
      </c>
      <c r="D358" s="16">
        <v>3</v>
      </c>
      <c r="E358" s="5">
        <v>11238171.720000001</v>
      </c>
      <c r="F358" s="56">
        <v>30006942</v>
      </c>
      <c r="G358" s="81">
        <v>0.25</v>
      </c>
      <c r="H358" s="87"/>
      <c r="J358" s="18">
        <v>0.1</v>
      </c>
      <c r="K358" s="16"/>
      <c r="L358" s="87"/>
      <c r="M358" s="54"/>
      <c r="N358" s="54"/>
      <c r="O358" s="54"/>
      <c r="P358" s="91">
        <v>60300000</v>
      </c>
      <c r="Q358" s="73">
        <v>0</v>
      </c>
      <c r="R358" s="73">
        <f>IF(Tabela3[[#This Row],[Ativo || Passivo]]&gt;0,Tabela3[[#This Row],[Ativo || Passivo]]-Tabela3[[#This Row],[Patrimônio Líquido]],0)</f>
        <v>0</v>
      </c>
      <c r="S358" s="73">
        <f>Tabela3[[#This Row],[Cotação]]*Tabela3[[#This Row],[Total Ações]]</f>
        <v>129606984.76000001</v>
      </c>
      <c r="T358" s="37">
        <f>IF(Tabela3[[#This Row],[Passivo Circulante]]&gt;0,Tabela3[[#This Row],[Ativo Circulante]]/Tabela3[[#This Row],[Passivo Circulante]],0)</f>
        <v>0</v>
      </c>
      <c r="U358" s="37">
        <f>SUMPRODUCT(N([Liquidez Corrente]&gt;0),N(RIGHT([PAPEL],LEN([PAPEL])-(LEN([PAPEL])-1))="3"),[Liquidez Corrente])/SUMPRODUCT(N([Liquidez Corrente]&gt;0),N(RIGHT([PAPEL],LEN([PAPEL])-(LEN([PAPEL])-1))="3"))</f>
        <v>2.331224473064915</v>
      </c>
      <c r="V358" s="18">
        <f>IF(Tabela3[[#This Row],[Lucro Líquido]]&gt;0,Tabela3[[#This Row],[Lucro Líquido]]/Tabela3[[#This Row],[Patrimônio Líquido]],0)</f>
        <v>0</v>
      </c>
      <c r="W358" s="18">
        <f>SUMPRODUCT(N([Rentabilidade s/ PL]&gt;0),N(RIGHT([PAPEL],LEN([PAPEL])-(LEN([PAPEL])-1))="3"),[Rentabilidade s/ PL])/SUMPRODUCT(N([Rentabilidade s/ PL]&gt;0),N(RIGHT([PAPEL],LEN([PAPEL])-(LEN([PAPEL])-1))="3"))</f>
        <v>0.1261051308670782</v>
      </c>
      <c r="X358" s="18">
        <f>IF(Tabela3[[#This Row],[Dívida]]&gt;0,Tabela3[[#This Row],[Dívida]]/Tabela3[[#This Row],[Patrimônio Líquido]],0)</f>
        <v>0</v>
      </c>
      <c r="Y358" s="18">
        <f>SUMPRODUCT(N([Dívida / PL]&gt;0),N(RIGHT([PAPEL],LEN([PAPEL])-(LEN([PAPEL])-1))="3"),[Dívida / PL])/SUMPRODUCT(N([Dívida / PL]&gt;0),N(RIGHT([PAPEL],LEN([PAPEL])-(LEN([PAPEL])-1))="3"))</f>
        <v>2.1510410379481146</v>
      </c>
      <c r="Z358" s="7">
        <f>Tabela3[[#This Row],[Capital Social]]*20%</f>
        <v>2247634.344</v>
      </c>
      <c r="AA358" s="47">
        <f>IF(([Lucro Líquido]*5%)&gt;[Teto R. Legal],[Teto R. Legal],[Lucro Líquido]*5%)</f>
        <v>0</v>
      </c>
      <c r="AB358" s="47">
        <f>IF([Lucro Líquido]&lt;0,0,[Lucro Líquido]-[Reserva Legal])</f>
        <v>0</v>
      </c>
      <c r="AC358" s="47">
        <f>Tabela3[[#This Row],[Lucro Distribuir]]*[%Div]</f>
        <v>0</v>
      </c>
      <c r="AD358" s="56">
        <f>SUMPRODUCT(N([Nome]=Tabela3[[#This Row],[Nome]]),[Ações])</f>
        <v>175144574</v>
      </c>
      <c r="AE358" s="85">
        <f>[Capital Social]/[Total Ações]</f>
        <v>6.4165114929566711E-2</v>
      </c>
      <c r="AF358" s="85">
        <f>Tabela3[[#This Row],[Lucro Líquido]]/Tabela3[[#This Row],[Total Ações]]</f>
        <v>0</v>
      </c>
      <c r="AG358" s="85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</v>
      </c>
      <c r="AH358" s="85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358" s="77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358" s="85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</v>
      </c>
      <c r="AK358" s="7">
        <f>[Div Base]*[Ações]</f>
        <v>0</v>
      </c>
      <c r="AL358" s="120">
        <f>SUMPRODUCT(N([Nome]=Tabela3[[#This Row],[Nome]]),[Div Base]*[Ações])</f>
        <v>0</v>
      </c>
      <c r="AM358" s="5">
        <f>[Patrimônio Líquido]/[Total Ações]</f>
        <v>0.34428700029268394</v>
      </c>
      <c r="AN358" s="52">
        <f>MAX(Tabela3[[#This Row],[Cotação 1]:[Cotação 5]])</f>
        <v>0.74</v>
      </c>
      <c r="AO358" s="53">
        <f>[Cotação]/[VPA]</f>
        <v>2.1493695648424542</v>
      </c>
      <c r="AP358" s="37">
        <f>IF(Tabela3[[#This Row],[Lucro/Ação]]&gt;0,Tabela3[[#This Row],[Cotação]]/(Tabela3[[#This Row],[Lucro/Ação]]/[Ref]*4),0)</f>
        <v>0</v>
      </c>
      <c r="AQ358" s="85">
        <f>[Lucro Distribuir]/[Total Ações]</f>
        <v>0</v>
      </c>
      <c r="AR358" s="85">
        <f>IF([Unit ON]&gt;0,SUMPRODUCT(N([Nome]=Tabela3[[#This Row],[Nome]]),N(RIGHT([PAPEL],1)="3"),[Div Base])*[Unit ON]+SUMPRODUCT(N([Nome]=Tabela3[[#This Row],[Nome]]),N(RIGHT([PAPEL],1)="4"),[Div Base])*[Unit PN],[Div Base])</f>
        <v>0</v>
      </c>
      <c r="AS358" s="10" t="str">
        <f>IF(AND([% A.A.]&gt;=6%,SUMPRODUCT(N([Nome]=Tabela3[[#This Row],[Nome]]),[PL])&gt;0,[Rentabilidade s/ PL]&gt;=[Rentabilidade s/ PL Média]),"Sim","Não")</f>
        <v>Não</v>
      </c>
      <c r="AT358" s="22">
        <f>IF([Cotação]&gt;0,Tabela3[[#This Row],[Lucro]]/Tabela3[[#This Row],[Cotação]],0)</f>
        <v>0</v>
      </c>
      <c r="AU358" s="22">
        <f>((1+Tabela3[[#This Row],[% Yield]])^(1/(3*Tabela3[[#This Row],[Ref]])))^(12)-1</f>
        <v>0</v>
      </c>
      <c r="AV358" s="10">
        <f>IF([Cotação]&gt;0,($BH$1/Tabela3[[#This Row],[Cotação]]-MOD($BH$1/Tabela3[[#This Row],[Cotação]],100)),)</f>
        <v>600</v>
      </c>
      <c r="AW358" s="7">
        <f>Tabela3[[#This Row],[Ativos]]*[Lucro]</f>
        <v>0</v>
      </c>
      <c r="AX358" s="7">
        <f>SUMPRODUCT(N(Tabela1[Código]=Tabela3[[#This Row],[PAPEL]]),Tabela1[Fechamento])</f>
        <v>0</v>
      </c>
      <c r="AY358" s="7">
        <f>SUMPRODUCT(N(Tabela17[Código]=Tabela3[[#This Row],[PAPEL]]),Tabela17[Fechamento])</f>
        <v>0</v>
      </c>
      <c r="AZ358" s="7">
        <f>SUMPRODUCT(N(Tabela176[Código]=Tabela3[[#This Row],[PAPEL]]),Tabela176[Fechamento])</f>
        <v>0</v>
      </c>
      <c r="BA358" s="7">
        <f>SUMPRODUCT(N(Tabela1768[Código]=Tabela3[[#This Row],[PAPEL]]),Tabela1768[Fechamento])</f>
        <v>0</v>
      </c>
      <c r="BB358" s="7">
        <f>SUMPRODUCT(N(Tabela17683[Código]=Tabela3[[#This Row],[PAPEL]]),Tabela17683[Fechamento])</f>
        <v>0.74</v>
      </c>
    </row>
    <row r="359" spans="1:54" hidden="1">
      <c r="A359" s="4" t="s">
        <v>338</v>
      </c>
      <c r="B359" s="126" t="s">
        <v>1290</v>
      </c>
      <c r="C359" s="16" t="str">
        <f>LEFT([PAPEL],LEN([PAPEL])-(LEN([PAPEL])-4))</f>
        <v>CCHI</v>
      </c>
      <c r="D359" s="16">
        <v>3</v>
      </c>
      <c r="E359" s="5">
        <v>31980000</v>
      </c>
      <c r="F359" s="56">
        <v>65862720</v>
      </c>
      <c r="G359" s="81">
        <v>0.25</v>
      </c>
      <c r="H359" s="18"/>
      <c r="J359" s="18"/>
      <c r="K359" s="16"/>
      <c r="L359" s="87"/>
      <c r="M359" s="54"/>
      <c r="N359" s="54"/>
      <c r="O359" s="54"/>
      <c r="P359" s="91">
        <v>-160447000</v>
      </c>
      <c r="Q359" s="73">
        <v>-1000</v>
      </c>
      <c r="R359" s="73">
        <f>IF(Tabela3[[#This Row],[Ativo || Passivo]]&gt;0,Tabela3[[#This Row],[Ativo || Passivo]]-Tabela3[[#This Row],[Patrimônio Líquido]],0)</f>
        <v>0</v>
      </c>
      <c r="S359" s="73">
        <f>Tabela3[[#This Row],[Cotação]]*Tabela3[[#This Row],[Total Ações]]</f>
        <v>11700000</v>
      </c>
      <c r="T359" s="37">
        <f>IF(Tabela3[[#This Row],[Passivo Circulante]]&gt;0,Tabela3[[#This Row],[Ativo Circulante]]/Tabela3[[#This Row],[Passivo Circulante]],0)</f>
        <v>0</v>
      </c>
      <c r="U359" s="37">
        <f>SUMPRODUCT(N([Liquidez Corrente]&gt;0),N(RIGHT([PAPEL],LEN([PAPEL])-(LEN([PAPEL])-1))="3"),[Liquidez Corrente])/SUMPRODUCT(N([Liquidez Corrente]&gt;0),N(RIGHT([PAPEL],LEN([PAPEL])-(LEN([PAPEL])-1))="3"))</f>
        <v>2.331224473064915</v>
      </c>
      <c r="V359" s="18">
        <f>IF(Tabela3[[#This Row],[Lucro Líquido]]&gt;0,Tabela3[[#This Row],[Lucro Líquido]]/Tabela3[[#This Row],[Patrimônio Líquido]],0)</f>
        <v>0</v>
      </c>
      <c r="W359" s="18">
        <f>SUMPRODUCT(N([Rentabilidade s/ PL]&gt;0),N(RIGHT([PAPEL],LEN([PAPEL])-(LEN([PAPEL])-1))="3"),[Rentabilidade s/ PL])/SUMPRODUCT(N([Rentabilidade s/ PL]&gt;0),N(RIGHT([PAPEL],LEN([PAPEL])-(LEN([PAPEL])-1))="3"))</f>
        <v>0.1261051308670782</v>
      </c>
      <c r="X359" s="18">
        <f>IF(Tabela3[[#This Row],[Dívida]]&gt;0,Tabela3[[#This Row],[Dívida]]/Tabela3[[#This Row],[Patrimônio Líquido]],0)</f>
        <v>0</v>
      </c>
      <c r="Y359" s="18">
        <f>SUMPRODUCT(N([Dívida / PL]&gt;0),N(RIGHT([PAPEL],LEN([PAPEL])-(LEN([PAPEL])-1))="3"),[Dívida / PL])/SUMPRODUCT(N([Dívida / PL]&gt;0),N(RIGHT([PAPEL],LEN([PAPEL])-(LEN([PAPEL])-1))="3"))</f>
        <v>2.1510410379481146</v>
      </c>
      <c r="Z359" s="7">
        <f>Tabela3[[#This Row],[Capital Social]]*20%</f>
        <v>6396000</v>
      </c>
      <c r="AA359" s="47">
        <f>IF(([Lucro Líquido]*5%)&gt;[Teto R. Legal],[Teto R. Legal],[Lucro Líquido]*5%)</f>
        <v>-50</v>
      </c>
      <c r="AB359" s="47">
        <f>IF([Lucro Líquido]&lt;0,0,[Lucro Líquido]-[Reserva Legal])</f>
        <v>0</v>
      </c>
      <c r="AC359" s="47">
        <f>Tabela3[[#This Row],[Lucro Distribuir]]*[%Div]</f>
        <v>0</v>
      </c>
      <c r="AD359" s="56">
        <f>SUMPRODUCT(N([Nome]=Tabela3[[#This Row],[Nome]]),[Ações])</f>
        <v>78000000</v>
      </c>
      <c r="AE359" s="85">
        <f>[Capital Social]/[Total Ações]</f>
        <v>0.41</v>
      </c>
      <c r="AF359" s="85">
        <f>Tabela3[[#This Row],[Lucro Líquido]]/Tabela3[[#This Row],[Total Ações]]</f>
        <v>-1.282051282051282E-5</v>
      </c>
      <c r="AG359" s="85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</v>
      </c>
      <c r="AH359" s="85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359" s="77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359" s="85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</v>
      </c>
      <c r="AK359" s="7">
        <f>[Div Base]*[Ações]</f>
        <v>0</v>
      </c>
      <c r="AL359" s="120">
        <f>SUMPRODUCT(N([Nome]=Tabela3[[#This Row],[Nome]]),[Div Base]*[Ações])</f>
        <v>0</v>
      </c>
      <c r="AM359" s="5">
        <f>[Patrimônio Líquido]/[Total Ações]</f>
        <v>-2.0570128205128206</v>
      </c>
      <c r="AN359" s="52">
        <f>MAX(Tabela3[[#This Row],[Cotação 1]:[Cotação 5]])</f>
        <v>0.15</v>
      </c>
      <c r="AO359" s="53">
        <f>[Cotação]/[VPA]</f>
        <v>-7.2921276184659101E-2</v>
      </c>
      <c r="AP359" s="37">
        <f>IF(Tabela3[[#This Row],[Lucro/Ação]]&gt;0,Tabela3[[#This Row],[Cotação]]/(Tabela3[[#This Row],[Lucro/Ação]]/[Ref]*4),0)</f>
        <v>0</v>
      </c>
      <c r="AQ359" s="85">
        <f>[Lucro Distribuir]/[Total Ações]</f>
        <v>0</v>
      </c>
      <c r="AR359" s="85">
        <f>IF([Unit ON]&gt;0,SUMPRODUCT(N([Nome]=Tabela3[[#This Row],[Nome]]),N(RIGHT([PAPEL],1)="3"),[Div Base])*[Unit ON]+SUMPRODUCT(N([Nome]=Tabela3[[#This Row],[Nome]]),N(RIGHT([PAPEL],1)="4"),[Div Base])*[Unit PN],[Div Base])</f>
        <v>0</v>
      </c>
      <c r="AS359" s="10" t="str">
        <f>IF(AND([% A.A.]&gt;=6%,SUMPRODUCT(N([Nome]=Tabela3[[#This Row],[Nome]]),[PL])&gt;0,[Rentabilidade s/ PL]&gt;=[Rentabilidade s/ PL Média]),"Sim","Não")</f>
        <v>Não</v>
      </c>
      <c r="AT359" s="22">
        <f>IF([Cotação]&gt;0,Tabela3[[#This Row],[Lucro]]/Tabela3[[#This Row],[Cotação]],0)</f>
        <v>0</v>
      </c>
      <c r="AU359" s="22">
        <f>((1+Tabela3[[#This Row],[% Yield]])^(1/(3*Tabela3[[#This Row],[Ref]])))^(12)-1</f>
        <v>0</v>
      </c>
      <c r="AV359" s="10">
        <f>IF([Cotação]&gt;0,($BH$1/Tabela3[[#This Row],[Cotação]]-MOD($BH$1/Tabela3[[#This Row],[Cotação]],100)),)</f>
        <v>3300</v>
      </c>
      <c r="AW359" s="7">
        <f>Tabela3[[#This Row],[Ativos]]*[Lucro]</f>
        <v>0</v>
      </c>
      <c r="AX359" s="7">
        <f>SUMPRODUCT(N(Tabela1[Código]=Tabela3[[#This Row],[PAPEL]]),Tabela1[Fechamento])</f>
        <v>0</v>
      </c>
      <c r="AY359" s="7">
        <f>SUMPRODUCT(N(Tabela17[Código]=Tabela3[[#This Row],[PAPEL]]),Tabela17[Fechamento])</f>
        <v>0</v>
      </c>
      <c r="AZ359" s="7">
        <f>SUMPRODUCT(N(Tabela176[Código]=Tabela3[[#This Row],[PAPEL]]),Tabela176[Fechamento])</f>
        <v>0</v>
      </c>
      <c r="BA359" s="7">
        <f>SUMPRODUCT(N(Tabela1768[Código]=Tabela3[[#This Row],[PAPEL]]),Tabela1768[Fechamento])</f>
        <v>0</v>
      </c>
      <c r="BB359" s="7">
        <f>SUMPRODUCT(N(Tabela17683[Código]=Tabela3[[#This Row],[PAPEL]]),Tabela17683[Fechamento])</f>
        <v>0.15</v>
      </c>
    </row>
    <row r="360" spans="1:54" hidden="1">
      <c r="A360" s="4" t="s">
        <v>338</v>
      </c>
      <c r="B360" s="126" t="s">
        <v>1291</v>
      </c>
      <c r="C360" s="16" t="str">
        <f>LEFT([PAPEL],LEN([PAPEL])-(LEN([PAPEL])-4))</f>
        <v>CCHI</v>
      </c>
      <c r="D360" s="16">
        <v>3</v>
      </c>
      <c r="E360" s="5">
        <v>31980000</v>
      </c>
      <c r="F360" s="56">
        <v>12137280</v>
      </c>
      <c r="G360" s="81">
        <v>0.25</v>
      </c>
      <c r="H360" s="18"/>
      <c r="J360" s="18"/>
      <c r="K360" s="16"/>
      <c r="L360" s="87"/>
      <c r="M360" s="54"/>
      <c r="N360" s="54"/>
      <c r="O360" s="54"/>
      <c r="P360" s="91">
        <v>-160447000</v>
      </c>
      <c r="Q360" s="73">
        <v>-1000</v>
      </c>
      <c r="R360" s="73">
        <f>IF(Tabela3[[#This Row],[Ativo || Passivo]]&gt;0,Tabela3[[#This Row],[Ativo || Passivo]]-Tabela3[[#This Row],[Patrimônio Líquido]],0)</f>
        <v>0</v>
      </c>
      <c r="S360" s="73">
        <f>Tabela3[[#This Row],[Cotação]]*Tabela3[[#This Row],[Total Ações]]</f>
        <v>9360000</v>
      </c>
      <c r="T360" s="37">
        <f>IF(Tabela3[[#This Row],[Passivo Circulante]]&gt;0,Tabela3[[#This Row],[Ativo Circulante]]/Tabela3[[#This Row],[Passivo Circulante]],0)</f>
        <v>0</v>
      </c>
      <c r="U360" s="37">
        <f>SUMPRODUCT(N([Liquidez Corrente]&gt;0),N(RIGHT([PAPEL],LEN([PAPEL])-(LEN([PAPEL])-1))="3"),[Liquidez Corrente])/SUMPRODUCT(N([Liquidez Corrente]&gt;0),N(RIGHT([PAPEL],LEN([PAPEL])-(LEN([PAPEL])-1))="3"))</f>
        <v>2.331224473064915</v>
      </c>
      <c r="V360" s="18">
        <f>IF(Tabela3[[#This Row],[Lucro Líquido]]&gt;0,Tabela3[[#This Row],[Lucro Líquido]]/Tabela3[[#This Row],[Patrimônio Líquido]],0)</f>
        <v>0</v>
      </c>
      <c r="W360" s="18">
        <f>SUMPRODUCT(N([Rentabilidade s/ PL]&gt;0),N(RIGHT([PAPEL],LEN([PAPEL])-(LEN([PAPEL])-1))="3"),[Rentabilidade s/ PL])/SUMPRODUCT(N([Rentabilidade s/ PL]&gt;0),N(RIGHT([PAPEL],LEN([PAPEL])-(LEN([PAPEL])-1))="3"))</f>
        <v>0.1261051308670782</v>
      </c>
      <c r="X360" s="18">
        <f>IF(Tabela3[[#This Row],[Dívida]]&gt;0,Tabela3[[#This Row],[Dívida]]/Tabela3[[#This Row],[Patrimônio Líquido]],0)</f>
        <v>0</v>
      </c>
      <c r="Y360" s="18">
        <f>SUMPRODUCT(N([Dívida / PL]&gt;0),N(RIGHT([PAPEL],LEN([PAPEL])-(LEN([PAPEL])-1))="3"),[Dívida / PL])/SUMPRODUCT(N([Dívida / PL]&gt;0),N(RIGHT([PAPEL],LEN([PAPEL])-(LEN([PAPEL])-1))="3"))</f>
        <v>2.1510410379481146</v>
      </c>
      <c r="Z360" s="7">
        <f>Tabela3[[#This Row],[Capital Social]]*20%</f>
        <v>6396000</v>
      </c>
      <c r="AA360" s="47">
        <f>IF(([Lucro Líquido]*5%)&gt;[Teto R. Legal],[Teto R. Legal],[Lucro Líquido]*5%)</f>
        <v>-50</v>
      </c>
      <c r="AB360" s="47">
        <f>IF([Lucro Líquido]&lt;0,0,[Lucro Líquido]-[Reserva Legal])</f>
        <v>0</v>
      </c>
      <c r="AC360" s="47">
        <f>Tabela3[[#This Row],[Lucro Distribuir]]*[%Div]</f>
        <v>0</v>
      </c>
      <c r="AD360" s="56">
        <f>SUMPRODUCT(N([Nome]=Tabela3[[#This Row],[Nome]]),[Ações])</f>
        <v>78000000</v>
      </c>
      <c r="AE360" s="85">
        <f>[Capital Social]/[Total Ações]</f>
        <v>0.41</v>
      </c>
      <c r="AF360" s="85">
        <f>Tabela3[[#This Row],[Lucro Líquido]]/Tabela3[[#This Row],[Total Ações]]</f>
        <v>-1.282051282051282E-5</v>
      </c>
      <c r="AG360" s="85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</v>
      </c>
      <c r="AH360" s="85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360" s="77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360" s="85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</v>
      </c>
      <c r="AK360" s="7">
        <f>[Div Base]*[Ações]</f>
        <v>0</v>
      </c>
      <c r="AL360" s="120">
        <f>SUMPRODUCT(N([Nome]=Tabela3[[#This Row],[Nome]]),[Div Base]*[Ações])</f>
        <v>0</v>
      </c>
      <c r="AM360" s="5">
        <f>[Patrimônio Líquido]/[Total Ações]</f>
        <v>-2.0570128205128206</v>
      </c>
      <c r="AN360" s="52">
        <f>MAX(Tabela3[[#This Row],[Cotação 1]:[Cotação 5]])</f>
        <v>0.12</v>
      </c>
      <c r="AO360" s="53">
        <f>[Cotação]/[VPA]</f>
        <v>-5.8337020947727282E-2</v>
      </c>
      <c r="AP360" s="37">
        <f>IF(Tabela3[[#This Row],[Lucro/Ação]]&gt;0,Tabela3[[#This Row],[Cotação]]/(Tabela3[[#This Row],[Lucro/Ação]]/[Ref]*4),0)</f>
        <v>0</v>
      </c>
      <c r="AQ360" s="85">
        <f>[Lucro Distribuir]/[Total Ações]</f>
        <v>0</v>
      </c>
      <c r="AR360" s="85">
        <f>IF([Unit ON]&gt;0,SUMPRODUCT(N([Nome]=Tabela3[[#This Row],[Nome]]),N(RIGHT([PAPEL],1)="3"),[Div Base])*[Unit ON]+SUMPRODUCT(N([Nome]=Tabela3[[#This Row],[Nome]]),N(RIGHT([PAPEL],1)="4"),[Div Base])*[Unit PN],[Div Base])</f>
        <v>0</v>
      </c>
      <c r="AS360" s="10" t="str">
        <f>IF(AND([% A.A.]&gt;=6%,SUMPRODUCT(N([Nome]=Tabela3[[#This Row],[Nome]]),[PL])&gt;0,[Rentabilidade s/ PL]&gt;=[Rentabilidade s/ PL Média]),"Sim","Não")</f>
        <v>Não</v>
      </c>
      <c r="AT360" s="22">
        <f>IF([Cotação]&gt;0,Tabela3[[#This Row],[Lucro]]/Tabela3[[#This Row],[Cotação]],0)</f>
        <v>0</v>
      </c>
      <c r="AU360" s="22">
        <f>((1+Tabela3[[#This Row],[% Yield]])^(1/(3*Tabela3[[#This Row],[Ref]])))^(12)-1</f>
        <v>0</v>
      </c>
      <c r="AV360" s="10">
        <f>IF([Cotação]&gt;0,($BH$1/Tabela3[[#This Row],[Cotação]]-MOD($BH$1/Tabela3[[#This Row],[Cotação]],100)),)</f>
        <v>4100</v>
      </c>
      <c r="AW360" s="7">
        <f>Tabela3[[#This Row],[Ativos]]*[Lucro]</f>
        <v>0</v>
      </c>
      <c r="AX360" s="7">
        <f>SUMPRODUCT(N(Tabela1[Código]=Tabela3[[#This Row],[PAPEL]]),Tabela1[Fechamento])</f>
        <v>0</v>
      </c>
      <c r="AY360" s="7">
        <f>SUMPRODUCT(N(Tabela17[Código]=Tabela3[[#This Row],[PAPEL]]),Tabela17[Fechamento])</f>
        <v>0</v>
      </c>
      <c r="AZ360" s="7">
        <f>SUMPRODUCT(N(Tabela176[Código]=Tabela3[[#This Row],[PAPEL]]),Tabela176[Fechamento])</f>
        <v>0</v>
      </c>
      <c r="BA360" s="7">
        <f>SUMPRODUCT(N(Tabela1768[Código]=Tabela3[[#This Row],[PAPEL]]),Tabela1768[Fechamento])</f>
        <v>0</v>
      </c>
      <c r="BB360" s="7">
        <f>SUMPRODUCT(N(Tabela17683[Código]=Tabela3[[#This Row],[PAPEL]]),Tabela17683[Fechamento])</f>
        <v>0.12</v>
      </c>
    </row>
    <row r="361" spans="1:54" hidden="1">
      <c r="A361" s="3" t="s">
        <v>343</v>
      </c>
      <c r="B361" s="57" t="s">
        <v>734</v>
      </c>
      <c r="C361" s="15" t="str">
        <f>LEFT([PAPEL],LEN([PAPEL])-(LEN([PAPEL])-4))</f>
        <v>CORR</v>
      </c>
      <c r="D361" s="15">
        <v>3</v>
      </c>
      <c r="E361" s="6">
        <v>10000</v>
      </c>
      <c r="F361" s="8">
        <v>7815</v>
      </c>
      <c r="G361" s="81">
        <v>0.25</v>
      </c>
      <c r="H361" s="15"/>
      <c r="I361" s="19"/>
      <c r="J361" s="19"/>
      <c r="K361" s="88"/>
      <c r="L361" s="88"/>
      <c r="M361" s="55"/>
      <c r="N361" s="55"/>
      <c r="O361" s="55"/>
      <c r="P361" s="92">
        <v>7227000</v>
      </c>
      <c r="Q361" s="93">
        <v>-199000</v>
      </c>
      <c r="R361" s="93">
        <f>IF(Tabela3[[#This Row],[Ativo || Passivo]]&gt;0,Tabela3[[#This Row],[Ativo || Passivo]]-Tabela3[[#This Row],[Patrimônio Líquido]],0)</f>
        <v>0</v>
      </c>
      <c r="S361" s="93">
        <f>Tabela3[[#This Row],[Cotação]]*Tabela3[[#This Row],[Total Ações]]</f>
        <v>0</v>
      </c>
      <c r="T361" s="40">
        <f>IF(Tabela3[[#This Row],[Passivo Circulante]]&gt;0,Tabela3[[#This Row],[Ativo Circulante]]/Tabela3[[#This Row],[Passivo Circulante]],0)</f>
        <v>0</v>
      </c>
      <c r="U361" s="40">
        <f>SUMPRODUCT(N([Liquidez Corrente]&gt;0),N(RIGHT([PAPEL],LEN([PAPEL])-(LEN([PAPEL])-1))="3"),[Liquidez Corrente])/SUMPRODUCT(N([Liquidez Corrente]&gt;0),N(RIGHT([PAPEL],LEN([PAPEL])-(LEN([PAPEL])-1))="3"))</f>
        <v>2.331224473064915</v>
      </c>
      <c r="V361" s="19">
        <f>IF(Tabela3[[#This Row],[Lucro Líquido]]&gt;0,Tabela3[[#This Row],[Lucro Líquido]]/Tabela3[[#This Row],[Patrimônio Líquido]],0)</f>
        <v>0</v>
      </c>
      <c r="W361" s="19">
        <f>SUMPRODUCT(N([Rentabilidade s/ PL]&gt;0),N(RIGHT([PAPEL],LEN([PAPEL])-(LEN([PAPEL])-1))="3"),[Rentabilidade s/ PL])/SUMPRODUCT(N([Rentabilidade s/ PL]&gt;0),N(RIGHT([PAPEL],LEN([PAPEL])-(LEN([PAPEL])-1))="3"))</f>
        <v>0.1261051308670782</v>
      </c>
      <c r="X361" s="19">
        <f>IF(Tabela3[[#This Row],[Dívida]]&gt;0,Tabela3[[#This Row],[Dívida]]/Tabela3[[#This Row],[Patrimônio Líquido]],0)</f>
        <v>0</v>
      </c>
      <c r="Y361" s="19">
        <f>SUMPRODUCT(N([Dívida / PL]&gt;0),N(RIGHT([PAPEL],LEN([PAPEL])-(LEN([PAPEL])-1))="3"),[Dívida / PL])/SUMPRODUCT(N([Dívida / PL]&gt;0),N(RIGHT([PAPEL],LEN([PAPEL])-(LEN([PAPEL])-1))="3"))</f>
        <v>2.1510410379481146</v>
      </c>
      <c r="Z361" s="13">
        <f>Tabela3[[#This Row],[Capital Social]]*20%</f>
        <v>2000</v>
      </c>
      <c r="AA361" s="13">
        <f>IF(([Lucro Líquido]*5%)&gt;[Teto R. Legal],[Teto R. Legal],[Lucro Líquido]*5%)</f>
        <v>-9950</v>
      </c>
      <c r="AB361" s="13">
        <f>IF([Lucro Líquido]&lt;0,0,[Lucro Líquido]-[Reserva Legal])</f>
        <v>0</v>
      </c>
      <c r="AC361" s="13">
        <f>Tabela3[[#This Row],[Lucro Distribuir]]*[%Div]</f>
        <v>0</v>
      </c>
      <c r="AD361" s="21">
        <f>SUMPRODUCT(N([Nome]=Tabela3[[#This Row],[Nome]]),[Ações])</f>
        <v>23153</v>
      </c>
      <c r="AE361" s="6">
        <f>[Capital Social]/[Total Ações]</f>
        <v>0.431909471774716</v>
      </c>
      <c r="AF361" s="78">
        <f>Tabela3[[#This Row],[Lucro Líquido]]/Tabela3[[#This Row],[Total Ações]]</f>
        <v>-8.5949984883168487</v>
      </c>
      <c r="AG361" s="78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</v>
      </c>
      <c r="AH361" s="78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361" s="78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361" s="78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</v>
      </c>
      <c r="AK361" s="13">
        <f>[Div Base]*[Ações]</f>
        <v>0</v>
      </c>
      <c r="AL361" s="13">
        <f>SUMPRODUCT(N([Nome]=Tabela3[[#This Row],[Nome]]),[Div Base]*[Ações])</f>
        <v>0</v>
      </c>
      <c r="AM361" s="6">
        <f>[Patrimônio Líquido]/[Total Ações]</f>
        <v>312.14097525158729</v>
      </c>
      <c r="AN361" s="48">
        <f>MAX(Tabela3[[#This Row],[Cotação 1]:[Cotação 5]])</f>
        <v>0</v>
      </c>
      <c r="AO361" s="44">
        <f>[Cotação]/[VPA]</f>
        <v>0</v>
      </c>
      <c r="AP361" s="40">
        <f>IF(Tabela3[[#This Row],[Lucro/Ação]]&gt;0,Tabela3[[#This Row],[Cotação]]/(Tabela3[[#This Row],[Lucro/Ação]]/[Ref]*4),0)</f>
        <v>0</v>
      </c>
      <c r="AQ361" s="78">
        <f>[Lucro Distribuir]/[Total Ações]</f>
        <v>0</v>
      </c>
      <c r="AR361" s="78">
        <f>IF([Unit ON]&gt;0,SUMPRODUCT(N([Nome]=Tabela3[[#This Row],[Nome]]),N(RIGHT([PAPEL],1)="3"),[Div Base])*[Unit ON]+SUMPRODUCT(N([Nome]=Tabela3[[#This Row],[Nome]]),N(RIGHT([PAPEL],1)="4"),[Div Base])*[Unit PN],[Div Base])</f>
        <v>0</v>
      </c>
      <c r="AS361" s="14" t="str">
        <f>IF(AND([% A.A.]&gt;=6%,SUMPRODUCT(N([Nome]=Tabela3[[#This Row],[Nome]]),[PL])&gt;0,[Rentabilidade s/ PL]&gt;=[Rentabilidade s/ PL Média]),"Sim","Não")</f>
        <v>Não</v>
      </c>
      <c r="AT361" s="42">
        <f>IF([Cotação]&gt;0,Tabela3[[#This Row],[Lucro]]/Tabela3[[#This Row],[Cotação]],0)</f>
        <v>0</v>
      </c>
      <c r="AU361" s="42">
        <f>((1+Tabela3[[#This Row],[% Yield]])^(1/(3*Tabela3[[#This Row],[Ref]])))^(12)-1</f>
        <v>0</v>
      </c>
      <c r="AV361" s="14">
        <f>IF([Cotação]&gt;0,($BH$1/Tabela3[[#This Row],[Cotação]]-MOD($BH$1/Tabela3[[#This Row],[Cotação]],100)),)</f>
        <v>0</v>
      </c>
      <c r="AW361" s="17">
        <f>Tabela3[[#This Row],[Ativos]]*[Lucro]</f>
        <v>0</v>
      </c>
      <c r="AX361" s="17">
        <f>SUMPRODUCT(N(Tabela1[Código]=Tabela3[[#This Row],[PAPEL]]),Tabela1[Fechamento])</f>
        <v>0</v>
      </c>
      <c r="AY361" s="17">
        <f>SUMPRODUCT(N(Tabela17[Código]=Tabela3[[#This Row],[PAPEL]]),Tabela17[Fechamento])</f>
        <v>0</v>
      </c>
      <c r="AZ361" s="17">
        <f>SUMPRODUCT(N(Tabela176[Código]=Tabela3[[#This Row],[PAPEL]]),Tabela176[Fechamento])</f>
        <v>0</v>
      </c>
      <c r="BA361" s="17">
        <f>SUMPRODUCT(N(Tabela1768[Código]=Tabela3[[#This Row],[PAPEL]]),Tabela1768[Fechamento])</f>
        <v>0</v>
      </c>
      <c r="BB361" s="7">
        <f>SUMPRODUCT(N(Tabela17683[Código]=Tabela3[[#This Row],[PAPEL]]),Tabela17683[Fechamento])</f>
        <v>0</v>
      </c>
    </row>
    <row r="362" spans="1:54" hidden="1">
      <c r="A362" s="3" t="s">
        <v>343</v>
      </c>
      <c r="B362" s="57" t="s">
        <v>735</v>
      </c>
      <c r="C362" s="15" t="str">
        <f>LEFT([PAPEL],LEN([PAPEL])-(LEN([PAPEL])-4))</f>
        <v>CORR</v>
      </c>
      <c r="D362" s="15">
        <v>3</v>
      </c>
      <c r="E362" s="6">
        <v>10000</v>
      </c>
      <c r="F362" s="8">
        <v>15338</v>
      </c>
      <c r="G362" s="81">
        <v>0.25</v>
      </c>
      <c r="H362" s="15"/>
      <c r="I362" s="19">
        <v>0.1</v>
      </c>
      <c r="J362" s="19"/>
      <c r="K362" s="88"/>
      <c r="L362" s="88"/>
      <c r="M362" s="55"/>
      <c r="N362" s="55"/>
      <c r="O362" s="55"/>
      <c r="P362" s="92">
        <v>7227000</v>
      </c>
      <c r="Q362" s="93">
        <v>-199000</v>
      </c>
      <c r="R362" s="93">
        <f>IF(Tabela3[[#This Row],[Ativo || Passivo]]&gt;0,Tabela3[[#This Row],[Ativo || Passivo]]-Tabela3[[#This Row],[Patrimônio Líquido]],0)</f>
        <v>0</v>
      </c>
      <c r="S362" s="93">
        <f>Tabela3[[#This Row],[Cotação]]*Tabela3[[#This Row],[Total Ações]]</f>
        <v>4862361.5299999993</v>
      </c>
      <c r="T362" s="40">
        <f>IF(Tabela3[[#This Row],[Passivo Circulante]]&gt;0,Tabela3[[#This Row],[Ativo Circulante]]/Tabela3[[#This Row],[Passivo Circulante]],0)</f>
        <v>0</v>
      </c>
      <c r="U362" s="40">
        <f>SUMPRODUCT(N([Liquidez Corrente]&gt;0),N(RIGHT([PAPEL],LEN([PAPEL])-(LEN([PAPEL])-1))="3"),[Liquidez Corrente])/SUMPRODUCT(N([Liquidez Corrente]&gt;0),N(RIGHT([PAPEL],LEN([PAPEL])-(LEN([PAPEL])-1))="3"))</f>
        <v>2.331224473064915</v>
      </c>
      <c r="V362" s="19">
        <f>IF(Tabela3[[#This Row],[Lucro Líquido]]&gt;0,Tabela3[[#This Row],[Lucro Líquido]]/Tabela3[[#This Row],[Patrimônio Líquido]],0)</f>
        <v>0</v>
      </c>
      <c r="W362" s="19">
        <f>SUMPRODUCT(N([Rentabilidade s/ PL]&gt;0),N(RIGHT([PAPEL],LEN([PAPEL])-(LEN([PAPEL])-1))="3"),[Rentabilidade s/ PL])/SUMPRODUCT(N([Rentabilidade s/ PL]&gt;0),N(RIGHT([PAPEL],LEN([PAPEL])-(LEN([PAPEL])-1))="3"))</f>
        <v>0.1261051308670782</v>
      </c>
      <c r="X362" s="19">
        <f>IF(Tabela3[[#This Row],[Dívida]]&gt;0,Tabela3[[#This Row],[Dívida]]/Tabela3[[#This Row],[Patrimônio Líquido]],0)</f>
        <v>0</v>
      </c>
      <c r="Y362" s="19">
        <f>SUMPRODUCT(N([Dívida / PL]&gt;0),N(RIGHT([PAPEL],LEN([PAPEL])-(LEN([PAPEL])-1))="3"),[Dívida / PL])/SUMPRODUCT(N([Dívida / PL]&gt;0),N(RIGHT([PAPEL],LEN([PAPEL])-(LEN([PAPEL])-1))="3"))</f>
        <v>2.1510410379481146</v>
      </c>
      <c r="Z362" s="13">
        <f>Tabela3[[#This Row],[Capital Social]]*20%</f>
        <v>2000</v>
      </c>
      <c r="AA362" s="13">
        <f>IF(([Lucro Líquido]*5%)&gt;[Teto R. Legal],[Teto R. Legal],[Lucro Líquido]*5%)</f>
        <v>-9950</v>
      </c>
      <c r="AB362" s="13">
        <f>IF([Lucro Líquido]&lt;0,0,[Lucro Líquido]-[Reserva Legal])</f>
        <v>0</v>
      </c>
      <c r="AC362" s="13">
        <f>Tabela3[[#This Row],[Lucro Distribuir]]*[%Div]</f>
        <v>0</v>
      </c>
      <c r="AD362" s="21">
        <f>SUMPRODUCT(N([Nome]=Tabela3[[#This Row],[Nome]]),[Ações])</f>
        <v>23153</v>
      </c>
      <c r="AE362" s="6">
        <f>[Capital Social]/[Total Ações]</f>
        <v>0.431909471774716</v>
      </c>
      <c r="AF362" s="78">
        <f>Tabela3[[#This Row],[Lucro Líquido]]/Tabela3[[#This Row],[Total Ações]]</f>
        <v>-8.5949984883168487</v>
      </c>
      <c r="AG362" s="78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</v>
      </c>
      <c r="AH362" s="78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362" s="78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362" s="78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</v>
      </c>
      <c r="AK362" s="13">
        <f>[Div Base]*[Ações]</f>
        <v>0</v>
      </c>
      <c r="AL362" s="13">
        <f>SUMPRODUCT(N([Nome]=Tabela3[[#This Row],[Nome]]),[Div Base]*[Ações])</f>
        <v>0</v>
      </c>
      <c r="AM362" s="6">
        <f>[Patrimônio Líquido]/[Total Ações]</f>
        <v>312.14097525158729</v>
      </c>
      <c r="AN362" s="48">
        <f>MAX(Tabela3[[#This Row],[Cotação 1]:[Cotação 5]])</f>
        <v>210.01</v>
      </c>
      <c r="AO362" s="44">
        <f>[Cotação]/[VPA]</f>
        <v>0.67280497163414965</v>
      </c>
      <c r="AP362" s="40">
        <f>IF(Tabela3[[#This Row],[Lucro/Ação]]&gt;0,Tabela3[[#This Row],[Cotação]]/(Tabela3[[#This Row],[Lucro/Ação]]/[Ref]*4),0)</f>
        <v>0</v>
      </c>
      <c r="AQ362" s="78">
        <f>[Lucro Distribuir]/[Total Ações]</f>
        <v>0</v>
      </c>
      <c r="AR362" s="78">
        <f>IF([Unit ON]&gt;0,SUMPRODUCT(N([Nome]=Tabela3[[#This Row],[Nome]]),N(RIGHT([PAPEL],1)="3"),[Div Base])*[Unit ON]+SUMPRODUCT(N([Nome]=Tabela3[[#This Row],[Nome]]),N(RIGHT([PAPEL],1)="4"),[Div Base])*[Unit PN],[Div Base])</f>
        <v>0</v>
      </c>
      <c r="AS362" s="14" t="str">
        <f>IF(AND([% A.A.]&gt;=6%,SUMPRODUCT(N([Nome]=Tabela3[[#This Row],[Nome]]),[PL])&gt;0,[Rentabilidade s/ PL]&gt;=[Rentabilidade s/ PL Média]),"Sim","Não")</f>
        <v>Não</v>
      </c>
      <c r="AT362" s="42">
        <f>IF([Cotação]&gt;0,Tabela3[[#This Row],[Lucro]]/Tabela3[[#This Row],[Cotação]],0)</f>
        <v>0</v>
      </c>
      <c r="AU362" s="42">
        <f>((1+Tabela3[[#This Row],[% Yield]])^(1/(3*Tabela3[[#This Row],[Ref]])))^(12)-1</f>
        <v>0</v>
      </c>
      <c r="AV362" s="14">
        <f>IF([Cotação]&gt;0,($BH$1/Tabela3[[#This Row],[Cotação]]-MOD($BH$1/Tabela3[[#This Row],[Cotação]],100)),)</f>
        <v>0</v>
      </c>
      <c r="AW362" s="17">
        <f>Tabela3[[#This Row],[Ativos]]*[Lucro]</f>
        <v>0</v>
      </c>
      <c r="AX362" s="17">
        <f>SUMPRODUCT(N(Tabela1[Código]=Tabela3[[#This Row],[PAPEL]]),Tabela1[Fechamento])</f>
        <v>0</v>
      </c>
      <c r="AY362" s="17">
        <f>SUMPRODUCT(N(Tabela17[Código]=Tabela3[[#This Row],[PAPEL]]),Tabela17[Fechamento])</f>
        <v>0</v>
      </c>
      <c r="AZ362" s="17">
        <f>SUMPRODUCT(N(Tabela176[Código]=Tabela3[[#This Row],[PAPEL]]),Tabela176[Fechamento])</f>
        <v>210.01</v>
      </c>
      <c r="BA362" s="17">
        <f>SUMPRODUCT(N(Tabela1768[Código]=Tabela3[[#This Row],[PAPEL]]),Tabela1768[Fechamento])</f>
        <v>0</v>
      </c>
      <c r="BB362" s="7">
        <f>SUMPRODUCT(N(Tabela17683[Código]=Tabela3[[#This Row],[PAPEL]]),Tabela17683[Fechamento])</f>
        <v>0</v>
      </c>
    </row>
    <row r="363" spans="1:54" hidden="1">
      <c r="A363" s="3" t="s">
        <v>1196</v>
      </c>
      <c r="B363" s="57" t="s">
        <v>1228</v>
      </c>
      <c r="C363" s="16" t="str">
        <f>LEFT([PAPEL],LEN([PAPEL])-(LEN([PAPEL])-4))</f>
        <v>SGEN</v>
      </c>
      <c r="D363" s="16">
        <v>3</v>
      </c>
      <c r="E363" s="5">
        <v>55000000</v>
      </c>
      <c r="F363" s="56">
        <v>15807460935</v>
      </c>
      <c r="G363" s="81">
        <v>0.25</v>
      </c>
      <c r="H363" s="87"/>
      <c r="J363" s="18"/>
      <c r="K363" s="16"/>
      <c r="L363" s="87"/>
      <c r="M363" s="54"/>
      <c r="N363" s="54"/>
      <c r="O363" s="54"/>
      <c r="P363" s="91">
        <v>156980922</v>
      </c>
      <c r="Q363" s="73">
        <v>-493467</v>
      </c>
      <c r="R363" s="73">
        <f>IF(Tabela3[[#This Row],[Ativo || Passivo]]&gt;0,Tabela3[[#This Row],[Ativo || Passivo]]-Tabela3[[#This Row],[Patrimônio Líquido]],0)</f>
        <v>0</v>
      </c>
      <c r="S363" s="73">
        <f>Tabela3[[#This Row],[Cotação]]*Tabela3[[#This Row],[Total Ações]]</f>
        <v>121375160025</v>
      </c>
      <c r="T363" s="37">
        <f>IF(Tabela3[[#This Row],[Passivo Circulante]]&gt;0,Tabela3[[#This Row],[Ativo Circulante]]/Tabela3[[#This Row],[Passivo Circulante]],0)</f>
        <v>0</v>
      </c>
      <c r="U363" s="37">
        <f>SUMPRODUCT(N([Liquidez Corrente]&gt;0),N(RIGHT([PAPEL],LEN([PAPEL])-(LEN([PAPEL])-1))="3"),[Liquidez Corrente])/SUMPRODUCT(N([Liquidez Corrente]&gt;0),N(RIGHT([PAPEL],LEN([PAPEL])-(LEN([PAPEL])-1))="3"))</f>
        <v>2.331224473064915</v>
      </c>
      <c r="V363" s="18">
        <f>IF(Tabela3[[#This Row],[Lucro Líquido]]&gt;0,Tabela3[[#This Row],[Lucro Líquido]]/Tabela3[[#This Row],[Patrimônio Líquido]],0)</f>
        <v>0</v>
      </c>
      <c r="W363" s="18">
        <f>SUMPRODUCT(N([Rentabilidade s/ PL]&gt;0),N(RIGHT([PAPEL],LEN([PAPEL])-(LEN([PAPEL])-1))="3"),[Rentabilidade s/ PL])/SUMPRODUCT(N([Rentabilidade s/ PL]&gt;0),N(RIGHT([PAPEL],LEN([PAPEL])-(LEN([PAPEL])-1))="3"))</f>
        <v>0.1261051308670782</v>
      </c>
      <c r="X363" s="18">
        <f>IF(Tabela3[[#This Row],[Dívida]]&gt;0,Tabela3[[#This Row],[Dívida]]/Tabela3[[#This Row],[Patrimônio Líquido]],0)</f>
        <v>0</v>
      </c>
      <c r="Y363" s="18">
        <f>SUMPRODUCT(N([Dívida / PL]&gt;0),N(RIGHT([PAPEL],LEN([PAPEL])-(LEN([PAPEL])-1))="3"),[Dívida / PL])/SUMPRODUCT(N([Dívida / PL]&gt;0),N(RIGHT([PAPEL],LEN([PAPEL])-(LEN([PAPEL])-1))="3"))</f>
        <v>2.1510410379481146</v>
      </c>
      <c r="Z363" s="7">
        <f>Tabela3[[#This Row],[Capital Social]]*20%</f>
        <v>11000000</v>
      </c>
      <c r="AA363" s="47">
        <f>IF(([Lucro Líquido]*5%)&gt;[Teto R. Legal],[Teto R. Legal],[Lucro Líquido]*5%)</f>
        <v>-24673.350000000002</v>
      </c>
      <c r="AB363" s="47">
        <f>IF([Lucro Líquido]&lt;0,0,[Lucro Líquido]-[Reserva Legal])</f>
        <v>0</v>
      </c>
      <c r="AC363" s="47">
        <f>Tabela3[[#This Row],[Lucro Distribuir]]*[%Div]</f>
        <v>0</v>
      </c>
      <c r="AD363" s="56">
        <f>SUMPRODUCT(N([Nome]=Tabela3[[#This Row],[Nome]]),[Ações])</f>
        <v>24275032005</v>
      </c>
      <c r="AE363" s="85">
        <f>[Capital Social]/[Total Ações]</f>
        <v>2.265702471109883E-3</v>
      </c>
      <c r="AF363" s="85">
        <f>Tabela3[[#This Row],[Lucro Líquido]]/Tabela3[[#This Row],[Total Ações]]</f>
        <v>-2.0328170932930559E-5</v>
      </c>
      <c r="AG363" s="85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</v>
      </c>
      <c r="AH363" s="85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363" s="77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363" s="85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</v>
      </c>
      <c r="AK363" s="7">
        <f>[Div Base]*[Ações]</f>
        <v>0</v>
      </c>
      <c r="AL363" s="120">
        <f>SUMPRODUCT(N([Nome]=Tabela3[[#This Row],[Nome]]),[Div Base]*[Ações])</f>
        <v>0</v>
      </c>
      <c r="AM363" s="5">
        <f>[Patrimônio Líquido]/[Total Ações]</f>
        <v>6.4667647798637784E-3</v>
      </c>
      <c r="AN363" s="52">
        <f>MAX(Tabela3[[#This Row],[Cotação 1]:[Cotação 5]])</f>
        <v>5</v>
      </c>
      <c r="AO363" s="53">
        <f>[Cotação]/[VPA]</f>
        <v>773.18414542755716</v>
      </c>
      <c r="AP363" s="37">
        <f>IF(Tabela3[[#This Row],[Lucro/Ação]]&gt;0,Tabela3[[#This Row],[Cotação]]/(Tabela3[[#This Row],[Lucro/Ação]]/[Ref]*4),0)</f>
        <v>0</v>
      </c>
      <c r="AQ363" s="85">
        <f>[Lucro Distribuir]/[Total Ações]</f>
        <v>0</v>
      </c>
      <c r="AR363" s="85">
        <f>IF([Unit ON]&gt;0,SUMPRODUCT(N([Nome]=Tabela3[[#This Row],[Nome]]),N(RIGHT([PAPEL],1)="3"),[Div Base])*[Unit ON]+SUMPRODUCT(N([Nome]=Tabela3[[#This Row],[Nome]]),N(RIGHT([PAPEL],1)="4"),[Div Base])*[Unit PN],[Div Base])</f>
        <v>0</v>
      </c>
      <c r="AS363" s="10" t="str">
        <f>IF(AND([% A.A.]&gt;=6%,SUMPRODUCT(N([Nome]=Tabela3[[#This Row],[Nome]]),[PL])&gt;0,[Rentabilidade s/ PL]&gt;=[Rentabilidade s/ PL Média]),"Sim","Não")</f>
        <v>Não</v>
      </c>
      <c r="AT363" s="22">
        <f>IF([Cotação]&gt;0,Tabela3[[#This Row],[Lucro]]/Tabela3[[#This Row],[Cotação]],0)</f>
        <v>0</v>
      </c>
      <c r="AU363" s="22">
        <f>((1+Tabela3[[#This Row],[% Yield]])^(1/(3*Tabela3[[#This Row],[Ref]])))^(12)-1</f>
        <v>0</v>
      </c>
      <c r="AV363" s="10">
        <f>IF([Cotação]&gt;0,($BH$1/Tabela3[[#This Row],[Cotação]]-MOD($BH$1/Tabela3[[#This Row],[Cotação]],100)),)</f>
        <v>100</v>
      </c>
      <c r="AW363" s="7">
        <f>Tabela3[[#This Row],[Ativos]]*[Lucro]</f>
        <v>0</v>
      </c>
      <c r="AX363" s="7">
        <f>SUMPRODUCT(N(Tabela1[Código]=Tabela3[[#This Row],[PAPEL]]),Tabela1[Fechamento])</f>
        <v>0</v>
      </c>
      <c r="AY363" s="7">
        <f>SUMPRODUCT(N(Tabela17[Código]=Tabela3[[#This Row],[PAPEL]]),Tabela17[Fechamento])</f>
        <v>0</v>
      </c>
      <c r="AZ363" s="7">
        <f>SUMPRODUCT(N(Tabela176[Código]=Tabela3[[#This Row],[PAPEL]]),Tabela176[Fechamento])</f>
        <v>0</v>
      </c>
      <c r="BA363" s="7">
        <f>SUMPRODUCT(N(Tabela1768[Código]=Tabela3[[#This Row],[PAPEL]]),Tabela1768[Fechamento])</f>
        <v>5</v>
      </c>
      <c r="BB363" s="7">
        <f>SUMPRODUCT(N(Tabela17683[Código]=Tabela3[[#This Row],[PAPEL]]),Tabela17683[Fechamento])</f>
        <v>0</v>
      </c>
    </row>
    <row r="364" spans="1:54" hidden="1">
      <c r="A364" s="3" t="s">
        <v>1196</v>
      </c>
      <c r="B364" s="57" t="s">
        <v>1229</v>
      </c>
      <c r="C364" s="16" t="str">
        <f>LEFT([PAPEL],LEN([PAPEL])-(LEN([PAPEL])-4))</f>
        <v>SGEN</v>
      </c>
      <c r="D364" s="16">
        <v>3</v>
      </c>
      <c r="E364" s="5">
        <v>55000000</v>
      </c>
      <c r="F364" s="56">
        <v>8467571070</v>
      </c>
      <c r="G364" s="81">
        <v>0.25</v>
      </c>
      <c r="H364" s="87"/>
      <c r="J364" s="18">
        <v>0.1</v>
      </c>
      <c r="K364" s="16"/>
      <c r="L364" s="87"/>
      <c r="M364" s="54"/>
      <c r="N364" s="54"/>
      <c r="O364" s="54"/>
      <c r="P364" s="91">
        <v>156980922</v>
      </c>
      <c r="Q364" s="93">
        <v>-493467</v>
      </c>
      <c r="R364" s="93">
        <f>IF(Tabela3[[#This Row],[Ativo || Passivo]]&gt;0,Tabela3[[#This Row],[Ativo || Passivo]]-Tabela3[[#This Row],[Patrimônio Líquido]],0)</f>
        <v>0</v>
      </c>
      <c r="S364" s="93">
        <f>Tabela3[[#This Row],[Cotação]]*Tabela3[[#This Row],[Total Ações]]</f>
        <v>14565019203</v>
      </c>
      <c r="T364" s="40">
        <f>IF(Tabela3[[#This Row],[Passivo Circulante]]&gt;0,Tabela3[[#This Row],[Ativo Circulante]]/Tabela3[[#This Row],[Passivo Circulante]],0)</f>
        <v>0</v>
      </c>
      <c r="U364" s="40">
        <f>SUMPRODUCT(N([Liquidez Corrente]&gt;0),N(RIGHT([PAPEL],LEN([PAPEL])-(LEN([PAPEL])-1))="3"),[Liquidez Corrente])/SUMPRODUCT(N([Liquidez Corrente]&gt;0),N(RIGHT([PAPEL],LEN([PAPEL])-(LEN([PAPEL])-1))="3"))</f>
        <v>2.331224473064915</v>
      </c>
      <c r="V364" s="19">
        <f>IF(Tabela3[[#This Row],[Lucro Líquido]]&gt;0,Tabela3[[#This Row],[Lucro Líquido]]/Tabela3[[#This Row],[Patrimônio Líquido]],0)</f>
        <v>0</v>
      </c>
      <c r="W364" s="19">
        <f>SUMPRODUCT(N([Rentabilidade s/ PL]&gt;0),N(RIGHT([PAPEL],LEN([PAPEL])-(LEN([PAPEL])-1))="3"),[Rentabilidade s/ PL])/SUMPRODUCT(N([Rentabilidade s/ PL]&gt;0),N(RIGHT([PAPEL],LEN([PAPEL])-(LEN([PAPEL])-1))="3"))</f>
        <v>0.1261051308670782</v>
      </c>
      <c r="X364" s="19">
        <f>IF(Tabela3[[#This Row],[Dívida]]&gt;0,Tabela3[[#This Row],[Dívida]]/Tabela3[[#This Row],[Patrimônio Líquido]],0)</f>
        <v>0</v>
      </c>
      <c r="Y364" s="19">
        <f>SUMPRODUCT(N([Dívida / PL]&gt;0),N(RIGHT([PAPEL],LEN([PAPEL])-(LEN([PAPEL])-1))="3"),[Dívida / PL])/SUMPRODUCT(N([Dívida / PL]&gt;0),N(RIGHT([PAPEL],LEN([PAPEL])-(LEN([PAPEL])-1))="3"))</f>
        <v>2.1510410379481146</v>
      </c>
      <c r="Z364" s="7">
        <f>Tabela3[[#This Row],[Capital Social]]*20%</f>
        <v>11000000</v>
      </c>
      <c r="AA364" s="47">
        <f>IF(([Lucro Líquido]*5%)&gt;[Teto R. Legal],[Teto R. Legal],[Lucro Líquido]*5%)</f>
        <v>-24673.350000000002</v>
      </c>
      <c r="AB364" s="47">
        <f>IF([Lucro Líquido]&lt;0,0,[Lucro Líquido]-[Reserva Legal])</f>
        <v>0</v>
      </c>
      <c r="AC364" s="47">
        <f>Tabela3[[#This Row],[Lucro Distribuir]]*[%Div]</f>
        <v>0</v>
      </c>
      <c r="AD364" s="56">
        <f>SUMPRODUCT(N([Nome]=Tabela3[[#This Row],[Nome]]),[Ações])</f>
        <v>24275032005</v>
      </c>
      <c r="AE364" s="85">
        <f>[Capital Social]/[Total Ações]</f>
        <v>2.265702471109883E-3</v>
      </c>
      <c r="AF364" s="85">
        <f>Tabela3[[#This Row],[Lucro Líquido]]/Tabela3[[#This Row],[Total Ações]]</f>
        <v>-2.0328170932930559E-5</v>
      </c>
      <c r="AG364" s="85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</v>
      </c>
      <c r="AH364" s="85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364" s="77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364" s="85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</v>
      </c>
      <c r="AK364" s="7">
        <f>[Div Base]*[Ações]</f>
        <v>0</v>
      </c>
      <c r="AL364" s="120">
        <f>SUMPRODUCT(N([Nome]=Tabela3[[#This Row],[Nome]]),[Div Base]*[Ações])</f>
        <v>0</v>
      </c>
      <c r="AM364" s="5">
        <f>[Patrimônio Líquido]/[Total Ações]</f>
        <v>6.4667647798637784E-3</v>
      </c>
      <c r="AN364" s="52">
        <f>MAX(Tabela3[[#This Row],[Cotação 1]:[Cotação 5]])</f>
        <v>0.6</v>
      </c>
      <c r="AO364" s="53">
        <f>[Cotação]/[VPA]</f>
        <v>92.782097451306853</v>
      </c>
      <c r="AP364" s="37">
        <f>IF(Tabela3[[#This Row],[Lucro/Ação]]&gt;0,Tabela3[[#This Row],[Cotação]]/(Tabela3[[#This Row],[Lucro/Ação]]/[Ref]*4),0)</f>
        <v>0</v>
      </c>
      <c r="AQ364" s="85">
        <f>[Lucro Distribuir]/[Total Ações]</f>
        <v>0</v>
      </c>
      <c r="AR364" s="85">
        <f>IF([Unit ON]&gt;0,SUMPRODUCT(N([Nome]=Tabela3[[#This Row],[Nome]]),N(RIGHT([PAPEL],1)="3"),[Div Base])*[Unit ON]+SUMPRODUCT(N([Nome]=Tabela3[[#This Row],[Nome]]),N(RIGHT([PAPEL],1)="4"),[Div Base])*[Unit PN],[Div Base])</f>
        <v>0</v>
      </c>
      <c r="AS364" s="10" t="str">
        <f>IF(AND([% A.A.]&gt;=6%,SUMPRODUCT(N([Nome]=Tabela3[[#This Row],[Nome]]),[PL])&gt;0,[Rentabilidade s/ PL]&gt;=[Rentabilidade s/ PL Média]),"Sim","Não")</f>
        <v>Não</v>
      </c>
      <c r="AT364" s="22">
        <f>IF([Cotação]&gt;0,Tabela3[[#This Row],[Lucro]]/Tabela3[[#This Row],[Cotação]],0)</f>
        <v>0</v>
      </c>
      <c r="AU364" s="22">
        <f>((1+Tabela3[[#This Row],[% Yield]])^(1/(3*Tabela3[[#This Row],[Ref]])))^(12)-1</f>
        <v>0</v>
      </c>
      <c r="AV364" s="10">
        <f>IF([Cotação]&gt;0,($BH$1/Tabela3[[#This Row],[Cotação]]-MOD($BH$1/Tabela3[[#This Row],[Cotação]],100)),)</f>
        <v>800</v>
      </c>
      <c r="AW364" s="7">
        <f>Tabela3[[#This Row],[Ativos]]*[Lucro]</f>
        <v>0</v>
      </c>
      <c r="AX364" s="7">
        <f>SUMPRODUCT(N(Tabela1[Código]=Tabela3[[#This Row],[PAPEL]]),Tabela1[Fechamento])</f>
        <v>0</v>
      </c>
      <c r="AY364" s="7">
        <f>SUMPRODUCT(N(Tabela17[Código]=Tabela3[[#This Row],[PAPEL]]),Tabela17[Fechamento])</f>
        <v>0</v>
      </c>
      <c r="AZ364" s="7">
        <f>SUMPRODUCT(N(Tabela176[Código]=Tabela3[[#This Row],[PAPEL]]),Tabela176[Fechamento])</f>
        <v>0</v>
      </c>
      <c r="BA364" s="7">
        <f>SUMPRODUCT(N(Tabela1768[Código]=Tabela3[[#This Row],[PAPEL]]),Tabela1768[Fechamento])</f>
        <v>0.6</v>
      </c>
      <c r="BB364" s="7">
        <f>SUMPRODUCT(N(Tabela17683[Código]=Tabela3[[#This Row],[PAPEL]]),Tabela17683[Fechamento])</f>
        <v>0</v>
      </c>
    </row>
    <row r="365" spans="1:54" hidden="1">
      <c r="A365" s="4" t="s">
        <v>285</v>
      </c>
      <c r="B365" s="57" t="s">
        <v>531</v>
      </c>
      <c r="C365" s="15" t="str">
        <f>LEFT([PAPEL],LEN([PAPEL])-(LEN([PAPEL])-4))</f>
        <v>INET</v>
      </c>
      <c r="D365" s="15">
        <v>3</v>
      </c>
      <c r="E365" s="6">
        <v>235691425.78</v>
      </c>
      <c r="F365" s="8">
        <v>313484914</v>
      </c>
      <c r="G365" s="86">
        <v>0.25</v>
      </c>
      <c r="H365" s="19"/>
      <c r="I365" s="19"/>
      <c r="J365" s="19"/>
      <c r="K365" s="88"/>
      <c r="L365" s="88"/>
      <c r="M365" s="55"/>
      <c r="N365" s="55"/>
      <c r="O365" s="55"/>
      <c r="P365" s="92">
        <v>-24474000</v>
      </c>
      <c r="Q365" s="93">
        <v>-1152000</v>
      </c>
      <c r="R365" s="93">
        <f>IF(Tabela3[[#This Row],[Ativo || Passivo]]&gt;0,Tabela3[[#This Row],[Ativo || Passivo]]-Tabela3[[#This Row],[Patrimônio Líquido]],0)</f>
        <v>0</v>
      </c>
      <c r="S365" s="93">
        <f>Tabela3[[#This Row],[Cotação]]*Tabela3[[#This Row],[Total Ações]]</f>
        <v>59562133.660000004</v>
      </c>
      <c r="T365" s="40">
        <f>IF(Tabela3[[#This Row],[Passivo Circulante]]&gt;0,Tabela3[[#This Row],[Ativo Circulante]]/Tabela3[[#This Row],[Passivo Circulante]],0)</f>
        <v>0</v>
      </c>
      <c r="U365" s="40">
        <f>SUMPRODUCT(N([Liquidez Corrente]&gt;0),N(RIGHT([PAPEL],LEN([PAPEL])-(LEN([PAPEL])-1))="3"),[Liquidez Corrente])/SUMPRODUCT(N([Liquidez Corrente]&gt;0),N(RIGHT([PAPEL],LEN([PAPEL])-(LEN([PAPEL])-1))="3"))</f>
        <v>2.331224473064915</v>
      </c>
      <c r="V365" s="19">
        <f>IF(Tabela3[[#This Row],[Lucro Líquido]]&gt;0,Tabela3[[#This Row],[Lucro Líquido]]/Tabela3[[#This Row],[Patrimônio Líquido]],0)</f>
        <v>0</v>
      </c>
      <c r="W365" s="19">
        <f>SUMPRODUCT(N([Rentabilidade s/ PL]&gt;0),N(RIGHT([PAPEL],LEN([PAPEL])-(LEN([PAPEL])-1))="3"),[Rentabilidade s/ PL])/SUMPRODUCT(N([Rentabilidade s/ PL]&gt;0),N(RIGHT([PAPEL],LEN([PAPEL])-(LEN([PAPEL])-1))="3"))</f>
        <v>0.1261051308670782</v>
      </c>
      <c r="X365" s="19">
        <f>IF(Tabela3[[#This Row],[Dívida]]&gt;0,Tabela3[[#This Row],[Dívida]]/Tabela3[[#This Row],[Patrimônio Líquido]],0)</f>
        <v>0</v>
      </c>
      <c r="Y365" s="19">
        <f>SUMPRODUCT(N([Dívida / PL]&gt;0),N(RIGHT([PAPEL],LEN([PAPEL])-(LEN([PAPEL])-1))="3"),[Dívida / PL])/SUMPRODUCT(N([Dívida / PL]&gt;0),N(RIGHT([PAPEL],LEN([PAPEL])-(LEN([PAPEL])-1))="3"))</f>
        <v>2.1510410379481146</v>
      </c>
      <c r="Z365" s="13">
        <f>Tabela3[[#This Row],[Capital Social]]*20%</f>
        <v>47138285.156000003</v>
      </c>
      <c r="AA365" s="13">
        <f>IF(([Lucro Líquido]*5%)&gt;[Teto R. Legal],[Teto R. Legal],[Lucro Líquido]*5%)</f>
        <v>-57600</v>
      </c>
      <c r="AB365" s="13">
        <f>IF([Lucro Líquido]&lt;0,0,[Lucro Líquido]-[Reserva Legal])</f>
        <v>0</v>
      </c>
      <c r="AC365" s="13">
        <f>Tabela3[[#This Row],[Lucro Distribuir]]*[%Div]</f>
        <v>0</v>
      </c>
      <c r="AD365" s="56">
        <f>SUMPRODUCT(N([Nome]=Tabela3[[#This Row],[Nome]]),[Ações])</f>
        <v>313484914</v>
      </c>
      <c r="AE365" s="6">
        <f>[Capital Social]/[Total Ações]</f>
        <v>0.75184296039202703</v>
      </c>
      <c r="AF365" s="78">
        <f>Tabela3[[#This Row],[Lucro Líquido]]/Tabela3[[#This Row],[Total Ações]]</f>
        <v>-3.6748179850211228E-3</v>
      </c>
      <c r="AG365" s="78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</v>
      </c>
      <c r="AH365" s="78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365" s="78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365" s="78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</v>
      </c>
      <c r="AK365" s="13">
        <f>[Div Base]*[Ações]</f>
        <v>0</v>
      </c>
      <c r="AL365" s="13">
        <f>SUMPRODUCT(N([Nome]=Tabela3[[#This Row],[Nome]]),[Div Base]*[Ações])</f>
        <v>0</v>
      </c>
      <c r="AM365" s="6">
        <f>[Patrimônio Líquido]/[Total Ações]</f>
        <v>-7.8070742504693549E-2</v>
      </c>
      <c r="AN365" s="48">
        <f>MAX(Tabela3[[#This Row],[Cotação 1]:[Cotação 5]])</f>
        <v>0.19</v>
      </c>
      <c r="AO365" s="44">
        <f>[Cotação]/[VPA]</f>
        <v>-2.4336901879545638</v>
      </c>
      <c r="AP365" s="40">
        <f>IF(Tabela3[[#This Row],[Lucro/Ação]]&gt;0,Tabela3[[#This Row],[Cotação]]/(Tabela3[[#This Row],[Lucro/Ação]]/[Ref]*4),0)</f>
        <v>0</v>
      </c>
      <c r="AQ365" s="78">
        <f>[Lucro Distribuir]/[Total Ações]</f>
        <v>0</v>
      </c>
      <c r="AR365" s="78">
        <f>IF([Unit ON]&gt;0,SUMPRODUCT(N([Nome]=Tabela3[[#This Row],[Nome]]),N(RIGHT([PAPEL],1)="3"),[Div Base])*[Unit ON]+SUMPRODUCT(N([Nome]=Tabela3[[#This Row],[Nome]]),N(RIGHT([PAPEL],1)="4"),[Div Base])*[Unit PN],[Div Base])</f>
        <v>0</v>
      </c>
      <c r="AS365" s="14" t="str">
        <f>IF(AND([% A.A.]&gt;=6%,SUMPRODUCT(N([Nome]=Tabela3[[#This Row],[Nome]]),[PL])&gt;0,[Rentabilidade s/ PL]&gt;=[Rentabilidade s/ PL Média]),"Sim","Não")</f>
        <v>Não</v>
      </c>
      <c r="AT365" s="42">
        <f>IF([Cotação]&gt;0,Tabela3[[#This Row],[Lucro]]/Tabela3[[#This Row],[Cotação]],0)</f>
        <v>0</v>
      </c>
      <c r="AU365" s="42">
        <f>((1+Tabela3[[#This Row],[% Yield]])^(1/(3*Tabela3[[#This Row],[Ref]])))^(12)-1</f>
        <v>0</v>
      </c>
      <c r="AV365" s="14">
        <f>IF([Cotação]&gt;0,($BH$1/Tabela3[[#This Row],[Cotação]]-MOD($BH$1/Tabela3[[#This Row],[Cotação]],100)),)</f>
        <v>2600</v>
      </c>
      <c r="AW365" s="17">
        <f>Tabela3[[#This Row],[Ativos]]*[Lucro]</f>
        <v>0</v>
      </c>
      <c r="AX365" s="17">
        <f>SUMPRODUCT(N(Tabela1[Código]=Tabela3[[#This Row],[PAPEL]]),Tabela1[Fechamento])</f>
        <v>0</v>
      </c>
      <c r="AY365" s="17">
        <f>SUMPRODUCT(N(Tabela17[Código]=Tabela3[[#This Row],[PAPEL]]),Tabela17[Fechamento])</f>
        <v>0.19</v>
      </c>
      <c r="AZ365" s="7">
        <f>SUMPRODUCT(N(Tabela176[Código]=Tabela3[[#This Row],[PAPEL]]),Tabela176[Fechamento])</f>
        <v>0</v>
      </c>
      <c r="BA365" s="7">
        <f>SUMPRODUCT(N(Tabela1768[Código]=Tabela3[[#This Row],[PAPEL]]),Tabela1768[Fechamento])</f>
        <v>0</v>
      </c>
      <c r="BB365" s="7">
        <f>SUMPRODUCT(N(Tabela17683[Código]=Tabela3[[#This Row],[PAPEL]]),Tabela17683[Fechamento])</f>
        <v>0</v>
      </c>
    </row>
    <row r="366" spans="1:54" hidden="1">
      <c r="A366" s="3" t="s">
        <v>1320</v>
      </c>
      <c r="B366" s="57" t="s">
        <v>1307</v>
      </c>
      <c r="C366" s="16" t="str">
        <f>LEFT([PAPEL],LEN([PAPEL])-(LEN([PAPEL])-4))</f>
        <v>DTCY</v>
      </c>
      <c r="D366" s="16">
        <v>3</v>
      </c>
      <c r="E366" s="5">
        <v>54109503.509999998</v>
      </c>
      <c r="F366" s="56">
        <v>52884310</v>
      </c>
      <c r="G366" s="81">
        <v>0.25</v>
      </c>
      <c r="H366" s="18"/>
      <c r="J366" s="18"/>
      <c r="K366" s="16"/>
      <c r="L366" s="87"/>
      <c r="M366" s="54"/>
      <c r="N366" s="54"/>
      <c r="O366" s="54"/>
      <c r="P366" s="91">
        <v>3294000</v>
      </c>
      <c r="Q366" s="73">
        <v>-1687000</v>
      </c>
      <c r="R366" s="73">
        <f>IF(Tabela3[[#This Row],[Ativo || Passivo]]&gt;0,Tabela3[[#This Row],[Ativo || Passivo]]-Tabela3[[#This Row],[Patrimônio Líquido]],0)</f>
        <v>0</v>
      </c>
      <c r="S366" s="73">
        <f>Tabela3[[#This Row],[Cotação]]*Tabela3[[#This Row],[Total Ações]]</f>
        <v>17962179.199999999</v>
      </c>
      <c r="T366" s="37">
        <f>IF(Tabela3[[#This Row],[Passivo Circulante]]&gt;0,Tabela3[[#This Row],[Ativo Circulante]]/Tabela3[[#This Row],[Passivo Circulante]],0)</f>
        <v>0</v>
      </c>
      <c r="U366" s="37">
        <f>SUMPRODUCT(N([Liquidez Corrente]&gt;0),N(RIGHT([PAPEL],LEN([PAPEL])-(LEN([PAPEL])-1))="3"),[Liquidez Corrente])/SUMPRODUCT(N([Liquidez Corrente]&gt;0),N(RIGHT([PAPEL],LEN([PAPEL])-(LEN([PAPEL])-1))="3"))</f>
        <v>2.331224473064915</v>
      </c>
      <c r="V366" s="18">
        <f>IF(Tabela3[[#This Row],[Lucro Líquido]]&gt;0,Tabela3[[#This Row],[Lucro Líquido]]/Tabela3[[#This Row],[Patrimônio Líquido]],0)</f>
        <v>0</v>
      </c>
      <c r="W366" s="18">
        <f>SUMPRODUCT(N([Rentabilidade s/ PL]&gt;0),N(RIGHT([PAPEL],LEN([PAPEL])-(LEN([PAPEL])-1))="3"),[Rentabilidade s/ PL])/SUMPRODUCT(N([Rentabilidade s/ PL]&gt;0),N(RIGHT([PAPEL],LEN([PAPEL])-(LEN([PAPEL])-1))="3"))</f>
        <v>0.1261051308670782</v>
      </c>
      <c r="X366" s="18">
        <f>IF(Tabela3[[#This Row],[Dívida]]&gt;0,Tabela3[[#This Row],[Dívida]]/Tabela3[[#This Row],[Patrimônio Líquido]],0)</f>
        <v>0</v>
      </c>
      <c r="Y366" s="18">
        <f>SUMPRODUCT(N([Dívida / PL]&gt;0),N(RIGHT([PAPEL],LEN([PAPEL])-(LEN([PAPEL])-1))="3"),[Dívida / PL])/SUMPRODUCT(N([Dívida / PL]&gt;0),N(RIGHT([PAPEL],LEN([PAPEL])-(LEN([PAPEL])-1))="3"))</f>
        <v>2.1510410379481146</v>
      </c>
      <c r="Z366" s="7">
        <f>Tabela3[[#This Row],[Capital Social]]*20%</f>
        <v>10821900.702</v>
      </c>
      <c r="AA366" s="47">
        <f>IF(([Lucro Líquido]*5%)&gt;[Teto R. Legal],[Teto R. Legal],[Lucro Líquido]*5%)</f>
        <v>-84350</v>
      </c>
      <c r="AB366" s="47">
        <f>IF([Lucro Líquido]&lt;0,0,[Lucro Líquido]-[Reserva Legal])</f>
        <v>0</v>
      </c>
      <c r="AC366" s="47">
        <f>Tabela3[[#This Row],[Lucro Distribuir]]*[%Div]</f>
        <v>0</v>
      </c>
      <c r="AD366" s="56">
        <f>SUMPRODUCT(N([Nome]=Tabela3[[#This Row],[Nome]]),[Ações])</f>
        <v>56131810</v>
      </c>
      <c r="AE366" s="85">
        <f>[Capital Social]/[Total Ações]</f>
        <v>0.96397218457769307</v>
      </c>
      <c r="AF366" s="85">
        <f>Tabela3[[#This Row],[Lucro Líquido]]/Tabela3[[#This Row],[Total Ações]]</f>
        <v>-3.0054259786028634E-2</v>
      </c>
      <c r="AG366" s="85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</v>
      </c>
      <c r="AH366" s="85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366" s="77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366" s="85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</v>
      </c>
      <c r="AK366" s="7">
        <f>[Div Base]*[Ações]</f>
        <v>0</v>
      </c>
      <c r="AL366" s="120">
        <f>SUMPRODUCT(N([Nome]=Tabela3[[#This Row],[Nome]]),[Div Base]*[Ações])</f>
        <v>0</v>
      </c>
      <c r="AM366" s="5">
        <f>[Patrimônio Líquido]/[Total Ações]</f>
        <v>5.8683302747586437E-2</v>
      </c>
      <c r="AN366" s="52">
        <f>MAX(Tabela3[[#This Row],[Cotação 1]:[Cotação 5]])</f>
        <v>0.32</v>
      </c>
      <c r="AO366" s="53">
        <f>[Cotação]/[VPA]</f>
        <v>5.4529991499696422</v>
      </c>
      <c r="AP366" s="37">
        <f>IF(Tabela3[[#This Row],[Lucro/Ação]]&gt;0,Tabela3[[#This Row],[Cotação]]/(Tabela3[[#This Row],[Lucro/Ação]]/[Ref]*4),0)</f>
        <v>0</v>
      </c>
      <c r="AQ366" s="85">
        <f>[Lucro Distribuir]/[Total Ações]</f>
        <v>0</v>
      </c>
      <c r="AR366" s="85">
        <f>IF([Unit ON]&gt;0,SUMPRODUCT(N([Nome]=Tabela3[[#This Row],[Nome]]),N(RIGHT([PAPEL],1)="3"),[Div Base])*[Unit ON]+SUMPRODUCT(N([Nome]=Tabela3[[#This Row],[Nome]]),N(RIGHT([PAPEL],1)="4"),[Div Base])*[Unit PN],[Div Base])</f>
        <v>0</v>
      </c>
      <c r="AS366" s="10" t="str">
        <f>IF(AND([% A.A.]&gt;=6%,SUMPRODUCT(N([Nome]=Tabela3[[#This Row],[Nome]]),[PL])&gt;0,[Rentabilidade s/ PL]&gt;=[Rentabilidade s/ PL Média]),"Sim","Não")</f>
        <v>Não</v>
      </c>
      <c r="AT366" s="22">
        <f>IF([Cotação]&gt;0,Tabela3[[#This Row],[Lucro]]/Tabela3[[#This Row],[Cotação]],0)</f>
        <v>0</v>
      </c>
      <c r="AU366" s="22">
        <f>((1+Tabela3[[#This Row],[% Yield]])^(1/(3*Tabela3[[#This Row],[Ref]])))^(12)-1</f>
        <v>0</v>
      </c>
      <c r="AV366" s="10">
        <f>IF([Cotação]&gt;0,($BH$1/Tabela3[[#This Row],[Cotação]]-MOD($BH$1/Tabela3[[#This Row],[Cotação]],100)),)</f>
        <v>1500</v>
      </c>
      <c r="AW366" s="7">
        <f>Tabela3[[#This Row],[Ativos]]*[Lucro]</f>
        <v>0</v>
      </c>
      <c r="AX366" s="7">
        <f>SUMPRODUCT(N(Tabela1[Código]=Tabela3[[#This Row],[PAPEL]]),Tabela1[Fechamento])</f>
        <v>0</v>
      </c>
      <c r="AY366" s="7">
        <f>SUMPRODUCT(N(Tabela17[Código]=Tabela3[[#This Row],[PAPEL]]),Tabela17[Fechamento])</f>
        <v>0</v>
      </c>
      <c r="AZ366" s="7">
        <f>SUMPRODUCT(N(Tabela176[Código]=Tabela3[[#This Row],[PAPEL]]),Tabela176[Fechamento])</f>
        <v>0</v>
      </c>
      <c r="BA366" s="7">
        <f>SUMPRODUCT(N(Tabela1768[Código]=Tabela3[[#This Row],[PAPEL]]),Tabela1768[Fechamento])</f>
        <v>0</v>
      </c>
      <c r="BB366" s="7">
        <f>SUMPRODUCT(N(Tabela17683[Código]=Tabela3[[#This Row],[PAPEL]]),Tabela17683[Fechamento])</f>
        <v>0.32</v>
      </c>
    </row>
    <row r="367" spans="1:54" hidden="1">
      <c r="A367" s="3" t="s">
        <v>1320</v>
      </c>
      <c r="B367" s="57" t="s">
        <v>1308</v>
      </c>
      <c r="C367" s="16" t="str">
        <f>LEFT([PAPEL],LEN([PAPEL])-(LEN([PAPEL])-4))</f>
        <v>DTCY</v>
      </c>
      <c r="D367" s="16">
        <v>3</v>
      </c>
      <c r="E367" s="5">
        <v>54109503.509999998</v>
      </c>
      <c r="F367" s="56">
        <v>3247500</v>
      </c>
      <c r="G367" s="81">
        <v>0.25</v>
      </c>
      <c r="H367" s="18"/>
      <c r="J367" s="18">
        <v>0.1</v>
      </c>
      <c r="K367" s="16"/>
      <c r="L367" s="87"/>
      <c r="M367" s="54"/>
      <c r="N367" s="54"/>
      <c r="O367" s="54"/>
      <c r="P367" s="91">
        <v>3294000</v>
      </c>
      <c r="Q367" s="73">
        <v>-1687000</v>
      </c>
      <c r="R367" s="73">
        <f>IF(Tabela3[[#This Row],[Ativo || Passivo]]&gt;0,Tabela3[[#This Row],[Ativo || Passivo]]-Tabela3[[#This Row],[Patrimônio Líquido]],0)</f>
        <v>0</v>
      </c>
      <c r="S367" s="73">
        <f>Tabela3[[#This Row],[Cotação]]*Tabela3[[#This Row],[Total Ações]]</f>
        <v>0</v>
      </c>
      <c r="T367" s="37">
        <f>IF(Tabela3[[#This Row],[Passivo Circulante]]&gt;0,Tabela3[[#This Row],[Ativo Circulante]]/Tabela3[[#This Row],[Passivo Circulante]],0)</f>
        <v>0</v>
      </c>
      <c r="U367" s="37">
        <f>SUMPRODUCT(N([Liquidez Corrente]&gt;0),N(RIGHT([PAPEL],LEN([PAPEL])-(LEN([PAPEL])-1))="3"),[Liquidez Corrente])/SUMPRODUCT(N([Liquidez Corrente]&gt;0),N(RIGHT([PAPEL],LEN([PAPEL])-(LEN([PAPEL])-1))="3"))</f>
        <v>2.331224473064915</v>
      </c>
      <c r="V367" s="18">
        <f>IF(Tabela3[[#This Row],[Lucro Líquido]]&gt;0,Tabela3[[#This Row],[Lucro Líquido]]/Tabela3[[#This Row],[Patrimônio Líquido]],0)</f>
        <v>0</v>
      </c>
      <c r="W367" s="18">
        <f>SUMPRODUCT(N([Rentabilidade s/ PL]&gt;0),N(RIGHT([PAPEL],LEN([PAPEL])-(LEN([PAPEL])-1))="3"),[Rentabilidade s/ PL])/SUMPRODUCT(N([Rentabilidade s/ PL]&gt;0),N(RIGHT([PAPEL],LEN([PAPEL])-(LEN([PAPEL])-1))="3"))</f>
        <v>0.1261051308670782</v>
      </c>
      <c r="X367" s="18">
        <f>IF(Tabela3[[#This Row],[Dívida]]&gt;0,Tabela3[[#This Row],[Dívida]]/Tabela3[[#This Row],[Patrimônio Líquido]],0)</f>
        <v>0</v>
      </c>
      <c r="Y367" s="18">
        <f>SUMPRODUCT(N([Dívida / PL]&gt;0),N(RIGHT([PAPEL],LEN([PAPEL])-(LEN([PAPEL])-1))="3"),[Dívida / PL])/SUMPRODUCT(N([Dívida / PL]&gt;0),N(RIGHT([PAPEL],LEN([PAPEL])-(LEN([PAPEL])-1))="3"))</f>
        <v>2.1510410379481146</v>
      </c>
      <c r="Z367" s="7">
        <f>Tabela3[[#This Row],[Capital Social]]*20%</f>
        <v>10821900.702</v>
      </c>
      <c r="AA367" s="47">
        <f>IF(([Lucro Líquido]*5%)&gt;[Teto R. Legal],[Teto R. Legal],[Lucro Líquido]*5%)</f>
        <v>-84350</v>
      </c>
      <c r="AB367" s="47">
        <f>IF([Lucro Líquido]&lt;0,0,[Lucro Líquido]-[Reserva Legal])</f>
        <v>0</v>
      </c>
      <c r="AC367" s="47">
        <f>Tabela3[[#This Row],[Lucro Distribuir]]*[%Div]</f>
        <v>0</v>
      </c>
      <c r="AD367" s="56">
        <f>SUMPRODUCT(N([Nome]=Tabela3[[#This Row],[Nome]]),[Ações])</f>
        <v>56131810</v>
      </c>
      <c r="AE367" s="85">
        <f>[Capital Social]/[Total Ações]</f>
        <v>0.96397218457769307</v>
      </c>
      <c r="AF367" s="85">
        <f>Tabela3[[#This Row],[Lucro Líquido]]/Tabela3[[#This Row],[Total Ações]]</f>
        <v>-3.0054259786028634E-2</v>
      </c>
      <c r="AG367" s="85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</v>
      </c>
      <c r="AH367" s="85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367" s="77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367" s="85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</v>
      </c>
      <c r="AK367" s="7">
        <f>[Div Base]*[Ações]</f>
        <v>0</v>
      </c>
      <c r="AL367" s="120">
        <f>SUMPRODUCT(N([Nome]=Tabela3[[#This Row],[Nome]]),[Div Base]*[Ações])</f>
        <v>0</v>
      </c>
      <c r="AM367" s="5">
        <f>[Patrimônio Líquido]/[Total Ações]</f>
        <v>5.8683302747586437E-2</v>
      </c>
      <c r="AN367" s="52">
        <f>MAX(Tabela3[[#This Row],[Cotação 1]:[Cotação 5]])</f>
        <v>0</v>
      </c>
      <c r="AO367" s="53">
        <f>[Cotação]/[VPA]</f>
        <v>0</v>
      </c>
      <c r="AP367" s="37">
        <f>IF(Tabela3[[#This Row],[Lucro/Ação]]&gt;0,Tabela3[[#This Row],[Cotação]]/(Tabela3[[#This Row],[Lucro/Ação]]/[Ref]*4),0)</f>
        <v>0</v>
      </c>
      <c r="AQ367" s="85">
        <f>[Lucro Distribuir]/[Total Ações]</f>
        <v>0</v>
      </c>
      <c r="AR367" s="85">
        <f>IF([Unit ON]&gt;0,SUMPRODUCT(N([Nome]=Tabela3[[#This Row],[Nome]]),N(RIGHT([PAPEL],1)="3"),[Div Base])*[Unit ON]+SUMPRODUCT(N([Nome]=Tabela3[[#This Row],[Nome]]),N(RIGHT([PAPEL],1)="4"),[Div Base])*[Unit PN],[Div Base])</f>
        <v>0</v>
      </c>
      <c r="AS367" s="10" t="str">
        <f>IF(AND([% A.A.]&gt;=6%,SUMPRODUCT(N([Nome]=Tabela3[[#This Row],[Nome]]),[PL])&gt;0,[Rentabilidade s/ PL]&gt;=[Rentabilidade s/ PL Média]),"Sim","Não")</f>
        <v>Não</v>
      </c>
      <c r="AT367" s="22">
        <f>IF([Cotação]&gt;0,Tabela3[[#This Row],[Lucro]]/Tabela3[[#This Row],[Cotação]],0)</f>
        <v>0</v>
      </c>
      <c r="AU367" s="22">
        <f>((1+Tabela3[[#This Row],[% Yield]])^(1/(3*Tabela3[[#This Row],[Ref]])))^(12)-1</f>
        <v>0</v>
      </c>
      <c r="AV367" s="10">
        <f>IF([Cotação]&gt;0,($BH$1/Tabela3[[#This Row],[Cotação]]-MOD($BH$1/Tabela3[[#This Row],[Cotação]],100)),)</f>
        <v>0</v>
      </c>
      <c r="AW367" s="7">
        <f>Tabela3[[#This Row],[Ativos]]*[Lucro]</f>
        <v>0</v>
      </c>
      <c r="AX367" s="7">
        <f>SUMPRODUCT(N(Tabela1[Código]=Tabela3[[#This Row],[PAPEL]]),Tabela1[Fechamento])</f>
        <v>0</v>
      </c>
      <c r="AY367" s="7">
        <f>SUMPRODUCT(N(Tabela17[Código]=Tabela3[[#This Row],[PAPEL]]),Tabela17[Fechamento])</f>
        <v>0</v>
      </c>
      <c r="AZ367" s="7">
        <f>SUMPRODUCT(N(Tabela176[Código]=Tabela3[[#This Row],[PAPEL]]),Tabela176[Fechamento])</f>
        <v>0</v>
      </c>
      <c r="BA367" s="7">
        <f>SUMPRODUCT(N(Tabela1768[Código]=Tabela3[[#This Row],[PAPEL]]),Tabela1768[Fechamento])</f>
        <v>0</v>
      </c>
      <c r="BB367" s="7">
        <f>SUMPRODUCT(N(Tabela17683[Código]=Tabela3[[#This Row],[PAPEL]]),Tabela17683[Fechamento])</f>
        <v>0</v>
      </c>
    </row>
    <row r="368" spans="1:54" hidden="1">
      <c r="A368" s="3" t="s">
        <v>1320</v>
      </c>
      <c r="B368" s="57" t="s">
        <v>1306</v>
      </c>
      <c r="C368" s="16" t="str">
        <f>LEFT([PAPEL],LEN([PAPEL])-(LEN([PAPEL])-4))</f>
        <v>CARD</v>
      </c>
      <c r="D368" s="16">
        <v>3</v>
      </c>
      <c r="E368" s="5">
        <v>129231849.61</v>
      </c>
      <c r="F368" s="56">
        <v>42900000</v>
      </c>
      <c r="G368" s="81">
        <v>0.25</v>
      </c>
      <c r="H368" s="18"/>
      <c r="J368" s="18"/>
      <c r="K368" s="16"/>
      <c r="L368" s="87"/>
      <c r="M368" s="54"/>
      <c r="N368" s="54"/>
      <c r="O368" s="54"/>
      <c r="P368" s="91">
        <v>154722000</v>
      </c>
      <c r="Q368" s="73">
        <v>-1870000</v>
      </c>
      <c r="R368" s="73">
        <f>IF(Tabela3[[#This Row],[Ativo || Passivo]]&gt;0,Tabela3[[#This Row],[Ativo || Passivo]]-Tabela3[[#This Row],[Patrimônio Líquido]],0)</f>
        <v>0</v>
      </c>
      <c r="S368" s="73">
        <f>Tabela3[[#This Row],[Cotação]]*Tabela3[[#This Row],[Total Ações]]</f>
        <v>113685000</v>
      </c>
      <c r="T368" s="37">
        <f>IF(Tabela3[[#This Row],[Passivo Circulante]]&gt;0,Tabela3[[#This Row],[Ativo Circulante]]/Tabela3[[#This Row],[Passivo Circulante]],0)</f>
        <v>0</v>
      </c>
      <c r="U368" s="37">
        <f>SUMPRODUCT(N([Liquidez Corrente]&gt;0),N(RIGHT([PAPEL],LEN([PAPEL])-(LEN([PAPEL])-1))="3"),[Liquidez Corrente])/SUMPRODUCT(N([Liquidez Corrente]&gt;0),N(RIGHT([PAPEL],LEN([PAPEL])-(LEN([PAPEL])-1))="3"))</f>
        <v>2.331224473064915</v>
      </c>
      <c r="V368" s="18">
        <f>IF(Tabela3[[#This Row],[Lucro Líquido]]&gt;0,Tabela3[[#This Row],[Lucro Líquido]]/Tabela3[[#This Row],[Patrimônio Líquido]],0)</f>
        <v>0</v>
      </c>
      <c r="W368" s="18">
        <f>SUMPRODUCT(N([Rentabilidade s/ PL]&gt;0),N(RIGHT([PAPEL],LEN([PAPEL])-(LEN([PAPEL])-1))="3"),[Rentabilidade s/ PL])/SUMPRODUCT(N([Rentabilidade s/ PL]&gt;0),N(RIGHT([PAPEL],LEN([PAPEL])-(LEN([PAPEL])-1))="3"))</f>
        <v>0.1261051308670782</v>
      </c>
      <c r="X368" s="18">
        <f>IF(Tabela3[[#This Row],[Dívida]]&gt;0,Tabela3[[#This Row],[Dívida]]/Tabela3[[#This Row],[Patrimônio Líquido]],0)</f>
        <v>0</v>
      </c>
      <c r="Y368" s="18">
        <f>SUMPRODUCT(N([Dívida / PL]&gt;0),N(RIGHT([PAPEL],LEN([PAPEL])-(LEN([PAPEL])-1))="3"),[Dívida / PL])/SUMPRODUCT(N([Dívida / PL]&gt;0),N(RIGHT([PAPEL],LEN([PAPEL])-(LEN([PAPEL])-1))="3"))</f>
        <v>2.1510410379481146</v>
      </c>
      <c r="Z368" s="7">
        <f>Tabela3[[#This Row],[Capital Social]]*20%</f>
        <v>25846369.922000002</v>
      </c>
      <c r="AA368" s="47">
        <f>IF(([Lucro Líquido]*5%)&gt;[Teto R. Legal],[Teto R. Legal],[Lucro Líquido]*5%)</f>
        <v>-93500</v>
      </c>
      <c r="AB368" s="47">
        <f>IF([Lucro Líquido]&lt;0,0,[Lucro Líquido]-[Reserva Legal])</f>
        <v>0</v>
      </c>
      <c r="AC368" s="47">
        <f>Tabela3[[#This Row],[Lucro Distribuir]]*[%Div]</f>
        <v>0</v>
      </c>
      <c r="AD368" s="56">
        <f>SUMPRODUCT(N([Nome]=Tabela3[[#This Row],[Nome]]),[Ações])</f>
        <v>42900000</v>
      </c>
      <c r="AE368" s="85">
        <f>[Capital Social]/[Total Ações]</f>
        <v>3.012397426806527</v>
      </c>
      <c r="AF368" s="85">
        <f>Tabela3[[#This Row],[Lucro Líquido]]/Tabela3[[#This Row],[Total Ações]]</f>
        <v>-4.3589743589743588E-2</v>
      </c>
      <c r="AG368" s="85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</v>
      </c>
      <c r="AH368" s="85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368" s="77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368" s="85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</v>
      </c>
      <c r="AK368" s="7">
        <f>[Div Base]*[Ações]</f>
        <v>0</v>
      </c>
      <c r="AL368" s="120">
        <f>SUMPRODUCT(N([Nome]=Tabela3[[#This Row],[Nome]]),[Div Base]*[Ações])</f>
        <v>0</v>
      </c>
      <c r="AM368" s="5">
        <f>[Patrimônio Líquido]/[Total Ações]</f>
        <v>3.6065734265734264</v>
      </c>
      <c r="AN368" s="52">
        <f>MAX(Tabela3[[#This Row],[Cotação 1]:[Cotação 5]])</f>
        <v>2.65</v>
      </c>
      <c r="AO368" s="53">
        <f>[Cotação]/[VPA]</f>
        <v>0.73476945747857447</v>
      </c>
      <c r="AP368" s="37">
        <f>IF(Tabela3[[#This Row],[Lucro/Ação]]&gt;0,Tabela3[[#This Row],[Cotação]]/(Tabela3[[#This Row],[Lucro/Ação]]/[Ref]*4),0)</f>
        <v>0</v>
      </c>
      <c r="AQ368" s="85">
        <f>[Lucro Distribuir]/[Total Ações]</f>
        <v>0</v>
      </c>
      <c r="AR368" s="85">
        <f>IF([Unit ON]&gt;0,SUMPRODUCT(N([Nome]=Tabela3[[#This Row],[Nome]]),N(RIGHT([PAPEL],1)="3"),[Div Base])*[Unit ON]+SUMPRODUCT(N([Nome]=Tabela3[[#This Row],[Nome]]),N(RIGHT([PAPEL],1)="4"),[Div Base])*[Unit PN],[Div Base])</f>
        <v>0</v>
      </c>
      <c r="AS368" s="10" t="str">
        <f>IF(AND([% A.A.]&gt;=6%,SUMPRODUCT(N([Nome]=Tabela3[[#This Row],[Nome]]),[PL])&gt;0,[Rentabilidade s/ PL]&gt;=[Rentabilidade s/ PL Média]),"Sim","Não")</f>
        <v>Não</v>
      </c>
      <c r="AT368" s="22">
        <f>IF([Cotação]&gt;0,Tabela3[[#This Row],[Lucro]]/Tabela3[[#This Row],[Cotação]],0)</f>
        <v>0</v>
      </c>
      <c r="AU368" s="22">
        <f>((1+Tabela3[[#This Row],[% Yield]])^(1/(3*Tabela3[[#This Row],[Ref]])))^(12)-1</f>
        <v>0</v>
      </c>
      <c r="AV368" s="10">
        <f>IF([Cotação]&gt;0,($BH$1/Tabela3[[#This Row],[Cotação]]-MOD($BH$1/Tabela3[[#This Row],[Cotação]],100)),)</f>
        <v>100</v>
      </c>
      <c r="AW368" s="7">
        <f>Tabela3[[#This Row],[Ativos]]*[Lucro]</f>
        <v>0</v>
      </c>
      <c r="AX368" s="7">
        <f>SUMPRODUCT(N(Tabela1[Código]=Tabela3[[#This Row],[PAPEL]]),Tabela1[Fechamento])</f>
        <v>0</v>
      </c>
      <c r="AY368" s="7">
        <f>SUMPRODUCT(N(Tabela17[Código]=Tabela3[[#This Row],[PAPEL]]),Tabela17[Fechamento])</f>
        <v>0</v>
      </c>
      <c r="AZ368" s="7">
        <f>SUMPRODUCT(N(Tabela176[Código]=Tabela3[[#This Row],[PAPEL]]),Tabela176[Fechamento])</f>
        <v>0</v>
      </c>
      <c r="BA368" s="7">
        <f>SUMPRODUCT(N(Tabela1768[Código]=Tabela3[[#This Row],[PAPEL]]),Tabela1768[Fechamento])</f>
        <v>0</v>
      </c>
      <c r="BB368" s="7">
        <f>SUMPRODUCT(N(Tabela17683[Código]=Tabela3[[#This Row],[PAPEL]]),Tabela17683[Fechamento])</f>
        <v>2.65</v>
      </c>
    </row>
    <row r="369" spans="1:54" hidden="1">
      <c r="A369" s="4" t="s">
        <v>667</v>
      </c>
      <c r="B369" s="57" t="s">
        <v>330</v>
      </c>
      <c r="C369" s="15" t="str">
        <f>LEFT([PAPEL],LEN([PAPEL])-(LEN([PAPEL])-4))</f>
        <v>NUTR</v>
      </c>
      <c r="D369" s="15">
        <v>3</v>
      </c>
      <c r="E369" s="6">
        <v>22877961</v>
      </c>
      <c r="F369" s="8">
        <v>12414678</v>
      </c>
      <c r="G369" s="86">
        <v>0.25</v>
      </c>
      <c r="H369" s="15"/>
      <c r="I369" s="19"/>
      <c r="J369" s="19"/>
      <c r="K369" s="88"/>
      <c r="L369" s="88"/>
      <c r="M369" s="55"/>
      <c r="N369" s="55"/>
      <c r="O369" s="55"/>
      <c r="P369" s="92">
        <v>30416000</v>
      </c>
      <c r="Q369" s="93">
        <v>-2203000</v>
      </c>
      <c r="R369" s="93">
        <f>IF(Tabela3[[#This Row],[Ativo || Passivo]]&gt;0,Tabela3[[#This Row],[Ativo || Passivo]]-Tabela3[[#This Row],[Patrimônio Líquido]],0)</f>
        <v>0</v>
      </c>
      <c r="S369" s="93">
        <f>Tabela3[[#This Row],[Cotação]]*Tabela3[[#This Row],[Total Ações]]</f>
        <v>18746163.780000001</v>
      </c>
      <c r="T369" s="40">
        <f>IF(Tabela3[[#This Row],[Passivo Circulante]]&gt;0,Tabela3[[#This Row],[Ativo Circulante]]/Tabela3[[#This Row],[Passivo Circulante]],0)</f>
        <v>0</v>
      </c>
      <c r="U369" s="40">
        <f>SUMPRODUCT(N([Liquidez Corrente]&gt;0),N(RIGHT([PAPEL],LEN([PAPEL])-(LEN([PAPEL])-1))="3"),[Liquidez Corrente])/SUMPRODUCT(N([Liquidez Corrente]&gt;0),N(RIGHT([PAPEL],LEN([PAPEL])-(LEN([PAPEL])-1))="3"))</f>
        <v>2.331224473064915</v>
      </c>
      <c r="V369" s="19">
        <f>IF(Tabela3[[#This Row],[Lucro Líquido]]&gt;0,Tabela3[[#This Row],[Lucro Líquido]]/Tabela3[[#This Row],[Patrimônio Líquido]],0)</f>
        <v>0</v>
      </c>
      <c r="W369" s="19">
        <f>SUMPRODUCT(N([Rentabilidade s/ PL]&gt;0),N(RIGHT([PAPEL],LEN([PAPEL])-(LEN([PAPEL])-1))="3"),[Rentabilidade s/ PL])/SUMPRODUCT(N([Rentabilidade s/ PL]&gt;0),N(RIGHT([PAPEL],LEN([PAPEL])-(LEN([PAPEL])-1))="3"))</f>
        <v>0.1261051308670782</v>
      </c>
      <c r="X369" s="19">
        <f>IF(Tabela3[[#This Row],[Dívida]]&gt;0,Tabela3[[#This Row],[Dívida]]/Tabela3[[#This Row],[Patrimônio Líquido]],0)</f>
        <v>0</v>
      </c>
      <c r="Y369" s="19">
        <f>SUMPRODUCT(N([Dívida / PL]&gt;0),N(RIGHT([PAPEL],LEN([PAPEL])-(LEN([PAPEL])-1))="3"),[Dívida / PL])/SUMPRODUCT(N([Dívida / PL]&gt;0),N(RIGHT([PAPEL],LEN([PAPEL])-(LEN([PAPEL])-1))="3"))</f>
        <v>2.1510410379481146</v>
      </c>
      <c r="Z369" s="13">
        <f>Tabela3[[#This Row],[Capital Social]]*20%</f>
        <v>4575592.2</v>
      </c>
      <c r="AA369" s="13">
        <f>IF(([Lucro Líquido]*5%)&gt;[Teto R. Legal],[Teto R. Legal],[Lucro Líquido]*5%)</f>
        <v>-110150</v>
      </c>
      <c r="AB369" s="13">
        <f>IF([Lucro Líquido]&lt;0,0,[Lucro Líquido]-[Reserva Legal])</f>
        <v>0</v>
      </c>
      <c r="AC369" s="13">
        <f>Tabela3[[#This Row],[Lucro Distribuir]]*[%Div]</f>
        <v>0</v>
      </c>
      <c r="AD369" s="56">
        <f>SUMPRODUCT(N([Nome]=Tabela3[[#This Row],[Nome]]),[Ações])</f>
        <v>12414678</v>
      </c>
      <c r="AE369" s="6">
        <f>[Capital Social]/[Total Ações]</f>
        <v>1.8428154963020387</v>
      </c>
      <c r="AF369" s="78">
        <f>Tabela3[[#This Row],[Lucro Líquido]]/Tabela3[[#This Row],[Total Ações]]</f>
        <v>-0.177451239573028</v>
      </c>
      <c r="AG369" s="78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</v>
      </c>
      <c r="AH369" s="78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369" s="78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369" s="78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</v>
      </c>
      <c r="AK369" s="13">
        <f>[Div Base]*[Ações]</f>
        <v>0</v>
      </c>
      <c r="AL369" s="13">
        <f>SUMPRODUCT(N([Nome]=Tabela3[[#This Row],[Nome]]),[Div Base]*[Ações])</f>
        <v>0</v>
      </c>
      <c r="AM369" s="6">
        <f>[Patrimônio Líquido]/[Total Ações]</f>
        <v>2.450003133387753</v>
      </c>
      <c r="AN369" s="48">
        <f>MAX(Tabela3[[#This Row],[Cotação 1]:[Cotação 5]])</f>
        <v>1.51</v>
      </c>
      <c r="AO369" s="44">
        <f>[Cotação]/[VPA]</f>
        <v>0.61632574237243554</v>
      </c>
      <c r="AP369" s="40">
        <f>IF(Tabela3[[#This Row],[Lucro/Ação]]&gt;0,Tabela3[[#This Row],[Cotação]]/(Tabela3[[#This Row],[Lucro/Ação]]/[Ref]*4),0)</f>
        <v>0</v>
      </c>
      <c r="AQ369" s="78">
        <f>[Lucro Distribuir]/[Total Ações]</f>
        <v>0</v>
      </c>
      <c r="AR369" s="78">
        <f>IF([Unit ON]&gt;0,SUMPRODUCT(N([Nome]=Tabela3[[#This Row],[Nome]]),N(RIGHT([PAPEL],1)="3"),[Div Base])*[Unit ON]+SUMPRODUCT(N([Nome]=Tabela3[[#This Row],[Nome]]),N(RIGHT([PAPEL],1)="4"),[Div Base])*[Unit PN],[Div Base])</f>
        <v>0</v>
      </c>
      <c r="AS369" s="14" t="str">
        <f>IF(AND([% A.A.]&gt;=6%,SUMPRODUCT(N([Nome]=Tabela3[[#This Row],[Nome]]),[PL])&gt;0,[Rentabilidade s/ PL]&gt;=[Rentabilidade s/ PL Média]),"Sim","Não")</f>
        <v>Não</v>
      </c>
      <c r="AT369" s="42">
        <f>IF([Cotação]&gt;0,Tabela3[[#This Row],[Lucro]]/Tabela3[[#This Row],[Cotação]],0)</f>
        <v>0</v>
      </c>
      <c r="AU369" s="42">
        <f>((1+Tabela3[[#This Row],[% Yield]])^(1/(3*Tabela3[[#This Row],[Ref]])))^(12)-1</f>
        <v>0</v>
      </c>
      <c r="AV369" s="14">
        <f>IF([Cotação]&gt;0,($BH$1/Tabela3[[#This Row],[Cotação]]-MOD($BH$1/Tabela3[[#This Row],[Cotação]],100)),)</f>
        <v>300</v>
      </c>
      <c r="AW369" s="17">
        <f>Tabela3[[#This Row],[Ativos]]*[Lucro]</f>
        <v>0</v>
      </c>
      <c r="AX369" s="17">
        <f>SUMPRODUCT(N(Tabela1[Código]=Tabela3[[#This Row],[PAPEL]]),Tabela1[Fechamento])</f>
        <v>0</v>
      </c>
      <c r="AY369" s="17">
        <f>SUMPRODUCT(N(Tabela17[Código]=Tabela3[[#This Row],[PAPEL]]),Tabela17[Fechamento])</f>
        <v>1.51</v>
      </c>
      <c r="AZ369" s="17">
        <f>SUMPRODUCT(N(Tabela176[Código]=Tabela3[[#This Row],[PAPEL]]),Tabela176[Fechamento])</f>
        <v>1.51</v>
      </c>
      <c r="BA369" s="17">
        <f>SUMPRODUCT(N(Tabela1768[Código]=Tabela3[[#This Row],[PAPEL]]),Tabela1768[Fechamento])</f>
        <v>0</v>
      </c>
      <c r="BB369" s="7">
        <f>SUMPRODUCT(N(Tabela17683[Código]=Tabela3[[#This Row],[PAPEL]]),Tabela17683[Fechamento])</f>
        <v>0</v>
      </c>
    </row>
    <row r="370" spans="1:54" hidden="1">
      <c r="A370" s="4" t="s">
        <v>333</v>
      </c>
      <c r="B370" s="57" t="s">
        <v>621</v>
      </c>
      <c r="C370" s="16" t="str">
        <f>LEFT([PAPEL],LEN([PAPEL])-(LEN([PAPEL])-4))</f>
        <v>FBMC</v>
      </c>
      <c r="D370" s="16">
        <v>3</v>
      </c>
      <c r="E370" s="5">
        <v>23748768.84</v>
      </c>
      <c r="F370" s="56">
        <v>265160</v>
      </c>
      <c r="G370" s="81">
        <v>0.25</v>
      </c>
      <c r="J370" s="18"/>
      <c r="K370" s="87"/>
      <c r="L370" s="87"/>
      <c r="M370" s="54"/>
      <c r="N370" s="54"/>
      <c r="O370" s="54"/>
      <c r="P370" s="91">
        <v>21037000</v>
      </c>
      <c r="Q370" s="73">
        <v>-2365000</v>
      </c>
      <c r="R370" s="73">
        <f>IF(Tabela3[[#This Row],[Ativo || Passivo]]&gt;0,Tabela3[[#This Row],[Ativo || Passivo]]-Tabela3[[#This Row],[Patrimônio Líquido]],0)</f>
        <v>0</v>
      </c>
      <c r="S370" s="73">
        <f>Tabela3[[#This Row],[Cotação]]*Tabela3[[#This Row],[Total Ações]]</f>
        <v>58121120</v>
      </c>
      <c r="T370" s="37">
        <f>IF(Tabela3[[#This Row],[Passivo Circulante]]&gt;0,Tabela3[[#This Row],[Ativo Circulante]]/Tabela3[[#This Row],[Passivo Circulante]],0)</f>
        <v>0</v>
      </c>
      <c r="U370" s="37">
        <f>SUMPRODUCT(N([Liquidez Corrente]&gt;0),N(RIGHT([PAPEL],LEN([PAPEL])-(LEN([PAPEL])-1))="3"),[Liquidez Corrente])/SUMPRODUCT(N([Liquidez Corrente]&gt;0),N(RIGHT([PAPEL],LEN([PAPEL])-(LEN([PAPEL])-1))="3"))</f>
        <v>2.331224473064915</v>
      </c>
      <c r="V370" s="18">
        <f>IF(Tabela3[[#This Row],[Lucro Líquido]]&gt;0,Tabela3[[#This Row],[Lucro Líquido]]/Tabela3[[#This Row],[Patrimônio Líquido]],0)</f>
        <v>0</v>
      </c>
      <c r="W370" s="18">
        <f>SUMPRODUCT(N([Rentabilidade s/ PL]&gt;0),N(RIGHT([PAPEL],LEN([PAPEL])-(LEN([PAPEL])-1))="3"),[Rentabilidade s/ PL])/SUMPRODUCT(N([Rentabilidade s/ PL]&gt;0),N(RIGHT([PAPEL],LEN([PAPEL])-(LEN([PAPEL])-1))="3"))</f>
        <v>0.1261051308670782</v>
      </c>
      <c r="X370" s="18">
        <f>IF(Tabela3[[#This Row],[Dívida]]&gt;0,Tabela3[[#This Row],[Dívida]]/Tabela3[[#This Row],[Patrimônio Líquido]],0)</f>
        <v>0</v>
      </c>
      <c r="Y370" s="18">
        <f>SUMPRODUCT(N([Dívida / PL]&gt;0),N(RIGHT([PAPEL],LEN([PAPEL])-(LEN([PAPEL])-1))="3"),[Dívida / PL])/SUMPRODUCT(N([Dívida / PL]&gt;0),N(RIGHT([PAPEL],LEN([PAPEL])-(LEN([PAPEL])-1))="3"))</f>
        <v>2.1510410379481146</v>
      </c>
      <c r="Z370" s="47">
        <f>Tabela3[[#This Row],[Capital Social]]*20%</f>
        <v>4749753.7680000002</v>
      </c>
      <c r="AA370" s="47">
        <f>IF(([Lucro Líquido]*5%)&gt;[Teto R. Legal],[Teto R. Legal],[Lucro Líquido]*5%)</f>
        <v>-118250</v>
      </c>
      <c r="AB370" s="47">
        <f>IF([Lucro Líquido]&lt;0,0,[Lucro Líquido]-[Reserva Legal])</f>
        <v>0</v>
      </c>
      <c r="AC370" s="47">
        <f>Tabela3[[#This Row],[Lucro Distribuir]]*[%Div]</f>
        <v>0</v>
      </c>
      <c r="AD370" s="56">
        <f>SUMPRODUCT(N([Nome]=Tabela3[[#This Row],[Nome]]),[Ações])</f>
        <v>726514</v>
      </c>
      <c r="AE370" s="5">
        <f>[Capital Social]/[Total Ações]</f>
        <v>32.688659599126787</v>
      </c>
      <c r="AF370" s="77">
        <f>Tabela3[[#This Row],[Lucro Líquido]]/Tabela3[[#This Row],[Total Ações]]</f>
        <v>-3.2552710615349465</v>
      </c>
      <c r="AG370" s="77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</v>
      </c>
      <c r="AH370" s="77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370" s="77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370" s="77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</v>
      </c>
      <c r="AK370" s="47">
        <f>[Div Base]*[Ações]</f>
        <v>0</v>
      </c>
      <c r="AL370" s="47">
        <f>SUMPRODUCT(N([Nome]=Tabela3[[#This Row],[Nome]]),[Div Base]*[Ações])</f>
        <v>0</v>
      </c>
      <c r="AM370" s="5">
        <f>[Patrimônio Líquido]/[Total Ações]</f>
        <v>28.956083434042565</v>
      </c>
      <c r="AN370" s="52">
        <f>MAX(Tabela3[[#This Row],[Cotação 1]:[Cotação 5]])</f>
        <v>80</v>
      </c>
      <c r="AO370" s="53">
        <f>[Cotação]/[VPA]</f>
        <v>2.7628045824024339</v>
      </c>
      <c r="AP370" s="37">
        <f>IF(Tabela3[[#This Row],[Lucro/Ação]]&gt;0,Tabela3[[#This Row],[Cotação]]/(Tabela3[[#This Row],[Lucro/Ação]]/[Ref]*4),0)</f>
        <v>0</v>
      </c>
      <c r="AQ370" s="77">
        <f>[Lucro Distribuir]/[Total Ações]</f>
        <v>0</v>
      </c>
      <c r="AR370" s="77">
        <f>IF([Unit ON]&gt;0,SUMPRODUCT(N([Nome]=Tabela3[[#This Row],[Nome]]),N(RIGHT([PAPEL],1)="3"),[Div Base])*[Unit ON]+SUMPRODUCT(N([Nome]=Tabela3[[#This Row],[Nome]]),N(RIGHT([PAPEL],1)="4"),[Div Base])*[Unit PN],[Div Base])</f>
        <v>0</v>
      </c>
      <c r="AS370" s="10" t="str">
        <f>IF(AND([% A.A.]&gt;=6%,SUMPRODUCT(N([Nome]=Tabela3[[#This Row],[Nome]]),[PL])&gt;0,[Rentabilidade s/ PL]&gt;=[Rentabilidade s/ PL Média]),"Sim","Não")</f>
        <v>Não</v>
      </c>
      <c r="AT370" s="22">
        <f>IF([Cotação]&gt;0,Tabela3[[#This Row],[Lucro]]/Tabela3[[#This Row],[Cotação]],0)</f>
        <v>0</v>
      </c>
      <c r="AU370" s="22">
        <f>((1+Tabela3[[#This Row],[% Yield]])^(1/(3*Tabela3[[#This Row],[Ref]])))^(12)-1</f>
        <v>0</v>
      </c>
      <c r="AV370" s="10">
        <f>IF([Cotação]&gt;0,($BH$1/Tabela3[[#This Row],[Cotação]]-MOD($BH$1/Tabela3[[#This Row],[Cotação]],100)),)</f>
        <v>0</v>
      </c>
      <c r="AW370" s="7">
        <f>Tabela3[[#This Row],[Ativos]]*[Lucro]</f>
        <v>0</v>
      </c>
      <c r="AX370" s="7">
        <f>SUMPRODUCT(N(Tabela1[Código]=Tabela3[[#This Row],[PAPEL]]),Tabela1[Fechamento])</f>
        <v>0</v>
      </c>
      <c r="AY370" s="7">
        <f>SUMPRODUCT(N(Tabela17[Código]=Tabela3[[#This Row],[PAPEL]]),Tabela17[Fechamento])</f>
        <v>0</v>
      </c>
      <c r="AZ370" s="7">
        <f>SUMPRODUCT(N(Tabela176[Código]=Tabela3[[#This Row],[PAPEL]]),Tabela176[Fechamento])</f>
        <v>80</v>
      </c>
      <c r="BA370" s="7">
        <f>SUMPRODUCT(N(Tabela1768[Código]=Tabela3[[#This Row],[PAPEL]]),Tabela1768[Fechamento])</f>
        <v>0</v>
      </c>
      <c r="BB370" s="7">
        <f>SUMPRODUCT(N(Tabela17683[Código]=Tabela3[[#This Row],[PAPEL]]),Tabela17683[Fechamento])</f>
        <v>0</v>
      </c>
    </row>
    <row r="371" spans="1:54" hidden="1">
      <c r="A371" s="4" t="s">
        <v>333</v>
      </c>
      <c r="B371" s="57" t="s">
        <v>622</v>
      </c>
      <c r="C371" s="15" t="str">
        <f>LEFT([PAPEL],LEN([PAPEL])-(LEN([PAPEL])-4))</f>
        <v>FBMC</v>
      </c>
      <c r="D371" s="15">
        <v>3</v>
      </c>
      <c r="E371" s="5">
        <v>23748768.84</v>
      </c>
      <c r="F371" s="8">
        <v>461354</v>
      </c>
      <c r="G371" s="86">
        <v>0.25</v>
      </c>
      <c r="H371" s="9"/>
      <c r="I371" s="19">
        <v>0.08</v>
      </c>
      <c r="J371" s="19"/>
      <c r="K371" s="88"/>
      <c r="L371" s="88"/>
      <c r="M371" s="55"/>
      <c r="N371" s="55"/>
      <c r="O371" s="55"/>
      <c r="P371" s="91">
        <v>21037000</v>
      </c>
      <c r="Q371" s="73">
        <v>-2365000</v>
      </c>
      <c r="R371" s="73">
        <f>IF(Tabela3[[#This Row],[Ativo || Passivo]]&gt;0,Tabela3[[#This Row],[Ativo || Passivo]]-Tabela3[[#This Row],[Patrimônio Líquido]],0)</f>
        <v>0</v>
      </c>
      <c r="S371" s="73">
        <f>Tabela3[[#This Row],[Cotação]]*Tabela3[[#This Row],[Total Ações]]</f>
        <v>18882098.859999999</v>
      </c>
      <c r="T371" s="37">
        <f>IF(Tabela3[[#This Row],[Passivo Circulante]]&gt;0,Tabela3[[#This Row],[Ativo Circulante]]/Tabela3[[#This Row],[Passivo Circulante]],0)</f>
        <v>0</v>
      </c>
      <c r="U371" s="37">
        <f>SUMPRODUCT(N([Liquidez Corrente]&gt;0),N(RIGHT([PAPEL],LEN([PAPEL])-(LEN([PAPEL])-1))="3"),[Liquidez Corrente])/SUMPRODUCT(N([Liquidez Corrente]&gt;0),N(RIGHT([PAPEL],LEN([PAPEL])-(LEN([PAPEL])-1))="3"))</f>
        <v>2.331224473064915</v>
      </c>
      <c r="V371" s="18">
        <f>IF(Tabela3[[#This Row],[Lucro Líquido]]&gt;0,Tabela3[[#This Row],[Lucro Líquido]]/Tabela3[[#This Row],[Patrimônio Líquido]],0)</f>
        <v>0</v>
      </c>
      <c r="W371" s="18">
        <f>SUMPRODUCT(N([Rentabilidade s/ PL]&gt;0),N(RIGHT([PAPEL],LEN([PAPEL])-(LEN([PAPEL])-1))="3"),[Rentabilidade s/ PL])/SUMPRODUCT(N([Rentabilidade s/ PL]&gt;0),N(RIGHT([PAPEL],LEN([PAPEL])-(LEN([PAPEL])-1))="3"))</f>
        <v>0.1261051308670782</v>
      </c>
      <c r="X371" s="18">
        <f>IF(Tabela3[[#This Row],[Dívida]]&gt;0,Tabela3[[#This Row],[Dívida]]/Tabela3[[#This Row],[Patrimônio Líquido]],0)</f>
        <v>0</v>
      </c>
      <c r="Y371" s="18">
        <f>SUMPRODUCT(N([Dívida / PL]&gt;0),N(RIGHT([PAPEL],LEN([PAPEL])-(LEN([PAPEL])-1))="3"),[Dívida / PL])/SUMPRODUCT(N([Dívida / PL]&gt;0),N(RIGHT([PAPEL],LEN([PAPEL])-(LEN([PAPEL])-1))="3"))</f>
        <v>2.1510410379481146</v>
      </c>
      <c r="Z371" s="13">
        <f>Tabela3[[#This Row],[Capital Social]]*20%</f>
        <v>4749753.7680000002</v>
      </c>
      <c r="AA371" s="13">
        <f>IF(([Lucro Líquido]*5%)&gt;[Teto R. Legal],[Teto R. Legal],[Lucro Líquido]*5%)</f>
        <v>-118250</v>
      </c>
      <c r="AB371" s="13">
        <f>IF([Lucro Líquido]&lt;0,0,[Lucro Líquido]-[Reserva Legal])</f>
        <v>0</v>
      </c>
      <c r="AC371" s="13">
        <f>Tabela3[[#This Row],[Lucro Distribuir]]*[%Div]</f>
        <v>0</v>
      </c>
      <c r="AD371" s="56">
        <f>SUMPRODUCT(N([Nome]=Tabela3[[#This Row],[Nome]]),[Ações])</f>
        <v>726514</v>
      </c>
      <c r="AE371" s="6">
        <f>[Capital Social]/[Total Ações]</f>
        <v>32.688659599126787</v>
      </c>
      <c r="AF371" s="78">
        <f>Tabela3[[#This Row],[Lucro Líquido]]/Tabela3[[#This Row],[Total Ações]]</f>
        <v>-3.2552710615349465</v>
      </c>
      <c r="AG371" s="78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</v>
      </c>
      <c r="AH371" s="78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371" s="78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371" s="78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</v>
      </c>
      <c r="AK371" s="13">
        <f>[Div Base]*[Ações]</f>
        <v>0</v>
      </c>
      <c r="AL371" s="13">
        <f>SUMPRODUCT(N([Nome]=Tabela3[[#This Row],[Nome]]),[Div Base]*[Ações])</f>
        <v>0</v>
      </c>
      <c r="AM371" s="6">
        <f>[Patrimônio Líquido]/[Total Ações]</f>
        <v>28.956083434042565</v>
      </c>
      <c r="AN371" s="48">
        <f>MAX(Tabela3[[#This Row],[Cotação 1]:[Cotação 5]])</f>
        <v>25.99</v>
      </c>
      <c r="AO371" s="44">
        <f>[Cotação]/[VPA]</f>
        <v>0.89756613870799062</v>
      </c>
      <c r="AP371" s="40">
        <f>IF(Tabela3[[#This Row],[Lucro/Ação]]&gt;0,Tabela3[[#This Row],[Cotação]]/(Tabela3[[#This Row],[Lucro/Ação]]/[Ref]*4),0)</f>
        <v>0</v>
      </c>
      <c r="AQ371" s="78">
        <f>[Lucro Distribuir]/[Total Ações]</f>
        <v>0</v>
      </c>
      <c r="AR371" s="78">
        <f>IF([Unit ON]&gt;0,SUMPRODUCT(N([Nome]=Tabela3[[#This Row],[Nome]]),N(RIGHT([PAPEL],1)="3"),[Div Base])*[Unit ON]+SUMPRODUCT(N([Nome]=Tabela3[[#This Row],[Nome]]),N(RIGHT([PAPEL],1)="4"),[Div Base])*[Unit PN],[Div Base])</f>
        <v>0</v>
      </c>
      <c r="AS371" s="14" t="str">
        <f>IF(AND([% A.A.]&gt;=6%,SUMPRODUCT(N([Nome]=Tabela3[[#This Row],[Nome]]),[PL])&gt;0,[Rentabilidade s/ PL]&gt;=[Rentabilidade s/ PL Média]),"Sim","Não")</f>
        <v>Não</v>
      </c>
      <c r="AT371" s="42">
        <f>IF([Cotação]&gt;0,Tabela3[[#This Row],[Lucro]]/Tabela3[[#This Row],[Cotação]],0)</f>
        <v>0</v>
      </c>
      <c r="AU371" s="42">
        <f>((1+Tabela3[[#This Row],[% Yield]])^(1/(3*Tabela3[[#This Row],[Ref]])))^(12)-1</f>
        <v>0</v>
      </c>
      <c r="AV371" s="14">
        <f>IF([Cotação]&gt;0,($BH$1/Tabela3[[#This Row],[Cotação]]-MOD($BH$1/Tabela3[[#This Row],[Cotação]],100)),)</f>
        <v>0</v>
      </c>
      <c r="AW371" s="17">
        <f>Tabela3[[#This Row],[Ativos]]*[Lucro]</f>
        <v>0</v>
      </c>
      <c r="AX371" s="17">
        <f>SUMPRODUCT(N(Tabela1[Código]=Tabela3[[#This Row],[PAPEL]]),Tabela1[Fechamento])</f>
        <v>0</v>
      </c>
      <c r="AY371" s="17">
        <f>SUMPRODUCT(N(Tabela17[Código]=Tabela3[[#This Row],[PAPEL]]),Tabela17[Fechamento])</f>
        <v>0</v>
      </c>
      <c r="AZ371" s="17">
        <f>SUMPRODUCT(N(Tabela176[Código]=Tabela3[[#This Row],[PAPEL]]),Tabela176[Fechamento])</f>
        <v>25.99</v>
      </c>
      <c r="BA371" s="17">
        <f>SUMPRODUCT(N(Tabela1768[Código]=Tabela3[[#This Row],[PAPEL]]),Tabela1768[Fechamento])</f>
        <v>0</v>
      </c>
      <c r="BB371" s="7">
        <f>SUMPRODUCT(N(Tabela17683[Código]=Tabela3[[#This Row],[PAPEL]]),Tabela17683[Fechamento])</f>
        <v>0</v>
      </c>
    </row>
    <row r="372" spans="1:54" hidden="1">
      <c r="A372" s="4" t="s">
        <v>40</v>
      </c>
      <c r="B372" s="57" t="s">
        <v>665</v>
      </c>
      <c r="C372" s="15" t="str">
        <f>LEFT([PAPEL],LEN([PAPEL])-(LEN([PAPEL])-4))</f>
        <v>RHDS</v>
      </c>
      <c r="D372" s="15">
        <v>3</v>
      </c>
      <c r="E372" s="6">
        <v>523208741.57999998</v>
      </c>
      <c r="F372" s="8">
        <v>8024960477</v>
      </c>
      <c r="G372" s="86">
        <v>0.25</v>
      </c>
      <c r="H372" s="15"/>
      <c r="I372" s="19"/>
      <c r="J372" s="19"/>
      <c r="K372" s="88"/>
      <c r="L372" s="88"/>
      <c r="M372" s="55"/>
      <c r="N372" s="55"/>
      <c r="O372" s="55"/>
      <c r="P372" s="92">
        <v>266825000</v>
      </c>
      <c r="Q372" s="93">
        <v>-3092000</v>
      </c>
      <c r="R372" s="93">
        <f>IF(Tabela3[[#This Row],[Ativo || Passivo]]&gt;0,Tabela3[[#This Row],[Ativo || Passivo]]-Tabela3[[#This Row],[Patrimônio Líquido]],0)</f>
        <v>0</v>
      </c>
      <c r="S372" s="93">
        <f>Tabela3[[#This Row],[Cotação]]*Tabela3[[#This Row],[Total Ações]]</f>
        <v>561747233.3900001</v>
      </c>
      <c r="T372" s="40">
        <f>IF(Tabela3[[#This Row],[Passivo Circulante]]&gt;0,Tabela3[[#This Row],[Ativo Circulante]]/Tabela3[[#This Row],[Passivo Circulante]],0)</f>
        <v>0</v>
      </c>
      <c r="U372" s="40">
        <f>SUMPRODUCT(N([Liquidez Corrente]&gt;0),N(RIGHT([PAPEL],LEN([PAPEL])-(LEN([PAPEL])-1))="3"),[Liquidez Corrente])/SUMPRODUCT(N([Liquidez Corrente]&gt;0),N(RIGHT([PAPEL],LEN([PAPEL])-(LEN([PAPEL])-1))="3"))</f>
        <v>2.331224473064915</v>
      </c>
      <c r="V372" s="19">
        <f>IF(Tabela3[[#This Row],[Lucro Líquido]]&gt;0,Tabela3[[#This Row],[Lucro Líquido]]/Tabela3[[#This Row],[Patrimônio Líquido]],0)</f>
        <v>0</v>
      </c>
      <c r="W372" s="19">
        <f>SUMPRODUCT(N([Rentabilidade s/ PL]&gt;0),N(RIGHT([PAPEL],LEN([PAPEL])-(LEN([PAPEL])-1))="3"),[Rentabilidade s/ PL])/SUMPRODUCT(N([Rentabilidade s/ PL]&gt;0),N(RIGHT([PAPEL],LEN([PAPEL])-(LEN([PAPEL])-1))="3"))</f>
        <v>0.1261051308670782</v>
      </c>
      <c r="X372" s="19">
        <f>IF(Tabela3[[#This Row],[Dívida]]&gt;0,Tabela3[[#This Row],[Dívida]]/Tabela3[[#This Row],[Patrimônio Líquido]],0)</f>
        <v>0</v>
      </c>
      <c r="Y372" s="19">
        <f>SUMPRODUCT(N([Dívida / PL]&gt;0),N(RIGHT([PAPEL],LEN([PAPEL])-(LEN([PAPEL])-1))="3"),[Dívida / PL])/SUMPRODUCT(N([Dívida / PL]&gt;0),N(RIGHT([PAPEL],LEN([PAPEL])-(LEN([PAPEL])-1))="3"))</f>
        <v>2.1510410379481146</v>
      </c>
      <c r="Z372" s="13">
        <f>Tabela3[[#This Row],[Capital Social]]*20%</f>
        <v>104641748.316</v>
      </c>
      <c r="AA372" s="13">
        <f>IF(([Lucro Líquido]*5%)&gt;[Teto R. Legal],[Teto R. Legal],[Lucro Líquido]*5%)</f>
        <v>-154600</v>
      </c>
      <c r="AB372" s="13">
        <f>IF([Lucro Líquido]&lt;0,0,[Lucro Líquido]-[Reserva Legal])</f>
        <v>0</v>
      </c>
      <c r="AC372" s="13">
        <f>Tabela3[[#This Row],[Lucro Distribuir]]*[%Div]</f>
        <v>0</v>
      </c>
      <c r="AD372" s="56">
        <f>SUMPRODUCT(N([Nome]=Tabela3[[#This Row],[Nome]]),[Ações])</f>
        <v>8024960477</v>
      </c>
      <c r="AE372" s="6">
        <f>[Capital Social]/[Total Ações]</f>
        <v>6.5197672073220359E-2</v>
      </c>
      <c r="AF372" s="78">
        <f>Tabela3[[#This Row],[Lucro Líquido]]/Tabela3[[#This Row],[Total Ações]]</f>
        <v>-3.8529784774166186E-4</v>
      </c>
      <c r="AG372" s="78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</v>
      </c>
      <c r="AH372" s="78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372" s="78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372" s="78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</v>
      </c>
      <c r="AK372" s="13">
        <f>[Div Base]*[Ações]</f>
        <v>0</v>
      </c>
      <c r="AL372" s="13">
        <f>SUMPRODUCT(N([Nome]=Tabela3[[#This Row],[Nome]]),[Div Base]*[Ações])</f>
        <v>0</v>
      </c>
      <c r="AM372" s="6">
        <f>[Patrimônio Líquido]/[Total Ações]</f>
        <v>3.3249384936503534E-2</v>
      </c>
      <c r="AN372" s="48">
        <f>MAX(Tabela3[[#This Row],[Cotação 1]:[Cotação 5]])</f>
        <v>7.0000000000000007E-2</v>
      </c>
      <c r="AO372" s="44">
        <f>[Cotação]/[VPA]</f>
        <v>2.1053021020893845</v>
      </c>
      <c r="AP372" s="40">
        <f>IF(Tabela3[[#This Row],[Lucro/Ação]]&gt;0,Tabela3[[#This Row],[Cotação]]/(Tabela3[[#This Row],[Lucro/Ação]]/[Ref]*4),0)</f>
        <v>0</v>
      </c>
      <c r="AQ372" s="78">
        <f>[Lucro Distribuir]/[Total Ações]</f>
        <v>0</v>
      </c>
      <c r="AR372" s="78">
        <f>IF([Unit ON]&gt;0,SUMPRODUCT(N([Nome]=Tabela3[[#This Row],[Nome]]),N(RIGHT([PAPEL],1)="3"),[Div Base])*[Unit ON]+SUMPRODUCT(N([Nome]=Tabela3[[#This Row],[Nome]]),N(RIGHT([PAPEL],1)="4"),[Div Base])*[Unit PN],[Div Base])</f>
        <v>0</v>
      </c>
      <c r="AS372" s="14" t="str">
        <f>IF(AND([% A.A.]&gt;=6%,SUMPRODUCT(N([Nome]=Tabela3[[#This Row],[Nome]]),[PL])&gt;0,[Rentabilidade s/ PL]&gt;=[Rentabilidade s/ PL Média]),"Sim","Não")</f>
        <v>Não</v>
      </c>
      <c r="AT372" s="42">
        <f>IF([Cotação]&gt;0,Tabela3[[#This Row],[Lucro]]/Tabela3[[#This Row],[Cotação]],0)</f>
        <v>0</v>
      </c>
      <c r="AU372" s="42">
        <f>((1+Tabela3[[#This Row],[% Yield]])^(1/(3*Tabela3[[#This Row],[Ref]])))^(12)-1</f>
        <v>0</v>
      </c>
      <c r="AV372" s="14">
        <f>IF([Cotação]&gt;0,($BH$1/Tabela3[[#This Row],[Cotação]]-MOD($BH$1/Tabela3[[#This Row],[Cotação]],100)),)</f>
        <v>7100</v>
      </c>
      <c r="AW372" s="17">
        <f>Tabela3[[#This Row],[Ativos]]*[Lucro]</f>
        <v>0</v>
      </c>
      <c r="AX372" s="17">
        <f>SUMPRODUCT(N(Tabela1[Código]=Tabela3[[#This Row],[PAPEL]]),Tabela1[Fechamento])</f>
        <v>0</v>
      </c>
      <c r="AY372" s="17">
        <f>SUMPRODUCT(N(Tabela17[Código]=Tabela3[[#This Row],[PAPEL]]),Tabela17[Fechamento])</f>
        <v>0</v>
      </c>
      <c r="AZ372" s="17">
        <f>SUMPRODUCT(N(Tabela176[Código]=Tabela3[[#This Row],[PAPEL]]),Tabela176[Fechamento])</f>
        <v>7.0000000000000007E-2</v>
      </c>
      <c r="BA372" s="17">
        <f>SUMPRODUCT(N(Tabela1768[Código]=Tabela3[[#This Row],[PAPEL]]),Tabela1768[Fechamento])</f>
        <v>0</v>
      </c>
      <c r="BB372" s="7">
        <f>SUMPRODUCT(N(Tabela17683[Código]=Tabela3[[#This Row],[PAPEL]]),Tabela17683[Fechamento])</f>
        <v>0</v>
      </c>
    </row>
    <row r="373" spans="1:54" hidden="1">
      <c r="A373" s="4" t="s">
        <v>296</v>
      </c>
      <c r="B373" s="57" t="s">
        <v>714</v>
      </c>
      <c r="C373" s="15" t="str">
        <f>LEFT([PAPEL],LEN([PAPEL])-(LEN([PAPEL])-4))</f>
        <v>BTTL</v>
      </c>
      <c r="D373" s="16">
        <v>3</v>
      </c>
      <c r="E373" s="6">
        <v>151555970</v>
      </c>
      <c r="F373" s="8">
        <v>49911902</v>
      </c>
      <c r="G373" s="81">
        <v>0.25</v>
      </c>
      <c r="H373" s="15"/>
      <c r="I373" s="19"/>
      <c r="J373" s="19"/>
      <c r="K373" s="88"/>
      <c r="L373" s="88"/>
      <c r="M373" s="55"/>
      <c r="N373" s="55"/>
      <c r="O373" s="55"/>
      <c r="P373" s="92">
        <v>-68334000</v>
      </c>
      <c r="Q373" s="93">
        <v>-3348000</v>
      </c>
      <c r="R373" s="93">
        <f>IF(Tabela3[[#This Row],[Ativo || Passivo]]&gt;0,Tabela3[[#This Row],[Ativo || Passivo]]-Tabela3[[#This Row],[Patrimônio Líquido]],0)</f>
        <v>0</v>
      </c>
      <c r="S373" s="93">
        <f>Tabela3[[#This Row],[Cotação]]*Tabela3[[#This Row],[Total Ações]]</f>
        <v>116748627.84</v>
      </c>
      <c r="T373" s="40">
        <f>IF(Tabela3[[#This Row],[Passivo Circulante]]&gt;0,Tabela3[[#This Row],[Ativo Circulante]]/Tabela3[[#This Row],[Passivo Circulante]],0)</f>
        <v>0</v>
      </c>
      <c r="U373" s="40">
        <f>SUMPRODUCT(N([Liquidez Corrente]&gt;0),N(RIGHT([PAPEL],LEN([PAPEL])-(LEN([PAPEL])-1))="3"),[Liquidez Corrente])/SUMPRODUCT(N([Liquidez Corrente]&gt;0),N(RIGHT([PAPEL],LEN([PAPEL])-(LEN([PAPEL])-1))="3"))</f>
        <v>2.331224473064915</v>
      </c>
      <c r="V373" s="19">
        <f>IF(Tabela3[[#This Row],[Lucro Líquido]]&gt;0,Tabela3[[#This Row],[Lucro Líquido]]/Tabela3[[#This Row],[Patrimônio Líquido]],0)</f>
        <v>0</v>
      </c>
      <c r="W373" s="19">
        <f>SUMPRODUCT(N([Rentabilidade s/ PL]&gt;0),N(RIGHT([PAPEL],LEN([PAPEL])-(LEN([PAPEL])-1))="3"),[Rentabilidade s/ PL])/SUMPRODUCT(N([Rentabilidade s/ PL]&gt;0),N(RIGHT([PAPEL],LEN([PAPEL])-(LEN([PAPEL])-1))="3"))</f>
        <v>0.1261051308670782</v>
      </c>
      <c r="X373" s="19">
        <f>IF(Tabela3[[#This Row],[Dívida]]&gt;0,Tabela3[[#This Row],[Dívida]]/Tabela3[[#This Row],[Patrimônio Líquido]],0)</f>
        <v>0</v>
      </c>
      <c r="Y373" s="19">
        <f>SUMPRODUCT(N([Dívida / PL]&gt;0),N(RIGHT([PAPEL],LEN([PAPEL])-(LEN([PAPEL])-1))="3"),[Dívida / PL])/SUMPRODUCT(N([Dívida / PL]&gt;0),N(RIGHT([PAPEL],LEN([PAPEL])-(LEN([PAPEL])-1))="3"))</f>
        <v>2.1510410379481146</v>
      </c>
      <c r="Z373" s="13">
        <f>Tabela3[[#This Row],[Capital Social]]*20%</f>
        <v>30311194</v>
      </c>
      <c r="AA373" s="13">
        <f>IF(([Lucro Líquido]*5%)&gt;[Teto R. Legal],[Teto R. Legal],[Lucro Líquido]*5%)</f>
        <v>-167400</v>
      </c>
      <c r="AB373" s="13">
        <f>IF([Lucro Líquido]&lt;0,0,[Lucro Líquido]-[Reserva Legal])</f>
        <v>0</v>
      </c>
      <c r="AC373" s="13">
        <f>Tabela3[[#This Row],[Lucro Distribuir]]*[%Div]</f>
        <v>0</v>
      </c>
      <c r="AD373" s="21">
        <f>SUMPRODUCT(N([Nome]=Tabela3[[#This Row],[Nome]]),[Ações])</f>
        <v>149677728</v>
      </c>
      <c r="AE373" s="6">
        <f>[Capital Social]/[Total Ações]</f>
        <v>1.0125485736929412</v>
      </c>
      <c r="AF373" s="78">
        <f>Tabela3[[#This Row],[Lucro Líquido]]/Tabela3[[#This Row],[Total Ações]]</f>
        <v>-2.2368057323799036E-2</v>
      </c>
      <c r="AG373" s="78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</v>
      </c>
      <c r="AH373" s="78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373" s="78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373" s="78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</v>
      </c>
      <c r="AK373" s="13">
        <f>[Div Base]*[Ações]</f>
        <v>0</v>
      </c>
      <c r="AL373" s="13">
        <f>SUMPRODUCT(N([Nome]=Tabela3[[#This Row],[Nome]]),[Div Base]*[Ações])</f>
        <v>0</v>
      </c>
      <c r="AM373" s="6">
        <f>[Patrimônio Líquido]/[Total Ações]</f>
        <v>-0.45654086892607026</v>
      </c>
      <c r="AN373" s="48">
        <f>MAX(Tabela3[[#This Row],[Cotação 1]:[Cotação 5]])</f>
        <v>0.78</v>
      </c>
      <c r="AO373" s="44">
        <f>[Cotação]/[VPA]</f>
        <v>-1.7084998366845203</v>
      </c>
      <c r="AP373" s="40">
        <f>IF(Tabela3[[#This Row],[Lucro/Ação]]&gt;0,Tabela3[[#This Row],[Cotação]]/(Tabela3[[#This Row],[Lucro/Ação]]/[Ref]*4),0)</f>
        <v>0</v>
      </c>
      <c r="AQ373" s="78">
        <f>[Lucro Distribuir]/[Total Ações]</f>
        <v>0</v>
      </c>
      <c r="AR373" s="78">
        <f>IF([Unit ON]&gt;0,SUMPRODUCT(N([Nome]=Tabela3[[#This Row],[Nome]]),N(RIGHT([PAPEL],1)="3"),[Div Base])*[Unit ON]+SUMPRODUCT(N([Nome]=Tabela3[[#This Row],[Nome]]),N(RIGHT([PAPEL],1)="4"),[Div Base])*[Unit PN],[Div Base])</f>
        <v>0</v>
      </c>
      <c r="AS373" s="14" t="str">
        <f>IF(AND([% A.A.]&gt;=6%,SUMPRODUCT(N([Nome]=Tabela3[[#This Row],[Nome]]),[PL])&gt;0,[Rentabilidade s/ PL]&gt;=[Rentabilidade s/ PL Média]),"Sim","Não")</f>
        <v>Não</v>
      </c>
      <c r="AT373" s="42">
        <f>IF([Cotação]&gt;0,Tabela3[[#This Row],[Lucro]]/Tabela3[[#This Row],[Cotação]],0)</f>
        <v>0</v>
      </c>
      <c r="AU373" s="42">
        <f>((1+Tabela3[[#This Row],[% Yield]])^(1/(3*Tabela3[[#This Row],[Ref]])))^(12)-1</f>
        <v>0</v>
      </c>
      <c r="AV373" s="14">
        <f>IF([Cotação]&gt;0,($BH$1/Tabela3[[#This Row],[Cotação]]-MOD($BH$1/Tabela3[[#This Row],[Cotação]],100)),)</f>
        <v>600</v>
      </c>
      <c r="AW373" s="17">
        <f>Tabela3[[#This Row],[Ativos]]*[Lucro]</f>
        <v>0</v>
      </c>
      <c r="AX373" s="17">
        <f>SUMPRODUCT(N(Tabela1[Código]=Tabela3[[#This Row],[PAPEL]]),Tabela1[Fechamento])</f>
        <v>0</v>
      </c>
      <c r="AY373" s="17">
        <f>SUMPRODUCT(N(Tabela17[Código]=Tabela3[[#This Row],[PAPEL]]),Tabela17[Fechamento])</f>
        <v>0</v>
      </c>
      <c r="AZ373" s="17">
        <f>SUMPRODUCT(N(Tabela176[Código]=Tabela3[[#This Row],[PAPEL]]),Tabela176[Fechamento])</f>
        <v>0.78</v>
      </c>
      <c r="BA373" s="17">
        <f>SUMPRODUCT(N(Tabela1768[Código]=Tabela3[[#This Row],[PAPEL]]),Tabela1768[Fechamento])</f>
        <v>0</v>
      </c>
      <c r="BB373" s="7">
        <f>SUMPRODUCT(N(Tabela17683[Código]=Tabela3[[#This Row],[PAPEL]]),Tabela17683[Fechamento])</f>
        <v>0</v>
      </c>
    </row>
    <row r="374" spans="1:54" hidden="1">
      <c r="A374" s="4" t="s">
        <v>296</v>
      </c>
      <c r="B374" s="57" t="s">
        <v>715</v>
      </c>
      <c r="C374" s="15" t="str">
        <f>LEFT([PAPEL],LEN([PAPEL])-(LEN([PAPEL])-4))</f>
        <v>BTTL</v>
      </c>
      <c r="D374" s="16">
        <v>3</v>
      </c>
      <c r="E374" s="6">
        <v>151555970</v>
      </c>
      <c r="F374" s="8">
        <v>99765826</v>
      </c>
      <c r="G374" s="81">
        <v>0.25</v>
      </c>
      <c r="H374" s="15"/>
      <c r="I374" s="19"/>
      <c r="J374" s="19"/>
      <c r="K374" s="88"/>
      <c r="L374" s="88"/>
      <c r="M374" s="55"/>
      <c r="N374" s="55"/>
      <c r="O374" s="55"/>
      <c r="P374" s="92">
        <v>-68334000</v>
      </c>
      <c r="Q374" s="93">
        <v>-3348000</v>
      </c>
      <c r="R374" s="93">
        <f>IF(Tabela3[[#This Row],[Ativo || Passivo]]&gt;0,Tabela3[[#This Row],[Ativo || Passivo]]-Tabela3[[#This Row],[Patrimônio Líquido]],0)</f>
        <v>0</v>
      </c>
      <c r="S374" s="93">
        <f>Tabela3[[#This Row],[Cotação]]*Tabela3[[#This Row],[Total Ações]]</f>
        <v>118245405.12</v>
      </c>
      <c r="T374" s="40">
        <f>IF(Tabela3[[#This Row],[Passivo Circulante]]&gt;0,Tabela3[[#This Row],[Ativo Circulante]]/Tabela3[[#This Row],[Passivo Circulante]],0)</f>
        <v>0</v>
      </c>
      <c r="U374" s="40">
        <f>SUMPRODUCT(N([Liquidez Corrente]&gt;0),N(RIGHT([PAPEL],LEN([PAPEL])-(LEN([PAPEL])-1))="3"),[Liquidez Corrente])/SUMPRODUCT(N([Liquidez Corrente]&gt;0),N(RIGHT([PAPEL],LEN([PAPEL])-(LEN([PAPEL])-1))="3"))</f>
        <v>2.331224473064915</v>
      </c>
      <c r="V374" s="19">
        <f>IF(Tabela3[[#This Row],[Lucro Líquido]]&gt;0,Tabela3[[#This Row],[Lucro Líquido]]/Tabela3[[#This Row],[Patrimônio Líquido]],0)</f>
        <v>0</v>
      </c>
      <c r="W374" s="19">
        <f>SUMPRODUCT(N([Rentabilidade s/ PL]&gt;0),N(RIGHT([PAPEL],LEN([PAPEL])-(LEN([PAPEL])-1))="3"),[Rentabilidade s/ PL])/SUMPRODUCT(N([Rentabilidade s/ PL]&gt;0),N(RIGHT([PAPEL],LEN([PAPEL])-(LEN([PAPEL])-1))="3"))</f>
        <v>0.1261051308670782</v>
      </c>
      <c r="X374" s="19">
        <f>IF(Tabela3[[#This Row],[Dívida]]&gt;0,Tabela3[[#This Row],[Dívida]]/Tabela3[[#This Row],[Patrimônio Líquido]],0)</f>
        <v>0</v>
      </c>
      <c r="Y374" s="19">
        <f>SUMPRODUCT(N([Dívida / PL]&gt;0),N(RIGHT([PAPEL],LEN([PAPEL])-(LEN([PAPEL])-1))="3"),[Dívida / PL])/SUMPRODUCT(N([Dívida / PL]&gt;0),N(RIGHT([PAPEL],LEN([PAPEL])-(LEN([PAPEL])-1))="3"))</f>
        <v>2.1510410379481146</v>
      </c>
      <c r="Z374" s="13">
        <f>Tabela3[[#This Row],[Capital Social]]*20%</f>
        <v>30311194</v>
      </c>
      <c r="AA374" s="13">
        <f>IF(([Lucro Líquido]*5%)&gt;[Teto R. Legal],[Teto R. Legal],[Lucro Líquido]*5%)</f>
        <v>-167400</v>
      </c>
      <c r="AB374" s="13">
        <f>IF([Lucro Líquido]&lt;0,0,[Lucro Líquido]-[Reserva Legal])</f>
        <v>0</v>
      </c>
      <c r="AC374" s="13">
        <f>Tabela3[[#This Row],[Lucro Distribuir]]*[%Div]</f>
        <v>0</v>
      </c>
      <c r="AD374" s="21">
        <f>SUMPRODUCT(N([Nome]=Tabela3[[#This Row],[Nome]]),[Ações])</f>
        <v>149677728</v>
      </c>
      <c r="AE374" s="6">
        <f>[Capital Social]/[Total Ações]</f>
        <v>1.0125485736929412</v>
      </c>
      <c r="AF374" s="78">
        <f>Tabela3[[#This Row],[Lucro Líquido]]/Tabela3[[#This Row],[Total Ações]]</f>
        <v>-2.2368057323799036E-2</v>
      </c>
      <c r="AG374" s="78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</v>
      </c>
      <c r="AH374" s="78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374" s="78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374" s="78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</v>
      </c>
      <c r="AK374" s="13">
        <f>[Div Base]*[Ações]</f>
        <v>0</v>
      </c>
      <c r="AL374" s="13">
        <f>SUMPRODUCT(N([Nome]=Tabela3[[#This Row],[Nome]]),[Div Base]*[Ações])</f>
        <v>0</v>
      </c>
      <c r="AM374" s="6">
        <f>[Patrimônio Líquido]/[Total Ações]</f>
        <v>-0.45654086892607026</v>
      </c>
      <c r="AN374" s="48">
        <f>MAX(Tabela3[[#This Row],[Cotação 1]:[Cotação 5]])</f>
        <v>0.79</v>
      </c>
      <c r="AO374" s="44">
        <f>[Cotação]/[VPA]</f>
        <v>-1.7304036807445782</v>
      </c>
      <c r="AP374" s="40">
        <f>IF(Tabela3[[#This Row],[Lucro/Ação]]&gt;0,Tabela3[[#This Row],[Cotação]]/(Tabela3[[#This Row],[Lucro/Ação]]/[Ref]*4),0)</f>
        <v>0</v>
      </c>
      <c r="AQ374" s="78">
        <f>[Lucro Distribuir]/[Total Ações]</f>
        <v>0</v>
      </c>
      <c r="AR374" s="78">
        <f>IF([Unit ON]&gt;0,SUMPRODUCT(N([Nome]=Tabela3[[#This Row],[Nome]]),N(RIGHT([PAPEL],1)="3"),[Div Base])*[Unit ON]+SUMPRODUCT(N([Nome]=Tabela3[[#This Row],[Nome]]),N(RIGHT([PAPEL],1)="4"),[Div Base])*[Unit PN],[Div Base])</f>
        <v>0</v>
      </c>
      <c r="AS374" s="14" t="str">
        <f>IF(AND([% A.A.]&gt;=6%,SUMPRODUCT(N([Nome]=Tabela3[[#This Row],[Nome]]),[PL])&gt;0,[Rentabilidade s/ PL]&gt;=[Rentabilidade s/ PL Média]),"Sim","Não")</f>
        <v>Não</v>
      </c>
      <c r="AT374" s="42">
        <f>IF([Cotação]&gt;0,Tabela3[[#This Row],[Lucro]]/Tabela3[[#This Row],[Cotação]],0)</f>
        <v>0</v>
      </c>
      <c r="AU374" s="42">
        <f>((1+Tabela3[[#This Row],[% Yield]])^(1/(3*Tabela3[[#This Row],[Ref]])))^(12)-1</f>
        <v>0</v>
      </c>
      <c r="AV374" s="14">
        <f>IF([Cotação]&gt;0,($BH$1/Tabela3[[#This Row],[Cotação]]-MOD($BH$1/Tabela3[[#This Row],[Cotação]],100)),)</f>
        <v>600</v>
      </c>
      <c r="AW374" s="17">
        <f>Tabela3[[#This Row],[Ativos]]*[Lucro]</f>
        <v>0</v>
      </c>
      <c r="AX374" s="17">
        <f>SUMPRODUCT(N(Tabela1[Código]=Tabela3[[#This Row],[PAPEL]]),Tabela1[Fechamento])</f>
        <v>0</v>
      </c>
      <c r="AY374" s="17">
        <f>SUMPRODUCT(N(Tabela17[Código]=Tabela3[[#This Row],[PAPEL]]),Tabela17[Fechamento])</f>
        <v>0</v>
      </c>
      <c r="AZ374" s="17">
        <f>SUMPRODUCT(N(Tabela176[Código]=Tabela3[[#This Row],[PAPEL]]),Tabela176[Fechamento])</f>
        <v>0.79</v>
      </c>
      <c r="BA374" s="17">
        <f>SUMPRODUCT(N(Tabela1768[Código]=Tabela3[[#This Row],[PAPEL]]),Tabela1768[Fechamento])</f>
        <v>0</v>
      </c>
      <c r="BB374" s="7">
        <f>SUMPRODUCT(N(Tabela17683[Código]=Tabela3[[#This Row],[PAPEL]]),Tabela17683[Fechamento])</f>
        <v>0</v>
      </c>
    </row>
    <row r="375" spans="1:54" hidden="1">
      <c r="A375" s="3" t="s">
        <v>929</v>
      </c>
      <c r="B375" s="58" t="s">
        <v>1070</v>
      </c>
      <c r="C375" s="16" t="str">
        <f>LEFT([PAPEL],LEN([PAPEL])-(LEN([PAPEL])-4))</f>
        <v>TENE</v>
      </c>
      <c r="D375" s="16">
        <v>3</v>
      </c>
      <c r="E375" s="5">
        <v>44070179.950000003</v>
      </c>
      <c r="F375" s="56">
        <v>180894</v>
      </c>
      <c r="G375" s="81">
        <v>0.25</v>
      </c>
      <c r="H375" s="87"/>
      <c r="J375" s="18"/>
      <c r="K375" s="16"/>
      <c r="L375" s="87"/>
      <c r="M375" s="54"/>
      <c r="N375" s="54"/>
      <c r="O375" s="54"/>
      <c r="P375" s="91">
        <v>-37945000</v>
      </c>
      <c r="Q375" s="73">
        <v>-3753000</v>
      </c>
      <c r="R375" s="73">
        <f>IF(Tabela3[[#This Row],[Ativo || Passivo]]&gt;0,Tabela3[[#This Row],[Ativo || Passivo]]-Tabela3[[#This Row],[Patrimônio Líquido]],0)</f>
        <v>0</v>
      </c>
      <c r="S375" s="73">
        <f>Tabela3[[#This Row],[Cotação]]*Tabela3[[#This Row],[Total Ações]]</f>
        <v>0</v>
      </c>
      <c r="T375" s="37">
        <f>IF(Tabela3[[#This Row],[Passivo Circulante]]&gt;0,Tabela3[[#This Row],[Ativo Circulante]]/Tabela3[[#This Row],[Passivo Circulante]],0)</f>
        <v>0</v>
      </c>
      <c r="U375" s="37">
        <f>SUMPRODUCT(N([Liquidez Corrente]&gt;0),N(RIGHT([PAPEL],LEN([PAPEL])-(LEN([PAPEL])-1))="3"),[Liquidez Corrente])/SUMPRODUCT(N([Liquidez Corrente]&gt;0),N(RIGHT([PAPEL],LEN([PAPEL])-(LEN([PAPEL])-1))="3"))</f>
        <v>2.331224473064915</v>
      </c>
      <c r="V375" s="18">
        <f>IF(Tabela3[[#This Row],[Lucro Líquido]]&gt;0,Tabela3[[#This Row],[Lucro Líquido]]/Tabela3[[#This Row],[Patrimônio Líquido]],0)</f>
        <v>0</v>
      </c>
      <c r="W375" s="18">
        <f>SUMPRODUCT(N([Rentabilidade s/ PL]&gt;0),N(RIGHT([PAPEL],LEN([PAPEL])-(LEN([PAPEL])-1))="3"),[Rentabilidade s/ PL])/SUMPRODUCT(N([Rentabilidade s/ PL]&gt;0),N(RIGHT([PAPEL],LEN([PAPEL])-(LEN([PAPEL])-1))="3"))</f>
        <v>0.1261051308670782</v>
      </c>
      <c r="X375" s="18">
        <f>IF(Tabela3[[#This Row],[Dívida]]&gt;0,Tabela3[[#This Row],[Dívida]]/Tabela3[[#This Row],[Patrimônio Líquido]],0)</f>
        <v>0</v>
      </c>
      <c r="Y375" s="18">
        <f>SUMPRODUCT(N([Dívida / PL]&gt;0),N(RIGHT([PAPEL],LEN([PAPEL])-(LEN([PAPEL])-1))="3"),[Dívida / PL])/SUMPRODUCT(N([Dívida / PL]&gt;0),N(RIGHT([PAPEL],LEN([PAPEL])-(LEN([PAPEL])-1))="3"))</f>
        <v>2.1510410379481146</v>
      </c>
      <c r="Z375" s="7">
        <f>Tabela3[[#This Row],[Capital Social]]*20%</f>
        <v>8814035.9900000002</v>
      </c>
      <c r="AA375" s="47">
        <f>IF(([Lucro Líquido]*5%)&gt;[Teto R. Legal],[Teto R. Legal],[Lucro Líquido]*5%)</f>
        <v>-187650</v>
      </c>
      <c r="AB375" s="47">
        <f>IF([Lucro Líquido]&lt;0,0,[Lucro Líquido]-[Reserva Legal])</f>
        <v>0</v>
      </c>
      <c r="AC375" s="47">
        <f>Tabela3[[#This Row],[Lucro Distribuir]]*[%Div]</f>
        <v>0</v>
      </c>
      <c r="AD375" s="56">
        <f>SUMPRODUCT(N([Nome]=Tabela3[[#This Row],[Nome]]),[Ações])</f>
        <v>1206791</v>
      </c>
      <c r="AE375" s="85">
        <f>[Capital Social]/[Total Ações]</f>
        <v>36.518485760997557</v>
      </c>
      <c r="AF375" s="85">
        <f>Tabela3[[#This Row],[Lucro Líquido]]/Tabela3[[#This Row],[Total Ações]]</f>
        <v>-3.1099005544456331</v>
      </c>
      <c r="AG375" s="85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</v>
      </c>
      <c r="AH375" s="85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375" s="77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375" s="85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</v>
      </c>
      <c r="AK375" s="7">
        <f>[Div Base]*[Ações]</f>
        <v>0</v>
      </c>
      <c r="AL375" s="7">
        <f>SUMPRODUCT(N([Nome]=Tabela3[[#This Row],[Nome]]),[Div Base]*[Ações])</f>
        <v>0</v>
      </c>
      <c r="AM375" s="5">
        <f>[Patrimônio Líquido]/[Total Ações]</f>
        <v>-31.442892762707046</v>
      </c>
      <c r="AN375" s="52">
        <f>MAX(Tabela3[[#This Row],[Cotação 1]:[Cotação 5]])</f>
        <v>0</v>
      </c>
      <c r="AO375" s="53">
        <f>[Cotação]/[VPA]</f>
        <v>0</v>
      </c>
      <c r="AP375" s="37">
        <f>IF(Tabela3[[#This Row],[Lucro/Ação]]&gt;0,Tabela3[[#This Row],[Cotação]]/(Tabela3[[#This Row],[Lucro/Ação]]/[Ref]*4),0)</f>
        <v>0</v>
      </c>
      <c r="AQ375" s="85">
        <f>[Lucro Distribuir]/[Total Ações]</f>
        <v>0</v>
      </c>
      <c r="AR375" s="85">
        <f>IF([Unit ON]&gt;0,SUMPRODUCT(N([Nome]=Tabela3[[#This Row],[Nome]]),N(RIGHT([PAPEL],1)="3"),[Div Base])*[Unit ON]+SUMPRODUCT(N([Nome]=Tabela3[[#This Row],[Nome]]),N(RIGHT([PAPEL],1)="4"),[Div Base])*[Unit PN],[Div Base])</f>
        <v>0</v>
      </c>
      <c r="AS375" s="10" t="str">
        <f>IF(AND([% A.A.]&gt;=6%,SUMPRODUCT(N([Nome]=Tabela3[[#This Row],[Nome]]),[PL])&gt;0,[Rentabilidade s/ PL]&gt;=[Rentabilidade s/ PL Média]),"Sim","Não")</f>
        <v>Não</v>
      </c>
      <c r="AT375" s="22">
        <f>IF([Cotação]&gt;0,Tabela3[[#This Row],[Lucro]]/Tabela3[[#This Row],[Cotação]],0)</f>
        <v>0</v>
      </c>
      <c r="AU375" s="22">
        <f>((1+Tabela3[[#This Row],[% Yield]])^(1/(3*Tabela3[[#This Row],[Ref]])))^(12)-1</f>
        <v>0</v>
      </c>
      <c r="AV375" s="10">
        <f>IF([Cotação]&gt;0,($BH$1/Tabela3[[#This Row],[Cotação]]-MOD($BH$1/Tabela3[[#This Row],[Cotação]],100)),)</f>
        <v>0</v>
      </c>
      <c r="AW375" s="7">
        <f>Tabela3[[#This Row],[Ativos]]*[Lucro]</f>
        <v>0</v>
      </c>
      <c r="AX375" s="7">
        <f>SUMPRODUCT(N(Tabela1[Código]=Tabela3[[#This Row],[PAPEL]]),Tabela1[Fechamento])</f>
        <v>0</v>
      </c>
      <c r="AY375" s="7">
        <f>SUMPRODUCT(N(Tabela17[Código]=Tabela3[[#This Row],[PAPEL]]),Tabela17[Fechamento])</f>
        <v>0</v>
      </c>
      <c r="AZ375" s="7">
        <f>SUMPRODUCT(N(Tabela176[Código]=Tabela3[[#This Row],[PAPEL]]),Tabela176[Fechamento])</f>
        <v>0</v>
      </c>
      <c r="BA375" s="7">
        <f>SUMPRODUCT(N(Tabela1768[Código]=Tabela3[[#This Row],[PAPEL]]),Tabela1768[Fechamento])</f>
        <v>0</v>
      </c>
      <c r="BB375" s="7">
        <f>SUMPRODUCT(N(Tabela17683[Código]=Tabela3[[#This Row],[PAPEL]]),Tabela17683[Fechamento])</f>
        <v>0</v>
      </c>
    </row>
    <row r="376" spans="1:54" hidden="1">
      <c r="A376" s="3" t="s">
        <v>929</v>
      </c>
      <c r="B376" s="58" t="s">
        <v>1071</v>
      </c>
      <c r="C376" s="16" t="str">
        <f>LEFT([PAPEL],LEN([PAPEL])-(LEN([PAPEL])-4))</f>
        <v>TENE</v>
      </c>
      <c r="D376" s="16">
        <v>3</v>
      </c>
      <c r="E376" s="5">
        <v>44070179.950000003</v>
      </c>
      <c r="F376" s="56">
        <v>286075</v>
      </c>
      <c r="G376" s="81">
        <v>0.25</v>
      </c>
      <c r="H376" s="87"/>
      <c r="I376" s="18">
        <v>0.03</v>
      </c>
      <c r="J376" s="18"/>
      <c r="K376" s="16"/>
      <c r="L376" s="87"/>
      <c r="M376" s="54"/>
      <c r="N376" s="54"/>
      <c r="O376" s="54"/>
      <c r="P376" s="91">
        <v>-37945000</v>
      </c>
      <c r="Q376" s="73">
        <v>-3753000</v>
      </c>
      <c r="R376" s="73">
        <f>IF(Tabela3[[#This Row],[Ativo || Passivo]]&gt;0,Tabela3[[#This Row],[Ativo || Passivo]]-Tabela3[[#This Row],[Patrimônio Líquido]],0)</f>
        <v>0</v>
      </c>
      <c r="S376" s="73">
        <f>Tabela3[[#This Row],[Cotação]]*Tabela3[[#This Row],[Total Ações]]</f>
        <v>651667.14</v>
      </c>
      <c r="T376" s="37">
        <f>IF(Tabela3[[#This Row],[Passivo Circulante]]&gt;0,Tabela3[[#This Row],[Ativo Circulante]]/Tabela3[[#This Row],[Passivo Circulante]],0)</f>
        <v>0</v>
      </c>
      <c r="U376" s="37">
        <f>SUMPRODUCT(N([Liquidez Corrente]&gt;0),N(RIGHT([PAPEL],LEN([PAPEL])-(LEN([PAPEL])-1))="3"),[Liquidez Corrente])/SUMPRODUCT(N([Liquidez Corrente]&gt;0),N(RIGHT([PAPEL],LEN([PAPEL])-(LEN([PAPEL])-1))="3"))</f>
        <v>2.331224473064915</v>
      </c>
      <c r="V376" s="18">
        <f>IF(Tabela3[[#This Row],[Lucro Líquido]]&gt;0,Tabela3[[#This Row],[Lucro Líquido]]/Tabela3[[#This Row],[Patrimônio Líquido]],0)</f>
        <v>0</v>
      </c>
      <c r="W376" s="18">
        <f>SUMPRODUCT(N([Rentabilidade s/ PL]&gt;0),N(RIGHT([PAPEL],LEN([PAPEL])-(LEN([PAPEL])-1))="3"),[Rentabilidade s/ PL])/SUMPRODUCT(N([Rentabilidade s/ PL]&gt;0),N(RIGHT([PAPEL],LEN([PAPEL])-(LEN([PAPEL])-1))="3"))</f>
        <v>0.1261051308670782</v>
      </c>
      <c r="X376" s="18">
        <f>IF(Tabela3[[#This Row],[Dívida]]&gt;0,Tabela3[[#This Row],[Dívida]]/Tabela3[[#This Row],[Patrimônio Líquido]],0)</f>
        <v>0</v>
      </c>
      <c r="Y376" s="18">
        <f>SUMPRODUCT(N([Dívida / PL]&gt;0),N(RIGHT([PAPEL],LEN([PAPEL])-(LEN([PAPEL])-1))="3"),[Dívida / PL])/SUMPRODUCT(N([Dívida / PL]&gt;0),N(RIGHT([PAPEL],LEN([PAPEL])-(LEN([PAPEL])-1))="3"))</f>
        <v>2.1510410379481146</v>
      </c>
      <c r="Z376" s="7">
        <f>Tabela3[[#This Row],[Capital Social]]*20%</f>
        <v>8814035.9900000002</v>
      </c>
      <c r="AA376" s="47">
        <f>IF(([Lucro Líquido]*5%)&gt;[Teto R. Legal],[Teto R. Legal],[Lucro Líquido]*5%)</f>
        <v>-187650</v>
      </c>
      <c r="AB376" s="47">
        <f>IF([Lucro Líquido]&lt;0,0,[Lucro Líquido]-[Reserva Legal])</f>
        <v>0</v>
      </c>
      <c r="AC376" s="47">
        <f>Tabela3[[#This Row],[Lucro Distribuir]]*[%Div]</f>
        <v>0</v>
      </c>
      <c r="AD376" s="56">
        <f>SUMPRODUCT(N([Nome]=Tabela3[[#This Row],[Nome]]),[Ações])</f>
        <v>1206791</v>
      </c>
      <c r="AE376" s="85">
        <f>[Capital Social]/[Total Ações]</f>
        <v>36.518485760997557</v>
      </c>
      <c r="AF376" s="85">
        <f>Tabela3[[#This Row],[Lucro Líquido]]/Tabela3[[#This Row],[Total Ações]]</f>
        <v>-3.1099005544456331</v>
      </c>
      <c r="AG376" s="85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</v>
      </c>
      <c r="AH376" s="85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376" s="77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376" s="85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</v>
      </c>
      <c r="AK376" s="7">
        <f>[Div Base]*[Ações]</f>
        <v>0</v>
      </c>
      <c r="AL376" s="7">
        <f>SUMPRODUCT(N([Nome]=Tabela3[[#This Row],[Nome]]),[Div Base]*[Ações])</f>
        <v>0</v>
      </c>
      <c r="AM376" s="5">
        <f>[Patrimônio Líquido]/[Total Ações]</f>
        <v>-31.442892762707046</v>
      </c>
      <c r="AN376" s="52">
        <f>MAX(Tabela3[[#This Row],[Cotação 1]:[Cotação 5]])</f>
        <v>0.54</v>
      </c>
      <c r="AO376" s="53">
        <f>[Cotação]/[VPA]</f>
        <v>-1.7173992357359336E-2</v>
      </c>
      <c r="AP376" s="37">
        <f>IF(Tabela3[[#This Row],[Lucro/Ação]]&gt;0,Tabela3[[#This Row],[Cotação]]/(Tabela3[[#This Row],[Lucro/Ação]]/[Ref]*4),0)</f>
        <v>0</v>
      </c>
      <c r="AQ376" s="85">
        <f>[Lucro Distribuir]/[Total Ações]</f>
        <v>0</v>
      </c>
      <c r="AR376" s="85">
        <f>IF([Unit ON]&gt;0,SUMPRODUCT(N([Nome]=Tabela3[[#This Row],[Nome]]),N(RIGHT([PAPEL],1)="3"),[Div Base])*[Unit ON]+SUMPRODUCT(N([Nome]=Tabela3[[#This Row],[Nome]]),N(RIGHT([PAPEL],1)="4"),[Div Base])*[Unit PN],[Div Base])</f>
        <v>0</v>
      </c>
      <c r="AS376" s="10" t="str">
        <f>IF(AND([% A.A.]&gt;=6%,SUMPRODUCT(N([Nome]=Tabela3[[#This Row],[Nome]]),[PL])&gt;0,[Rentabilidade s/ PL]&gt;=[Rentabilidade s/ PL Média]),"Sim","Não")</f>
        <v>Não</v>
      </c>
      <c r="AT376" s="22">
        <f>IF([Cotação]&gt;0,Tabela3[[#This Row],[Lucro]]/Tabela3[[#This Row],[Cotação]],0)</f>
        <v>0</v>
      </c>
      <c r="AU376" s="22">
        <f>((1+Tabela3[[#This Row],[% Yield]])^(1/(3*Tabela3[[#This Row],[Ref]])))^(12)-1</f>
        <v>0</v>
      </c>
      <c r="AV376" s="10">
        <f>IF([Cotação]&gt;0,($BH$1/Tabela3[[#This Row],[Cotação]]-MOD($BH$1/Tabela3[[#This Row],[Cotação]],100)),)</f>
        <v>900</v>
      </c>
      <c r="AW376" s="7">
        <f>Tabela3[[#This Row],[Ativos]]*[Lucro]</f>
        <v>0</v>
      </c>
      <c r="AX376" s="7">
        <f>SUMPRODUCT(N(Tabela1[Código]=Tabela3[[#This Row],[PAPEL]]),Tabela1[Fechamento])</f>
        <v>0</v>
      </c>
      <c r="AY376" s="7">
        <f>SUMPRODUCT(N(Tabela17[Código]=Tabela3[[#This Row],[PAPEL]]),Tabela17[Fechamento])</f>
        <v>0</v>
      </c>
      <c r="AZ376" s="7">
        <f>SUMPRODUCT(N(Tabela176[Código]=Tabela3[[#This Row],[PAPEL]]),Tabela176[Fechamento])</f>
        <v>0</v>
      </c>
      <c r="BA376" s="7">
        <f>SUMPRODUCT(N(Tabela1768[Código]=Tabela3[[#This Row],[PAPEL]]),Tabela1768[Fechamento])</f>
        <v>0.54</v>
      </c>
      <c r="BB376" s="7">
        <f>SUMPRODUCT(N(Tabela17683[Código]=Tabela3[[#This Row],[PAPEL]]),Tabela17683[Fechamento])</f>
        <v>0</v>
      </c>
    </row>
    <row r="377" spans="1:54" hidden="1">
      <c r="A377" s="3" t="s">
        <v>929</v>
      </c>
      <c r="B377" s="58" t="s">
        <v>1072</v>
      </c>
      <c r="C377" s="16" t="str">
        <f>LEFT([PAPEL],LEN([PAPEL])-(LEN([PAPEL])-4))</f>
        <v>TENE</v>
      </c>
      <c r="D377" s="16">
        <v>3</v>
      </c>
      <c r="E377" s="5">
        <v>44070179.950000003</v>
      </c>
      <c r="F377" s="56">
        <v>137</v>
      </c>
      <c r="G377" s="81">
        <v>0.25</v>
      </c>
      <c r="H377" s="87"/>
      <c r="I377" s="18">
        <v>0.03</v>
      </c>
      <c r="J377" s="18"/>
      <c r="K377" s="16"/>
      <c r="L377" s="87"/>
      <c r="M377" s="54"/>
      <c r="N377" s="54"/>
      <c r="O377" s="54"/>
      <c r="P377" s="91">
        <v>-37945000</v>
      </c>
      <c r="Q377" s="73">
        <v>-3753000</v>
      </c>
      <c r="R377" s="73">
        <f>IF(Tabela3[[#This Row],[Ativo || Passivo]]&gt;0,Tabela3[[#This Row],[Ativo || Passivo]]-Tabela3[[#This Row],[Patrimônio Líquido]],0)</f>
        <v>0</v>
      </c>
      <c r="S377" s="73">
        <f>Tabela3[[#This Row],[Cotação]]*Tabela3[[#This Row],[Total Ações]]</f>
        <v>0</v>
      </c>
      <c r="T377" s="37">
        <f>IF(Tabela3[[#This Row],[Passivo Circulante]]&gt;0,Tabela3[[#This Row],[Ativo Circulante]]/Tabela3[[#This Row],[Passivo Circulante]],0)</f>
        <v>0</v>
      </c>
      <c r="U377" s="37">
        <f>SUMPRODUCT(N([Liquidez Corrente]&gt;0),N(RIGHT([PAPEL],LEN([PAPEL])-(LEN([PAPEL])-1))="3"),[Liquidez Corrente])/SUMPRODUCT(N([Liquidez Corrente]&gt;0),N(RIGHT([PAPEL],LEN([PAPEL])-(LEN([PAPEL])-1))="3"))</f>
        <v>2.331224473064915</v>
      </c>
      <c r="V377" s="18">
        <f>IF(Tabela3[[#This Row],[Lucro Líquido]]&gt;0,Tabela3[[#This Row],[Lucro Líquido]]/Tabela3[[#This Row],[Patrimônio Líquido]],0)</f>
        <v>0</v>
      </c>
      <c r="W377" s="18">
        <f>SUMPRODUCT(N([Rentabilidade s/ PL]&gt;0),N(RIGHT([PAPEL],LEN([PAPEL])-(LEN([PAPEL])-1))="3"),[Rentabilidade s/ PL])/SUMPRODUCT(N([Rentabilidade s/ PL]&gt;0),N(RIGHT([PAPEL],LEN([PAPEL])-(LEN([PAPEL])-1))="3"))</f>
        <v>0.1261051308670782</v>
      </c>
      <c r="X377" s="18">
        <f>IF(Tabela3[[#This Row],[Dívida]]&gt;0,Tabela3[[#This Row],[Dívida]]/Tabela3[[#This Row],[Patrimônio Líquido]],0)</f>
        <v>0</v>
      </c>
      <c r="Y377" s="18">
        <f>SUMPRODUCT(N([Dívida / PL]&gt;0),N(RIGHT([PAPEL],LEN([PAPEL])-(LEN([PAPEL])-1))="3"),[Dívida / PL])/SUMPRODUCT(N([Dívida / PL]&gt;0),N(RIGHT([PAPEL],LEN([PAPEL])-(LEN([PAPEL])-1))="3"))</f>
        <v>2.1510410379481146</v>
      </c>
      <c r="Z377" s="7">
        <f>Tabela3[[#This Row],[Capital Social]]*20%</f>
        <v>8814035.9900000002</v>
      </c>
      <c r="AA377" s="47">
        <f>IF(([Lucro Líquido]*5%)&gt;[Teto R. Legal],[Teto R. Legal],[Lucro Líquido]*5%)</f>
        <v>-187650</v>
      </c>
      <c r="AB377" s="47">
        <f>IF([Lucro Líquido]&lt;0,0,[Lucro Líquido]-[Reserva Legal])</f>
        <v>0</v>
      </c>
      <c r="AC377" s="47">
        <f>Tabela3[[#This Row],[Lucro Distribuir]]*[%Div]</f>
        <v>0</v>
      </c>
      <c r="AD377" s="56">
        <f>SUMPRODUCT(N([Nome]=Tabela3[[#This Row],[Nome]]),[Ações])</f>
        <v>1206791</v>
      </c>
      <c r="AE377" s="85">
        <f>[Capital Social]/[Total Ações]</f>
        <v>36.518485760997557</v>
      </c>
      <c r="AF377" s="85">
        <f>Tabela3[[#This Row],[Lucro Líquido]]/Tabela3[[#This Row],[Total Ações]]</f>
        <v>-3.1099005544456331</v>
      </c>
      <c r="AG377" s="85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</v>
      </c>
      <c r="AH377" s="85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377" s="77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377" s="85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</v>
      </c>
      <c r="AK377" s="7">
        <f>[Div Base]*[Ações]</f>
        <v>0</v>
      </c>
      <c r="AL377" s="7">
        <f>SUMPRODUCT(N([Nome]=Tabela3[[#This Row],[Nome]]),[Div Base]*[Ações])</f>
        <v>0</v>
      </c>
      <c r="AM377" s="5">
        <f>[Patrimônio Líquido]/[Total Ações]</f>
        <v>-31.442892762707046</v>
      </c>
      <c r="AN377" s="52">
        <f>MAX(Tabela3[[#This Row],[Cotação 1]:[Cotação 5]])</f>
        <v>0</v>
      </c>
      <c r="AO377" s="53">
        <f>[Cotação]/[VPA]</f>
        <v>0</v>
      </c>
      <c r="AP377" s="37">
        <f>IF(Tabela3[[#This Row],[Lucro/Ação]]&gt;0,Tabela3[[#This Row],[Cotação]]/(Tabela3[[#This Row],[Lucro/Ação]]/[Ref]*4),0)</f>
        <v>0</v>
      </c>
      <c r="AQ377" s="85">
        <f>[Lucro Distribuir]/[Total Ações]</f>
        <v>0</v>
      </c>
      <c r="AR377" s="85">
        <f>IF([Unit ON]&gt;0,SUMPRODUCT(N([Nome]=Tabela3[[#This Row],[Nome]]),N(RIGHT([PAPEL],1)="3"),[Div Base])*[Unit ON]+SUMPRODUCT(N([Nome]=Tabela3[[#This Row],[Nome]]),N(RIGHT([PAPEL],1)="4"),[Div Base])*[Unit PN],[Div Base])</f>
        <v>0</v>
      </c>
      <c r="AS377" s="10" t="str">
        <f>IF(AND([% A.A.]&gt;=6%,SUMPRODUCT(N([Nome]=Tabela3[[#This Row],[Nome]]),[PL])&gt;0,[Rentabilidade s/ PL]&gt;=[Rentabilidade s/ PL Média]),"Sim","Não")</f>
        <v>Não</v>
      </c>
      <c r="AT377" s="22">
        <f>IF([Cotação]&gt;0,Tabela3[[#This Row],[Lucro]]/Tabela3[[#This Row],[Cotação]],0)</f>
        <v>0</v>
      </c>
      <c r="AU377" s="22">
        <f>((1+Tabela3[[#This Row],[% Yield]])^(1/(3*Tabela3[[#This Row],[Ref]])))^(12)-1</f>
        <v>0</v>
      </c>
      <c r="AV377" s="10">
        <f>IF([Cotação]&gt;0,($BH$1/Tabela3[[#This Row],[Cotação]]-MOD($BH$1/Tabela3[[#This Row],[Cotação]],100)),)</f>
        <v>0</v>
      </c>
      <c r="AW377" s="7">
        <f>Tabela3[[#This Row],[Ativos]]*[Lucro]</f>
        <v>0</v>
      </c>
      <c r="AX377" s="7">
        <f>SUMPRODUCT(N(Tabela1[Código]=Tabela3[[#This Row],[PAPEL]]),Tabela1[Fechamento])</f>
        <v>0</v>
      </c>
      <c r="AY377" s="7">
        <f>SUMPRODUCT(N(Tabela17[Código]=Tabela3[[#This Row],[PAPEL]]),Tabela17[Fechamento])</f>
        <v>0</v>
      </c>
      <c r="AZ377" s="7">
        <f>SUMPRODUCT(N(Tabela176[Código]=Tabela3[[#This Row],[PAPEL]]),Tabela176[Fechamento])</f>
        <v>0</v>
      </c>
      <c r="BA377" s="7">
        <f>SUMPRODUCT(N(Tabela1768[Código]=Tabela3[[#This Row],[PAPEL]]),Tabela1768[Fechamento])</f>
        <v>0</v>
      </c>
      <c r="BB377" s="7">
        <f>SUMPRODUCT(N(Tabela17683[Código]=Tabela3[[#This Row],[PAPEL]]),Tabela17683[Fechamento])</f>
        <v>0</v>
      </c>
    </row>
    <row r="378" spans="1:54" hidden="1">
      <c r="A378" s="3" t="s">
        <v>929</v>
      </c>
      <c r="B378" s="58" t="s">
        <v>1073</v>
      </c>
      <c r="C378" s="16" t="str">
        <f>LEFT([PAPEL],LEN([PAPEL])-(LEN([PAPEL])-4))</f>
        <v>TENE</v>
      </c>
      <c r="D378" s="16">
        <v>3</v>
      </c>
      <c r="E378" s="5">
        <v>44070179.950000003</v>
      </c>
      <c r="F378" s="56">
        <v>739685</v>
      </c>
      <c r="G378" s="81">
        <v>0.25</v>
      </c>
      <c r="H378" s="87"/>
      <c r="I378" s="18">
        <v>0.03</v>
      </c>
      <c r="J378" s="18"/>
      <c r="K378" s="16"/>
      <c r="L378" s="87"/>
      <c r="M378" s="54"/>
      <c r="N378" s="54"/>
      <c r="O378" s="54"/>
      <c r="P378" s="91">
        <v>-37945000</v>
      </c>
      <c r="Q378" s="73">
        <v>-3753000</v>
      </c>
      <c r="R378" s="73">
        <f>IF(Tabela3[[#This Row],[Ativo || Passivo]]&gt;0,Tabela3[[#This Row],[Ativo || Passivo]]-Tabela3[[#This Row],[Patrimônio Líquido]],0)</f>
        <v>0</v>
      </c>
      <c r="S378" s="73">
        <f>Tabela3[[#This Row],[Cotação]]*Tabela3[[#This Row],[Total Ações]]</f>
        <v>941296.98</v>
      </c>
      <c r="T378" s="37">
        <f>IF(Tabela3[[#This Row],[Passivo Circulante]]&gt;0,Tabela3[[#This Row],[Ativo Circulante]]/Tabela3[[#This Row],[Passivo Circulante]],0)</f>
        <v>0</v>
      </c>
      <c r="U378" s="37">
        <f>SUMPRODUCT(N([Liquidez Corrente]&gt;0),N(RIGHT([PAPEL],LEN([PAPEL])-(LEN([PAPEL])-1))="3"),[Liquidez Corrente])/SUMPRODUCT(N([Liquidez Corrente]&gt;0),N(RIGHT([PAPEL],LEN([PAPEL])-(LEN([PAPEL])-1))="3"))</f>
        <v>2.331224473064915</v>
      </c>
      <c r="V378" s="18">
        <f>IF(Tabela3[[#This Row],[Lucro Líquido]]&gt;0,Tabela3[[#This Row],[Lucro Líquido]]/Tabela3[[#This Row],[Patrimônio Líquido]],0)</f>
        <v>0</v>
      </c>
      <c r="W378" s="18">
        <f>SUMPRODUCT(N([Rentabilidade s/ PL]&gt;0),N(RIGHT([PAPEL],LEN([PAPEL])-(LEN([PAPEL])-1))="3"),[Rentabilidade s/ PL])/SUMPRODUCT(N([Rentabilidade s/ PL]&gt;0),N(RIGHT([PAPEL],LEN([PAPEL])-(LEN([PAPEL])-1))="3"))</f>
        <v>0.1261051308670782</v>
      </c>
      <c r="X378" s="18">
        <f>IF(Tabela3[[#This Row],[Dívida]]&gt;0,Tabela3[[#This Row],[Dívida]]/Tabela3[[#This Row],[Patrimônio Líquido]],0)</f>
        <v>0</v>
      </c>
      <c r="Y378" s="18">
        <f>SUMPRODUCT(N([Dívida / PL]&gt;0),N(RIGHT([PAPEL],LEN([PAPEL])-(LEN([PAPEL])-1))="3"),[Dívida / PL])/SUMPRODUCT(N([Dívida / PL]&gt;0),N(RIGHT([PAPEL],LEN([PAPEL])-(LEN([PAPEL])-1))="3"))</f>
        <v>2.1510410379481146</v>
      </c>
      <c r="Z378" s="7">
        <f>Tabela3[[#This Row],[Capital Social]]*20%</f>
        <v>8814035.9900000002</v>
      </c>
      <c r="AA378" s="47">
        <f>IF(([Lucro Líquido]*5%)&gt;[Teto R. Legal],[Teto R. Legal],[Lucro Líquido]*5%)</f>
        <v>-187650</v>
      </c>
      <c r="AB378" s="47">
        <f>IF([Lucro Líquido]&lt;0,0,[Lucro Líquido]-[Reserva Legal])</f>
        <v>0</v>
      </c>
      <c r="AC378" s="47">
        <f>Tabela3[[#This Row],[Lucro Distribuir]]*[%Div]</f>
        <v>0</v>
      </c>
      <c r="AD378" s="56">
        <f>SUMPRODUCT(N([Nome]=Tabela3[[#This Row],[Nome]]),[Ações])</f>
        <v>1206791</v>
      </c>
      <c r="AE378" s="85">
        <f>[Capital Social]/[Total Ações]</f>
        <v>36.518485760997557</v>
      </c>
      <c r="AF378" s="85">
        <f>Tabela3[[#This Row],[Lucro Líquido]]/Tabela3[[#This Row],[Total Ações]]</f>
        <v>-3.1099005544456331</v>
      </c>
      <c r="AG378" s="85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</v>
      </c>
      <c r="AH378" s="85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378" s="77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378" s="85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</v>
      </c>
      <c r="AK378" s="7">
        <f>[Div Base]*[Ações]</f>
        <v>0</v>
      </c>
      <c r="AL378" s="7">
        <f>SUMPRODUCT(N([Nome]=Tabela3[[#This Row],[Nome]]),[Div Base]*[Ações])</f>
        <v>0</v>
      </c>
      <c r="AM378" s="5">
        <f>[Patrimônio Líquido]/[Total Ações]</f>
        <v>-31.442892762707046</v>
      </c>
      <c r="AN378" s="52">
        <f>MAX(Tabela3[[#This Row],[Cotação 1]:[Cotação 5]])</f>
        <v>0.78</v>
      </c>
      <c r="AO378" s="53">
        <f>[Cotação]/[VPA]</f>
        <v>-2.4806877849519043E-2</v>
      </c>
      <c r="AP378" s="37">
        <f>IF(Tabela3[[#This Row],[Lucro/Ação]]&gt;0,Tabela3[[#This Row],[Cotação]]/(Tabela3[[#This Row],[Lucro/Ação]]/[Ref]*4),0)</f>
        <v>0</v>
      </c>
      <c r="AQ378" s="85">
        <f>[Lucro Distribuir]/[Total Ações]</f>
        <v>0</v>
      </c>
      <c r="AR378" s="85">
        <f>IF([Unit ON]&gt;0,SUMPRODUCT(N([Nome]=Tabela3[[#This Row],[Nome]]),N(RIGHT([PAPEL],1)="3"),[Div Base])*[Unit ON]+SUMPRODUCT(N([Nome]=Tabela3[[#This Row],[Nome]]),N(RIGHT([PAPEL],1)="4"),[Div Base])*[Unit PN],[Div Base])</f>
        <v>0</v>
      </c>
      <c r="AS378" s="10" t="str">
        <f>IF(AND([% A.A.]&gt;=6%,SUMPRODUCT(N([Nome]=Tabela3[[#This Row],[Nome]]),[PL])&gt;0,[Rentabilidade s/ PL]&gt;=[Rentabilidade s/ PL Média]),"Sim","Não")</f>
        <v>Não</v>
      </c>
      <c r="AT378" s="22">
        <f>IF([Cotação]&gt;0,Tabela3[[#This Row],[Lucro]]/Tabela3[[#This Row],[Cotação]],0)</f>
        <v>0</v>
      </c>
      <c r="AU378" s="22">
        <f>((1+Tabela3[[#This Row],[% Yield]])^(1/(3*Tabela3[[#This Row],[Ref]])))^(12)-1</f>
        <v>0</v>
      </c>
      <c r="AV378" s="10">
        <f>IF([Cotação]&gt;0,($BH$1/Tabela3[[#This Row],[Cotação]]-MOD($BH$1/Tabela3[[#This Row],[Cotação]],100)),)</f>
        <v>600</v>
      </c>
      <c r="AW378" s="7">
        <f>Tabela3[[#This Row],[Ativos]]*[Lucro]</f>
        <v>0</v>
      </c>
      <c r="AX378" s="7">
        <f>SUMPRODUCT(N(Tabela1[Código]=Tabela3[[#This Row],[PAPEL]]),Tabela1[Fechamento])</f>
        <v>0</v>
      </c>
      <c r="AY378" s="7">
        <f>SUMPRODUCT(N(Tabela17[Código]=Tabela3[[#This Row],[PAPEL]]),Tabela17[Fechamento])</f>
        <v>0</v>
      </c>
      <c r="AZ378" s="7">
        <f>SUMPRODUCT(N(Tabela176[Código]=Tabela3[[#This Row],[PAPEL]]),Tabela176[Fechamento])</f>
        <v>0</v>
      </c>
      <c r="BA378" s="7">
        <f>SUMPRODUCT(N(Tabela1768[Código]=Tabela3[[#This Row],[PAPEL]]),Tabela1768[Fechamento])</f>
        <v>0.78</v>
      </c>
      <c r="BB378" s="7">
        <f>SUMPRODUCT(N(Tabela17683[Código]=Tabela3[[#This Row],[PAPEL]]),Tabela17683[Fechamento])</f>
        <v>0</v>
      </c>
    </row>
    <row r="379" spans="1:54">
      <c r="A379" s="3" t="s">
        <v>343</v>
      </c>
      <c r="B379" s="57" t="s">
        <v>733</v>
      </c>
      <c r="C379" s="15" t="str">
        <f>LEFT([PAPEL],LEN([PAPEL])-(LEN([PAPEL])-4))</f>
        <v>AGRO</v>
      </c>
      <c r="D379" s="15">
        <v>4</v>
      </c>
      <c r="E379" s="6">
        <v>584224000</v>
      </c>
      <c r="F379" s="8">
        <v>58422400</v>
      </c>
      <c r="G379" s="81">
        <v>0.25</v>
      </c>
      <c r="H379" s="15"/>
      <c r="I379" s="19"/>
      <c r="J379" s="19"/>
      <c r="K379" s="88"/>
      <c r="L379" s="88"/>
      <c r="M379" s="55"/>
      <c r="N379" s="55"/>
      <c r="O379" s="55"/>
      <c r="P379" s="6">
        <v>584316000</v>
      </c>
      <c r="Q379" s="93">
        <v>-4448000</v>
      </c>
      <c r="R379" s="93">
        <f>IF(Tabela3[[#This Row],[Ativo || Passivo]]&gt;0,Tabela3[[#This Row],[Ativo || Passivo]]-Tabela3[[#This Row],[Patrimônio Líquido]],0)</f>
        <v>0</v>
      </c>
      <c r="S379" s="93">
        <f>Tabela3[[#This Row],[Cotação]]*Tabela3[[#This Row],[Total Ações]]</f>
        <v>462705408</v>
      </c>
      <c r="T379" s="40">
        <f>IF(Tabela3[[#This Row],[Passivo Circulante]]&gt;0,Tabela3[[#This Row],[Ativo Circulante]]/Tabela3[[#This Row],[Passivo Circulante]],0)</f>
        <v>0</v>
      </c>
      <c r="U379" s="40">
        <f>SUMPRODUCT(N([Liquidez Corrente]&gt;0),N(RIGHT([PAPEL],LEN([PAPEL])-(LEN([PAPEL])-1))="3"),[Liquidez Corrente])/SUMPRODUCT(N([Liquidez Corrente]&gt;0),N(RIGHT([PAPEL],LEN([PAPEL])-(LEN([PAPEL])-1))="3"))</f>
        <v>2.331224473064915</v>
      </c>
      <c r="V379" s="19">
        <f>IF(Tabela3[[#This Row],[Lucro Líquido]]&gt;0,Tabela3[[#This Row],[Lucro Líquido]]/Tabela3[[#This Row],[Patrimônio Líquido]],0)</f>
        <v>0</v>
      </c>
      <c r="W379" s="19">
        <f>SUMPRODUCT(N([Rentabilidade s/ PL]&gt;0),N(RIGHT([PAPEL],LEN([PAPEL])-(LEN([PAPEL])-1))="3"),[Rentabilidade s/ PL])/SUMPRODUCT(N([Rentabilidade s/ PL]&gt;0),N(RIGHT([PAPEL],LEN([PAPEL])-(LEN([PAPEL])-1))="3"))</f>
        <v>0.1261051308670782</v>
      </c>
      <c r="X379" s="19">
        <f>IF(Tabela3[[#This Row],[Dívida]]&gt;0,Tabela3[[#This Row],[Dívida]]/Tabela3[[#This Row],[Patrimônio Líquido]],0)</f>
        <v>0</v>
      </c>
      <c r="Y379" s="19">
        <f>SUMPRODUCT(N([Dívida / PL]&gt;0),N(RIGHT([PAPEL],LEN([PAPEL])-(LEN([PAPEL])-1))="3"),[Dívida / PL])/SUMPRODUCT(N([Dívida / PL]&gt;0),N(RIGHT([PAPEL],LEN([PAPEL])-(LEN([PAPEL])-1))="3"))</f>
        <v>2.1510410379481146</v>
      </c>
      <c r="Z379" s="13">
        <f>Tabela3[[#This Row],[Capital Social]]*20%</f>
        <v>116844800</v>
      </c>
      <c r="AA379" s="13">
        <f>IF(([Lucro Líquido]*5%)&gt;[Teto R. Legal],[Teto R. Legal],[Lucro Líquido]*5%)</f>
        <v>-222400</v>
      </c>
      <c r="AB379" s="13">
        <f>IF([Lucro Líquido]&lt;0,0,[Lucro Líquido]-[Reserva Legal])</f>
        <v>0</v>
      </c>
      <c r="AC379" s="13">
        <f>Tabela3[[#This Row],[Lucro Distribuir]]*[%Div]</f>
        <v>0</v>
      </c>
      <c r="AD379" s="21">
        <f>SUMPRODUCT(N([Nome]=Tabela3[[#This Row],[Nome]]),[Ações])</f>
        <v>58422400</v>
      </c>
      <c r="AE379" s="6">
        <f>[Capital Social]/[Total Ações]</f>
        <v>10</v>
      </c>
      <c r="AF379" s="78">
        <f>Tabela3[[#This Row],[Lucro Líquido]]/Tabela3[[#This Row],[Total Ações]]</f>
        <v>-7.6135181026455612E-2</v>
      </c>
      <c r="AG379" s="78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</v>
      </c>
      <c r="AH379" s="78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379" s="78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379" s="78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</v>
      </c>
      <c r="AK379" s="13">
        <f>[Div Base]*[Ações]</f>
        <v>0</v>
      </c>
      <c r="AL379" s="13">
        <f>SUMPRODUCT(N([Nome]=Tabela3[[#This Row],[Nome]]),[Div Base]*[Ações])</f>
        <v>0</v>
      </c>
      <c r="AM379" s="6">
        <f>[Patrimônio Líquido]/[Total Ações]</f>
        <v>10.001574738456483</v>
      </c>
      <c r="AN379" s="48">
        <f>MAX(Tabela3[[#This Row],[Cotação 1]:[Cotação 5]])</f>
        <v>7.92</v>
      </c>
      <c r="AO379" s="44">
        <f>[Cotação]/[VPA]</f>
        <v>0.79187530035117981</v>
      </c>
      <c r="AP379" s="40">
        <f>IF(Tabela3[[#This Row],[Lucro/Ação]]&gt;0,Tabela3[[#This Row],[Cotação]]/(Tabela3[[#This Row],[Lucro/Ação]]/[Ref]*4),0)</f>
        <v>0</v>
      </c>
      <c r="AQ379" s="78">
        <f>[Lucro Distribuir]/[Total Ações]</f>
        <v>0</v>
      </c>
      <c r="AR379" s="78">
        <f>IF([Unit ON]&gt;0,SUMPRODUCT(N([Nome]=Tabela3[[#This Row],[Nome]]),N(RIGHT([PAPEL],1)="3"),[Div Base])*[Unit ON]+SUMPRODUCT(N([Nome]=Tabela3[[#This Row],[Nome]]),N(RIGHT([PAPEL],1)="4"),[Div Base])*[Unit PN],[Div Base])</f>
        <v>0</v>
      </c>
      <c r="AS379" s="14" t="str">
        <f>IF(AND([% A.A.]&gt;=6%,SUMPRODUCT(N([Nome]=Tabela3[[#This Row],[Nome]]),[PL])&gt;0,[Rentabilidade s/ PL]&gt;=[Rentabilidade s/ PL Média]),"Sim","Não")</f>
        <v>Não</v>
      </c>
      <c r="AT379" s="42">
        <f>IF([Cotação]&gt;0,Tabela3[[#This Row],[Lucro]]/Tabela3[[#This Row],[Cotação]],0)</f>
        <v>0</v>
      </c>
      <c r="AU379" s="42">
        <f>((1+Tabela3[[#This Row],[% Yield]])^(1/(3*Tabela3[[#This Row],[Ref]])))^(12)-1</f>
        <v>0</v>
      </c>
      <c r="AV379" s="14">
        <f>IF([Cotação]&gt;0,($BH$1/Tabela3[[#This Row],[Cotação]]-MOD($BH$1/Tabela3[[#This Row],[Cotação]],100)),)</f>
        <v>0</v>
      </c>
      <c r="AW379" s="17">
        <f>Tabela3[[#This Row],[Ativos]]*[Lucro]</f>
        <v>0</v>
      </c>
      <c r="AX379" s="17">
        <f>SUMPRODUCT(N(Tabela1[Código]=Tabela3[[#This Row],[PAPEL]]),Tabela1[Fechamento])</f>
        <v>0</v>
      </c>
      <c r="AY379" s="17">
        <f>SUMPRODUCT(N(Tabela17[Código]=Tabela3[[#This Row],[PAPEL]]),Tabela17[Fechamento])</f>
        <v>0</v>
      </c>
      <c r="AZ379" s="17">
        <f>SUMPRODUCT(N(Tabela176[Código]=Tabela3[[#This Row],[PAPEL]]),Tabela176[Fechamento])</f>
        <v>7.92</v>
      </c>
      <c r="BA379" s="17">
        <f>SUMPRODUCT(N(Tabela1768[Código]=Tabela3[[#This Row],[PAPEL]]),Tabela1768[Fechamento])</f>
        <v>0</v>
      </c>
      <c r="BB379" s="7">
        <f>SUMPRODUCT(N(Tabela17683[Código]=Tabela3[[#This Row],[PAPEL]]),Tabela17683[Fechamento])</f>
        <v>0</v>
      </c>
    </row>
    <row r="380" spans="1:54" hidden="1">
      <c r="A380" s="3" t="s">
        <v>1268</v>
      </c>
      <c r="B380" s="57" t="s">
        <v>1246</v>
      </c>
      <c r="C380" s="16" t="str">
        <f>LEFT([PAPEL],LEN([PAPEL])-(LEN([PAPEL])-4))</f>
        <v>LIXC</v>
      </c>
      <c r="D380" s="16">
        <v>3</v>
      </c>
      <c r="E380" s="5">
        <v>35635045.030000001</v>
      </c>
      <c r="F380" s="56">
        <v>6104107</v>
      </c>
      <c r="G380" s="81">
        <v>0.25</v>
      </c>
      <c r="H380" s="87"/>
      <c r="J380" s="18"/>
      <c r="K380" s="16"/>
      <c r="L380" s="87"/>
      <c r="M380" s="54"/>
      <c r="N380" s="54"/>
      <c r="O380" s="54"/>
      <c r="P380" s="91">
        <v>40919000</v>
      </c>
      <c r="Q380" s="73">
        <v>-4664000</v>
      </c>
      <c r="R380" s="73">
        <f>IF(Tabela3[[#This Row],[Ativo || Passivo]]&gt;0,Tabela3[[#This Row],[Ativo || Passivo]]-Tabela3[[#This Row],[Patrimônio Líquido]],0)</f>
        <v>0</v>
      </c>
      <c r="S380" s="73">
        <f>Tabela3[[#This Row],[Cotação]]*Tabela3[[#This Row],[Total Ações]]</f>
        <v>31902462.620000001</v>
      </c>
      <c r="T380" s="37">
        <f>IF(Tabela3[[#This Row],[Passivo Circulante]]&gt;0,Tabela3[[#This Row],[Ativo Circulante]]/Tabela3[[#This Row],[Passivo Circulante]],0)</f>
        <v>0</v>
      </c>
      <c r="U380" s="37">
        <f>SUMPRODUCT(N([Liquidez Corrente]&gt;0),N(RIGHT([PAPEL],LEN([PAPEL])-(LEN([PAPEL])-1))="3"),[Liquidez Corrente])/SUMPRODUCT(N([Liquidez Corrente]&gt;0),N(RIGHT([PAPEL],LEN([PAPEL])-(LEN([PAPEL])-1))="3"))</f>
        <v>2.331224473064915</v>
      </c>
      <c r="V380" s="18">
        <f>IF(Tabela3[[#This Row],[Lucro Líquido]]&gt;0,Tabela3[[#This Row],[Lucro Líquido]]/Tabela3[[#This Row],[Patrimônio Líquido]],0)</f>
        <v>0</v>
      </c>
      <c r="W380" s="18">
        <f>SUMPRODUCT(N([Rentabilidade s/ PL]&gt;0),N(RIGHT([PAPEL],LEN([PAPEL])-(LEN([PAPEL])-1))="3"),[Rentabilidade s/ PL])/SUMPRODUCT(N([Rentabilidade s/ PL]&gt;0),N(RIGHT([PAPEL],LEN([PAPEL])-(LEN([PAPEL])-1))="3"))</f>
        <v>0.1261051308670782</v>
      </c>
      <c r="X380" s="18">
        <f>IF(Tabela3[[#This Row],[Dívida]]&gt;0,Tabela3[[#This Row],[Dívida]]/Tabela3[[#This Row],[Patrimônio Líquido]],0)</f>
        <v>0</v>
      </c>
      <c r="Y380" s="18">
        <f>SUMPRODUCT(N([Dívida / PL]&gt;0),N(RIGHT([PAPEL],LEN([PAPEL])-(LEN([PAPEL])-1))="3"),[Dívida / PL])/SUMPRODUCT(N([Dívida / PL]&gt;0),N(RIGHT([PAPEL],LEN([PAPEL])-(LEN([PAPEL])-1))="3"))</f>
        <v>2.1510410379481146</v>
      </c>
      <c r="Z380" s="7">
        <f>Tabela3[[#This Row],[Capital Social]]*20%</f>
        <v>7127009.006000001</v>
      </c>
      <c r="AA380" s="47">
        <f>IF(([Lucro Líquido]*5%)&gt;[Teto R. Legal],[Teto R. Legal],[Lucro Líquido]*5%)</f>
        <v>-233200</v>
      </c>
      <c r="AB380" s="47">
        <f>IF([Lucro Líquido]&lt;0,0,[Lucro Líquido]-[Reserva Legal])</f>
        <v>0</v>
      </c>
      <c r="AC380" s="47">
        <f>Tabela3[[#This Row],[Lucro Distribuir]]*[%Div]</f>
        <v>0</v>
      </c>
      <c r="AD380" s="56">
        <f>SUMPRODUCT(N([Nome]=Tabela3[[#This Row],[Nome]]),[Ações])</f>
        <v>11993407</v>
      </c>
      <c r="AE380" s="85">
        <f>[Capital Social]/[Total Ações]</f>
        <v>2.9712195233597929</v>
      </c>
      <c r="AF380" s="85">
        <f>Tabela3[[#This Row],[Lucro Líquido]]/Tabela3[[#This Row],[Total Ações]]</f>
        <v>-0.38888032399800992</v>
      </c>
      <c r="AG380" s="85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</v>
      </c>
      <c r="AH380" s="85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380" s="77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380" s="85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</v>
      </c>
      <c r="AK380" s="7">
        <f>[Div Base]*[Ações]</f>
        <v>0</v>
      </c>
      <c r="AL380" s="120">
        <f>SUMPRODUCT(N([Nome]=Tabela3[[#This Row],[Nome]]),[Div Base]*[Ações])</f>
        <v>0</v>
      </c>
      <c r="AM380" s="5">
        <f>[Patrimônio Líquido]/[Total Ações]</f>
        <v>3.4117911615940324</v>
      </c>
      <c r="AN380" s="52">
        <f>MAX(Tabela3[[#This Row],[Cotação 1]:[Cotação 5]])</f>
        <v>2.66</v>
      </c>
      <c r="AO380" s="53">
        <f>[Cotação]/[VPA]</f>
        <v>0.77964912681150567</v>
      </c>
      <c r="AP380" s="37">
        <f>IF(Tabela3[[#This Row],[Lucro/Ação]]&gt;0,Tabela3[[#This Row],[Cotação]]/(Tabela3[[#This Row],[Lucro/Ação]]/[Ref]*4),0)</f>
        <v>0</v>
      </c>
      <c r="AQ380" s="85">
        <f>[Lucro Distribuir]/[Total Ações]</f>
        <v>0</v>
      </c>
      <c r="AR380" s="85">
        <f>IF([Unit ON]&gt;0,SUMPRODUCT(N([Nome]=Tabela3[[#This Row],[Nome]]),N(RIGHT([PAPEL],1)="3"),[Div Base])*[Unit ON]+SUMPRODUCT(N([Nome]=Tabela3[[#This Row],[Nome]]),N(RIGHT([PAPEL],1)="4"),[Div Base])*[Unit PN],[Div Base])</f>
        <v>0</v>
      </c>
      <c r="AS380" s="10" t="str">
        <f>IF(AND([% A.A.]&gt;=6%,SUMPRODUCT(N([Nome]=Tabela3[[#This Row],[Nome]]),[PL])&gt;0,[Rentabilidade s/ PL]&gt;=[Rentabilidade s/ PL Média]),"Sim","Não")</f>
        <v>Não</v>
      </c>
      <c r="AT380" s="22">
        <f>IF([Cotação]&gt;0,Tabela3[[#This Row],[Lucro]]/Tabela3[[#This Row],[Cotação]],0)</f>
        <v>0</v>
      </c>
      <c r="AU380" s="22">
        <f>((1+Tabela3[[#This Row],[% Yield]])^(1/(3*Tabela3[[#This Row],[Ref]])))^(12)-1</f>
        <v>0</v>
      </c>
      <c r="AV380" s="10">
        <f>IF([Cotação]&gt;0,($BH$1/Tabela3[[#This Row],[Cotação]]-MOD($BH$1/Tabela3[[#This Row],[Cotação]],100)),)</f>
        <v>100</v>
      </c>
      <c r="AW380" s="7">
        <f>Tabela3[[#This Row],[Ativos]]*[Lucro]</f>
        <v>0</v>
      </c>
      <c r="AX380" s="7">
        <f>SUMPRODUCT(N(Tabela1[Código]=Tabela3[[#This Row],[PAPEL]]),Tabela1[Fechamento])</f>
        <v>0</v>
      </c>
      <c r="AY380" s="7">
        <f>SUMPRODUCT(N(Tabela17[Código]=Tabela3[[#This Row],[PAPEL]]),Tabela17[Fechamento])</f>
        <v>0</v>
      </c>
      <c r="AZ380" s="7">
        <f>SUMPRODUCT(N(Tabela176[Código]=Tabela3[[#This Row],[PAPEL]]),Tabela176[Fechamento])</f>
        <v>0</v>
      </c>
      <c r="BA380" s="7">
        <f>SUMPRODUCT(N(Tabela1768[Código]=Tabela3[[#This Row],[PAPEL]]),Tabela1768[Fechamento])</f>
        <v>0</v>
      </c>
      <c r="BB380" s="7">
        <f>SUMPRODUCT(N(Tabela17683[Código]=Tabela3[[#This Row],[PAPEL]]),Tabela17683[Fechamento])</f>
        <v>2.66</v>
      </c>
    </row>
    <row r="381" spans="1:54" hidden="1">
      <c r="A381" s="3" t="s">
        <v>1268</v>
      </c>
      <c r="B381" s="57" t="s">
        <v>1247</v>
      </c>
      <c r="C381" s="16" t="str">
        <f>LEFT([PAPEL],LEN([PAPEL])-(LEN([PAPEL])-4))</f>
        <v>LIXC</v>
      </c>
      <c r="D381" s="16">
        <v>3</v>
      </c>
      <c r="E381" s="5">
        <v>35635045.030000001</v>
      </c>
      <c r="F381" s="56">
        <v>5889300</v>
      </c>
      <c r="G381" s="81">
        <v>0.25</v>
      </c>
      <c r="H381" s="87"/>
      <c r="I381" s="18">
        <v>0.06</v>
      </c>
      <c r="J381" s="18"/>
      <c r="K381" s="16"/>
      <c r="L381" s="87"/>
      <c r="M381" s="54"/>
      <c r="N381" s="54"/>
      <c r="O381" s="54"/>
      <c r="P381" s="91">
        <v>40919000</v>
      </c>
      <c r="Q381" s="73">
        <v>-4664000</v>
      </c>
      <c r="R381" s="73">
        <f>IF(Tabela3[[#This Row],[Ativo || Passivo]]&gt;0,Tabela3[[#This Row],[Ativo || Passivo]]-Tabela3[[#This Row],[Patrimônio Líquido]],0)</f>
        <v>0</v>
      </c>
      <c r="S381" s="73">
        <f>Tabela3[[#This Row],[Cotação]]*Tabela3[[#This Row],[Total Ações]]</f>
        <v>37059627.629999995</v>
      </c>
      <c r="T381" s="37">
        <f>IF(Tabela3[[#This Row],[Passivo Circulante]]&gt;0,Tabela3[[#This Row],[Ativo Circulante]]/Tabela3[[#This Row],[Passivo Circulante]],0)</f>
        <v>0</v>
      </c>
      <c r="U381" s="37">
        <f>SUMPRODUCT(N([Liquidez Corrente]&gt;0),N(RIGHT([PAPEL],LEN([PAPEL])-(LEN([PAPEL])-1))="3"),[Liquidez Corrente])/SUMPRODUCT(N([Liquidez Corrente]&gt;0),N(RIGHT([PAPEL],LEN([PAPEL])-(LEN([PAPEL])-1))="3"))</f>
        <v>2.331224473064915</v>
      </c>
      <c r="V381" s="18">
        <f>IF(Tabela3[[#This Row],[Lucro Líquido]]&gt;0,Tabela3[[#This Row],[Lucro Líquido]]/Tabela3[[#This Row],[Patrimônio Líquido]],0)</f>
        <v>0</v>
      </c>
      <c r="W381" s="18">
        <f>SUMPRODUCT(N([Rentabilidade s/ PL]&gt;0),N(RIGHT([PAPEL],LEN([PAPEL])-(LEN([PAPEL])-1))="3"),[Rentabilidade s/ PL])/SUMPRODUCT(N([Rentabilidade s/ PL]&gt;0),N(RIGHT([PAPEL],LEN([PAPEL])-(LEN([PAPEL])-1))="3"))</f>
        <v>0.1261051308670782</v>
      </c>
      <c r="X381" s="18">
        <f>IF(Tabela3[[#This Row],[Dívida]]&gt;0,Tabela3[[#This Row],[Dívida]]/Tabela3[[#This Row],[Patrimônio Líquido]],0)</f>
        <v>0</v>
      </c>
      <c r="Y381" s="18">
        <f>SUMPRODUCT(N([Dívida / PL]&gt;0),N(RIGHT([PAPEL],LEN([PAPEL])-(LEN([PAPEL])-1))="3"),[Dívida / PL])/SUMPRODUCT(N([Dívida / PL]&gt;0),N(RIGHT([PAPEL],LEN([PAPEL])-(LEN([PAPEL])-1))="3"))</f>
        <v>2.1510410379481146</v>
      </c>
      <c r="Z381" s="7">
        <f>Tabela3[[#This Row],[Capital Social]]*20%</f>
        <v>7127009.006000001</v>
      </c>
      <c r="AA381" s="47">
        <f>IF(([Lucro Líquido]*5%)&gt;[Teto R. Legal],[Teto R. Legal],[Lucro Líquido]*5%)</f>
        <v>-233200</v>
      </c>
      <c r="AB381" s="47">
        <f>IF([Lucro Líquido]&lt;0,0,[Lucro Líquido]-[Reserva Legal])</f>
        <v>0</v>
      </c>
      <c r="AC381" s="47">
        <f>Tabela3[[#This Row],[Lucro Distribuir]]*[%Div]</f>
        <v>0</v>
      </c>
      <c r="AD381" s="56">
        <f>SUMPRODUCT(N([Nome]=Tabela3[[#This Row],[Nome]]),[Ações])</f>
        <v>11993407</v>
      </c>
      <c r="AE381" s="85">
        <f>[Capital Social]/[Total Ações]</f>
        <v>2.9712195233597929</v>
      </c>
      <c r="AF381" s="85">
        <f>Tabela3[[#This Row],[Lucro Líquido]]/Tabela3[[#This Row],[Total Ações]]</f>
        <v>-0.38888032399800992</v>
      </c>
      <c r="AG381" s="85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</v>
      </c>
      <c r="AH381" s="85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381" s="77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381" s="85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</v>
      </c>
      <c r="AK381" s="7">
        <f>[Div Base]*[Ações]</f>
        <v>0</v>
      </c>
      <c r="AL381" s="120">
        <f>SUMPRODUCT(N([Nome]=Tabela3[[#This Row],[Nome]]),[Div Base]*[Ações])</f>
        <v>0</v>
      </c>
      <c r="AM381" s="5">
        <f>[Patrimônio Líquido]/[Total Ações]</f>
        <v>3.4117911615940324</v>
      </c>
      <c r="AN381" s="52">
        <f>MAX(Tabela3[[#This Row],[Cotação 1]:[Cotação 5]])</f>
        <v>3.09</v>
      </c>
      <c r="AO381" s="53">
        <f>[Cotação]/[VPA]</f>
        <v>0.90568263227351598</v>
      </c>
      <c r="AP381" s="37">
        <f>IF(Tabela3[[#This Row],[Lucro/Ação]]&gt;0,Tabela3[[#This Row],[Cotação]]/(Tabela3[[#This Row],[Lucro/Ação]]/[Ref]*4),0)</f>
        <v>0</v>
      </c>
      <c r="AQ381" s="85">
        <f>[Lucro Distribuir]/[Total Ações]</f>
        <v>0</v>
      </c>
      <c r="AR381" s="85">
        <f>IF([Unit ON]&gt;0,SUMPRODUCT(N([Nome]=Tabela3[[#This Row],[Nome]]),N(RIGHT([PAPEL],1)="3"),[Div Base])*[Unit ON]+SUMPRODUCT(N([Nome]=Tabela3[[#This Row],[Nome]]),N(RIGHT([PAPEL],1)="4"),[Div Base])*[Unit PN],[Div Base])</f>
        <v>0</v>
      </c>
      <c r="AS381" s="10" t="str">
        <f>IF(AND([% A.A.]&gt;=6%,SUMPRODUCT(N([Nome]=Tabela3[[#This Row],[Nome]]),[PL])&gt;0,[Rentabilidade s/ PL]&gt;=[Rentabilidade s/ PL Média]),"Sim","Não")</f>
        <v>Não</v>
      </c>
      <c r="AT381" s="22">
        <f>IF([Cotação]&gt;0,Tabela3[[#This Row],[Lucro]]/Tabela3[[#This Row],[Cotação]],0)</f>
        <v>0</v>
      </c>
      <c r="AU381" s="22">
        <f>((1+Tabela3[[#This Row],[% Yield]])^(1/(3*Tabela3[[#This Row],[Ref]])))^(12)-1</f>
        <v>0</v>
      </c>
      <c r="AV381" s="10">
        <f>IF([Cotação]&gt;0,($BH$1/Tabela3[[#This Row],[Cotação]]-MOD($BH$1/Tabela3[[#This Row],[Cotação]],100)),)</f>
        <v>100</v>
      </c>
      <c r="AW381" s="7">
        <f>Tabela3[[#This Row],[Ativos]]*[Lucro]</f>
        <v>0</v>
      </c>
      <c r="AX381" s="7">
        <f>SUMPRODUCT(N(Tabela1[Código]=Tabela3[[#This Row],[PAPEL]]),Tabela1[Fechamento])</f>
        <v>0</v>
      </c>
      <c r="AY381" s="7">
        <f>SUMPRODUCT(N(Tabela17[Código]=Tabela3[[#This Row],[PAPEL]]),Tabela17[Fechamento])</f>
        <v>0</v>
      </c>
      <c r="AZ381" s="7">
        <f>SUMPRODUCT(N(Tabela176[Código]=Tabela3[[#This Row],[PAPEL]]),Tabela176[Fechamento])</f>
        <v>0</v>
      </c>
      <c r="BA381" s="7">
        <f>SUMPRODUCT(N(Tabela1768[Código]=Tabela3[[#This Row],[PAPEL]]),Tabela1768[Fechamento])</f>
        <v>0</v>
      </c>
      <c r="BB381" s="7">
        <f>SUMPRODUCT(N(Tabela17683[Código]=Tabela3[[#This Row],[PAPEL]]),Tabela17683[Fechamento])</f>
        <v>3.09</v>
      </c>
    </row>
    <row r="382" spans="1:54" hidden="1">
      <c r="A382" s="3" t="s">
        <v>1497</v>
      </c>
      <c r="B382" s="57" t="s">
        <v>1466</v>
      </c>
      <c r="C382" s="16" t="str">
        <f>LEFT([PAPEL],LEN([PAPEL])-(LEN([PAPEL])-4))</f>
        <v>RSUL</v>
      </c>
      <c r="D382" s="16">
        <v>3</v>
      </c>
      <c r="E382" s="5">
        <v>9213613.5800000001</v>
      </c>
      <c r="F382" s="56">
        <v>343000</v>
      </c>
      <c r="G382" s="81">
        <v>0.25</v>
      </c>
      <c r="H382" s="87"/>
      <c r="J382" s="18"/>
      <c r="K382" s="16"/>
      <c r="L382" s="87"/>
      <c r="M382" s="54"/>
      <c r="N382" s="54"/>
      <c r="O382" s="54"/>
      <c r="P382" s="91">
        <v>1266000</v>
      </c>
      <c r="Q382" s="73">
        <v>-5191000</v>
      </c>
      <c r="R382" s="73">
        <f>IF(Tabela3[[#This Row],[Ativo || Passivo]]&gt;0,Tabela3[[#This Row],[Ativo || Passivo]]-Tabela3[[#This Row],[Patrimônio Líquido]],0)</f>
        <v>0</v>
      </c>
      <c r="S382" s="73">
        <f>Tabela3[[#This Row],[Cotação]]*Tabela3[[#This Row],[Total Ações]]</f>
        <v>0</v>
      </c>
      <c r="T382" s="37">
        <f>IF(Tabela3[[#This Row],[Passivo Circulante]]&gt;0,Tabela3[[#This Row],[Ativo Circulante]]/Tabela3[[#This Row],[Passivo Circulante]],0)</f>
        <v>0</v>
      </c>
      <c r="U382" s="37">
        <f>SUMPRODUCT(N([Liquidez Corrente]&gt;0),N(RIGHT([PAPEL],LEN([PAPEL])-(LEN([PAPEL])-1))="3"),[Liquidez Corrente])/SUMPRODUCT(N([Liquidez Corrente]&gt;0),N(RIGHT([PAPEL],LEN([PAPEL])-(LEN([PAPEL])-1))="3"))</f>
        <v>2.331224473064915</v>
      </c>
      <c r="V382" s="18">
        <f>IF(Tabela3[[#This Row],[Lucro Líquido]]&gt;0,Tabela3[[#This Row],[Lucro Líquido]]/Tabela3[[#This Row],[Patrimônio Líquido]],0)</f>
        <v>0</v>
      </c>
      <c r="W382" s="18">
        <f>SUMPRODUCT(N([Rentabilidade s/ PL]&gt;0),N(RIGHT([PAPEL],LEN([PAPEL])-(LEN([PAPEL])-1))="3"),[Rentabilidade s/ PL])/SUMPRODUCT(N([Rentabilidade s/ PL]&gt;0),N(RIGHT([PAPEL],LEN([PAPEL])-(LEN([PAPEL])-1))="3"))</f>
        <v>0.1261051308670782</v>
      </c>
      <c r="X382" s="18">
        <f>IF(Tabela3[[#This Row],[Dívida]]&gt;0,Tabela3[[#This Row],[Dívida]]/Tabela3[[#This Row],[Patrimônio Líquido]],0)</f>
        <v>0</v>
      </c>
      <c r="Y382" s="18">
        <f>SUMPRODUCT(N([Dívida / PL]&gt;0),N(RIGHT([PAPEL],LEN([PAPEL])-(LEN([PAPEL])-1))="3"),[Dívida / PL])/SUMPRODUCT(N([Dívida / PL]&gt;0),N(RIGHT([PAPEL],LEN([PAPEL])-(LEN([PAPEL])-1))="3"))</f>
        <v>2.1510410379481146</v>
      </c>
      <c r="Z382" s="7">
        <f>Tabela3[[#This Row],[Capital Social]]*20%</f>
        <v>1842722.716</v>
      </c>
      <c r="AA382" s="47">
        <f>IF(([Lucro Líquido]*5%)&gt;[Teto R. Legal],[Teto R. Legal],[Lucro Líquido]*5%)</f>
        <v>-259550</v>
      </c>
      <c r="AB382" s="47">
        <f>IF([Lucro Líquido]&lt;0,0,[Lucro Líquido]-[Reserva Legal])</f>
        <v>0</v>
      </c>
      <c r="AC382" s="47">
        <f>Tabela3[[#This Row],[Lucro Distribuir]]*[%Div]</f>
        <v>0</v>
      </c>
      <c r="AD382" s="56">
        <f>SUMPRODUCT(N([Nome]=Tabela3[[#This Row],[Nome]]),[Ações])</f>
        <v>583000</v>
      </c>
      <c r="AE382" s="85">
        <f>[Capital Social]/[Total Ações]</f>
        <v>15.803796878216124</v>
      </c>
      <c r="AF382" s="85">
        <f>Tabela3[[#This Row],[Lucro Líquido]]/Tabela3[[#This Row],[Total Ações]]</f>
        <v>-8.9039451114922805</v>
      </c>
      <c r="AG382" s="85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</v>
      </c>
      <c r="AH382" s="85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382" s="77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382" s="85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</v>
      </c>
      <c r="AK382" s="7">
        <f>[Div Base]*[Ações]</f>
        <v>0</v>
      </c>
      <c r="AL382" s="120">
        <f>SUMPRODUCT(N([Nome]=Tabela3[[#This Row],[Nome]]),[Div Base]*[Ações])</f>
        <v>0</v>
      </c>
      <c r="AM382" s="5">
        <f>[Patrimônio Líquido]/[Total Ações]</f>
        <v>2.1715265866209261</v>
      </c>
      <c r="AN382" s="52">
        <f>MAX(Tabela3[[#This Row],[Cotação 1]:[Cotação 5]])</f>
        <v>0</v>
      </c>
      <c r="AO382" s="53">
        <f>[Cotação]/[VPA]</f>
        <v>0</v>
      </c>
      <c r="AP382" s="37">
        <f>IF(Tabela3[[#This Row],[Lucro/Ação]]&gt;0,Tabela3[[#This Row],[Cotação]]/(Tabela3[[#This Row],[Lucro/Ação]]/[Ref]*4),0)</f>
        <v>0</v>
      </c>
      <c r="AQ382" s="85">
        <f>[Lucro Distribuir]/[Total Ações]</f>
        <v>0</v>
      </c>
      <c r="AR382" s="85">
        <f>IF([Unit ON]&gt;0,SUMPRODUCT(N([Nome]=Tabela3[[#This Row],[Nome]]),N(RIGHT([PAPEL],1)="3"),[Div Base])*[Unit ON]+SUMPRODUCT(N([Nome]=Tabela3[[#This Row],[Nome]]),N(RIGHT([PAPEL],1)="4"),[Div Base])*[Unit PN],[Div Base])</f>
        <v>0</v>
      </c>
      <c r="AS382" s="10" t="str">
        <f>IF(AND([% A.A.]&gt;=6%,SUMPRODUCT(N([Nome]=Tabela3[[#This Row],[Nome]]),[PL])&gt;0,[Rentabilidade s/ PL]&gt;=[Rentabilidade s/ PL Média]),"Sim","Não")</f>
        <v>Não</v>
      </c>
      <c r="AT382" s="22">
        <f>IF([Cotação]&gt;0,Tabela3[[#This Row],[Lucro]]/Tabela3[[#This Row],[Cotação]],0)</f>
        <v>0</v>
      </c>
      <c r="AU382" s="22">
        <f>((1+Tabela3[[#This Row],[% Yield]])^(1/(3*Tabela3[[#This Row],[Ref]])))^(12)-1</f>
        <v>0</v>
      </c>
      <c r="AV382" s="10">
        <f>IF([Cotação]&gt;0,($BH$1/Tabela3[[#This Row],[Cotação]]-MOD($BH$1/Tabela3[[#This Row],[Cotação]],100)),)</f>
        <v>0</v>
      </c>
      <c r="AW382" s="7">
        <f>Tabela3[[#This Row],[Ativos]]*[Lucro]</f>
        <v>0</v>
      </c>
      <c r="AX382" s="7">
        <f>SUMPRODUCT(N(Tabela1[Código]=Tabela3[[#This Row],[PAPEL]]),Tabela1[Fechamento])</f>
        <v>0</v>
      </c>
      <c r="AY382" s="7">
        <f>SUMPRODUCT(N(Tabela17[Código]=Tabela3[[#This Row],[PAPEL]]),Tabela17[Fechamento])</f>
        <v>0</v>
      </c>
      <c r="AZ382" s="7">
        <f>SUMPRODUCT(N(Tabela176[Código]=Tabela3[[#This Row],[PAPEL]]),Tabela176[Fechamento])</f>
        <v>0</v>
      </c>
      <c r="BA382" s="7">
        <f>SUMPRODUCT(N(Tabela1768[Código]=Tabela3[[#This Row],[PAPEL]]),Tabela1768[Fechamento])</f>
        <v>0</v>
      </c>
      <c r="BB382" s="7">
        <f>SUMPRODUCT(N(Tabela17683[Código]=Tabela3[[#This Row],[PAPEL]]),Tabela17683[Fechamento])</f>
        <v>0</v>
      </c>
    </row>
    <row r="383" spans="1:54" hidden="1">
      <c r="A383" s="3" t="s">
        <v>1497</v>
      </c>
      <c r="B383" s="57" t="s">
        <v>1467</v>
      </c>
      <c r="C383" s="16" t="str">
        <f>LEFT([PAPEL],LEN([PAPEL])-(LEN([PAPEL])-4))</f>
        <v>RSUL</v>
      </c>
      <c r="D383" s="16">
        <v>3</v>
      </c>
      <c r="E383" s="5">
        <v>9213613.5800000001</v>
      </c>
      <c r="F383" s="56">
        <v>240000</v>
      </c>
      <c r="G383" s="81">
        <v>0.25</v>
      </c>
      <c r="H383" s="87"/>
      <c r="J383" s="18">
        <v>0.1</v>
      </c>
      <c r="K383" s="16"/>
      <c r="L383" s="87"/>
      <c r="M383" s="54"/>
      <c r="N383" s="54"/>
      <c r="O383" s="54"/>
      <c r="P383" s="91">
        <v>1266000</v>
      </c>
      <c r="Q383" s="73">
        <v>-5191000</v>
      </c>
      <c r="R383" s="73">
        <f>IF(Tabela3[[#This Row],[Ativo || Passivo]]&gt;0,Tabela3[[#This Row],[Ativo || Passivo]]-Tabela3[[#This Row],[Patrimônio Líquido]],0)</f>
        <v>0</v>
      </c>
      <c r="S383" s="73">
        <f>Tabela3[[#This Row],[Cotação]]*Tabela3[[#This Row],[Total Ações]]</f>
        <v>17460850</v>
      </c>
      <c r="T383" s="37">
        <f>IF(Tabela3[[#This Row],[Passivo Circulante]]&gt;0,Tabela3[[#This Row],[Ativo Circulante]]/Tabela3[[#This Row],[Passivo Circulante]],0)</f>
        <v>0</v>
      </c>
      <c r="U383" s="37">
        <f>SUMPRODUCT(N([Liquidez Corrente]&gt;0),N(RIGHT([PAPEL],LEN([PAPEL])-(LEN([PAPEL])-1))="3"),[Liquidez Corrente])/SUMPRODUCT(N([Liquidez Corrente]&gt;0),N(RIGHT([PAPEL],LEN([PAPEL])-(LEN([PAPEL])-1))="3"))</f>
        <v>2.331224473064915</v>
      </c>
      <c r="V383" s="18">
        <f>IF(Tabela3[[#This Row],[Lucro Líquido]]&gt;0,Tabela3[[#This Row],[Lucro Líquido]]/Tabela3[[#This Row],[Patrimônio Líquido]],0)</f>
        <v>0</v>
      </c>
      <c r="W383" s="18">
        <f>SUMPRODUCT(N([Rentabilidade s/ PL]&gt;0),N(RIGHT([PAPEL],LEN([PAPEL])-(LEN([PAPEL])-1))="3"),[Rentabilidade s/ PL])/SUMPRODUCT(N([Rentabilidade s/ PL]&gt;0),N(RIGHT([PAPEL],LEN([PAPEL])-(LEN([PAPEL])-1))="3"))</f>
        <v>0.1261051308670782</v>
      </c>
      <c r="X383" s="18">
        <f>IF(Tabela3[[#This Row],[Dívida]]&gt;0,Tabela3[[#This Row],[Dívida]]/Tabela3[[#This Row],[Patrimônio Líquido]],0)</f>
        <v>0</v>
      </c>
      <c r="Y383" s="18">
        <f>SUMPRODUCT(N([Dívida / PL]&gt;0),N(RIGHT([PAPEL],LEN([PAPEL])-(LEN([PAPEL])-1))="3"),[Dívida / PL])/SUMPRODUCT(N([Dívida / PL]&gt;0),N(RIGHT([PAPEL],LEN([PAPEL])-(LEN([PAPEL])-1))="3"))</f>
        <v>2.1510410379481146</v>
      </c>
      <c r="Z383" s="7">
        <f>Tabela3[[#This Row],[Capital Social]]*20%</f>
        <v>1842722.716</v>
      </c>
      <c r="AA383" s="47">
        <f>IF(([Lucro Líquido]*5%)&gt;[Teto R. Legal],[Teto R. Legal],[Lucro Líquido]*5%)</f>
        <v>-259550</v>
      </c>
      <c r="AB383" s="47">
        <f>IF([Lucro Líquido]&lt;0,0,[Lucro Líquido]-[Reserva Legal])</f>
        <v>0</v>
      </c>
      <c r="AC383" s="47">
        <f>Tabela3[[#This Row],[Lucro Distribuir]]*[%Div]</f>
        <v>0</v>
      </c>
      <c r="AD383" s="56">
        <f>SUMPRODUCT(N([Nome]=Tabela3[[#This Row],[Nome]]),[Ações])</f>
        <v>583000</v>
      </c>
      <c r="AE383" s="85">
        <f>[Capital Social]/[Total Ações]</f>
        <v>15.803796878216124</v>
      </c>
      <c r="AF383" s="85">
        <f>Tabela3[[#This Row],[Lucro Líquido]]/Tabela3[[#This Row],[Total Ações]]</f>
        <v>-8.9039451114922805</v>
      </c>
      <c r="AG383" s="85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</v>
      </c>
      <c r="AH383" s="85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383" s="77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383" s="85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</v>
      </c>
      <c r="AK383" s="7">
        <f>[Div Base]*[Ações]</f>
        <v>0</v>
      </c>
      <c r="AL383" s="120">
        <f>SUMPRODUCT(N([Nome]=Tabela3[[#This Row],[Nome]]),[Div Base]*[Ações])</f>
        <v>0</v>
      </c>
      <c r="AM383" s="5">
        <f>[Patrimônio Líquido]/[Total Ações]</f>
        <v>2.1715265866209261</v>
      </c>
      <c r="AN383" s="52">
        <f>MAX(Tabela3[[#This Row],[Cotação 1]:[Cotação 5]])</f>
        <v>29.95</v>
      </c>
      <c r="AO383" s="53">
        <f>[Cotação]/[VPA]</f>
        <v>13.792140600315957</v>
      </c>
      <c r="AP383" s="37">
        <f>IF(Tabela3[[#This Row],[Lucro/Ação]]&gt;0,Tabela3[[#This Row],[Cotação]]/(Tabela3[[#This Row],[Lucro/Ação]]/[Ref]*4),0)</f>
        <v>0</v>
      </c>
      <c r="AQ383" s="85">
        <f>[Lucro Distribuir]/[Total Ações]</f>
        <v>0</v>
      </c>
      <c r="AR383" s="85">
        <f>IF([Unit ON]&gt;0,SUMPRODUCT(N([Nome]=Tabela3[[#This Row],[Nome]]),N(RIGHT([PAPEL],1)="3"),[Div Base])*[Unit ON]+SUMPRODUCT(N([Nome]=Tabela3[[#This Row],[Nome]]),N(RIGHT([PAPEL],1)="4"),[Div Base])*[Unit PN],[Div Base])</f>
        <v>0</v>
      </c>
      <c r="AS383" s="10" t="str">
        <f>IF(AND([% A.A.]&gt;=6%,SUMPRODUCT(N([Nome]=Tabela3[[#This Row],[Nome]]),[PL])&gt;0,[Rentabilidade s/ PL]&gt;=[Rentabilidade s/ PL Média]),"Sim","Não")</f>
        <v>Não</v>
      </c>
      <c r="AT383" s="22">
        <f>IF([Cotação]&gt;0,Tabela3[[#This Row],[Lucro]]/Tabela3[[#This Row],[Cotação]],0)</f>
        <v>0</v>
      </c>
      <c r="AU383" s="22">
        <f>((1+Tabela3[[#This Row],[% Yield]])^(1/(3*Tabela3[[#This Row],[Ref]])))^(12)-1</f>
        <v>0</v>
      </c>
      <c r="AV383" s="10">
        <f>IF([Cotação]&gt;0,($BH$1/Tabela3[[#This Row],[Cotação]]-MOD($BH$1/Tabela3[[#This Row],[Cotação]],100)),)</f>
        <v>0</v>
      </c>
      <c r="AW383" s="7">
        <f>Tabela3[[#This Row],[Ativos]]*[Lucro]</f>
        <v>0</v>
      </c>
      <c r="AX383" s="7">
        <f>SUMPRODUCT(N(Tabela1[Código]=Tabela3[[#This Row],[PAPEL]]),Tabela1[Fechamento])</f>
        <v>0</v>
      </c>
      <c r="AY383" s="7">
        <f>SUMPRODUCT(N(Tabela17[Código]=Tabela3[[#This Row],[PAPEL]]),Tabela17[Fechamento])</f>
        <v>0</v>
      </c>
      <c r="AZ383" s="7">
        <f>SUMPRODUCT(N(Tabela176[Código]=Tabela3[[#This Row],[PAPEL]]),Tabela176[Fechamento])</f>
        <v>0</v>
      </c>
      <c r="BA383" s="7">
        <f>SUMPRODUCT(N(Tabela1768[Código]=Tabela3[[#This Row],[PAPEL]]),Tabela1768[Fechamento])</f>
        <v>0</v>
      </c>
      <c r="BB383" s="7">
        <f>SUMPRODUCT(N(Tabela17683[Código]=Tabela3[[#This Row],[PAPEL]]),Tabela17683[Fechamento])</f>
        <v>29.95</v>
      </c>
    </row>
    <row r="384" spans="1:54" hidden="1">
      <c r="A384" s="3" t="s">
        <v>929</v>
      </c>
      <c r="B384" s="58" t="s">
        <v>1049</v>
      </c>
      <c r="C384" s="16" t="str">
        <f>LEFT([PAPEL],LEN([PAPEL])-(LEN([PAPEL])-4))</f>
        <v>ECPR</v>
      </c>
      <c r="D384" s="16">
        <v>3</v>
      </c>
      <c r="E384" s="5">
        <v>74546944.540000007</v>
      </c>
      <c r="F384" s="56">
        <v>1026245</v>
      </c>
      <c r="G384" s="81">
        <v>0.33</v>
      </c>
      <c r="H384" s="87"/>
      <c r="J384" s="18"/>
      <c r="K384" s="16"/>
      <c r="L384" s="87"/>
      <c r="M384" s="54"/>
      <c r="N384" s="54"/>
      <c r="O384" s="54"/>
      <c r="P384" s="91">
        <v>231251000</v>
      </c>
      <c r="Q384" s="73">
        <v>-6051000</v>
      </c>
      <c r="R384" s="73">
        <f>IF(Tabela3[[#This Row],[Ativo || Passivo]]&gt;0,Tabela3[[#This Row],[Ativo || Passivo]]-Tabela3[[#This Row],[Patrimônio Líquido]],0)</f>
        <v>0</v>
      </c>
      <c r="S384" s="73">
        <f>Tabela3[[#This Row],[Cotação]]*Tabela3[[#This Row],[Total Ações]]</f>
        <v>60536039.039999999</v>
      </c>
      <c r="T384" s="37">
        <f>IF(Tabela3[[#This Row],[Passivo Circulante]]&gt;0,Tabela3[[#This Row],[Ativo Circulante]]/Tabela3[[#This Row],[Passivo Circulante]],0)</f>
        <v>0</v>
      </c>
      <c r="U384" s="37">
        <f>SUMPRODUCT(N([Liquidez Corrente]&gt;0),N(RIGHT([PAPEL],LEN([PAPEL])-(LEN([PAPEL])-1))="3"),[Liquidez Corrente])/SUMPRODUCT(N([Liquidez Corrente]&gt;0),N(RIGHT([PAPEL],LEN([PAPEL])-(LEN([PAPEL])-1))="3"))</f>
        <v>2.331224473064915</v>
      </c>
      <c r="V384" s="18">
        <f>IF(Tabela3[[#This Row],[Lucro Líquido]]&gt;0,Tabela3[[#This Row],[Lucro Líquido]]/Tabela3[[#This Row],[Patrimônio Líquido]],0)</f>
        <v>0</v>
      </c>
      <c r="W384" s="18">
        <f>SUMPRODUCT(N([Rentabilidade s/ PL]&gt;0),N(RIGHT([PAPEL],LEN([PAPEL])-(LEN([PAPEL])-1))="3"),[Rentabilidade s/ PL])/SUMPRODUCT(N([Rentabilidade s/ PL]&gt;0),N(RIGHT([PAPEL],LEN([PAPEL])-(LEN([PAPEL])-1))="3"))</f>
        <v>0.1261051308670782</v>
      </c>
      <c r="X384" s="18">
        <f>IF(Tabela3[[#This Row],[Dívida]]&gt;0,Tabela3[[#This Row],[Dívida]]/Tabela3[[#This Row],[Patrimônio Líquido]],0)</f>
        <v>0</v>
      </c>
      <c r="Y384" s="18">
        <f>SUMPRODUCT(N([Dívida / PL]&gt;0),N(RIGHT([PAPEL],LEN([PAPEL])-(LEN([PAPEL])-1))="3"),[Dívida / PL])/SUMPRODUCT(N([Dívida / PL]&gt;0),N(RIGHT([PAPEL],LEN([PAPEL])-(LEN([PAPEL])-1))="3"))</f>
        <v>2.1510410379481146</v>
      </c>
      <c r="Z384" s="7">
        <f>Tabela3[[#This Row],[Capital Social]]*20%</f>
        <v>14909388.908000002</v>
      </c>
      <c r="AA384" s="47">
        <f>IF(([Lucro Líquido]*5%)&gt;[Teto R. Legal],[Teto R. Legal],[Lucro Líquido]*5%)</f>
        <v>-302550</v>
      </c>
      <c r="AB384" s="47">
        <f>IF([Lucro Líquido]&lt;0,0,[Lucro Líquido]-[Reserva Legal])</f>
        <v>0</v>
      </c>
      <c r="AC384" s="47">
        <f>Tabela3[[#This Row],[Lucro Distribuir]]*[%Div]</f>
        <v>0</v>
      </c>
      <c r="AD384" s="56">
        <f>SUMPRODUCT(N([Nome]=Tabela3[[#This Row],[Nome]]),[Ações])</f>
        <v>1900064</v>
      </c>
      <c r="AE384" s="85">
        <f>[Capital Social]/[Total Ações]</f>
        <v>39.233912405055833</v>
      </c>
      <c r="AF384" s="85">
        <f>Tabela3[[#This Row],[Lucro Líquido]]/Tabela3[[#This Row],[Total Ações]]</f>
        <v>-3.1846295703723664</v>
      </c>
      <c r="AG384" s="85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</v>
      </c>
      <c r="AH384" s="85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384" s="77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384" s="85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</v>
      </c>
      <c r="AK384" s="7">
        <f>[Div Base]*[Ações]</f>
        <v>0</v>
      </c>
      <c r="AL384" s="7">
        <f>SUMPRODUCT(N([Nome]=Tabela3[[#This Row],[Nome]]),[Div Base]*[Ações])</f>
        <v>0</v>
      </c>
      <c r="AM384" s="5">
        <f>[Patrimônio Líquido]/[Total Ações]</f>
        <v>121.70695302895061</v>
      </c>
      <c r="AN384" s="52">
        <f>MAX(Tabela3[[#This Row],[Cotação 1]:[Cotação 5]])</f>
        <v>31.86</v>
      </c>
      <c r="AO384" s="53">
        <f>[Cotação]/[VPA]</f>
        <v>0.26177633411314977</v>
      </c>
      <c r="AP384" s="37">
        <f>IF(Tabela3[[#This Row],[Lucro/Ação]]&gt;0,Tabela3[[#This Row],[Cotação]]/(Tabela3[[#This Row],[Lucro/Ação]]/[Ref]*4),0)</f>
        <v>0</v>
      </c>
      <c r="AQ384" s="85">
        <f>[Lucro Distribuir]/[Total Ações]</f>
        <v>0</v>
      </c>
      <c r="AR384" s="85">
        <f>IF([Unit ON]&gt;0,SUMPRODUCT(N([Nome]=Tabela3[[#This Row],[Nome]]),N(RIGHT([PAPEL],1)="3"),[Div Base])*[Unit ON]+SUMPRODUCT(N([Nome]=Tabela3[[#This Row],[Nome]]),N(RIGHT([PAPEL],1)="4"),[Div Base])*[Unit PN],[Div Base])</f>
        <v>0</v>
      </c>
      <c r="AS384" s="10" t="str">
        <f>IF(AND([% A.A.]&gt;=6%,SUMPRODUCT(N([Nome]=Tabela3[[#This Row],[Nome]]),[PL])&gt;0,[Rentabilidade s/ PL]&gt;=[Rentabilidade s/ PL Média]),"Sim","Não")</f>
        <v>Não</v>
      </c>
      <c r="AT384" s="22">
        <f>IF([Cotação]&gt;0,Tabela3[[#This Row],[Lucro]]/Tabela3[[#This Row],[Cotação]],0)</f>
        <v>0</v>
      </c>
      <c r="AU384" s="22">
        <f>((1+Tabela3[[#This Row],[% Yield]])^(1/(3*Tabela3[[#This Row],[Ref]])))^(12)-1</f>
        <v>0</v>
      </c>
      <c r="AV384" s="10">
        <f>IF([Cotação]&gt;0,($BH$1/Tabela3[[#This Row],[Cotação]]-MOD($BH$1/Tabela3[[#This Row],[Cotação]],100)),)</f>
        <v>0</v>
      </c>
      <c r="AW384" s="7">
        <f>Tabela3[[#This Row],[Ativos]]*[Lucro]</f>
        <v>0</v>
      </c>
      <c r="AX384" s="7">
        <f>SUMPRODUCT(N(Tabela1[Código]=Tabela3[[#This Row],[PAPEL]]),Tabela1[Fechamento])</f>
        <v>0</v>
      </c>
      <c r="AY384" s="7">
        <f>SUMPRODUCT(N(Tabela17[Código]=Tabela3[[#This Row],[PAPEL]]),Tabela17[Fechamento])</f>
        <v>0</v>
      </c>
      <c r="AZ384" s="7">
        <f>SUMPRODUCT(N(Tabela176[Código]=Tabela3[[#This Row],[PAPEL]]),Tabela176[Fechamento])</f>
        <v>0</v>
      </c>
      <c r="BA384" s="7">
        <f>SUMPRODUCT(N(Tabela1768[Código]=Tabela3[[#This Row],[PAPEL]]),Tabela1768[Fechamento])</f>
        <v>31.86</v>
      </c>
      <c r="BB384" s="7">
        <f>SUMPRODUCT(N(Tabela17683[Código]=Tabela3[[#This Row],[PAPEL]]),Tabela17683[Fechamento])</f>
        <v>0</v>
      </c>
    </row>
    <row r="385" spans="1:54" hidden="1">
      <c r="A385" s="3" t="s">
        <v>929</v>
      </c>
      <c r="B385" s="58" t="s">
        <v>1050</v>
      </c>
      <c r="C385" s="16" t="str">
        <f>LEFT([PAPEL],LEN([PAPEL])-(LEN([PAPEL])-4))</f>
        <v>ECPR</v>
      </c>
      <c r="D385" s="16">
        <v>3</v>
      </c>
      <c r="E385" s="5">
        <v>74546944.540000007</v>
      </c>
      <c r="F385" s="56">
        <v>873819</v>
      </c>
      <c r="G385" s="81">
        <v>0.33</v>
      </c>
      <c r="H385" s="87"/>
      <c r="J385" s="18">
        <v>0.1</v>
      </c>
      <c r="K385" s="16"/>
      <c r="L385" s="87"/>
      <c r="M385" s="54"/>
      <c r="N385" s="54"/>
      <c r="O385" s="54"/>
      <c r="P385" s="91">
        <v>231251000</v>
      </c>
      <c r="Q385" s="73">
        <v>-6051000</v>
      </c>
      <c r="R385" s="73">
        <f>IF(Tabela3[[#This Row],[Ativo || Passivo]]&gt;0,Tabela3[[#This Row],[Ativo || Passivo]]-Tabela3[[#This Row],[Patrimônio Líquido]],0)</f>
        <v>0</v>
      </c>
      <c r="S385" s="73">
        <f>Tabela3[[#This Row],[Cotação]]*Tabela3[[#This Row],[Total Ações]]</f>
        <v>93103136</v>
      </c>
      <c r="T385" s="37">
        <f>IF(Tabela3[[#This Row],[Passivo Circulante]]&gt;0,Tabela3[[#This Row],[Ativo Circulante]]/Tabela3[[#This Row],[Passivo Circulante]],0)</f>
        <v>0</v>
      </c>
      <c r="U385" s="37">
        <f>SUMPRODUCT(N([Liquidez Corrente]&gt;0),N(RIGHT([PAPEL],LEN([PAPEL])-(LEN([PAPEL])-1))="3"),[Liquidez Corrente])/SUMPRODUCT(N([Liquidez Corrente]&gt;0),N(RIGHT([PAPEL],LEN([PAPEL])-(LEN([PAPEL])-1))="3"))</f>
        <v>2.331224473064915</v>
      </c>
      <c r="V385" s="18">
        <f>IF(Tabela3[[#This Row],[Lucro Líquido]]&gt;0,Tabela3[[#This Row],[Lucro Líquido]]/Tabela3[[#This Row],[Patrimônio Líquido]],0)</f>
        <v>0</v>
      </c>
      <c r="W385" s="18">
        <f>SUMPRODUCT(N([Rentabilidade s/ PL]&gt;0),N(RIGHT([PAPEL],LEN([PAPEL])-(LEN([PAPEL])-1))="3"),[Rentabilidade s/ PL])/SUMPRODUCT(N([Rentabilidade s/ PL]&gt;0),N(RIGHT([PAPEL],LEN([PAPEL])-(LEN([PAPEL])-1))="3"))</f>
        <v>0.1261051308670782</v>
      </c>
      <c r="X385" s="18">
        <f>IF(Tabela3[[#This Row],[Dívida]]&gt;0,Tabela3[[#This Row],[Dívida]]/Tabela3[[#This Row],[Patrimônio Líquido]],0)</f>
        <v>0</v>
      </c>
      <c r="Y385" s="18">
        <f>SUMPRODUCT(N([Dívida / PL]&gt;0),N(RIGHT([PAPEL],LEN([PAPEL])-(LEN([PAPEL])-1))="3"),[Dívida / PL])/SUMPRODUCT(N([Dívida / PL]&gt;0),N(RIGHT([PAPEL],LEN([PAPEL])-(LEN([PAPEL])-1))="3"))</f>
        <v>2.1510410379481146</v>
      </c>
      <c r="Z385" s="7">
        <f>Tabela3[[#This Row],[Capital Social]]*20%</f>
        <v>14909388.908000002</v>
      </c>
      <c r="AA385" s="47">
        <f>IF(([Lucro Líquido]*5%)&gt;[Teto R. Legal],[Teto R. Legal],[Lucro Líquido]*5%)</f>
        <v>-302550</v>
      </c>
      <c r="AB385" s="47">
        <f>IF([Lucro Líquido]&lt;0,0,[Lucro Líquido]-[Reserva Legal])</f>
        <v>0</v>
      </c>
      <c r="AC385" s="47">
        <f>Tabela3[[#This Row],[Lucro Distribuir]]*[%Div]</f>
        <v>0</v>
      </c>
      <c r="AD385" s="56">
        <f>SUMPRODUCT(N([Nome]=Tabela3[[#This Row],[Nome]]),[Ações])</f>
        <v>1900064</v>
      </c>
      <c r="AE385" s="85">
        <f>[Capital Social]/[Total Ações]</f>
        <v>39.233912405055833</v>
      </c>
      <c r="AF385" s="85">
        <f>Tabela3[[#This Row],[Lucro Líquido]]/Tabela3[[#This Row],[Total Ações]]</f>
        <v>-3.1846295703723664</v>
      </c>
      <c r="AG385" s="85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</v>
      </c>
      <c r="AH385" s="85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385" s="77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385" s="85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</v>
      </c>
      <c r="AK385" s="7">
        <f>[Div Base]*[Ações]</f>
        <v>0</v>
      </c>
      <c r="AL385" s="7">
        <f>SUMPRODUCT(N([Nome]=Tabela3[[#This Row],[Nome]]),[Div Base]*[Ações])</f>
        <v>0</v>
      </c>
      <c r="AM385" s="5">
        <f>[Patrimônio Líquido]/[Total Ações]</f>
        <v>121.70695302895061</v>
      </c>
      <c r="AN385" s="52">
        <f>MAX(Tabela3[[#This Row],[Cotação 1]:[Cotação 5]])</f>
        <v>49</v>
      </c>
      <c r="AO385" s="53">
        <f>[Cotação]/[VPA]</f>
        <v>0.40260641467496355</v>
      </c>
      <c r="AP385" s="37">
        <f>IF(Tabela3[[#This Row],[Lucro/Ação]]&gt;0,Tabela3[[#This Row],[Cotação]]/(Tabela3[[#This Row],[Lucro/Ação]]/[Ref]*4),0)</f>
        <v>0</v>
      </c>
      <c r="AQ385" s="85">
        <f>[Lucro Distribuir]/[Total Ações]</f>
        <v>0</v>
      </c>
      <c r="AR385" s="85">
        <f>IF([Unit ON]&gt;0,SUMPRODUCT(N([Nome]=Tabela3[[#This Row],[Nome]]),N(RIGHT([PAPEL],1)="3"),[Div Base])*[Unit ON]+SUMPRODUCT(N([Nome]=Tabela3[[#This Row],[Nome]]),N(RIGHT([PAPEL],1)="4"),[Div Base])*[Unit PN],[Div Base])</f>
        <v>0</v>
      </c>
      <c r="AS385" s="10" t="str">
        <f>IF(AND([% A.A.]&gt;=6%,SUMPRODUCT(N([Nome]=Tabela3[[#This Row],[Nome]]),[PL])&gt;0,[Rentabilidade s/ PL]&gt;=[Rentabilidade s/ PL Média]),"Sim","Não")</f>
        <v>Não</v>
      </c>
      <c r="AT385" s="22">
        <f>IF([Cotação]&gt;0,Tabela3[[#This Row],[Lucro]]/Tabela3[[#This Row],[Cotação]],0)</f>
        <v>0</v>
      </c>
      <c r="AU385" s="22">
        <f>((1+Tabela3[[#This Row],[% Yield]])^(1/(3*Tabela3[[#This Row],[Ref]])))^(12)-1</f>
        <v>0</v>
      </c>
      <c r="AV385" s="10">
        <f>IF([Cotação]&gt;0,($BH$1/Tabela3[[#This Row],[Cotação]]-MOD($BH$1/Tabela3[[#This Row],[Cotação]],100)),)</f>
        <v>0</v>
      </c>
      <c r="AW385" s="7">
        <f>Tabela3[[#This Row],[Ativos]]*[Lucro]</f>
        <v>0</v>
      </c>
      <c r="AX385" s="7">
        <f>SUMPRODUCT(N(Tabela1[Código]=Tabela3[[#This Row],[PAPEL]]),Tabela1[Fechamento])</f>
        <v>0</v>
      </c>
      <c r="AY385" s="7">
        <f>SUMPRODUCT(N(Tabela17[Código]=Tabela3[[#This Row],[PAPEL]]),Tabela17[Fechamento])</f>
        <v>0</v>
      </c>
      <c r="AZ385" s="7">
        <f>SUMPRODUCT(N(Tabela176[Código]=Tabela3[[#This Row],[PAPEL]]),Tabela176[Fechamento])</f>
        <v>0</v>
      </c>
      <c r="BA385" s="7">
        <f>SUMPRODUCT(N(Tabela1768[Código]=Tabela3[[#This Row],[PAPEL]]),Tabela1768[Fechamento])</f>
        <v>49</v>
      </c>
      <c r="BB385" s="7">
        <f>SUMPRODUCT(N(Tabela17683[Código]=Tabela3[[#This Row],[PAPEL]]),Tabela17683[Fechamento])</f>
        <v>0</v>
      </c>
    </row>
    <row r="386" spans="1:54" hidden="1">
      <c r="A386" s="3" t="s">
        <v>1012</v>
      </c>
      <c r="B386" s="58" t="s">
        <v>1013</v>
      </c>
      <c r="C386" s="16" t="str">
        <f>LEFT([PAPEL],LEN([PAPEL])-(LEN([PAPEL])-4))</f>
        <v>TOYB</v>
      </c>
      <c r="D386" s="16">
        <v>3</v>
      </c>
      <c r="E386" s="5">
        <v>126282315.51000001</v>
      </c>
      <c r="F386" s="56">
        <v>685714429483</v>
      </c>
      <c r="G386" s="81">
        <v>0.25</v>
      </c>
      <c r="H386" s="87"/>
      <c r="J386" s="18"/>
      <c r="K386" s="16"/>
      <c r="L386" s="87"/>
      <c r="M386" s="54"/>
      <c r="N386" s="54"/>
      <c r="O386" s="54"/>
      <c r="P386" s="91">
        <v>2313000</v>
      </c>
      <c r="Q386" s="73">
        <v>-6051000</v>
      </c>
      <c r="R386" s="73">
        <f>IF(Tabela3[[#This Row],[Ativo || Passivo]]&gt;0,Tabela3[[#This Row],[Ativo || Passivo]]-Tabela3[[#This Row],[Patrimônio Líquido]],0)</f>
        <v>0</v>
      </c>
      <c r="S386" s="73">
        <f>Tabela3[[#This Row],[Cotação]]*Tabela3[[#This Row],[Total Ações]]</f>
        <v>13226407349.540001</v>
      </c>
      <c r="T386" s="37">
        <f>IF(Tabela3[[#This Row],[Passivo Circulante]]&gt;0,Tabela3[[#This Row],[Ativo Circulante]]/Tabela3[[#This Row],[Passivo Circulante]],0)</f>
        <v>0</v>
      </c>
      <c r="U386" s="37">
        <f>SUMPRODUCT(N([Liquidez Corrente]&gt;0),N(RIGHT([PAPEL],LEN([PAPEL])-(LEN([PAPEL])-1))="3"),[Liquidez Corrente])/SUMPRODUCT(N([Liquidez Corrente]&gt;0),N(RIGHT([PAPEL],LEN([PAPEL])-(LEN([PAPEL])-1))="3"))</f>
        <v>2.331224473064915</v>
      </c>
      <c r="V386" s="18">
        <f>IF(Tabela3[[#This Row],[Lucro Líquido]]&gt;0,Tabela3[[#This Row],[Lucro Líquido]]/Tabela3[[#This Row],[Patrimônio Líquido]],0)</f>
        <v>0</v>
      </c>
      <c r="W386" s="18">
        <f>SUMPRODUCT(N([Rentabilidade s/ PL]&gt;0),N(RIGHT([PAPEL],LEN([PAPEL])-(LEN([PAPEL])-1))="3"),[Rentabilidade s/ PL])/SUMPRODUCT(N([Rentabilidade s/ PL]&gt;0),N(RIGHT([PAPEL],LEN([PAPEL])-(LEN([PAPEL])-1))="3"))</f>
        <v>0.1261051308670782</v>
      </c>
      <c r="X386" s="18">
        <f>IF(Tabela3[[#This Row],[Dívida]]&gt;0,Tabela3[[#This Row],[Dívida]]/Tabela3[[#This Row],[Patrimônio Líquido]],0)</f>
        <v>0</v>
      </c>
      <c r="Y386" s="18">
        <f>SUMPRODUCT(N([Dívida / PL]&gt;0),N(RIGHT([PAPEL],LEN([PAPEL])-(LEN([PAPEL])-1))="3"),[Dívida / PL])/SUMPRODUCT(N([Dívida / PL]&gt;0),N(RIGHT([PAPEL],LEN([PAPEL])-(LEN([PAPEL])-1))="3"))</f>
        <v>2.1510410379481146</v>
      </c>
      <c r="Z386" s="7">
        <f>Tabela3[[#This Row],[Capital Social]]*20%</f>
        <v>25256463.102000002</v>
      </c>
      <c r="AA386" s="47">
        <f>IF(([Lucro Líquido]*5%)&gt;[Teto R. Legal],[Teto R. Legal],[Lucro Líquido]*5%)</f>
        <v>-302550</v>
      </c>
      <c r="AB386" s="47">
        <f>IF([Lucro Líquido]&lt;0,0,[Lucro Líquido]-[Reserva Legal])</f>
        <v>0</v>
      </c>
      <c r="AC386" s="47">
        <f>Tabela3[[#This Row],[Lucro Distribuir]]*[%Div]</f>
        <v>0</v>
      </c>
      <c r="AD386" s="56">
        <f>SUMPRODUCT(N([Nome]=Tabela3[[#This Row],[Nome]]),[Ações])</f>
        <v>1322640734954</v>
      </c>
      <c r="AE386" s="85">
        <f>[Capital Social]/[Total Ações]</f>
        <v>9.5477412854966977E-5</v>
      </c>
      <c r="AF386" s="85">
        <f>Tabela3[[#This Row],[Lucro Líquido]]/Tabela3[[#This Row],[Total Ações]]</f>
        <v>-4.5749384848716666E-6</v>
      </c>
      <c r="AG386" s="85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</v>
      </c>
      <c r="AH386" s="85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386" s="77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386" s="85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</v>
      </c>
      <c r="AK386" s="7">
        <f>[Div Base]*[Ações]</f>
        <v>0</v>
      </c>
      <c r="AL386" s="7">
        <f>SUMPRODUCT(N([Nome]=Tabela3[[#This Row],[Nome]]),[Div Base]*[Ações])</f>
        <v>0</v>
      </c>
      <c r="AM386" s="5">
        <f>[Patrimônio Líquido]/[Total Ações]</f>
        <v>1.7487742051740479E-6</v>
      </c>
      <c r="AN386" s="52">
        <f>MAX(Tabela3[[#This Row],[Cotação 1]:[Cotação 5]])</f>
        <v>0.01</v>
      </c>
      <c r="AO386" s="53">
        <f>[Cotação]/[VPA]</f>
        <v>5718.2911152356246</v>
      </c>
      <c r="AP386" s="37">
        <f>IF(Tabela3[[#This Row],[Lucro/Ação]]&gt;0,Tabela3[[#This Row],[Cotação]]/(Tabela3[[#This Row],[Lucro/Ação]]/[Ref]*4),0)</f>
        <v>0</v>
      </c>
      <c r="AQ386" s="85">
        <f>[Lucro Distribuir]/[Total Ações]</f>
        <v>0</v>
      </c>
      <c r="AR386" s="85">
        <f>IF([Unit ON]&gt;0,SUMPRODUCT(N([Nome]=Tabela3[[#This Row],[Nome]]),N(RIGHT([PAPEL],1)="3"),[Div Base])*[Unit ON]+SUMPRODUCT(N([Nome]=Tabela3[[#This Row],[Nome]]),N(RIGHT([PAPEL],1)="4"),[Div Base])*[Unit PN],[Div Base])</f>
        <v>0</v>
      </c>
      <c r="AS386" s="10" t="str">
        <f>IF(AND([% A.A.]&gt;=6%,SUMPRODUCT(N([Nome]=Tabela3[[#This Row],[Nome]]),[PL])&gt;0,[Rentabilidade s/ PL]&gt;=[Rentabilidade s/ PL Média]),"Sim","Não")</f>
        <v>Não</v>
      </c>
      <c r="AT386" s="22">
        <f>IF([Cotação]&gt;0,Tabela3[[#This Row],[Lucro]]/Tabela3[[#This Row],[Cotação]],0)</f>
        <v>0</v>
      </c>
      <c r="AU386" s="22">
        <f>((1+Tabela3[[#This Row],[% Yield]])^(1/(3*Tabela3[[#This Row],[Ref]])))^(12)-1</f>
        <v>0</v>
      </c>
      <c r="AV386" s="10">
        <f>IF([Cotação]&gt;0,($BH$1/Tabela3[[#This Row],[Cotação]]-MOD($BH$1/Tabela3[[#This Row],[Cotação]],100)),)</f>
        <v>50000</v>
      </c>
      <c r="AW386" s="7">
        <f>Tabela3[[#This Row],[Ativos]]*[Lucro]</f>
        <v>0</v>
      </c>
      <c r="AX386" s="7">
        <f>SUMPRODUCT(N(Tabela1[Código]=Tabela3[[#This Row],[PAPEL]]),Tabela1[Fechamento])</f>
        <v>0</v>
      </c>
      <c r="AY386" s="7">
        <f>SUMPRODUCT(N(Tabela17[Código]=Tabela3[[#This Row],[PAPEL]]),Tabela17[Fechamento])</f>
        <v>0</v>
      </c>
      <c r="AZ386" s="7">
        <f>SUMPRODUCT(N(Tabela176[Código]=Tabela3[[#This Row],[PAPEL]]),Tabela176[Fechamento])</f>
        <v>0</v>
      </c>
      <c r="BA386" s="7">
        <f>SUMPRODUCT(N(Tabela1768[Código]=Tabela3[[#This Row],[PAPEL]]),Tabela1768[Fechamento])</f>
        <v>0.01</v>
      </c>
      <c r="BB386" s="7">
        <f>SUMPRODUCT(N(Tabela17683[Código]=Tabela3[[#This Row],[PAPEL]]),Tabela17683[Fechamento])</f>
        <v>0</v>
      </c>
    </row>
    <row r="387" spans="1:54" hidden="1">
      <c r="A387" s="3" t="s">
        <v>1012</v>
      </c>
      <c r="B387" s="58" t="s">
        <v>1014</v>
      </c>
      <c r="C387" s="16" t="str">
        <f>LEFT([PAPEL],LEN([PAPEL])-(LEN([PAPEL])-4))</f>
        <v>TOYB</v>
      </c>
      <c r="D387" s="16">
        <v>3</v>
      </c>
      <c r="E387" s="5">
        <v>126282315.51000001</v>
      </c>
      <c r="F387" s="56">
        <v>636926305471</v>
      </c>
      <c r="G387" s="81">
        <v>0.25</v>
      </c>
      <c r="H387" s="87"/>
      <c r="J387" s="18"/>
      <c r="K387" s="16"/>
      <c r="L387" s="87"/>
      <c r="M387" s="54"/>
      <c r="N387" s="54"/>
      <c r="O387" s="54"/>
      <c r="P387" s="91">
        <v>2313000</v>
      </c>
      <c r="Q387" s="73">
        <v>-6051000</v>
      </c>
      <c r="R387" s="73">
        <f>IF(Tabela3[[#This Row],[Ativo || Passivo]]&gt;0,Tabela3[[#This Row],[Ativo || Passivo]]-Tabela3[[#This Row],[Patrimônio Líquido]],0)</f>
        <v>0</v>
      </c>
      <c r="S387" s="73">
        <f>Tabela3[[#This Row],[Cotação]]*Tabela3[[#This Row],[Total Ações]]</f>
        <v>26452814699.080002</v>
      </c>
      <c r="T387" s="37">
        <f>IF(Tabela3[[#This Row],[Passivo Circulante]]&gt;0,Tabela3[[#This Row],[Ativo Circulante]]/Tabela3[[#This Row],[Passivo Circulante]],0)</f>
        <v>0</v>
      </c>
      <c r="U387" s="37">
        <f>SUMPRODUCT(N([Liquidez Corrente]&gt;0),N(RIGHT([PAPEL],LEN([PAPEL])-(LEN([PAPEL])-1))="3"),[Liquidez Corrente])/SUMPRODUCT(N([Liquidez Corrente]&gt;0),N(RIGHT([PAPEL],LEN([PAPEL])-(LEN([PAPEL])-1))="3"))</f>
        <v>2.331224473064915</v>
      </c>
      <c r="V387" s="18">
        <f>IF(Tabela3[[#This Row],[Lucro Líquido]]&gt;0,Tabela3[[#This Row],[Lucro Líquido]]/Tabela3[[#This Row],[Patrimônio Líquido]],0)</f>
        <v>0</v>
      </c>
      <c r="W387" s="18">
        <f>SUMPRODUCT(N([Rentabilidade s/ PL]&gt;0),N(RIGHT([PAPEL],LEN([PAPEL])-(LEN([PAPEL])-1))="3"),[Rentabilidade s/ PL])/SUMPRODUCT(N([Rentabilidade s/ PL]&gt;0),N(RIGHT([PAPEL],LEN([PAPEL])-(LEN([PAPEL])-1))="3"))</f>
        <v>0.1261051308670782</v>
      </c>
      <c r="X387" s="18">
        <f>IF(Tabela3[[#This Row],[Dívida]]&gt;0,Tabela3[[#This Row],[Dívida]]/Tabela3[[#This Row],[Patrimônio Líquido]],0)</f>
        <v>0</v>
      </c>
      <c r="Y387" s="18">
        <f>SUMPRODUCT(N([Dívida / PL]&gt;0),N(RIGHT([PAPEL],LEN([PAPEL])-(LEN([PAPEL])-1))="3"),[Dívida / PL])/SUMPRODUCT(N([Dívida / PL]&gt;0),N(RIGHT([PAPEL],LEN([PAPEL])-(LEN([PAPEL])-1))="3"))</f>
        <v>2.1510410379481146</v>
      </c>
      <c r="Z387" s="7">
        <f>Tabela3[[#This Row],[Capital Social]]*20%</f>
        <v>25256463.102000002</v>
      </c>
      <c r="AA387" s="47">
        <f>IF(([Lucro Líquido]*5%)&gt;[Teto R. Legal],[Teto R. Legal],[Lucro Líquido]*5%)</f>
        <v>-302550</v>
      </c>
      <c r="AB387" s="47">
        <f>IF([Lucro Líquido]&lt;0,0,[Lucro Líquido]-[Reserva Legal])</f>
        <v>0</v>
      </c>
      <c r="AC387" s="47">
        <f>Tabela3[[#This Row],[Lucro Distribuir]]*[%Div]</f>
        <v>0</v>
      </c>
      <c r="AD387" s="56">
        <f>SUMPRODUCT(N([Nome]=Tabela3[[#This Row],[Nome]]),[Ações])</f>
        <v>1322640734954</v>
      </c>
      <c r="AE387" s="85">
        <f>[Capital Social]/[Total Ações]</f>
        <v>9.5477412854966977E-5</v>
      </c>
      <c r="AF387" s="85">
        <f>Tabela3[[#This Row],[Lucro Líquido]]/Tabela3[[#This Row],[Total Ações]]</f>
        <v>-4.5749384848716666E-6</v>
      </c>
      <c r="AG387" s="85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</v>
      </c>
      <c r="AH387" s="85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387" s="77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387" s="85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</v>
      </c>
      <c r="AK387" s="7">
        <f>[Div Base]*[Ações]</f>
        <v>0</v>
      </c>
      <c r="AL387" s="7">
        <f>SUMPRODUCT(N([Nome]=Tabela3[[#This Row],[Nome]]),[Div Base]*[Ações])</f>
        <v>0</v>
      </c>
      <c r="AM387" s="5">
        <f>[Patrimônio Líquido]/[Total Ações]</f>
        <v>1.7487742051740479E-6</v>
      </c>
      <c r="AN387" s="52">
        <f>MAX(Tabela3[[#This Row],[Cotação 1]:[Cotação 5]])</f>
        <v>0.02</v>
      </c>
      <c r="AO387" s="53">
        <f>[Cotação]/[VPA]</f>
        <v>11436.582230471249</v>
      </c>
      <c r="AP387" s="37">
        <f>IF(Tabela3[[#This Row],[Lucro/Ação]]&gt;0,Tabela3[[#This Row],[Cotação]]/(Tabela3[[#This Row],[Lucro/Ação]]/[Ref]*4),0)</f>
        <v>0</v>
      </c>
      <c r="AQ387" s="85">
        <f>[Lucro Distribuir]/[Total Ações]</f>
        <v>0</v>
      </c>
      <c r="AR387" s="85">
        <f>IF([Unit ON]&gt;0,SUMPRODUCT(N([Nome]=Tabela3[[#This Row],[Nome]]),N(RIGHT([PAPEL],1)="3"),[Div Base])*[Unit ON]+SUMPRODUCT(N([Nome]=Tabela3[[#This Row],[Nome]]),N(RIGHT([PAPEL],1)="4"),[Div Base])*[Unit PN],[Div Base])</f>
        <v>0</v>
      </c>
      <c r="AS387" s="10" t="str">
        <f>IF(AND([% A.A.]&gt;=6%,SUMPRODUCT(N([Nome]=Tabela3[[#This Row],[Nome]]),[PL])&gt;0,[Rentabilidade s/ PL]&gt;=[Rentabilidade s/ PL Média]),"Sim","Não")</f>
        <v>Não</v>
      </c>
      <c r="AT387" s="22">
        <f>IF([Cotação]&gt;0,Tabela3[[#This Row],[Lucro]]/Tabela3[[#This Row],[Cotação]],0)</f>
        <v>0</v>
      </c>
      <c r="AU387" s="22">
        <f>((1+Tabela3[[#This Row],[% Yield]])^(1/(3*Tabela3[[#This Row],[Ref]])))^(12)-1</f>
        <v>0</v>
      </c>
      <c r="AV387" s="10">
        <f>IF([Cotação]&gt;0,($BH$1/Tabela3[[#This Row],[Cotação]]-MOD($BH$1/Tabela3[[#This Row],[Cotação]],100)),)</f>
        <v>25000</v>
      </c>
      <c r="AW387" s="7">
        <f>Tabela3[[#This Row],[Ativos]]*[Lucro]</f>
        <v>0</v>
      </c>
      <c r="AX387" s="7">
        <f>SUMPRODUCT(N(Tabela1[Código]=Tabela3[[#This Row],[PAPEL]]),Tabela1[Fechamento])</f>
        <v>0</v>
      </c>
      <c r="AY387" s="7">
        <f>SUMPRODUCT(N(Tabela17[Código]=Tabela3[[#This Row],[PAPEL]]),Tabela17[Fechamento])</f>
        <v>0</v>
      </c>
      <c r="AZ387" s="7">
        <f>SUMPRODUCT(N(Tabela176[Código]=Tabela3[[#This Row],[PAPEL]]),Tabela176[Fechamento])</f>
        <v>0</v>
      </c>
      <c r="BA387" s="7">
        <f>SUMPRODUCT(N(Tabela1768[Código]=Tabela3[[#This Row],[PAPEL]]),Tabela1768[Fechamento])</f>
        <v>0.02</v>
      </c>
      <c r="BB387" s="7">
        <f>SUMPRODUCT(N(Tabela17683[Código]=Tabela3[[#This Row],[PAPEL]]),Tabela17683[Fechamento])</f>
        <v>0</v>
      </c>
    </row>
    <row r="388" spans="1:54" hidden="1">
      <c r="A388" s="3" t="s">
        <v>1497</v>
      </c>
      <c r="B388" s="58" t="s">
        <v>1471</v>
      </c>
      <c r="C388" s="16" t="str">
        <f>LEFT([PAPEL],LEN([PAPEL])-(LEN([PAPEL])-4))</f>
        <v>RCSL</v>
      </c>
      <c r="D388" s="16">
        <v>3</v>
      </c>
      <c r="E388" s="5">
        <v>59999999.920000002</v>
      </c>
      <c r="F388" s="56">
        <v>78179225</v>
      </c>
      <c r="G388" s="81">
        <v>0.33</v>
      </c>
      <c r="H388" s="87"/>
      <c r="J388" s="18"/>
      <c r="K388" s="16"/>
      <c r="L388" s="87"/>
      <c r="M388" s="54"/>
      <c r="N388" s="54"/>
      <c r="O388" s="54"/>
      <c r="P388" s="91">
        <v>-42030000</v>
      </c>
      <c r="Q388" s="73">
        <v>-6593000</v>
      </c>
      <c r="R388" s="73">
        <f>IF(Tabela3[[#This Row],[Ativo || Passivo]]&gt;0,Tabela3[[#This Row],[Ativo || Passivo]]-Tabela3[[#This Row],[Patrimônio Líquido]],0)</f>
        <v>0</v>
      </c>
      <c r="S388" s="73">
        <f>Tabela3[[#This Row],[Cotação]]*Tabela3[[#This Row],[Total Ações]]</f>
        <v>16331266.700000001</v>
      </c>
      <c r="T388" s="37">
        <f>IF(Tabela3[[#This Row],[Passivo Circulante]]&gt;0,Tabela3[[#This Row],[Ativo Circulante]]/Tabela3[[#This Row],[Passivo Circulante]],0)</f>
        <v>0</v>
      </c>
      <c r="U388" s="37">
        <f>SUMPRODUCT(N([Liquidez Corrente]&gt;0),N(RIGHT([PAPEL],LEN([PAPEL])-(LEN([PAPEL])-1))="3"),[Liquidez Corrente])/SUMPRODUCT(N([Liquidez Corrente]&gt;0),N(RIGHT([PAPEL],LEN([PAPEL])-(LEN([PAPEL])-1))="3"))</f>
        <v>2.331224473064915</v>
      </c>
      <c r="V388" s="18">
        <f>IF(Tabela3[[#This Row],[Lucro Líquido]]&gt;0,Tabela3[[#This Row],[Lucro Líquido]]/Tabela3[[#This Row],[Patrimônio Líquido]],0)</f>
        <v>0</v>
      </c>
      <c r="W388" s="18">
        <f>SUMPRODUCT(N([Rentabilidade s/ PL]&gt;0),N(RIGHT([PAPEL],LEN([PAPEL])-(LEN([PAPEL])-1))="3"),[Rentabilidade s/ PL])/SUMPRODUCT(N([Rentabilidade s/ PL]&gt;0),N(RIGHT([PAPEL],LEN([PAPEL])-(LEN([PAPEL])-1))="3"))</f>
        <v>0.1261051308670782</v>
      </c>
      <c r="X388" s="18">
        <f>IF(Tabela3[[#This Row],[Dívida]]&gt;0,Tabela3[[#This Row],[Dívida]]/Tabela3[[#This Row],[Patrimônio Líquido]],0)</f>
        <v>0</v>
      </c>
      <c r="Y388" s="18">
        <f>SUMPRODUCT(N([Dívida / PL]&gt;0),N(RIGHT([PAPEL],LEN([PAPEL])-(LEN([PAPEL])-1))="3"),[Dívida / PL])/SUMPRODUCT(N([Dívida / PL]&gt;0),N(RIGHT([PAPEL],LEN([PAPEL])-(LEN([PAPEL])-1))="3"))</f>
        <v>2.1510410379481146</v>
      </c>
      <c r="Z388" s="7">
        <f>Tabela3[[#This Row],[Capital Social]]*20%</f>
        <v>11999999.984000001</v>
      </c>
      <c r="AA388" s="47">
        <f>IF(([Lucro Líquido]*5%)&gt;[Teto R. Legal],[Teto R. Legal],[Lucro Líquido]*5%)</f>
        <v>-329650</v>
      </c>
      <c r="AB388" s="47">
        <f>IF([Lucro Líquido]&lt;0,0,[Lucro Líquido]-[Reserva Legal])</f>
        <v>0</v>
      </c>
      <c r="AC388" s="47">
        <f>Tabela3[[#This Row],[Lucro Distribuir]]*[%Div]</f>
        <v>0</v>
      </c>
      <c r="AD388" s="56">
        <f>SUMPRODUCT(N([Nome]=Tabela3[[#This Row],[Nome]]),[Ações])</f>
        <v>233303810</v>
      </c>
      <c r="AE388" s="85">
        <f>[Capital Social]/[Total Ações]</f>
        <v>0.25717539683556817</v>
      </c>
      <c r="AF388" s="85">
        <f>Tabela3[[#This Row],[Lucro Líquido]]/Tabela3[[#This Row],[Total Ações]]</f>
        <v>-2.8259289893294071E-2</v>
      </c>
      <c r="AG388" s="85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</v>
      </c>
      <c r="AH388" s="85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388" s="77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388" s="85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</v>
      </c>
      <c r="AK388" s="7">
        <f>[Div Base]*[Ações]</f>
        <v>0</v>
      </c>
      <c r="AL388" s="120">
        <f>SUMPRODUCT(N([Nome]=Tabela3[[#This Row],[Nome]]),[Div Base]*[Ações])</f>
        <v>0</v>
      </c>
      <c r="AM388" s="5">
        <f>[Patrimônio Líquido]/[Total Ações]</f>
        <v>-0.18015136572351734</v>
      </c>
      <c r="AN388" s="52">
        <f>MAX(Tabela3[[#This Row],[Cotação 1]:[Cotação 5]])</f>
        <v>7.0000000000000007E-2</v>
      </c>
      <c r="AO388" s="53">
        <f>[Cotação]/[VPA]</f>
        <v>-0.38856213894837022</v>
      </c>
      <c r="AP388" s="37">
        <f>IF(Tabela3[[#This Row],[Lucro/Ação]]&gt;0,Tabela3[[#This Row],[Cotação]]/(Tabela3[[#This Row],[Lucro/Ação]]/[Ref]*4),0)</f>
        <v>0</v>
      </c>
      <c r="AQ388" s="85">
        <f>[Lucro Distribuir]/[Total Ações]</f>
        <v>0</v>
      </c>
      <c r="AR388" s="85">
        <f>IF([Unit ON]&gt;0,SUMPRODUCT(N([Nome]=Tabela3[[#This Row],[Nome]]),N(RIGHT([PAPEL],1)="3"),[Div Base])*[Unit ON]+SUMPRODUCT(N([Nome]=Tabela3[[#This Row],[Nome]]),N(RIGHT([PAPEL],1)="4"),[Div Base])*[Unit PN],[Div Base])</f>
        <v>0</v>
      </c>
      <c r="AS388" s="10" t="str">
        <f>IF(AND([% A.A.]&gt;=6%,SUMPRODUCT(N([Nome]=Tabela3[[#This Row],[Nome]]),[PL])&gt;0,[Rentabilidade s/ PL]&gt;=[Rentabilidade s/ PL Média]),"Sim","Não")</f>
        <v>Não</v>
      </c>
      <c r="AT388" s="22">
        <f>IF([Cotação]&gt;0,Tabela3[[#This Row],[Lucro]]/Tabela3[[#This Row],[Cotação]],0)</f>
        <v>0</v>
      </c>
      <c r="AU388" s="22">
        <f>((1+Tabela3[[#This Row],[% Yield]])^(1/(3*Tabela3[[#This Row],[Ref]])))^(12)-1</f>
        <v>0</v>
      </c>
      <c r="AV388" s="10">
        <f>IF([Cotação]&gt;0,($BH$1/Tabela3[[#This Row],[Cotação]]-MOD($BH$1/Tabela3[[#This Row],[Cotação]],100)),)</f>
        <v>7100</v>
      </c>
      <c r="AW388" s="7">
        <f>Tabela3[[#This Row],[Ativos]]*[Lucro]</f>
        <v>0</v>
      </c>
      <c r="AX388" s="7">
        <f>SUMPRODUCT(N(Tabela1[Código]=Tabela3[[#This Row],[PAPEL]]),Tabela1[Fechamento])</f>
        <v>0</v>
      </c>
      <c r="AY388" s="7">
        <f>SUMPRODUCT(N(Tabela17[Código]=Tabela3[[#This Row],[PAPEL]]),Tabela17[Fechamento])</f>
        <v>0</v>
      </c>
      <c r="AZ388" s="7">
        <f>SUMPRODUCT(N(Tabela176[Código]=Tabela3[[#This Row],[PAPEL]]),Tabela176[Fechamento])</f>
        <v>0</v>
      </c>
      <c r="BA388" s="7">
        <f>SUMPRODUCT(N(Tabela1768[Código]=Tabela3[[#This Row],[PAPEL]]),Tabela1768[Fechamento])</f>
        <v>0</v>
      </c>
      <c r="BB388" s="7">
        <f>SUMPRODUCT(N(Tabela17683[Código]=Tabela3[[#This Row],[PAPEL]]),Tabela17683[Fechamento])</f>
        <v>7.0000000000000007E-2</v>
      </c>
    </row>
    <row r="389" spans="1:54" hidden="1">
      <c r="A389" s="3" t="s">
        <v>1497</v>
      </c>
      <c r="B389" s="58" t="s">
        <v>1472</v>
      </c>
      <c r="C389" s="16" t="str">
        <f>LEFT([PAPEL],LEN([PAPEL])-(LEN([PAPEL])-4))</f>
        <v>RCSL</v>
      </c>
      <c r="D389" s="16">
        <v>3</v>
      </c>
      <c r="E389" s="5">
        <v>59999999.920000002</v>
      </c>
      <c r="F389" s="56">
        <v>155124585</v>
      </c>
      <c r="G389" s="81">
        <v>0.33</v>
      </c>
      <c r="H389" s="87"/>
      <c r="J389" s="18">
        <v>0.1</v>
      </c>
      <c r="K389" s="16"/>
      <c r="L389" s="87"/>
      <c r="M389" s="54"/>
      <c r="N389" s="54"/>
      <c r="O389" s="54"/>
      <c r="P389" s="91">
        <v>-42030000</v>
      </c>
      <c r="Q389" s="73">
        <v>-6593000</v>
      </c>
      <c r="R389" s="73">
        <f>IF(Tabela3[[#This Row],[Ativo || Passivo]]&gt;0,Tabela3[[#This Row],[Ativo || Passivo]]-Tabela3[[#This Row],[Patrimônio Líquido]],0)</f>
        <v>0</v>
      </c>
      <c r="S389" s="73">
        <f>Tabela3[[#This Row],[Cotação]]*Tabela3[[#This Row],[Total Ações]]</f>
        <v>16331266.700000001</v>
      </c>
      <c r="T389" s="37">
        <f>IF(Tabela3[[#This Row],[Passivo Circulante]]&gt;0,Tabela3[[#This Row],[Ativo Circulante]]/Tabela3[[#This Row],[Passivo Circulante]],0)</f>
        <v>0</v>
      </c>
      <c r="U389" s="37">
        <f>SUMPRODUCT(N([Liquidez Corrente]&gt;0),N(RIGHT([PAPEL],LEN([PAPEL])-(LEN([PAPEL])-1))="3"),[Liquidez Corrente])/SUMPRODUCT(N([Liquidez Corrente]&gt;0),N(RIGHT([PAPEL],LEN([PAPEL])-(LEN([PAPEL])-1))="3"))</f>
        <v>2.331224473064915</v>
      </c>
      <c r="V389" s="18">
        <f>IF(Tabela3[[#This Row],[Lucro Líquido]]&gt;0,Tabela3[[#This Row],[Lucro Líquido]]/Tabela3[[#This Row],[Patrimônio Líquido]],0)</f>
        <v>0</v>
      </c>
      <c r="W389" s="18">
        <f>SUMPRODUCT(N([Rentabilidade s/ PL]&gt;0),N(RIGHT([PAPEL],LEN([PAPEL])-(LEN([PAPEL])-1))="3"),[Rentabilidade s/ PL])/SUMPRODUCT(N([Rentabilidade s/ PL]&gt;0),N(RIGHT([PAPEL],LEN([PAPEL])-(LEN([PAPEL])-1))="3"))</f>
        <v>0.1261051308670782</v>
      </c>
      <c r="X389" s="18">
        <f>IF(Tabela3[[#This Row],[Dívida]]&gt;0,Tabela3[[#This Row],[Dívida]]/Tabela3[[#This Row],[Patrimônio Líquido]],0)</f>
        <v>0</v>
      </c>
      <c r="Y389" s="18">
        <f>SUMPRODUCT(N([Dívida / PL]&gt;0),N(RIGHT([PAPEL],LEN([PAPEL])-(LEN([PAPEL])-1))="3"),[Dívida / PL])/SUMPRODUCT(N([Dívida / PL]&gt;0),N(RIGHT([PAPEL],LEN([PAPEL])-(LEN([PAPEL])-1))="3"))</f>
        <v>2.1510410379481146</v>
      </c>
      <c r="Z389" s="7">
        <f>Tabela3[[#This Row],[Capital Social]]*20%</f>
        <v>11999999.984000001</v>
      </c>
      <c r="AA389" s="47">
        <f>IF(([Lucro Líquido]*5%)&gt;[Teto R. Legal],[Teto R. Legal],[Lucro Líquido]*5%)</f>
        <v>-329650</v>
      </c>
      <c r="AB389" s="47">
        <f>IF([Lucro Líquido]&lt;0,0,[Lucro Líquido]-[Reserva Legal])</f>
        <v>0</v>
      </c>
      <c r="AC389" s="47">
        <f>Tabela3[[#This Row],[Lucro Distribuir]]*[%Div]</f>
        <v>0</v>
      </c>
      <c r="AD389" s="56">
        <f>SUMPRODUCT(N([Nome]=Tabela3[[#This Row],[Nome]]),[Ações])</f>
        <v>233303810</v>
      </c>
      <c r="AE389" s="85">
        <f>[Capital Social]/[Total Ações]</f>
        <v>0.25717539683556817</v>
      </c>
      <c r="AF389" s="85">
        <f>Tabela3[[#This Row],[Lucro Líquido]]/Tabela3[[#This Row],[Total Ações]]</f>
        <v>-2.8259289893294071E-2</v>
      </c>
      <c r="AG389" s="85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</v>
      </c>
      <c r="AH389" s="85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389" s="77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389" s="85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</v>
      </c>
      <c r="AK389" s="7">
        <f>[Div Base]*[Ações]</f>
        <v>0</v>
      </c>
      <c r="AL389" s="120">
        <f>SUMPRODUCT(N([Nome]=Tabela3[[#This Row],[Nome]]),[Div Base]*[Ações])</f>
        <v>0</v>
      </c>
      <c r="AM389" s="5">
        <f>[Patrimônio Líquido]/[Total Ações]</f>
        <v>-0.18015136572351734</v>
      </c>
      <c r="AN389" s="52">
        <f>MAX(Tabela3[[#This Row],[Cotação 1]:[Cotação 5]])</f>
        <v>7.0000000000000007E-2</v>
      </c>
      <c r="AO389" s="53">
        <f>[Cotação]/[VPA]</f>
        <v>-0.38856213894837022</v>
      </c>
      <c r="AP389" s="37">
        <f>IF(Tabela3[[#This Row],[Lucro/Ação]]&gt;0,Tabela3[[#This Row],[Cotação]]/(Tabela3[[#This Row],[Lucro/Ação]]/[Ref]*4),0)</f>
        <v>0</v>
      </c>
      <c r="AQ389" s="85">
        <f>[Lucro Distribuir]/[Total Ações]</f>
        <v>0</v>
      </c>
      <c r="AR389" s="85">
        <f>IF([Unit ON]&gt;0,SUMPRODUCT(N([Nome]=Tabela3[[#This Row],[Nome]]),N(RIGHT([PAPEL],1)="3"),[Div Base])*[Unit ON]+SUMPRODUCT(N([Nome]=Tabela3[[#This Row],[Nome]]),N(RIGHT([PAPEL],1)="4"),[Div Base])*[Unit PN],[Div Base])</f>
        <v>0</v>
      </c>
      <c r="AS389" s="10" t="str">
        <f>IF(AND([% A.A.]&gt;=6%,SUMPRODUCT(N([Nome]=Tabela3[[#This Row],[Nome]]),[PL])&gt;0,[Rentabilidade s/ PL]&gt;=[Rentabilidade s/ PL Média]),"Sim","Não")</f>
        <v>Não</v>
      </c>
      <c r="AT389" s="22">
        <f>IF([Cotação]&gt;0,Tabela3[[#This Row],[Lucro]]/Tabela3[[#This Row],[Cotação]],0)</f>
        <v>0</v>
      </c>
      <c r="AU389" s="22">
        <f>((1+Tabela3[[#This Row],[% Yield]])^(1/(3*Tabela3[[#This Row],[Ref]])))^(12)-1</f>
        <v>0</v>
      </c>
      <c r="AV389" s="10">
        <f>IF([Cotação]&gt;0,($BH$1/Tabela3[[#This Row],[Cotação]]-MOD($BH$1/Tabela3[[#This Row],[Cotação]],100)),)</f>
        <v>7100</v>
      </c>
      <c r="AW389" s="7">
        <f>Tabela3[[#This Row],[Ativos]]*[Lucro]</f>
        <v>0</v>
      </c>
      <c r="AX389" s="7">
        <f>SUMPRODUCT(N(Tabela1[Código]=Tabela3[[#This Row],[PAPEL]]),Tabela1[Fechamento])</f>
        <v>0</v>
      </c>
      <c r="AY389" s="7">
        <f>SUMPRODUCT(N(Tabela17[Código]=Tabela3[[#This Row],[PAPEL]]),Tabela17[Fechamento])</f>
        <v>0</v>
      </c>
      <c r="AZ389" s="7">
        <f>SUMPRODUCT(N(Tabela176[Código]=Tabela3[[#This Row],[PAPEL]]),Tabela176[Fechamento])</f>
        <v>0</v>
      </c>
      <c r="BA389" s="7">
        <f>SUMPRODUCT(N(Tabela1768[Código]=Tabela3[[#This Row],[PAPEL]]),Tabela1768[Fechamento])</f>
        <v>0</v>
      </c>
      <c r="BB389" s="7">
        <f>SUMPRODUCT(N(Tabela17683[Código]=Tabela3[[#This Row],[PAPEL]]),Tabela17683[Fechamento])</f>
        <v>7.0000000000000007E-2</v>
      </c>
    </row>
    <row r="390" spans="1:54" hidden="1">
      <c r="A390" s="4" t="s">
        <v>767</v>
      </c>
      <c r="B390" s="57" t="s">
        <v>763</v>
      </c>
      <c r="C390" s="15" t="str">
        <f>LEFT([PAPEL],LEN([PAPEL])-(LEN([PAPEL])-4))</f>
        <v>BIOM</v>
      </c>
      <c r="D390" s="15">
        <v>3</v>
      </c>
      <c r="E390" s="6">
        <v>13062247.32</v>
      </c>
      <c r="F390" s="8">
        <v>17338833</v>
      </c>
      <c r="G390" s="86">
        <v>0.25</v>
      </c>
      <c r="H390" s="15"/>
      <c r="I390" s="19"/>
      <c r="J390" s="19"/>
      <c r="K390" s="88"/>
      <c r="L390" s="88"/>
      <c r="M390" s="55"/>
      <c r="N390" s="55"/>
      <c r="O390" s="55"/>
      <c r="P390" s="92">
        <v>-30201000</v>
      </c>
      <c r="Q390" s="93">
        <v>-8750000</v>
      </c>
      <c r="R390" s="93">
        <f>IF(Tabela3[[#This Row],[Ativo || Passivo]]&gt;0,Tabela3[[#This Row],[Ativo || Passivo]]-Tabela3[[#This Row],[Patrimônio Líquido]],0)</f>
        <v>0</v>
      </c>
      <c r="S390" s="93">
        <f>Tabela3[[#This Row],[Cotação]]*Tabela3[[#This Row],[Total Ações]]</f>
        <v>169053621.75</v>
      </c>
      <c r="T390" s="40">
        <f>IF(Tabela3[[#This Row],[Passivo Circulante]]&gt;0,Tabela3[[#This Row],[Ativo Circulante]]/Tabela3[[#This Row],[Passivo Circulante]],0)</f>
        <v>0</v>
      </c>
      <c r="U390" s="40">
        <f>SUMPRODUCT(N([Liquidez Corrente]&gt;0),N(RIGHT([PAPEL],LEN([PAPEL])-(LEN([PAPEL])-1))="3"),[Liquidez Corrente])/SUMPRODUCT(N([Liquidez Corrente]&gt;0),N(RIGHT([PAPEL],LEN([PAPEL])-(LEN([PAPEL])-1))="3"))</f>
        <v>2.331224473064915</v>
      </c>
      <c r="V390" s="19">
        <f>IF(Tabela3[[#This Row],[Lucro Líquido]]&gt;0,Tabela3[[#This Row],[Lucro Líquido]]/Tabela3[[#This Row],[Patrimônio Líquido]],0)</f>
        <v>0</v>
      </c>
      <c r="W390" s="19">
        <f>SUMPRODUCT(N([Rentabilidade s/ PL]&gt;0),N(RIGHT([PAPEL],LEN([PAPEL])-(LEN([PAPEL])-1))="3"),[Rentabilidade s/ PL])/SUMPRODUCT(N([Rentabilidade s/ PL]&gt;0),N(RIGHT([PAPEL],LEN([PAPEL])-(LEN([PAPEL])-1))="3"))</f>
        <v>0.1261051308670782</v>
      </c>
      <c r="X390" s="19">
        <f>IF(Tabela3[[#This Row],[Dívida]]&gt;0,Tabela3[[#This Row],[Dívida]]/Tabela3[[#This Row],[Patrimônio Líquido]],0)</f>
        <v>0</v>
      </c>
      <c r="Y390" s="19">
        <f>SUMPRODUCT(N([Dívida / PL]&gt;0),N(RIGHT([PAPEL],LEN([PAPEL])-(LEN([PAPEL])-1))="3"),[Dívida / PL])/SUMPRODUCT(N([Dívida / PL]&gt;0),N(RIGHT([PAPEL],LEN([PAPEL])-(LEN([PAPEL])-1))="3"))</f>
        <v>2.1510410379481146</v>
      </c>
      <c r="Z390" s="13">
        <f>Tabela3[[#This Row],[Capital Social]]*20%</f>
        <v>2612449.4640000002</v>
      </c>
      <c r="AA390" s="13">
        <f>IF(([Lucro Líquido]*5%)&gt;[Teto R. Legal],[Teto R. Legal],[Lucro Líquido]*5%)</f>
        <v>-437500</v>
      </c>
      <c r="AB390" s="13">
        <f>IF([Lucro Líquido]&lt;0,0,[Lucro Líquido]-[Reserva Legal])</f>
        <v>0</v>
      </c>
      <c r="AC390" s="13">
        <f>Tabela3[[#This Row],[Lucro Distribuir]]*[%Div]</f>
        <v>0</v>
      </c>
      <c r="AD390" s="56">
        <f>SUMPRODUCT(N([Nome]=Tabela3[[#This Row],[Nome]]),[Ações])</f>
        <v>17338833</v>
      </c>
      <c r="AE390" s="6">
        <f>[Capital Social]/[Total Ações]</f>
        <v>0.75335216159011398</v>
      </c>
      <c r="AF390" s="78">
        <f>Tabela3[[#This Row],[Lucro Líquido]]/Tabela3[[#This Row],[Total Ações]]</f>
        <v>-0.50464757345549149</v>
      </c>
      <c r="AG390" s="78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</v>
      </c>
      <c r="AH390" s="78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390" s="78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390" s="78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</v>
      </c>
      <c r="AK390" s="13">
        <f>[Div Base]*[Ações]</f>
        <v>0</v>
      </c>
      <c r="AL390" s="13">
        <f>SUMPRODUCT(N([Nome]=Tabela3[[#This Row],[Nome]]),[Div Base]*[Ações])</f>
        <v>0</v>
      </c>
      <c r="AM390" s="6">
        <f>[Patrimônio Líquido]/[Total Ações]</f>
        <v>-1.741812727534777</v>
      </c>
      <c r="AN390" s="48">
        <f>MAX(Tabela3[[#This Row],[Cotação 1]:[Cotação 5]])</f>
        <v>9.75</v>
      </c>
      <c r="AO390" s="44">
        <f>[Cotação]/[VPA]</f>
        <v>-5.5976166931558557</v>
      </c>
      <c r="AP390" s="40">
        <f>IF(Tabela3[[#This Row],[Lucro/Ação]]&gt;0,Tabela3[[#This Row],[Cotação]]/(Tabela3[[#This Row],[Lucro/Ação]]/[Ref]*4),0)</f>
        <v>0</v>
      </c>
      <c r="AQ390" s="78">
        <f>[Lucro Distribuir]/[Total Ações]</f>
        <v>0</v>
      </c>
      <c r="AR390" s="78">
        <f>IF([Unit ON]&gt;0,SUMPRODUCT(N([Nome]=Tabela3[[#This Row],[Nome]]),N(RIGHT([PAPEL],1)="3"),[Div Base])*[Unit ON]+SUMPRODUCT(N([Nome]=Tabela3[[#This Row],[Nome]]),N(RIGHT([PAPEL],1)="4"),[Div Base])*[Unit PN],[Div Base])</f>
        <v>0</v>
      </c>
      <c r="AS390" s="14" t="str">
        <f>IF(AND([% A.A.]&gt;=6%,SUMPRODUCT(N([Nome]=Tabela3[[#This Row],[Nome]]),[PL])&gt;0,[Rentabilidade s/ PL]&gt;=[Rentabilidade s/ PL Média]),"Sim","Não")</f>
        <v>Não</v>
      </c>
      <c r="AT390" s="42">
        <f>IF([Cotação]&gt;0,Tabela3[[#This Row],[Lucro]]/Tabela3[[#This Row],[Cotação]],0)</f>
        <v>0</v>
      </c>
      <c r="AU390" s="42">
        <f>((1+Tabela3[[#This Row],[% Yield]])^(1/(3*Tabela3[[#This Row],[Ref]])))^(12)-1</f>
        <v>0</v>
      </c>
      <c r="AV390" s="14">
        <f>IF([Cotação]&gt;0,($BH$1/Tabela3[[#This Row],[Cotação]]-MOD($BH$1/Tabela3[[#This Row],[Cotação]],100)),)</f>
        <v>0</v>
      </c>
      <c r="AW390" s="17">
        <f>Tabela3[[#This Row],[Ativos]]*[Lucro]</f>
        <v>0</v>
      </c>
      <c r="AX390" s="17">
        <f>SUMPRODUCT(N(Tabela1[Código]=Tabela3[[#This Row],[PAPEL]]),Tabela1[Fechamento])</f>
        <v>0</v>
      </c>
      <c r="AY390" s="17">
        <f>SUMPRODUCT(N(Tabela17[Código]=Tabela3[[#This Row],[PAPEL]]),Tabela17[Fechamento])</f>
        <v>0</v>
      </c>
      <c r="AZ390" s="17">
        <f>SUMPRODUCT(N(Tabela176[Código]=Tabela3[[#This Row],[PAPEL]]),Tabela176[Fechamento])</f>
        <v>9.75</v>
      </c>
      <c r="BA390" s="17">
        <f>SUMPRODUCT(N(Tabela1768[Código]=Tabela3[[#This Row],[PAPEL]]),Tabela1768[Fechamento])</f>
        <v>0</v>
      </c>
      <c r="BB390" s="7">
        <f>SUMPRODUCT(N(Tabela17683[Código]=Tabela3[[#This Row],[PAPEL]]),Tabela17683[Fechamento])</f>
        <v>0</v>
      </c>
    </row>
    <row r="391" spans="1:54" hidden="1">
      <c r="A391" s="3" t="s">
        <v>1376</v>
      </c>
      <c r="B391" s="58" t="s">
        <v>1377</v>
      </c>
      <c r="C391" s="16" t="str">
        <f>LEFT([PAPEL],LEN([PAPEL])-(LEN([PAPEL])-4))</f>
        <v>FRIO</v>
      </c>
      <c r="D391" s="16">
        <v>3</v>
      </c>
      <c r="E391" s="5">
        <v>239988057.16999999</v>
      </c>
      <c r="F391" s="56">
        <v>41439330</v>
      </c>
      <c r="G391" s="81">
        <v>0.25</v>
      </c>
      <c r="H391" s="87"/>
      <c r="J391" s="18"/>
      <c r="K391" s="16"/>
      <c r="L391" s="87"/>
      <c r="M391" s="54"/>
      <c r="N391" s="54"/>
      <c r="O391" s="54"/>
      <c r="P391" s="91">
        <v>253972000</v>
      </c>
      <c r="Q391" s="73">
        <v>-9691000</v>
      </c>
      <c r="R391" s="73">
        <f>IF(Tabela3[[#This Row],[Ativo || Passivo]]&gt;0,Tabela3[[#This Row],[Ativo || Passivo]]-Tabela3[[#This Row],[Patrimônio Líquido]],0)</f>
        <v>0</v>
      </c>
      <c r="S391" s="73">
        <f>Tabela3[[#This Row],[Cotação]]*Tabela3[[#This Row],[Total Ações]]</f>
        <v>82464266.700000003</v>
      </c>
      <c r="T391" s="37">
        <f>IF(Tabela3[[#This Row],[Passivo Circulante]]&gt;0,Tabela3[[#This Row],[Ativo Circulante]]/Tabela3[[#This Row],[Passivo Circulante]],0)</f>
        <v>0</v>
      </c>
      <c r="U391" s="37">
        <f>SUMPRODUCT(N([Liquidez Corrente]&gt;0),N(RIGHT([PAPEL],LEN([PAPEL])-(LEN([PAPEL])-1))="3"),[Liquidez Corrente])/SUMPRODUCT(N([Liquidez Corrente]&gt;0),N(RIGHT([PAPEL],LEN([PAPEL])-(LEN([PAPEL])-1))="3"))</f>
        <v>2.331224473064915</v>
      </c>
      <c r="V391" s="18">
        <f>IF(Tabela3[[#This Row],[Lucro Líquido]]&gt;0,Tabela3[[#This Row],[Lucro Líquido]]/Tabela3[[#This Row],[Patrimônio Líquido]],0)</f>
        <v>0</v>
      </c>
      <c r="W391" s="18">
        <f>SUMPRODUCT(N([Rentabilidade s/ PL]&gt;0),N(RIGHT([PAPEL],LEN([PAPEL])-(LEN([PAPEL])-1))="3"),[Rentabilidade s/ PL])/SUMPRODUCT(N([Rentabilidade s/ PL]&gt;0),N(RIGHT([PAPEL],LEN([PAPEL])-(LEN([PAPEL])-1))="3"))</f>
        <v>0.1261051308670782</v>
      </c>
      <c r="X391" s="18">
        <f>IF(Tabela3[[#This Row],[Dívida]]&gt;0,Tabela3[[#This Row],[Dívida]]/Tabela3[[#This Row],[Patrimônio Líquido]],0)</f>
        <v>0</v>
      </c>
      <c r="Y391" s="18">
        <f>SUMPRODUCT(N([Dívida / PL]&gt;0),N(RIGHT([PAPEL],LEN([PAPEL])-(LEN([PAPEL])-1))="3"),[Dívida / PL])/SUMPRODUCT(N([Dívida / PL]&gt;0),N(RIGHT([PAPEL],LEN([PAPEL])-(LEN([PAPEL])-1))="3"))</f>
        <v>2.1510410379481146</v>
      </c>
      <c r="Z391" s="7">
        <f>Tabela3[[#This Row],[Capital Social]]*20%</f>
        <v>47997611.434</v>
      </c>
      <c r="AA391" s="47">
        <f>IF(([Lucro Líquido]*5%)&gt;[Teto R. Legal],[Teto R. Legal],[Lucro Líquido]*5%)</f>
        <v>-484550</v>
      </c>
      <c r="AB391" s="47">
        <f>IF([Lucro Líquido]&lt;0,0,[Lucro Líquido]-[Reserva Legal])</f>
        <v>0</v>
      </c>
      <c r="AC391" s="47">
        <f>Tabela3[[#This Row],[Lucro Distribuir]]*[%Div]</f>
        <v>0</v>
      </c>
      <c r="AD391" s="56">
        <f>SUMPRODUCT(N([Nome]=Tabela3[[#This Row],[Nome]]),[Ações])</f>
        <v>41439330</v>
      </c>
      <c r="AE391" s="85">
        <f>[Capital Social]/[Total Ações]</f>
        <v>5.7913112294527922</v>
      </c>
      <c r="AF391" s="85">
        <f>Tabela3[[#This Row],[Lucro Líquido]]/Tabela3[[#This Row],[Total Ações]]</f>
        <v>-0.23385995864315373</v>
      </c>
      <c r="AG391" s="85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</v>
      </c>
      <c r="AH391" s="85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391" s="77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391" s="85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</v>
      </c>
      <c r="AK391" s="7">
        <f>[Div Base]*[Ações]</f>
        <v>0</v>
      </c>
      <c r="AL391" s="120">
        <f>SUMPRODUCT(N([Nome]=Tabela3[[#This Row],[Nome]]),[Div Base]*[Ações])</f>
        <v>0</v>
      </c>
      <c r="AM391" s="5">
        <f>[Patrimônio Líquido]/[Total Ações]</f>
        <v>6.1287670432895514</v>
      </c>
      <c r="AN391" s="52">
        <f>MAX(Tabela3[[#This Row],[Cotação 1]:[Cotação 5]])</f>
        <v>1.99</v>
      </c>
      <c r="AO391" s="53">
        <f>[Cotação]/[VPA]</f>
        <v>0.32469826083190273</v>
      </c>
      <c r="AP391" s="37">
        <f>IF(Tabela3[[#This Row],[Lucro/Ação]]&gt;0,Tabela3[[#This Row],[Cotação]]/(Tabela3[[#This Row],[Lucro/Ação]]/[Ref]*4),0)</f>
        <v>0</v>
      </c>
      <c r="AQ391" s="85">
        <f>[Lucro Distribuir]/[Total Ações]</f>
        <v>0</v>
      </c>
      <c r="AR391" s="85">
        <f>IF([Unit ON]&gt;0,SUMPRODUCT(N([Nome]=Tabela3[[#This Row],[Nome]]),N(RIGHT([PAPEL],1)="3"),[Div Base])*[Unit ON]+SUMPRODUCT(N([Nome]=Tabela3[[#This Row],[Nome]]),N(RIGHT([PAPEL],1)="4"),[Div Base])*[Unit PN],[Div Base])</f>
        <v>0</v>
      </c>
      <c r="AS391" s="10" t="str">
        <f>IF(AND([% A.A.]&gt;=6%,SUMPRODUCT(N([Nome]=Tabela3[[#This Row],[Nome]]),[PL])&gt;0,[Rentabilidade s/ PL]&gt;=[Rentabilidade s/ PL Média]),"Sim","Não")</f>
        <v>Não</v>
      </c>
      <c r="AT391" s="22">
        <f>IF([Cotação]&gt;0,Tabela3[[#This Row],[Lucro]]/Tabela3[[#This Row],[Cotação]],0)</f>
        <v>0</v>
      </c>
      <c r="AU391" s="22">
        <f>((1+Tabela3[[#This Row],[% Yield]])^(1/(3*Tabela3[[#This Row],[Ref]])))^(12)-1</f>
        <v>0</v>
      </c>
      <c r="AV391" s="10">
        <f>IF([Cotação]&gt;0,($BH$1/Tabela3[[#This Row],[Cotação]]-MOD($BH$1/Tabela3[[#This Row],[Cotação]],100)),)</f>
        <v>200</v>
      </c>
      <c r="AW391" s="7">
        <f>Tabela3[[#This Row],[Ativos]]*[Lucro]</f>
        <v>0</v>
      </c>
      <c r="AX391" s="7">
        <f>SUMPRODUCT(N(Tabela1[Código]=Tabela3[[#This Row],[PAPEL]]),Tabela1[Fechamento])</f>
        <v>0</v>
      </c>
      <c r="AY391" s="7">
        <f>SUMPRODUCT(N(Tabela17[Código]=Tabela3[[#This Row],[PAPEL]]),Tabela17[Fechamento])</f>
        <v>0</v>
      </c>
      <c r="AZ391" s="7">
        <f>SUMPRODUCT(N(Tabela176[Código]=Tabela3[[#This Row],[PAPEL]]),Tabela176[Fechamento])</f>
        <v>0</v>
      </c>
      <c r="BA391" s="7">
        <f>SUMPRODUCT(N(Tabela1768[Código]=Tabela3[[#This Row],[PAPEL]]),Tabela1768[Fechamento])</f>
        <v>0</v>
      </c>
      <c r="BB391" s="7">
        <f>SUMPRODUCT(N(Tabela17683[Código]=Tabela3[[#This Row],[PAPEL]]),Tabela17683[Fechamento])</f>
        <v>1.99</v>
      </c>
    </row>
    <row r="392" spans="1:54" hidden="1">
      <c r="A392" s="3" t="s">
        <v>898</v>
      </c>
      <c r="B392" s="58" t="s">
        <v>899</v>
      </c>
      <c r="C392" s="16" t="str">
        <f>LEFT([PAPEL],LEN([PAPEL])-(LEN([PAPEL])-4))</f>
        <v>SHOW</v>
      </c>
      <c r="D392" s="16">
        <v>3</v>
      </c>
      <c r="E392" s="5">
        <v>243022170.40000001</v>
      </c>
      <c r="F392" s="56">
        <v>69971465</v>
      </c>
      <c r="G392" s="81">
        <v>0.25</v>
      </c>
      <c r="H392" s="87"/>
      <c r="J392" s="18"/>
      <c r="K392" s="16"/>
      <c r="L392" s="87"/>
      <c r="M392" s="54"/>
      <c r="N392" s="54"/>
      <c r="O392" s="54"/>
      <c r="P392" s="91">
        <v>335316000</v>
      </c>
      <c r="Q392" s="73">
        <v>-9780000</v>
      </c>
      <c r="R392" s="73">
        <f>IF(Tabela3[[#This Row],[Ativo || Passivo]]&gt;0,Tabela3[[#This Row],[Ativo || Passivo]]-Tabela3[[#This Row],[Patrimônio Líquido]],0)</f>
        <v>0</v>
      </c>
      <c r="S392" s="73">
        <f>Tabela3[[#This Row],[Cotação]]*Tabela3[[#This Row],[Total Ações]]</f>
        <v>315571307.14999998</v>
      </c>
      <c r="T392" s="37">
        <f>IF(Tabela3[[#This Row],[Passivo Circulante]]&gt;0,Tabela3[[#This Row],[Ativo Circulante]]/Tabela3[[#This Row],[Passivo Circulante]],0)</f>
        <v>0</v>
      </c>
      <c r="U392" s="37">
        <f>SUMPRODUCT(N([Liquidez Corrente]&gt;0),N(RIGHT([PAPEL],LEN([PAPEL])-(LEN([PAPEL])-1))="3"),[Liquidez Corrente])/SUMPRODUCT(N([Liquidez Corrente]&gt;0),N(RIGHT([PAPEL],LEN([PAPEL])-(LEN([PAPEL])-1))="3"))</f>
        <v>2.331224473064915</v>
      </c>
      <c r="V392" s="18">
        <f>IF(Tabela3[[#This Row],[Lucro Líquido]]&gt;0,Tabela3[[#This Row],[Lucro Líquido]]/Tabela3[[#This Row],[Patrimônio Líquido]],0)</f>
        <v>0</v>
      </c>
      <c r="W392" s="18">
        <f>SUMPRODUCT(N([Rentabilidade s/ PL]&gt;0),N(RIGHT([PAPEL],LEN([PAPEL])-(LEN([PAPEL])-1))="3"),[Rentabilidade s/ PL])/SUMPRODUCT(N([Rentabilidade s/ PL]&gt;0),N(RIGHT([PAPEL],LEN([PAPEL])-(LEN([PAPEL])-1))="3"))</f>
        <v>0.1261051308670782</v>
      </c>
      <c r="X392" s="18">
        <f>IF(Tabela3[[#This Row],[Dívida]]&gt;0,Tabela3[[#This Row],[Dívida]]/Tabela3[[#This Row],[Patrimônio Líquido]],0)</f>
        <v>0</v>
      </c>
      <c r="Y392" s="18">
        <f>SUMPRODUCT(N([Dívida / PL]&gt;0),N(RIGHT([PAPEL],LEN([PAPEL])-(LEN([PAPEL])-1))="3"),[Dívida / PL])/SUMPRODUCT(N([Dívida / PL]&gt;0),N(RIGHT([PAPEL],LEN([PAPEL])-(LEN([PAPEL])-1))="3"))</f>
        <v>2.1510410379481146</v>
      </c>
      <c r="Z392" s="7">
        <f>Tabela3[[#This Row],[Capital Social]]*20%</f>
        <v>48604434.080000006</v>
      </c>
      <c r="AA392" s="47">
        <f>IF(([Lucro Líquido]*5%)&gt;[Teto R. Legal],[Teto R. Legal],[Lucro Líquido]*5%)</f>
        <v>-489000</v>
      </c>
      <c r="AB392" s="47">
        <f>IF([Lucro Líquido]&lt;0,0,[Lucro Líquido]-[Reserva Legal])</f>
        <v>0</v>
      </c>
      <c r="AC392" s="47">
        <f>Tabela3[[#This Row],[Lucro Distribuir]]*[%Div]</f>
        <v>0</v>
      </c>
      <c r="AD392" s="56">
        <f>SUMPRODUCT(N([Nome]=Tabela3[[#This Row],[Nome]]),[Ações])</f>
        <v>69971465</v>
      </c>
      <c r="AE392" s="85">
        <f>[Capital Social]/[Total Ações]</f>
        <v>3.4731611007429959</v>
      </c>
      <c r="AF392" s="85">
        <f>Tabela3[[#This Row],[Lucro Líquido]]/Tabela3[[#This Row],[Total Ações]]</f>
        <v>-0.13977126247106589</v>
      </c>
      <c r="AG392" s="85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</v>
      </c>
      <c r="AH392" s="85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392" s="77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392" s="85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</v>
      </c>
      <c r="AK392" s="7">
        <f>[Div Base]*[Ações]</f>
        <v>0</v>
      </c>
      <c r="AL392" s="7">
        <f>SUMPRODUCT(N([Nome]=Tabela3[[#This Row],[Nome]]),[Div Base]*[Ações])</f>
        <v>0</v>
      </c>
      <c r="AM392" s="5">
        <f>[Patrimônio Líquido]/[Total Ações]</f>
        <v>4.7921820702196243</v>
      </c>
      <c r="AN392" s="52">
        <f>MAX(Tabela3[[#This Row],[Cotação 1]:[Cotação 5]])</f>
        <v>4.51</v>
      </c>
      <c r="AO392" s="53">
        <f>[Cotação]/[VPA]</f>
        <v>0.94111616251535868</v>
      </c>
      <c r="AP392" s="37">
        <f>IF(Tabela3[[#This Row],[Lucro/Ação]]&gt;0,Tabela3[[#This Row],[Cotação]]/(Tabela3[[#This Row],[Lucro/Ação]]/[Ref]*4),0)</f>
        <v>0</v>
      </c>
      <c r="AQ392" s="85">
        <f>[Lucro Distribuir]/[Total Ações]</f>
        <v>0</v>
      </c>
      <c r="AR392" s="85">
        <f>IF([Unit ON]&gt;0,SUMPRODUCT(N([Nome]=Tabela3[[#This Row],[Nome]]),N(RIGHT([PAPEL],1)="3"),[Div Base])*[Unit ON]+SUMPRODUCT(N([Nome]=Tabela3[[#This Row],[Nome]]),N(RIGHT([PAPEL],1)="4"),[Div Base])*[Unit PN],[Div Base])</f>
        <v>0</v>
      </c>
      <c r="AS392" s="10" t="str">
        <f>IF(AND([% A.A.]&gt;=6%,SUMPRODUCT(N([Nome]=Tabela3[[#This Row],[Nome]]),[PL])&gt;0,[Rentabilidade s/ PL]&gt;=[Rentabilidade s/ PL Média]),"Sim","Não")</f>
        <v>Não</v>
      </c>
      <c r="AT392" s="22">
        <f>IF([Cotação]&gt;0,Tabela3[[#This Row],[Lucro]]/Tabela3[[#This Row],[Cotação]],0)</f>
        <v>0</v>
      </c>
      <c r="AU392" s="22">
        <f>((1+Tabela3[[#This Row],[% Yield]])^(1/(3*Tabela3[[#This Row],[Ref]])))^(12)-1</f>
        <v>0</v>
      </c>
      <c r="AV392" s="10">
        <f>IF([Cotação]&gt;0,($BH$1/Tabela3[[#This Row],[Cotação]]-MOD($BH$1/Tabela3[[#This Row],[Cotação]],100)),)</f>
        <v>100</v>
      </c>
      <c r="AW392" s="7">
        <f>Tabela3[[#This Row],[Ativos]]*[Lucro]</f>
        <v>0</v>
      </c>
      <c r="AX392" s="7">
        <f>SUMPRODUCT(N(Tabela1[Código]=Tabela3[[#This Row],[PAPEL]]),Tabela1[Fechamento])</f>
        <v>0</v>
      </c>
      <c r="AY392" s="7">
        <f>SUMPRODUCT(N(Tabela17[Código]=Tabela3[[#This Row],[PAPEL]]),Tabela17[Fechamento])</f>
        <v>0</v>
      </c>
      <c r="AZ392" s="7">
        <f>SUMPRODUCT(N(Tabela176[Código]=Tabela3[[#This Row],[PAPEL]]),Tabela176[Fechamento])</f>
        <v>0</v>
      </c>
      <c r="BA392" s="7">
        <f>SUMPRODUCT(N(Tabela1768[Código]=Tabela3[[#This Row],[PAPEL]]),Tabela1768[Fechamento])</f>
        <v>4.51</v>
      </c>
      <c r="BB392" s="7">
        <f>SUMPRODUCT(N(Tabela17683[Código]=Tabela3[[#This Row],[PAPEL]]),Tabela17683[Fechamento])</f>
        <v>0</v>
      </c>
    </row>
    <row r="393" spans="1:54" hidden="1">
      <c r="A393" s="4" t="s">
        <v>296</v>
      </c>
      <c r="B393" s="57" t="s">
        <v>722</v>
      </c>
      <c r="C393" s="15" t="str">
        <f>LEFT([PAPEL],LEN([PAPEL])-(LEN([PAPEL])-4))</f>
        <v>DOCA</v>
      </c>
      <c r="D393" s="15">
        <v>3</v>
      </c>
      <c r="E393" s="6">
        <v>231161118.28999999</v>
      </c>
      <c r="F393" s="8">
        <v>1100656</v>
      </c>
      <c r="G393" s="86">
        <v>0.25</v>
      </c>
      <c r="H393" s="15"/>
      <c r="I393" s="19"/>
      <c r="J393" s="19"/>
      <c r="K393" s="88"/>
      <c r="L393" s="88"/>
      <c r="M393" s="55"/>
      <c r="N393" s="55"/>
      <c r="O393" s="55"/>
      <c r="P393" s="92">
        <v>-367598000</v>
      </c>
      <c r="Q393" s="93">
        <v>-10261000</v>
      </c>
      <c r="R393" s="93">
        <f>IF(Tabela3[[#This Row],[Ativo || Passivo]]&gt;0,Tabela3[[#This Row],[Ativo || Passivo]]-Tabela3[[#This Row],[Patrimônio Líquido]],0)</f>
        <v>0</v>
      </c>
      <c r="S393" s="93">
        <f>Tabela3[[#This Row],[Cotação]]*Tabela3[[#This Row],[Total Ações]]</f>
        <v>12749484</v>
      </c>
      <c r="T393" s="40">
        <f>IF(Tabela3[[#This Row],[Passivo Circulante]]&gt;0,Tabela3[[#This Row],[Ativo Circulante]]/Tabela3[[#This Row],[Passivo Circulante]],0)</f>
        <v>0</v>
      </c>
      <c r="U393" s="40">
        <f>SUMPRODUCT(N([Liquidez Corrente]&gt;0),N(RIGHT([PAPEL],LEN([PAPEL])-(LEN([PAPEL])-1))="3"),[Liquidez Corrente])/SUMPRODUCT(N([Liquidez Corrente]&gt;0),N(RIGHT([PAPEL],LEN([PAPEL])-(LEN([PAPEL])-1))="3"))</f>
        <v>2.331224473064915</v>
      </c>
      <c r="V393" s="19">
        <f>IF(Tabela3[[#This Row],[Lucro Líquido]]&gt;0,Tabela3[[#This Row],[Lucro Líquido]]/Tabela3[[#This Row],[Patrimônio Líquido]],0)</f>
        <v>0</v>
      </c>
      <c r="W393" s="19">
        <f>SUMPRODUCT(N([Rentabilidade s/ PL]&gt;0),N(RIGHT([PAPEL],LEN([PAPEL])-(LEN([PAPEL])-1))="3"),[Rentabilidade s/ PL])/SUMPRODUCT(N([Rentabilidade s/ PL]&gt;0),N(RIGHT([PAPEL],LEN([PAPEL])-(LEN([PAPEL])-1))="3"))</f>
        <v>0.1261051308670782</v>
      </c>
      <c r="X393" s="19">
        <f>IF(Tabela3[[#This Row],[Dívida]]&gt;0,Tabela3[[#This Row],[Dívida]]/Tabela3[[#This Row],[Patrimônio Líquido]],0)</f>
        <v>0</v>
      </c>
      <c r="Y393" s="19">
        <f>SUMPRODUCT(N([Dívida / PL]&gt;0),N(RIGHT([PAPEL],LEN([PAPEL])-(LEN([PAPEL])-1))="3"),[Dívida / PL])/SUMPRODUCT(N([Dívida / PL]&gt;0),N(RIGHT([PAPEL],LEN([PAPEL])-(LEN([PAPEL])-1))="3"))</f>
        <v>2.1510410379481146</v>
      </c>
      <c r="Z393" s="13">
        <f>Tabela3[[#This Row],[Capital Social]]*20%</f>
        <v>46232223.658</v>
      </c>
      <c r="AA393" s="13">
        <f>IF(([Lucro Líquido]*5%)&gt;[Teto R. Legal],[Teto R. Legal],[Lucro Líquido]*5%)</f>
        <v>-513050</v>
      </c>
      <c r="AB393" s="13">
        <f>IF([Lucro Líquido]&lt;0,0,[Lucro Líquido]-[Reserva Legal])</f>
        <v>0</v>
      </c>
      <c r="AC393" s="13">
        <f>Tabela3[[#This Row],[Lucro Distribuir]]*[%Div]</f>
        <v>0</v>
      </c>
      <c r="AD393" s="21">
        <f>SUMPRODUCT(N([Nome]=Tabela3[[#This Row],[Nome]]),[Ações])</f>
        <v>1159044</v>
      </c>
      <c r="AE393" s="6">
        <f>[Capital Social]/[Total Ações]</f>
        <v>199.4411931643665</v>
      </c>
      <c r="AF393" s="78">
        <f>Tabela3[[#This Row],[Lucro Líquido]]/Tabela3[[#This Row],[Total Ações]]</f>
        <v>-8.8529857365207878</v>
      </c>
      <c r="AG393" s="78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</v>
      </c>
      <c r="AH393" s="78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393" s="78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393" s="78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</v>
      </c>
      <c r="AK393" s="13">
        <f>[Div Base]*[Ações]</f>
        <v>0</v>
      </c>
      <c r="AL393" s="13">
        <f>SUMPRODUCT(N([Nome]=Tabela3[[#This Row],[Nome]]),[Div Base]*[Ações])</f>
        <v>0</v>
      </c>
      <c r="AM393" s="6">
        <f>[Patrimônio Líquido]/[Total Ações]</f>
        <v>-317.15620804732174</v>
      </c>
      <c r="AN393" s="48">
        <f>MAX(Tabela3[[#This Row],[Cotação 1]:[Cotação 5]])</f>
        <v>11</v>
      </c>
      <c r="AO393" s="44">
        <f>[Cotação]/[VPA]</f>
        <v>-3.4683224609491893E-2</v>
      </c>
      <c r="AP393" s="40">
        <f>IF(Tabela3[[#This Row],[Lucro/Ação]]&gt;0,Tabela3[[#This Row],[Cotação]]/(Tabela3[[#This Row],[Lucro/Ação]]/[Ref]*4),0)</f>
        <v>0</v>
      </c>
      <c r="AQ393" s="78">
        <f>[Lucro Distribuir]/[Total Ações]</f>
        <v>0</v>
      </c>
      <c r="AR393" s="78">
        <f>IF([Unit ON]&gt;0,SUMPRODUCT(N([Nome]=Tabela3[[#This Row],[Nome]]),N(RIGHT([PAPEL],1)="3"),[Div Base])*[Unit ON]+SUMPRODUCT(N([Nome]=Tabela3[[#This Row],[Nome]]),N(RIGHT([PAPEL],1)="4"),[Div Base])*[Unit PN],[Div Base])</f>
        <v>0</v>
      </c>
      <c r="AS393" s="14" t="str">
        <f>IF(AND([% A.A.]&gt;=6%,SUMPRODUCT(N([Nome]=Tabela3[[#This Row],[Nome]]),[PL])&gt;0,[Rentabilidade s/ PL]&gt;=[Rentabilidade s/ PL Média]),"Sim","Não")</f>
        <v>Não</v>
      </c>
      <c r="AT393" s="42">
        <f>IF([Cotação]&gt;0,Tabela3[[#This Row],[Lucro]]/Tabela3[[#This Row],[Cotação]],0)</f>
        <v>0</v>
      </c>
      <c r="AU393" s="42">
        <f>((1+Tabela3[[#This Row],[% Yield]])^(1/(3*Tabela3[[#This Row],[Ref]])))^(12)-1</f>
        <v>0</v>
      </c>
      <c r="AV393" s="14">
        <f>IF([Cotação]&gt;0,($BH$1/Tabela3[[#This Row],[Cotação]]-MOD($BH$1/Tabela3[[#This Row],[Cotação]],100)),)</f>
        <v>0</v>
      </c>
      <c r="AW393" s="17">
        <f>Tabela3[[#This Row],[Ativos]]*[Lucro]</f>
        <v>0</v>
      </c>
      <c r="AX393" s="17">
        <f>SUMPRODUCT(N(Tabela1[Código]=Tabela3[[#This Row],[PAPEL]]),Tabela1[Fechamento])</f>
        <v>0</v>
      </c>
      <c r="AY393" s="17">
        <f>SUMPRODUCT(N(Tabela17[Código]=Tabela3[[#This Row],[PAPEL]]),Tabela17[Fechamento])</f>
        <v>0</v>
      </c>
      <c r="AZ393" s="17">
        <f>SUMPRODUCT(N(Tabela176[Código]=Tabela3[[#This Row],[PAPEL]]),Tabela176[Fechamento])</f>
        <v>11</v>
      </c>
      <c r="BA393" s="17">
        <f>SUMPRODUCT(N(Tabela1768[Código]=Tabela3[[#This Row],[PAPEL]]),Tabela1768[Fechamento])</f>
        <v>0</v>
      </c>
      <c r="BB393" s="7">
        <f>SUMPRODUCT(N(Tabela17683[Código]=Tabela3[[#This Row],[PAPEL]]),Tabela17683[Fechamento])</f>
        <v>0</v>
      </c>
    </row>
    <row r="394" spans="1:54" hidden="1">
      <c r="A394" s="4" t="s">
        <v>296</v>
      </c>
      <c r="B394" s="57" t="s">
        <v>723</v>
      </c>
      <c r="C394" s="15" t="str">
        <f>LEFT([PAPEL],LEN([PAPEL])-(LEN([PAPEL])-4))</f>
        <v>DOCA</v>
      </c>
      <c r="D394" s="15">
        <v>3</v>
      </c>
      <c r="E394" s="6">
        <v>231161118.28999999</v>
      </c>
      <c r="F394" s="8">
        <v>58388</v>
      </c>
      <c r="G394" s="86">
        <v>0.25</v>
      </c>
      <c r="H394" s="15"/>
      <c r="I394" s="19"/>
      <c r="J394" s="19">
        <v>0.1</v>
      </c>
      <c r="K394" s="88"/>
      <c r="L394" s="88"/>
      <c r="M394" s="55"/>
      <c r="N394" s="55"/>
      <c r="O394" s="55"/>
      <c r="P394" s="92">
        <v>-367598000</v>
      </c>
      <c r="Q394" s="93">
        <v>-10261000</v>
      </c>
      <c r="R394" s="93">
        <f>IF(Tabela3[[#This Row],[Ativo || Passivo]]&gt;0,Tabela3[[#This Row],[Ativo || Passivo]]-Tabela3[[#This Row],[Patrimônio Líquido]],0)</f>
        <v>0</v>
      </c>
      <c r="S394" s="93">
        <f>Tabela3[[#This Row],[Cotação]]*Tabela3[[#This Row],[Total Ações]]</f>
        <v>5806810.4399999995</v>
      </c>
      <c r="T394" s="40">
        <f>IF(Tabela3[[#This Row],[Passivo Circulante]]&gt;0,Tabela3[[#This Row],[Ativo Circulante]]/Tabela3[[#This Row],[Passivo Circulante]],0)</f>
        <v>0</v>
      </c>
      <c r="U394" s="40">
        <f>SUMPRODUCT(N([Liquidez Corrente]&gt;0),N(RIGHT([PAPEL],LEN([PAPEL])-(LEN([PAPEL])-1))="3"),[Liquidez Corrente])/SUMPRODUCT(N([Liquidez Corrente]&gt;0),N(RIGHT([PAPEL],LEN([PAPEL])-(LEN([PAPEL])-1))="3"))</f>
        <v>2.331224473064915</v>
      </c>
      <c r="V394" s="19">
        <f>IF(Tabela3[[#This Row],[Lucro Líquido]]&gt;0,Tabela3[[#This Row],[Lucro Líquido]]/Tabela3[[#This Row],[Patrimônio Líquido]],0)</f>
        <v>0</v>
      </c>
      <c r="W394" s="19">
        <f>SUMPRODUCT(N([Rentabilidade s/ PL]&gt;0),N(RIGHT([PAPEL],LEN([PAPEL])-(LEN([PAPEL])-1))="3"),[Rentabilidade s/ PL])/SUMPRODUCT(N([Rentabilidade s/ PL]&gt;0),N(RIGHT([PAPEL],LEN([PAPEL])-(LEN([PAPEL])-1))="3"))</f>
        <v>0.1261051308670782</v>
      </c>
      <c r="X394" s="19">
        <f>IF(Tabela3[[#This Row],[Dívida]]&gt;0,Tabela3[[#This Row],[Dívida]]/Tabela3[[#This Row],[Patrimônio Líquido]],0)</f>
        <v>0</v>
      </c>
      <c r="Y394" s="19">
        <f>SUMPRODUCT(N([Dívida / PL]&gt;0),N(RIGHT([PAPEL],LEN([PAPEL])-(LEN([PAPEL])-1))="3"),[Dívida / PL])/SUMPRODUCT(N([Dívida / PL]&gt;0),N(RIGHT([PAPEL],LEN([PAPEL])-(LEN([PAPEL])-1))="3"))</f>
        <v>2.1510410379481146</v>
      </c>
      <c r="Z394" s="13">
        <f>Tabela3[[#This Row],[Capital Social]]*20%</f>
        <v>46232223.658</v>
      </c>
      <c r="AA394" s="13">
        <f>IF(([Lucro Líquido]*5%)&gt;[Teto R. Legal],[Teto R. Legal],[Lucro Líquido]*5%)</f>
        <v>-513050</v>
      </c>
      <c r="AB394" s="13">
        <f>IF([Lucro Líquido]&lt;0,0,[Lucro Líquido]-[Reserva Legal])</f>
        <v>0</v>
      </c>
      <c r="AC394" s="13">
        <f>Tabela3[[#This Row],[Lucro Distribuir]]*[%Div]</f>
        <v>0</v>
      </c>
      <c r="AD394" s="21">
        <f>SUMPRODUCT(N([Nome]=Tabela3[[#This Row],[Nome]]),[Ações])</f>
        <v>1159044</v>
      </c>
      <c r="AE394" s="6">
        <f>[Capital Social]/[Total Ações]</f>
        <v>199.4411931643665</v>
      </c>
      <c r="AF394" s="78">
        <f>Tabela3[[#This Row],[Lucro Líquido]]/Tabela3[[#This Row],[Total Ações]]</f>
        <v>-8.8529857365207878</v>
      </c>
      <c r="AG394" s="78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</v>
      </c>
      <c r="AH394" s="78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394" s="78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394" s="78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</v>
      </c>
      <c r="AK394" s="13">
        <f>[Div Base]*[Ações]</f>
        <v>0</v>
      </c>
      <c r="AL394" s="13">
        <f>SUMPRODUCT(N([Nome]=Tabela3[[#This Row],[Nome]]),[Div Base]*[Ações])</f>
        <v>0</v>
      </c>
      <c r="AM394" s="6">
        <f>[Patrimônio Líquido]/[Total Ações]</f>
        <v>-317.15620804732174</v>
      </c>
      <c r="AN394" s="48">
        <f>MAX(Tabela3[[#This Row],[Cotação 1]:[Cotação 5]])</f>
        <v>5.01</v>
      </c>
      <c r="AO394" s="44">
        <f>[Cotação]/[VPA]</f>
        <v>-1.5796632299414033E-2</v>
      </c>
      <c r="AP394" s="40">
        <f>IF(Tabela3[[#This Row],[Lucro/Ação]]&gt;0,Tabela3[[#This Row],[Cotação]]/(Tabela3[[#This Row],[Lucro/Ação]]/[Ref]*4),0)</f>
        <v>0</v>
      </c>
      <c r="AQ394" s="78">
        <f>[Lucro Distribuir]/[Total Ações]</f>
        <v>0</v>
      </c>
      <c r="AR394" s="78">
        <f>IF([Unit ON]&gt;0,SUMPRODUCT(N([Nome]=Tabela3[[#This Row],[Nome]]),N(RIGHT([PAPEL],1)="3"),[Div Base])*[Unit ON]+SUMPRODUCT(N([Nome]=Tabela3[[#This Row],[Nome]]),N(RIGHT([PAPEL],1)="4"),[Div Base])*[Unit PN],[Div Base])</f>
        <v>0</v>
      </c>
      <c r="AS394" s="14" t="str">
        <f>IF(AND([% A.A.]&gt;=6%,SUMPRODUCT(N([Nome]=Tabela3[[#This Row],[Nome]]),[PL])&gt;0,[Rentabilidade s/ PL]&gt;=[Rentabilidade s/ PL Média]),"Sim","Não")</f>
        <v>Não</v>
      </c>
      <c r="AT394" s="42">
        <f>IF([Cotação]&gt;0,Tabela3[[#This Row],[Lucro]]/Tabela3[[#This Row],[Cotação]],0)</f>
        <v>0</v>
      </c>
      <c r="AU394" s="42">
        <f>((1+Tabela3[[#This Row],[% Yield]])^(1/(3*Tabela3[[#This Row],[Ref]])))^(12)-1</f>
        <v>0</v>
      </c>
      <c r="AV394" s="14">
        <f>IF([Cotação]&gt;0,($BH$1/Tabela3[[#This Row],[Cotação]]-MOD($BH$1/Tabela3[[#This Row],[Cotação]],100)),)</f>
        <v>0</v>
      </c>
      <c r="AW394" s="17">
        <f>Tabela3[[#This Row],[Ativos]]*[Lucro]</f>
        <v>0</v>
      </c>
      <c r="AX394" s="17">
        <f>SUMPRODUCT(N(Tabela1[Código]=Tabela3[[#This Row],[PAPEL]]),Tabela1[Fechamento])</f>
        <v>0</v>
      </c>
      <c r="AY394" s="17">
        <f>SUMPRODUCT(N(Tabela17[Código]=Tabela3[[#This Row],[PAPEL]]),Tabela17[Fechamento])</f>
        <v>0</v>
      </c>
      <c r="AZ394" s="17">
        <f>SUMPRODUCT(N(Tabela176[Código]=Tabela3[[#This Row],[PAPEL]]),Tabela176[Fechamento])</f>
        <v>5.01</v>
      </c>
      <c r="BA394" s="17">
        <f>SUMPRODUCT(N(Tabela1768[Código]=Tabela3[[#This Row],[PAPEL]]),Tabela1768[Fechamento])</f>
        <v>0</v>
      </c>
      <c r="BB394" s="7">
        <f>SUMPRODUCT(N(Tabela17683[Código]=Tabela3[[#This Row],[PAPEL]]),Tabela17683[Fechamento])</f>
        <v>0</v>
      </c>
    </row>
    <row r="395" spans="1:54" hidden="1">
      <c r="A395" s="3" t="s">
        <v>907</v>
      </c>
      <c r="B395" s="58" t="s">
        <v>1188</v>
      </c>
      <c r="C395" s="16" t="str">
        <f>LEFT([PAPEL],LEN([PAPEL])-(LEN([PAPEL])-4))</f>
        <v>SPRI</v>
      </c>
      <c r="D395" s="16">
        <v>3</v>
      </c>
      <c r="E395" s="5">
        <v>78245643.75</v>
      </c>
      <c r="F395" s="56">
        <v>94450230</v>
      </c>
      <c r="G395" s="81">
        <v>0.25</v>
      </c>
      <c r="H395" s="87"/>
      <c r="J395" s="18"/>
      <c r="K395" s="16"/>
      <c r="L395" s="87"/>
      <c r="M395" s="54"/>
      <c r="N395" s="54"/>
      <c r="O395" s="54"/>
      <c r="P395" s="91">
        <v>107145000</v>
      </c>
      <c r="Q395" s="73">
        <v>-10860000</v>
      </c>
      <c r="R395" s="73">
        <f>IF(Tabela3[[#This Row],[Ativo || Passivo]]&gt;0,Tabela3[[#This Row],[Ativo || Passivo]]-Tabela3[[#This Row],[Patrimônio Líquido]],0)</f>
        <v>0</v>
      </c>
      <c r="S395" s="73">
        <f>Tabela3[[#This Row],[Cotação]]*Tabela3[[#This Row],[Total Ações]]</f>
        <v>48058991.399999999</v>
      </c>
      <c r="T395" s="37">
        <f>IF(Tabela3[[#This Row],[Passivo Circulante]]&gt;0,Tabela3[[#This Row],[Ativo Circulante]]/Tabela3[[#This Row],[Passivo Circulante]],0)</f>
        <v>0</v>
      </c>
      <c r="U395" s="37">
        <f>SUMPRODUCT(N([Liquidez Corrente]&gt;0),N(RIGHT([PAPEL],LEN([PAPEL])-(LEN([PAPEL])-1))="3"),[Liquidez Corrente])/SUMPRODUCT(N([Liquidez Corrente]&gt;0),N(RIGHT([PAPEL],LEN([PAPEL])-(LEN([PAPEL])-1))="3"))</f>
        <v>2.331224473064915</v>
      </c>
      <c r="V395" s="18">
        <f>IF(Tabela3[[#This Row],[Lucro Líquido]]&gt;0,Tabela3[[#This Row],[Lucro Líquido]]/Tabela3[[#This Row],[Patrimônio Líquido]],0)</f>
        <v>0</v>
      </c>
      <c r="W395" s="18">
        <f>SUMPRODUCT(N([Rentabilidade s/ PL]&gt;0),N(RIGHT([PAPEL],LEN([PAPEL])-(LEN([PAPEL])-1))="3"),[Rentabilidade s/ PL])/SUMPRODUCT(N([Rentabilidade s/ PL]&gt;0),N(RIGHT([PAPEL],LEN([PAPEL])-(LEN([PAPEL])-1))="3"))</f>
        <v>0.1261051308670782</v>
      </c>
      <c r="X395" s="18">
        <f>IF(Tabela3[[#This Row],[Dívida]]&gt;0,Tabela3[[#This Row],[Dívida]]/Tabela3[[#This Row],[Patrimônio Líquido]],0)</f>
        <v>0</v>
      </c>
      <c r="Y395" s="18">
        <f>SUMPRODUCT(N([Dívida / PL]&gt;0),N(RIGHT([PAPEL],LEN([PAPEL])-(LEN([PAPEL])-1))="3"),[Dívida / PL])/SUMPRODUCT(N([Dívida / PL]&gt;0),N(RIGHT([PAPEL],LEN([PAPEL])-(LEN([PAPEL])-1))="3"))</f>
        <v>2.1510410379481146</v>
      </c>
      <c r="Z395" s="7">
        <f>Tabela3[[#This Row],[Capital Social]]*20%</f>
        <v>15649128.75</v>
      </c>
      <c r="AA395" s="47">
        <f>IF(([Lucro Líquido]*5%)&gt;[Teto R. Legal],[Teto R. Legal],[Lucro Líquido]*5%)</f>
        <v>-543000</v>
      </c>
      <c r="AB395" s="47">
        <f>IF([Lucro Líquido]&lt;0,0,[Lucro Líquido]-[Reserva Legal])</f>
        <v>0</v>
      </c>
      <c r="AC395" s="47">
        <f>Tabela3[[#This Row],[Lucro Distribuir]]*[%Div]</f>
        <v>0</v>
      </c>
      <c r="AD395" s="56">
        <f>SUMPRODUCT(N([Nome]=Tabela3[[#This Row],[Nome]]),[Ações])</f>
        <v>126471030</v>
      </c>
      <c r="AE395" s="85">
        <f>[Capital Social]/[Total Ações]</f>
        <v>0.61868432438638321</v>
      </c>
      <c r="AF395" s="85">
        <f>Tabela3[[#This Row],[Lucro Líquido]]/Tabela3[[#This Row],[Total Ações]]</f>
        <v>-8.5869467497813531E-2</v>
      </c>
      <c r="AG395" s="85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</v>
      </c>
      <c r="AH395" s="85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395" s="77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395" s="85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</v>
      </c>
      <c r="AK395" s="7">
        <f>[Div Base]*[Ações]</f>
        <v>0</v>
      </c>
      <c r="AL395" s="120">
        <f>SUMPRODUCT(N([Nome]=Tabela3[[#This Row],[Nome]]),[Div Base]*[Ações])</f>
        <v>0</v>
      </c>
      <c r="AM395" s="5">
        <f>[Patrimônio Líquido]/[Total Ações]</f>
        <v>0.84719006400121832</v>
      </c>
      <c r="AN395" s="52">
        <f>MAX(Tabela3[[#This Row],[Cotação 1]:[Cotação 5]])</f>
        <v>0.38</v>
      </c>
      <c r="AO395" s="53">
        <f>[Cotação]/[VPA]</f>
        <v>0.44854161556768862</v>
      </c>
      <c r="AP395" s="37">
        <f>IF(Tabela3[[#This Row],[Lucro/Ação]]&gt;0,Tabela3[[#This Row],[Cotação]]/(Tabela3[[#This Row],[Lucro/Ação]]/[Ref]*4),0)</f>
        <v>0</v>
      </c>
      <c r="AQ395" s="85">
        <f>[Lucro Distribuir]/[Total Ações]</f>
        <v>0</v>
      </c>
      <c r="AR395" s="85">
        <f>IF([Unit ON]&gt;0,SUMPRODUCT(N([Nome]=Tabela3[[#This Row],[Nome]]),N(RIGHT([PAPEL],1)="3"),[Div Base])*[Unit ON]+SUMPRODUCT(N([Nome]=Tabela3[[#This Row],[Nome]]),N(RIGHT([PAPEL],1)="4"),[Div Base])*[Unit PN],[Div Base])</f>
        <v>0</v>
      </c>
      <c r="AS395" s="10" t="str">
        <f>IF(AND([% A.A.]&gt;=6%,SUMPRODUCT(N([Nome]=Tabela3[[#This Row],[Nome]]),[PL])&gt;0,[Rentabilidade s/ PL]&gt;=[Rentabilidade s/ PL Média]),"Sim","Não")</f>
        <v>Não</v>
      </c>
      <c r="AT395" s="22">
        <f>IF([Cotação]&gt;0,Tabela3[[#This Row],[Lucro]]/Tabela3[[#This Row],[Cotação]],0)</f>
        <v>0</v>
      </c>
      <c r="AU395" s="22">
        <f>((1+Tabela3[[#This Row],[% Yield]])^(1/(3*Tabela3[[#This Row],[Ref]])))^(12)-1</f>
        <v>0</v>
      </c>
      <c r="AV395" s="10">
        <f>IF([Cotação]&gt;0,($BH$1/Tabela3[[#This Row],[Cotação]]-MOD($BH$1/Tabela3[[#This Row],[Cotação]],100)),)</f>
        <v>1300</v>
      </c>
      <c r="AW395" s="7">
        <f>Tabela3[[#This Row],[Ativos]]*[Lucro]</f>
        <v>0</v>
      </c>
      <c r="AX395" s="7">
        <f>SUMPRODUCT(N(Tabela1[Código]=Tabela3[[#This Row],[PAPEL]]),Tabela1[Fechamento])</f>
        <v>0</v>
      </c>
      <c r="AY395" s="7">
        <f>SUMPRODUCT(N(Tabela17[Código]=Tabela3[[#This Row],[PAPEL]]),Tabela17[Fechamento])</f>
        <v>0</v>
      </c>
      <c r="AZ395" s="7">
        <f>SUMPRODUCT(N(Tabela176[Código]=Tabela3[[#This Row],[PAPEL]]),Tabela176[Fechamento])</f>
        <v>0</v>
      </c>
      <c r="BA395" s="7">
        <f>SUMPRODUCT(N(Tabela1768[Código]=Tabela3[[#This Row],[PAPEL]]),Tabela1768[Fechamento])</f>
        <v>0.38</v>
      </c>
      <c r="BB395" s="7">
        <f>SUMPRODUCT(N(Tabela17683[Código]=Tabela3[[#This Row],[PAPEL]]),Tabela17683[Fechamento])</f>
        <v>0</v>
      </c>
    </row>
    <row r="396" spans="1:54" hidden="1">
      <c r="A396" s="3" t="s">
        <v>907</v>
      </c>
      <c r="B396" s="58" t="s">
        <v>1189</v>
      </c>
      <c r="C396" s="16" t="str">
        <f>LEFT([PAPEL],LEN([PAPEL])-(LEN([PAPEL])-4))</f>
        <v>SPRI</v>
      </c>
      <c r="D396" s="16">
        <v>3</v>
      </c>
      <c r="E396" s="5">
        <v>78245643.75</v>
      </c>
      <c r="F396" s="56">
        <v>25616640</v>
      </c>
      <c r="G396" s="81">
        <v>0.25</v>
      </c>
      <c r="H396" s="87"/>
      <c r="I396" s="18">
        <v>0.12</v>
      </c>
      <c r="J396" s="18"/>
      <c r="K396" s="16"/>
      <c r="L396" s="87"/>
      <c r="M396" s="54"/>
      <c r="N396" s="54"/>
      <c r="O396" s="54"/>
      <c r="P396" s="91">
        <v>107145000</v>
      </c>
      <c r="Q396" s="73">
        <v>-10860000</v>
      </c>
      <c r="R396" s="73">
        <f>IF(Tabela3[[#This Row],[Ativo || Passivo]]&gt;0,Tabela3[[#This Row],[Ativo || Passivo]]-Tabela3[[#This Row],[Patrimônio Líquido]],0)</f>
        <v>0</v>
      </c>
      <c r="S396" s="73">
        <f>Tabela3[[#This Row],[Cotação]]*Tabela3[[#This Row],[Total Ações]]</f>
        <v>45529570.799999997</v>
      </c>
      <c r="T396" s="37">
        <f>IF(Tabela3[[#This Row],[Passivo Circulante]]&gt;0,Tabela3[[#This Row],[Ativo Circulante]]/Tabela3[[#This Row],[Passivo Circulante]],0)</f>
        <v>0</v>
      </c>
      <c r="U396" s="37">
        <f>SUMPRODUCT(N([Liquidez Corrente]&gt;0),N(RIGHT([PAPEL],LEN([PAPEL])-(LEN([PAPEL])-1))="3"),[Liquidez Corrente])/SUMPRODUCT(N([Liquidez Corrente]&gt;0),N(RIGHT([PAPEL],LEN([PAPEL])-(LEN([PAPEL])-1))="3"))</f>
        <v>2.331224473064915</v>
      </c>
      <c r="V396" s="18">
        <f>IF(Tabela3[[#This Row],[Lucro Líquido]]&gt;0,Tabela3[[#This Row],[Lucro Líquido]]/Tabela3[[#This Row],[Patrimônio Líquido]],0)</f>
        <v>0</v>
      </c>
      <c r="W396" s="18">
        <f>SUMPRODUCT(N([Rentabilidade s/ PL]&gt;0),N(RIGHT([PAPEL],LEN([PAPEL])-(LEN([PAPEL])-1))="3"),[Rentabilidade s/ PL])/SUMPRODUCT(N([Rentabilidade s/ PL]&gt;0),N(RIGHT([PAPEL],LEN([PAPEL])-(LEN([PAPEL])-1))="3"))</f>
        <v>0.1261051308670782</v>
      </c>
      <c r="X396" s="18">
        <f>IF(Tabela3[[#This Row],[Dívida]]&gt;0,Tabela3[[#This Row],[Dívida]]/Tabela3[[#This Row],[Patrimônio Líquido]],0)</f>
        <v>0</v>
      </c>
      <c r="Y396" s="18">
        <f>SUMPRODUCT(N([Dívida / PL]&gt;0),N(RIGHT([PAPEL],LEN([PAPEL])-(LEN([PAPEL])-1))="3"),[Dívida / PL])/SUMPRODUCT(N([Dívida / PL]&gt;0),N(RIGHT([PAPEL],LEN([PAPEL])-(LEN([PAPEL])-1))="3"))</f>
        <v>2.1510410379481146</v>
      </c>
      <c r="Z396" s="7">
        <f>Tabela3[[#This Row],[Capital Social]]*20%</f>
        <v>15649128.75</v>
      </c>
      <c r="AA396" s="47">
        <f>IF(([Lucro Líquido]*5%)&gt;[Teto R. Legal],[Teto R. Legal],[Lucro Líquido]*5%)</f>
        <v>-543000</v>
      </c>
      <c r="AB396" s="47">
        <f>IF([Lucro Líquido]&lt;0,0,[Lucro Líquido]-[Reserva Legal])</f>
        <v>0</v>
      </c>
      <c r="AC396" s="47">
        <f>Tabela3[[#This Row],[Lucro Distribuir]]*[%Div]</f>
        <v>0</v>
      </c>
      <c r="AD396" s="56">
        <f>SUMPRODUCT(N([Nome]=Tabela3[[#This Row],[Nome]]),[Ações])</f>
        <v>126471030</v>
      </c>
      <c r="AE396" s="85">
        <f>[Capital Social]/[Total Ações]</f>
        <v>0.61868432438638321</v>
      </c>
      <c r="AF396" s="85">
        <f>Tabela3[[#This Row],[Lucro Líquido]]/Tabela3[[#This Row],[Total Ações]]</f>
        <v>-8.5869467497813531E-2</v>
      </c>
      <c r="AG396" s="85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</v>
      </c>
      <c r="AH396" s="85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396" s="77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396" s="85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</v>
      </c>
      <c r="AK396" s="7">
        <f>[Div Base]*[Ações]</f>
        <v>0</v>
      </c>
      <c r="AL396" s="120">
        <f>SUMPRODUCT(N([Nome]=Tabela3[[#This Row],[Nome]]),[Div Base]*[Ações])</f>
        <v>0</v>
      </c>
      <c r="AM396" s="5">
        <f>[Patrimônio Líquido]/[Total Ações]</f>
        <v>0.84719006400121832</v>
      </c>
      <c r="AN396" s="52">
        <f>MAX(Tabela3[[#This Row],[Cotação 1]:[Cotação 5]])</f>
        <v>0.36</v>
      </c>
      <c r="AO396" s="53">
        <f>[Cotação]/[VPA]</f>
        <v>0.42493416211675766</v>
      </c>
      <c r="AP396" s="37">
        <f>IF(Tabela3[[#This Row],[Lucro/Ação]]&gt;0,Tabela3[[#This Row],[Cotação]]/(Tabela3[[#This Row],[Lucro/Ação]]/[Ref]*4),0)</f>
        <v>0</v>
      </c>
      <c r="AQ396" s="85">
        <f>[Lucro Distribuir]/[Total Ações]</f>
        <v>0</v>
      </c>
      <c r="AR396" s="85">
        <f>IF([Unit ON]&gt;0,SUMPRODUCT(N([Nome]=Tabela3[[#This Row],[Nome]]),N(RIGHT([PAPEL],1)="3"),[Div Base])*[Unit ON]+SUMPRODUCT(N([Nome]=Tabela3[[#This Row],[Nome]]),N(RIGHT([PAPEL],1)="4"),[Div Base])*[Unit PN],[Div Base])</f>
        <v>0</v>
      </c>
      <c r="AS396" s="10" t="str">
        <f>IF(AND([% A.A.]&gt;=6%,SUMPRODUCT(N([Nome]=Tabela3[[#This Row],[Nome]]),[PL])&gt;0,[Rentabilidade s/ PL]&gt;=[Rentabilidade s/ PL Média]),"Sim","Não")</f>
        <v>Não</v>
      </c>
      <c r="AT396" s="22">
        <f>IF([Cotação]&gt;0,Tabela3[[#This Row],[Lucro]]/Tabela3[[#This Row],[Cotação]],0)</f>
        <v>0</v>
      </c>
      <c r="AU396" s="22">
        <f>((1+Tabela3[[#This Row],[% Yield]])^(1/(3*Tabela3[[#This Row],[Ref]])))^(12)-1</f>
        <v>0</v>
      </c>
      <c r="AV396" s="10">
        <f>IF([Cotação]&gt;0,($BH$1/Tabela3[[#This Row],[Cotação]]-MOD($BH$1/Tabela3[[#This Row],[Cotação]],100)),)</f>
        <v>1300</v>
      </c>
      <c r="AW396" s="7">
        <f>Tabela3[[#This Row],[Ativos]]*[Lucro]</f>
        <v>0</v>
      </c>
      <c r="AX396" s="7">
        <f>SUMPRODUCT(N(Tabela1[Código]=Tabela3[[#This Row],[PAPEL]]),Tabela1[Fechamento])</f>
        <v>0</v>
      </c>
      <c r="AY396" s="7">
        <f>SUMPRODUCT(N(Tabela17[Código]=Tabela3[[#This Row],[PAPEL]]),Tabela17[Fechamento])</f>
        <v>0</v>
      </c>
      <c r="AZ396" s="7">
        <f>SUMPRODUCT(N(Tabela176[Código]=Tabela3[[#This Row],[PAPEL]]),Tabela176[Fechamento])</f>
        <v>0</v>
      </c>
      <c r="BA396" s="7">
        <f>SUMPRODUCT(N(Tabela1768[Código]=Tabela3[[#This Row],[PAPEL]]),Tabela1768[Fechamento])</f>
        <v>0.36</v>
      </c>
      <c r="BB396" s="7">
        <f>SUMPRODUCT(N(Tabela17683[Código]=Tabela3[[#This Row],[PAPEL]]),Tabela17683[Fechamento])</f>
        <v>0</v>
      </c>
    </row>
    <row r="397" spans="1:54" hidden="1">
      <c r="A397" s="3" t="s">
        <v>907</v>
      </c>
      <c r="B397" s="58" t="s">
        <v>1190</v>
      </c>
      <c r="C397" s="16" t="str">
        <f>LEFT([PAPEL],LEN([PAPEL])-(LEN([PAPEL])-4))</f>
        <v>SPRI</v>
      </c>
      <c r="D397" s="16">
        <v>3</v>
      </c>
      <c r="E397" s="5">
        <v>78245643.75</v>
      </c>
      <c r="F397" s="56">
        <v>6404160</v>
      </c>
      <c r="G397" s="81">
        <v>0.3</v>
      </c>
      <c r="H397" s="87"/>
      <c r="J397" s="18"/>
      <c r="K397" s="16"/>
      <c r="L397" s="87"/>
      <c r="M397" s="54"/>
      <c r="N397" s="54"/>
      <c r="O397" s="54"/>
      <c r="P397" s="91">
        <v>107145000</v>
      </c>
      <c r="Q397" s="73">
        <v>-10860000</v>
      </c>
      <c r="R397" s="73">
        <f>IF(Tabela3[[#This Row],[Ativo || Passivo]]&gt;0,Tabela3[[#This Row],[Ativo || Passivo]]-Tabela3[[#This Row],[Patrimônio Líquido]],0)</f>
        <v>0</v>
      </c>
      <c r="S397" s="73">
        <f>Tabela3[[#This Row],[Cotação]]*Tabela3[[#This Row],[Total Ações]]</f>
        <v>49323701.700000003</v>
      </c>
      <c r="T397" s="37">
        <f>IF(Tabela3[[#This Row],[Passivo Circulante]]&gt;0,Tabela3[[#This Row],[Ativo Circulante]]/Tabela3[[#This Row],[Passivo Circulante]],0)</f>
        <v>0</v>
      </c>
      <c r="U397" s="37">
        <f>SUMPRODUCT(N([Liquidez Corrente]&gt;0),N(RIGHT([PAPEL],LEN([PAPEL])-(LEN([PAPEL])-1))="3"),[Liquidez Corrente])/SUMPRODUCT(N([Liquidez Corrente]&gt;0),N(RIGHT([PAPEL],LEN([PAPEL])-(LEN([PAPEL])-1))="3"))</f>
        <v>2.331224473064915</v>
      </c>
      <c r="V397" s="18">
        <f>IF(Tabela3[[#This Row],[Lucro Líquido]]&gt;0,Tabela3[[#This Row],[Lucro Líquido]]/Tabela3[[#This Row],[Patrimônio Líquido]],0)</f>
        <v>0</v>
      </c>
      <c r="W397" s="18">
        <f>SUMPRODUCT(N([Rentabilidade s/ PL]&gt;0),N(RIGHT([PAPEL],LEN([PAPEL])-(LEN([PAPEL])-1))="3"),[Rentabilidade s/ PL])/SUMPRODUCT(N([Rentabilidade s/ PL]&gt;0),N(RIGHT([PAPEL],LEN([PAPEL])-(LEN([PAPEL])-1))="3"))</f>
        <v>0.1261051308670782</v>
      </c>
      <c r="X397" s="18">
        <f>IF(Tabela3[[#This Row],[Dívida]]&gt;0,Tabela3[[#This Row],[Dívida]]/Tabela3[[#This Row],[Patrimônio Líquido]],0)</f>
        <v>0</v>
      </c>
      <c r="Y397" s="18">
        <f>SUMPRODUCT(N([Dívida / PL]&gt;0),N(RIGHT([PAPEL],LEN([PAPEL])-(LEN([PAPEL])-1))="3"),[Dívida / PL])/SUMPRODUCT(N([Dívida / PL]&gt;0),N(RIGHT([PAPEL],LEN([PAPEL])-(LEN([PAPEL])-1))="3"))</f>
        <v>2.1510410379481146</v>
      </c>
      <c r="Z397" s="7">
        <f>Tabela3[[#This Row],[Capital Social]]*20%</f>
        <v>15649128.75</v>
      </c>
      <c r="AA397" s="47">
        <f>IF(([Lucro Líquido]*5%)&gt;[Teto R. Legal],[Teto R. Legal],[Lucro Líquido]*5%)</f>
        <v>-543000</v>
      </c>
      <c r="AB397" s="47">
        <f>IF([Lucro Líquido]&lt;0,0,[Lucro Líquido]-[Reserva Legal])</f>
        <v>0</v>
      </c>
      <c r="AC397" s="47">
        <f>Tabela3[[#This Row],[Lucro Distribuir]]*[%Div]</f>
        <v>0</v>
      </c>
      <c r="AD397" s="56">
        <f>SUMPRODUCT(N([Nome]=Tabela3[[#This Row],[Nome]]),[Ações])</f>
        <v>126471030</v>
      </c>
      <c r="AE397" s="85">
        <f>[Capital Social]/[Total Ações]</f>
        <v>0.61868432438638321</v>
      </c>
      <c r="AF397" s="85">
        <f>Tabela3[[#This Row],[Lucro Líquido]]/Tabela3[[#This Row],[Total Ações]]</f>
        <v>-8.5869467497813531E-2</v>
      </c>
      <c r="AG397" s="85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</v>
      </c>
      <c r="AH397" s="85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397" s="77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397" s="85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</v>
      </c>
      <c r="AK397" s="7">
        <f>[Div Base]*[Ações]</f>
        <v>0</v>
      </c>
      <c r="AL397" s="120">
        <f>SUMPRODUCT(N([Nome]=Tabela3[[#This Row],[Nome]]),[Div Base]*[Ações])</f>
        <v>0</v>
      </c>
      <c r="AM397" s="5">
        <f>[Patrimônio Líquido]/[Total Ações]</f>
        <v>0.84719006400121832</v>
      </c>
      <c r="AN397" s="52">
        <f>MAX(Tabela3[[#This Row],[Cotação 1]:[Cotação 5]])</f>
        <v>0.39</v>
      </c>
      <c r="AO397" s="53">
        <f>[Cotação]/[VPA]</f>
        <v>0.46034534229315416</v>
      </c>
      <c r="AP397" s="37">
        <f>IF(Tabela3[[#This Row],[Lucro/Ação]]&gt;0,Tabela3[[#This Row],[Cotação]]/(Tabela3[[#This Row],[Lucro/Ação]]/[Ref]*4),0)</f>
        <v>0</v>
      </c>
      <c r="AQ397" s="85">
        <f>[Lucro Distribuir]/[Total Ações]</f>
        <v>0</v>
      </c>
      <c r="AR397" s="85">
        <f>IF([Unit ON]&gt;0,SUMPRODUCT(N([Nome]=Tabela3[[#This Row],[Nome]]),N(RIGHT([PAPEL],1)="3"),[Div Base])*[Unit ON]+SUMPRODUCT(N([Nome]=Tabela3[[#This Row],[Nome]]),N(RIGHT([PAPEL],1)="4"),[Div Base])*[Unit PN],[Div Base])</f>
        <v>0</v>
      </c>
      <c r="AS397" s="10" t="str">
        <f>IF(AND([% A.A.]&gt;=6%,SUMPRODUCT(N([Nome]=Tabela3[[#This Row],[Nome]]),[PL])&gt;0,[Rentabilidade s/ PL]&gt;=[Rentabilidade s/ PL Média]),"Sim","Não")</f>
        <v>Não</v>
      </c>
      <c r="AT397" s="22">
        <f>IF([Cotação]&gt;0,Tabela3[[#This Row],[Lucro]]/Tabela3[[#This Row],[Cotação]],0)</f>
        <v>0</v>
      </c>
      <c r="AU397" s="22">
        <f>((1+Tabela3[[#This Row],[% Yield]])^(1/(3*Tabela3[[#This Row],[Ref]])))^(12)-1</f>
        <v>0</v>
      </c>
      <c r="AV397" s="10">
        <f>IF([Cotação]&gt;0,($BH$1/Tabela3[[#This Row],[Cotação]]-MOD($BH$1/Tabela3[[#This Row],[Cotação]],100)),)</f>
        <v>1200</v>
      </c>
      <c r="AW397" s="7">
        <f>Tabela3[[#This Row],[Ativos]]*[Lucro]</f>
        <v>0</v>
      </c>
      <c r="AX397" s="7">
        <f>SUMPRODUCT(N(Tabela1[Código]=Tabela3[[#This Row],[PAPEL]]),Tabela1[Fechamento])</f>
        <v>0</v>
      </c>
      <c r="AY397" s="7">
        <f>SUMPRODUCT(N(Tabela17[Código]=Tabela3[[#This Row],[PAPEL]]),Tabela17[Fechamento])</f>
        <v>0</v>
      </c>
      <c r="AZ397" s="7">
        <f>SUMPRODUCT(N(Tabela176[Código]=Tabela3[[#This Row],[PAPEL]]),Tabela176[Fechamento])</f>
        <v>0</v>
      </c>
      <c r="BA397" s="7">
        <f>SUMPRODUCT(N(Tabela1768[Código]=Tabela3[[#This Row],[PAPEL]]),Tabela1768[Fechamento])</f>
        <v>0.39</v>
      </c>
      <c r="BB397" s="7">
        <f>SUMPRODUCT(N(Tabela17683[Código]=Tabela3[[#This Row],[PAPEL]]),Tabela17683[Fechamento])</f>
        <v>0</v>
      </c>
    </row>
    <row r="398" spans="1:54" hidden="1">
      <c r="A398" s="3" t="s">
        <v>929</v>
      </c>
      <c r="B398" s="58" t="s">
        <v>1064</v>
      </c>
      <c r="C398" s="16" t="str">
        <f>LEFT([PAPEL],LEN([PAPEL])-(LEN([PAPEL])-4))</f>
        <v>WMBY</v>
      </c>
      <c r="D398" s="16">
        <v>3</v>
      </c>
      <c r="E398" s="5">
        <v>250000000</v>
      </c>
      <c r="F398" s="56">
        <v>24000000</v>
      </c>
      <c r="G398" s="81">
        <v>0.33</v>
      </c>
      <c r="H398" s="87"/>
      <c r="J398" s="18"/>
      <c r="K398" s="16"/>
      <c r="L398" s="87"/>
      <c r="M398" s="54"/>
      <c r="N398" s="54"/>
      <c r="O398" s="54"/>
      <c r="P398" s="91">
        <v>333205000</v>
      </c>
      <c r="Q398" s="73">
        <v>-10896000</v>
      </c>
      <c r="R398" s="73">
        <f>IF(Tabela3[[#This Row],[Ativo || Passivo]]&gt;0,Tabela3[[#This Row],[Ativo || Passivo]]-Tabela3[[#This Row],[Patrimônio Líquido]],0)</f>
        <v>0</v>
      </c>
      <c r="S398" s="73">
        <f>Tabela3[[#This Row],[Cotação]]*Tabela3[[#This Row],[Total Ações]]</f>
        <v>609360000</v>
      </c>
      <c r="T398" s="37">
        <f>IF(Tabela3[[#This Row],[Passivo Circulante]]&gt;0,Tabela3[[#This Row],[Ativo Circulante]]/Tabela3[[#This Row],[Passivo Circulante]],0)</f>
        <v>0</v>
      </c>
      <c r="U398" s="37">
        <f>SUMPRODUCT(N([Liquidez Corrente]&gt;0),N(RIGHT([PAPEL],LEN([PAPEL])-(LEN([PAPEL])-1))="3"),[Liquidez Corrente])/SUMPRODUCT(N([Liquidez Corrente]&gt;0),N(RIGHT([PAPEL],LEN([PAPEL])-(LEN([PAPEL])-1))="3"))</f>
        <v>2.331224473064915</v>
      </c>
      <c r="V398" s="18">
        <f>IF(Tabela3[[#This Row],[Lucro Líquido]]&gt;0,Tabela3[[#This Row],[Lucro Líquido]]/Tabela3[[#This Row],[Patrimônio Líquido]],0)</f>
        <v>0</v>
      </c>
      <c r="W398" s="18">
        <f>SUMPRODUCT(N([Rentabilidade s/ PL]&gt;0),N(RIGHT([PAPEL],LEN([PAPEL])-(LEN([PAPEL])-1))="3"),[Rentabilidade s/ PL])/SUMPRODUCT(N([Rentabilidade s/ PL]&gt;0),N(RIGHT([PAPEL],LEN([PAPEL])-(LEN([PAPEL])-1))="3"))</f>
        <v>0.1261051308670782</v>
      </c>
      <c r="X398" s="18">
        <f>IF(Tabela3[[#This Row],[Dívida]]&gt;0,Tabela3[[#This Row],[Dívida]]/Tabela3[[#This Row],[Patrimônio Líquido]],0)</f>
        <v>0</v>
      </c>
      <c r="Y398" s="18">
        <f>SUMPRODUCT(N([Dívida / PL]&gt;0),N(RIGHT([PAPEL],LEN([PAPEL])-(LEN([PAPEL])-1))="3"),[Dívida / PL])/SUMPRODUCT(N([Dívida / PL]&gt;0),N(RIGHT([PAPEL],LEN([PAPEL])-(LEN([PAPEL])-1))="3"))</f>
        <v>2.1510410379481146</v>
      </c>
      <c r="Z398" s="7">
        <f>Tabela3[[#This Row],[Capital Social]]*20%</f>
        <v>50000000</v>
      </c>
      <c r="AA398" s="47">
        <f>IF(([Lucro Líquido]*5%)&gt;[Teto R. Legal],[Teto R. Legal],[Lucro Líquido]*5%)</f>
        <v>-544800</v>
      </c>
      <c r="AB398" s="47">
        <f>IF([Lucro Líquido]&lt;0,0,[Lucro Líquido]-[Reserva Legal])</f>
        <v>0</v>
      </c>
      <c r="AC398" s="47">
        <f>Tabela3[[#This Row],[Lucro Distribuir]]*[%Div]</f>
        <v>0</v>
      </c>
      <c r="AD398" s="56">
        <f>SUMPRODUCT(N([Nome]=Tabela3[[#This Row],[Nome]]),[Ações])</f>
        <v>24000000</v>
      </c>
      <c r="AE398" s="85">
        <f>[Capital Social]/[Total Ações]</f>
        <v>10.416666666666666</v>
      </c>
      <c r="AF398" s="85">
        <f>Tabela3[[#This Row],[Lucro Líquido]]/Tabela3[[#This Row],[Total Ações]]</f>
        <v>-0.45400000000000001</v>
      </c>
      <c r="AG398" s="85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</v>
      </c>
      <c r="AH398" s="85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398" s="77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398" s="85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</v>
      </c>
      <c r="AK398" s="7">
        <f>[Div Base]*[Ações]</f>
        <v>0</v>
      </c>
      <c r="AL398" s="7">
        <f>SUMPRODUCT(N([Nome]=Tabela3[[#This Row],[Nome]]),[Div Base]*[Ações])</f>
        <v>0</v>
      </c>
      <c r="AM398" s="5">
        <f>[Patrimônio Líquido]/[Total Ações]</f>
        <v>13.883541666666666</v>
      </c>
      <c r="AN398" s="52">
        <f>MAX(Tabela3[[#This Row],[Cotação 1]:[Cotação 5]])</f>
        <v>25.39</v>
      </c>
      <c r="AO398" s="53">
        <f>[Cotação]/[VPA]</f>
        <v>1.8287840818715206</v>
      </c>
      <c r="AP398" s="37">
        <f>IF(Tabela3[[#This Row],[Lucro/Ação]]&gt;0,Tabela3[[#This Row],[Cotação]]/(Tabela3[[#This Row],[Lucro/Ação]]/[Ref]*4),0)</f>
        <v>0</v>
      </c>
      <c r="AQ398" s="85">
        <f>[Lucro Distribuir]/[Total Ações]</f>
        <v>0</v>
      </c>
      <c r="AR398" s="85">
        <f>IF([Unit ON]&gt;0,SUMPRODUCT(N([Nome]=Tabela3[[#This Row],[Nome]]),N(RIGHT([PAPEL],1)="3"),[Div Base])*[Unit ON]+SUMPRODUCT(N([Nome]=Tabela3[[#This Row],[Nome]]),N(RIGHT([PAPEL],1)="4"),[Div Base])*[Unit PN],[Div Base])</f>
        <v>0</v>
      </c>
      <c r="AS398" s="10" t="str">
        <f>IF(AND([% A.A.]&gt;=6%,SUMPRODUCT(N([Nome]=Tabela3[[#This Row],[Nome]]),[PL])&gt;0,[Rentabilidade s/ PL]&gt;=[Rentabilidade s/ PL Média]),"Sim","Não")</f>
        <v>Não</v>
      </c>
      <c r="AT398" s="22">
        <f>IF([Cotação]&gt;0,Tabela3[[#This Row],[Lucro]]/Tabela3[[#This Row],[Cotação]],0)</f>
        <v>0</v>
      </c>
      <c r="AU398" s="22">
        <f>((1+Tabela3[[#This Row],[% Yield]])^(1/(3*Tabela3[[#This Row],[Ref]])))^(12)-1</f>
        <v>0</v>
      </c>
      <c r="AV398" s="10">
        <f>IF([Cotação]&gt;0,($BH$1/Tabela3[[#This Row],[Cotação]]-MOD($BH$1/Tabela3[[#This Row],[Cotação]],100)),)</f>
        <v>0</v>
      </c>
      <c r="AW398" s="7">
        <f>Tabela3[[#This Row],[Ativos]]*[Lucro]</f>
        <v>0</v>
      </c>
      <c r="AX398" s="7">
        <f>SUMPRODUCT(N(Tabela1[Código]=Tabela3[[#This Row],[PAPEL]]),Tabela1[Fechamento])</f>
        <v>0</v>
      </c>
      <c r="AY398" s="7">
        <f>SUMPRODUCT(N(Tabela17[Código]=Tabela3[[#This Row],[PAPEL]]),Tabela17[Fechamento])</f>
        <v>0</v>
      </c>
      <c r="AZ398" s="7">
        <f>SUMPRODUCT(N(Tabela176[Código]=Tabela3[[#This Row],[PAPEL]]),Tabela176[Fechamento])</f>
        <v>0</v>
      </c>
      <c r="BA398" s="7">
        <f>SUMPRODUCT(N(Tabela1768[Código]=Tabela3[[#This Row],[PAPEL]]),Tabela1768[Fechamento])</f>
        <v>25.39</v>
      </c>
      <c r="BB398" s="7">
        <f>SUMPRODUCT(N(Tabela17683[Código]=Tabela3[[#This Row],[PAPEL]]),Tabela17683[Fechamento])</f>
        <v>0</v>
      </c>
    </row>
    <row r="399" spans="1:54" hidden="1">
      <c r="A399" s="3" t="s">
        <v>1027</v>
      </c>
      <c r="B399" s="58" t="s">
        <v>1023</v>
      </c>
      <c r="C399" s="16" t="str">
        <f>LEFT([PAPEL],LEN([PAPEL])-(LEN([PAPEL])-4))</f>
        <v>NAFG</v>
      </c>
      <c r="D399" s="16">
        <v>3</v>
      </c>
      <c r="E399" s="5">
        <v>90000000</v>
      </c>
      <c r="F399" s="56">
        <v>5513608</v>
      </c>
      <c r="G399" s="81">
        <v>0.25</v>
      </c>
      <c r="H399" s="87"/>
      <c r="J399" s="18"/>
      <c r="K399" s="16"/>
      <c r="L399" s="87"/>
      <c r="M399" s="54"/>
      <c r="N399" s="54"/>
      <c r="O399" s="54"/>
      <c r="P399" s="91">
        <v>289903000</v>
      </c>
      <c r="Q399" s="73">
        <v>-10989000</v>
      </c>
      <c r="R399" s="73">
        <f>IF(Tabela3[[#This Row],[Ativo || Passivo]]&gt;0,Tabela3[[#This Row],[Ativo || Passivo]]-Tabela3[[#This Row],[Patrimônio Líquido]],0)</f>
        <v>0</v>
      </c>
      <c r="S399" s="73">
        <f>Tabela3[[#This Row],[Cotação]]*Tabela3[[#This Row],[Total Ações]]</f>
        <v>0</v>
      </c>
      <c r="T399" s="37">
        <f>IF(Tabela3[[#This Row],[Passivo Circulante]]&gt;0,Tabela3[[#This Row],[Ativo Circulante]]/Tabela3[[#This Row],[Passivo Circulante]],0)</f>
        <v>0</v>
      </c>
      <c r="U399" s="37">
        <f>SUMPRODUCT(N([Liquidez Corrente]&gt;0),N(RIGHT([PAPEL],LEN([PAPEL])-(LEN([PAPEL])-1))="3"),[Liquidez Corrente])/SUMPRODUCT(N([Liquidez Corrente]&gt;0),N(RIGHT([PAPEL],LEN([PAPEL])-(LEN([PAPEL])-1))="3"))</f>
        <v>2.331224473064915</v>
      </c>
      <c r="V399" s="18">
        <f>IF(Tabela3[[#This Row],[Lucro Líquido]]&gt;0,Tabela3[[#This Row],[Lucro Líquido]]/Tabela3[[#This Row],[Patrimônio Líquido]],0)</f>
        <v>0</v>
      </c>
      <c r="W399" s="18">
        <f>SUMPRODUCT(N([Rentabilidade s/ PL]&gt;0),N(RIGHT([PAPEL],LEN([PAPEL])-(LEN([PAPEL])-1))="3"),[Rentabilidade s/ PL])/SUMPRODUCT(N([Rentabilidade s/ PL]&gt;0),N(RIGHT([PAPEL],LEN([PAPEL])-(LEN([PAPEL])-1))="3"))</f>
        <v>0.1261051308670782</v>
      </c>
      <c r="X399" s="18">
        <f>IF(Tabela3[[#This Row],[Dívida]]&gt;0,Tabela3[[#This Row],[Dívida]]/Tabela3[[#This Row],[Patrimônio Líquido]],0)</f>
        <v>0</v>
      </c>
      <c r="Y399" s="18">
        <f>SUMPRODUCT(N([Dívida / PL]&gt;0),N(RIGHT([PAPEL],LEN([PAPEL])-(LEN([PAPEL])-1))="3"),[Dívida / PL])/SUMPRODUCT(N([Dívida / PL]&gt;0),N(RIGHT([PAPEL],LEN([PAPEL])-(LEN([PAPEL])-1))="3"))</f>
        <v>2.1510410379481146</v>
      </c>
      <c r="Z399" s="7">
        <f>Tabela3[[#This Row],[Capital Social]]*20%</f>
        <v>18000000</v>
      </c>
      <c r="AA399" s="47">
        <f>IF(([Lucro Líquido]*5%)&gt;[Teto R. Legal],[Teto R. Legal],[Lucro Líquido]*5%)</f>
        <v>-549450</v>
      </c>
      <c r="AB399" s="47">
        <f>IF([Lucro Líquido]&lt;0,0,[Lucro Líquido]-[Reserva Legal])</f>
        <v>0</v>
      </c>
      <c r="AC399" s="47">
        <f>Tabela3[[#This Row],[Lucro Distribuir]]*[%Div]</f>
        <v>0</v>
      </c>
      <c r="AD399" s="56">
        <f>SUMPRODUCT(N([Nome]=Tabela3[[#This Row],[Nome]]),[Ações])</f>
        <v>13579031</v>
      </c>
      <c r="AE399" s="85">
        <f>[Capital Social]/[Total Ações]</f>
        <v>6.6278661562816961</v>
      </c>
      <c r="AF399" s="85">
        <f>Tabela3[[#This Row],[Lucro Líquido]]/Tabela3[[#This Row],[Total Ações]]</f>
        <v>-0.80926245768199512</v>
      </c>
      <c r="AG399" s="85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</v>
      </c>
      <c r="AH399" s="85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399" s="77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399" s="85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</v>
      </c>
      <c r="AK399" s="7">
        <f>[Div Base]*[Ações]</f>
        <v>0</v>
      </c>
      <c r="AL399" s="7">
        <f>SUMPRODUCT(N([Nome]=Tabela3[[#This Row],[Nome]]),[Div Base]*[Ações])</f>
        <v>0</v>
      </c>
      <c r="AM399" s="5">
        <f>[Patrimônio Líquido]/[Total Ações]</f>
        <v>21.34931424782814</v>
      </c>
      <c r="AN399" s="52">
        <f>MAX(Tabela3[[#This Row],[Cotação 1]:[Cotação 5]])</f>
        <v>0</v>
      </c>
      <c r="AO399" s="53">
        <f>[Cotação]/[VPA]</f>
        <v>0</v>
      </c>
      <c r="AP399" s="37">
        <f>IF(Tabela3[[#This Row],[Lucro/Ação]]&gt;0,Tabela3[[#This Row],[Cotação]]/(Tabela3[[#This Row],[Lucro/Ação]]/[Ref]*4),0)</f>
        <v>0</v>
      </c>
      <c r="AQ399" s="85">
        <f>[Lucro Distribuir]/[Total Ações]</f>
        <v>0</v>
      </c>
      <c r="AR399" s="85">
        <f>IF([Unit ON]&gt;0,SUMPRODUCT(N([Nome]=Tabela3[[#This Row],[Nome]]),N(RIGHT([PAPEL],1)="3"),[Div Base])*[Unit ON]+SUMPRODUCT(N([Nome]=Tabela3[[#This Row],[Nome]]),N(RIGHT([PAPEL],1)="4"),[Div Base])*[Unit PN],[Div Base])</f>
        <v>0</v>
      </c>
      <c r="AS399" s="10" t="str">
        <f>IF(AND([% A.A.]&gt;=6%,SUMPRODUCT(N([Nome]=Tabela3[[#This Row],[Nome]]),[PL])&gt;0,[Rentabilidade s/ PL]&gt;=[Rentabilidade s/ PL Média]),"Sim","Não")</f>
        <v>Não</v>
      </c>
      <c r="AT399" s="22">
        <f>IF([Cotação]&gt;0,Tabela3[[#This Row],[Lucro]]/Tabela3[[#This Row],[Cotação]],0)</f>
        <v>0</v>
      </c>
      <c r="AU399" s="22">
        <f>((1+Tabela3[[#This Row],[% Yield]])^(1/(3*Tabela3[[#This Row],[Ref]])))^(12)-1</f>
        <v>0</v>
      </c>
      <c r="AV399" s="10">
        <f>IF([Cotação]&gt;0,($BH$1/Tabela3[[#This Row],[Cotação]]-MOD($BH$1/Tabela3[[#This Row],[Cotação]],100)),)</f>
        <v>0</v>
      </c>
      <c r="AW399" s="7">
        <f>Tabela3[[#This Row],[Ativos]]*[Lucro]</f>
        <v>0</v>
      </c>
      <c r="AX399" s="7">
        <f>SUMPRODUCT(N(Tabela1[Código]=Tabela3[[#This Row],[PAPEL]]),Tabela1[Fechamento])</f>
        <v>0</v>
      </c>
      <c r="AY399" s="7">
        <f>SUMPRODUCT(N(Tabela17[Código]=Tabela3[[#This Row],[PAPEL]]),Tabela17[Fechamento])</f>
        <v>0</v>
      </c>
      <c r="AZ399" s="7">
        <f>SUMPRODUCT(N(Tabela176[Código]=Tabela3[[#This Row],[PAPEL]]),Tabela176[Fechamento])</f>
        <v>0</v>
      </c>
      <c r="BA399" s="7">
        <f>SUMPRODUCT(N(Tabela1768[Código]=Tabela3[[#This Row],[PAPEL]]),Tabela1768[Fechamento])</f>
        <v>0</v>
      </c>
      <c r="BB399" s="7">
        <f>SUMPRODUCT(N(Tabela17683[Código]=Tabela3[[#This Row],[PAPEL]]),Tabela17683[Fechamento])</f>
        <v>0</v>
      </c>
    </row>
    <row r="400" spans="1:54" hidden="1">
      <c r="A400" s="3" t="s">
        <v>1027</v>
      </c>
      <c r="B400" s="58" t="s">
        <v>1024</v>
      </c>
      <c r="C400" s="16" t="str">
        <f>LEFT([PAPEL],LEN([PAPEL])-(LEN([PAPEL])-4))</f>
        <v>NAFG</v>
      </c>
      <c r="D400" s="16">
        <v>3</v>
      </c>
      <c r="E400" s="5">
        <v>90000000</v>
      </c>
      <c r="F400" s="56">
        <v>8065423</v>
      </c>
      <c r="G400" s="81">
        <v>0.25</v>
      </c>
      <c r="H400" s="87"/>
      <c r="I400" s="18">
        <v>0.06</v>
      </c>
      <c r="J400" s="18"/>
      <c r="K400" s="16"/>
      <c r="L400" s="87"/>
      <c r="M400" s="54"/>
      <c r="N400" s="54"/>
      <c r="O400" s="54"/>
      <c r="P400" s="91">
        <v>289903000</v>
      </c>
      <c r="Q400" s="73">
        <v>-10989000</v>
      </c>
      <c r="R400" s="73">
        <f>IF(Tabela3[[#This Row],[Ativo || Passivo]]&gt;0,Tabela3[[#This Row],[Ativo || Passivo]]-Tabela3[[#This Row],[Patrimônio Líquido]],0)</f>
        <v>0</v>
      </c>
      <c r="S400" s="73">
        <f>Tabela3[[#This Row],[Cotação]]*Tabela3[[#This Row],[Total Ações]]</f>
        <v>203685465</v>
      </c>
      <c r="T400" s="37">
        <f>IF(Tabela3[[#This Row],[Passivo Circulante]]&gt;0,Tabela3[[#This Row],[Ativo Circulante]]/Tabela3[[#This Row],[Passivo Circulante]],0)</f>
        <v>0</v>
      </c>
      <c r="U400" s="37">
        <f>SUMPRODUCT(N([Liquidez Corrente]&gt;0),N(RIGHT([PAPEL],LEN([PAPEL])-(LEN([PAPEL])-1))="3"),[Liquidez Corrente])/SUMPRODUCT(N([Liquidez Corrente]&gt;0),N(RIGHT([PAPEL],LEN([PAPEL])-(LEN([PAPEL])-1))="3"))</f>
        <v>2.331224473064915</v>
      </c>
      <c r="V400" s="18">
        <f>IF(Tabela3[[#This Row],[Lucro Líquido]]&gt;0,Tabela3[[#This Row],[Lucro Líquido]]/Tabela3[[#This Row],[Patrimônio Líquido]],0)</f>
        <v>0</v>
      </c>
      <c r="W400" s="18">
        <f>SUMPRODUCT(N([Rentabilidade s/ PL]&gt;0),N(RIGHT([PAPEL],LEN([PAPEL])-(LEN([PAPEL])-1))="3"),[Rentabilidade s/ PL])/SUMPRODUCT(N([Rentabilidade s/ PL]&gt;0),N(RIGHT([PAPEL],LEN([PAPEL])-(LEN([PAPEL])-1))="3"))</f>
        <v>0.1261051308670782</v>
      </c>
      <c r="X400" s="18">
        <f>IF(Tabela3[[#This Row],[Dívida]]&gt;0,Tabela3[[#This Row],[Dívida]]/Tabela3[[#This Row],[Patrimônio Líquido]],0)</f>
        <v>0</v>
      </c>
      <c r="Y400" s="18">
        <f>SUMPRODUCT(N([Dívida / PL]&gt;0),N(RIGHT([PAPEL],LEN([PAPEL])-(LEN([PAPEL])-1))="3"),[Dívida / PL])/SUMPRODUCT(N([Dívida / PL]&gt;0),N(RIGHT([PAPEL],LEN([PAPEL])-(LEN([PAPEL])-1))="3"))</f>
        <v>2.1510410379481146</v>
      </c>
      <c r="Z400" s="7">
        <f>Tabela3[[#This Row],[Capital Social]]*20%</f>
        <v>18000000</v>
      </c>
      <c r="AA400" s="47">
        <f>IF(([Lucro Líquido]*5%)&gt;[Teto R. Legal],[Teto R. Legal],[Lucro Líquido]*5%)</f>
        <v>-549450</v>
      </c>
      <c r="AB400" s="47">
        <f>IF([Lucro Líquido]&lt;0,0,[Lucro Líquido]-[Reserva Legal])</f>
        <v>0</v>
      </c>
      <c r="AC400" s="47">
        <f>Tabela3[[#This Row],[Lucro Distribuir]]*[%Div]</f>
        <v>0</v>
      </c>
      <c r="AD400" s="56">
        <f>SUMPRODUCT(N([Nome]=Tabela3[[#This Row],[Nome]]),[Ações])</f>
        <v>13579031</v>
      </c>
      <c r="AE400" s="85">
        <f>[Capital Social]/[Total Ações]</f>
        <v>6.6278661562816961</v>
      </c>
      <c r="AF400" s="85">
        <f>Tabela3[[#This Row],[Lucro Líquido]]/Tabela3[[#This Row],[Total Ações]]</f>
        <v>-0.80926245768199512</v>
      </c>
      <c r="AG400" s="85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</v>
      </c>
      <c r="AH400" s="85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400" s="77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400" s="85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</v>
      </c>
      <c r="AK400" s="7">
        <f>[Div Base]*[Ações]</f>
        <v>0</v>
      </c>
      <c r="AL400" s="7">
        <f>SUMPRODUCT(N([Nome]=Tabela3[[#This Row],[Nome]]),[Div Base]*[Ações])</f>
        <v>0</v>
      </c>
      <c r="AM400" s="5">
        <f>[Patrimônio Líquido]/[Total Ações]</f>
        <v>21.34931424782814</v>
      </c>
      <c r="AN400" s="52">
        <f>MAX(Tabela3[[#This Row],[Cotação 1]:[Cotação 5]])</f>
        <v>15</v>
      </c>
      <c r="AO400" s="53">
        <f>[Cotação]/[VPA]</f>
        <v>0.70259867955833499</v>
      </c>
      <c r="AP400" s="37">
        <f>IF(Tabela3[[#This Row],[Lucro/Ação]]&gt;0,Tabela3[[#This Row],[Cotação]]/(Tabela3[[#This Row],[Lucro/Ação]]/[Ref]*4),0)</f>
        <v>0</v>
      </c>
      <c r="AQ400" s="85">
        <f>[Lucro Distribuir]/[Total Ações]</f>
        <v>0</v>
      </c>
      <c r="AR400" s="85">
        <f>IF([Unit ON]&gt;0,SUMPRODUCT(N([Nome]=Tabela3[[#This Row],[Nome]]),N(RIGHT([PAPEL],1)="3"),[Div Base])*[Unit ON]+SUMPRODUCT(N([Nome]=Tabela3[[#This Row],[Nome]]),N(RIGHT([PAPEL],1)="4"),[Div Base])*[Unit PN],[Div Base])</f>
        <v>0</v>
      </c>
      <c r="AS400" s="10" t="str">
        <f>IF(AND([% A.A.]&gt;=6%,SUMPRODUCT(N([Nome]=Tabela3[[#This Row],[Nome]]),[PL])&gt;0,[Rentabilidade s/ PL]&gt;=[Rentabilidade s/ PL Média]),"Sim","Não")</f>
        <v>Não</v>
      </c>
      <c r="AT400" s="22">
        <f>IF([Cotação]&gt;0,Tabela3[[#This Row],[Lucro]]/Tabela3[[#This Row],[Cotação]],0)</f>
        <v>0</v>
      </c>
      <c r="AU400" s="22">
        <f>((1+Tabela3[[#This Row],[% Yield]])^(1/(3*Tabela3[[#This Row],[Ref]])))^(12)-1</f>
        <v>0</v>
      </c>
      <c r="AV400" s="10">
        <f>IF([Cotação]&gt;0,($BH$1/Tabela3[[#This Row],[Cotação]]-MOD($BH$1/Tabela3[[#This Row],[Cotação]],100)),)</f>
        <v>0</v>
      </c>
      <c r="AW400" s="7">
        <f>Tabela3[[#This Row],[Ativos]]*[Lucro]</f>
        <v>0</v>
      </c>
      <c r="AX400" s="7">
        <f>SUMPRODUCT(N(Tabela1[Código]=Tabela3[[#This Row],[PAPEL]]),Tabela1[Fechamento])</f>
        <v>0</v>
      </c>
      <c r="AY400" s="7">
        <f>SUMPRODUCT(N(Tabela17[Código]=Tabela3[[#This Row],[PAPEL]]),Tabela17[Fechamento])</f>
        <v>0</v>
      </c>
      <c r="AZ400" s="7">
        <f>SUMPRODUCT(N(Tabela176[Código]=Tabela3[[#This Row],[PAPEL]]),Tabela176[Fechamento])</f>
        <v>0</v>
      </c>
      <c r="BA400" s="7">
        <f>SUMPRODUCT(N(Tabela1768[Código]=Tabela3[[#This Row],[PAPEL]]),Tabela1768[Fechamento])</f>
        <v>15</v>
      </c>
      <c r="BB400" s="7">
        <f>SUMPRODUCT(N(Tabela17683[Código]=Tabela3[[#This Row],[PAPEL]]),Tabela17683[Fechamento])</f>
        <v>0</v>
      </c>
    </row>
    <row r="401" spans="1:54">
      <c r="A401" s="3" t="s">
        <v>275</v>
      </c>
      <c r="B401" s="58" t="s">
        <v>869</v>
      </c>
      <c r="C401" s="16" t="str">
        <f>LEFT([PAPEL],LEN([PAPEL])-(LEN([PAPEL])-4))</f>
        <v>IGUA</v>
      </c>
      <c r="D401" s="16">
        <v>4</v>
      </c>
      <c r="E401" s="5">
        <v>90064557.299999997</v>
      </c>
      <c r="F401" s="56">
        <v>9684360</v>
      </c>
      <c r="G401" s="81">
        <v>0.25</v>
      </c>
      <c r="H401" s="87"/>
      <c r="J401" s="18"/>
      <c r="K401" s="16"/>
      <c r="L401" s="87"/>
      <c r="M401" s="54"/>
      <c r="N401" s="54"/>
      <c r="O401" s="54"/>
      <c r="P401" s="91">
        <v>-151033000</v>
      </c>
      <c r="Q401" s="73">
        <v>-11320000</v>
      </c>
      <c r="R401" s="73">
        <f>IF(Tabela3[[#This Row],[Ativo || Passivo]]&gt;0,Tabela3[[#This Row],[Ativo || Passivo]]-Tabela3[[#This Row],[Patrimônio Líquido]],0)</f>
        <v>0</v>
      </c>
      <c r="S401" s="73">
        <f>Tabela3[[#This Row],[Cotação]]*Tabela3[[#This Row],[Total Ações]]</f>
        <v>108949061.25</v>
      </c>
      <c r="T401" s="37">
        <f>IF(Tabela3[[#This Row],[Passivo Circulante]]&gt;0,Tabela3[[#This Row],[Ativo Circulante]]/Tabela3[[#This Row],[Passivo Circulante]],0)</f>
        <v>0</v>
      </c>
      <c r="U401" s="37">
        <f>SUMPRODUCT(N([Liquidez Corrente]&gt;0),N(RIGHT([PAPEL],LEN([PAPEL])-(LEN([PAPEL])-1))="3"),[Liquidez Corrente])/SUMPRODUCT(N([Liquidez Corrente]&gt;0),N(RIGHT([PAPEL],LEN([PAPEL])-(LEN([PAPEL])-1))="3"))</f>
        <v>2.331224473064915</v>
      </c>
      <c r="V401" s="18">
        <f>IF(Tabela3[[#This Row],[Lucro Líquido]]&gt;0,Tabela3[[#This Row],[Lucro Líquido]]/Tabela3[[#This Row],[Patrimônio Líquido]],0)</f>
        <v>0</v>
      </c>
      <c r="W401" s="18">
        <f>SUMPRODUCT(N([Rentabilidade s/ PL]&gt;0),N(RIGHT([PAPEL],LEN([PAPEL])-(LEN([PAPEL])-1))="3"),[Rentabilidade s/ PL])/SUMPRODUCT(N([Rentabilidade s/ PL]&gt;0),N(RIGHT([PAPEL],LEN([PAPEL])-(LEN([PAPEL])-1))="3"))</f>
        <v>0.1261051308670782</v>
      </c>
      <c r="X401" s="18">
        <f>IF(Tabela3[[#This Row],[Dívida]]&gt;0,Tabela3[[#This Row],[Dívida]]/Tabela3[[#This Row],[Patrimônio Líquido]],0)</f>
        <v>0</v>
      </c>
      <c r="Y401" s="18">
        <f>SUMPRODUCT(N([Dívida / PL]&gt;0),N(RIGHT([PAPEL],LEN([PAPEL])-(LEN([PAPEL])-1))="3"),[Dívida / PL])/SUMPRODUCT(N([Dívida / PL]&gt;0),N(RIGHT([PAPEL],LEN([PAPEL])-(LEN([PAPEL])-1))="3"))</f>
        <v>2.1510410379481146</v>
      </c>
      <c r="Z401" s="7">
        <f>Tabela3[[#This Row],[Capital Social]]*20%</f>
        <v>18012911.460000001</v>
      </c>
      <c r="AA401" s="47">
        <f>IF(([Lucro Líquido]*5%)&gt;[Teto R. Legal],[Teto R. Legal],[Lucro Líquido]*5%)</f>
        <v>-566000</v>
      </c>
      <c r="AB401" s="47">
        <f>IF([Lucro Líquido]&lt;0,0,[Lucro Líquido]-[Reserva Legal])</f>
        <v>0</v>
      </c>
      <c r="AC401" s="47">
        <f>Tabela3[[#This Row],[Lucro Distribuir]]*[%Div]</f>
        <v>0</v>
      </c>
      <c r="AD401" s="56">
        <f>SUMPRODUCT(N([Nome]=Tabela3[[#This Row],[Nome]]),[Ações])</f>
        <v>29053083</v>
      </c>
      <c r="AE401" s="85">
        <f>[Capital Social]/[Total Ações]</f>
        <v>3.1</v>
      </c>
      <c r="AF401" s="85">
        <f>Tabela3[[#This Row],[Lucro Líquido]]/Tabela3[[#This Row],[Total Ações]]</f>
        <v>-0.38963162704625875</v>
      </c>
      <c r="AG401" s="85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</v>
      </c>
      <c r="AH401" s="85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401" s="77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401" s="85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</v>
      </c>
      <c r="AK401" s="7">
        <f>[Div Base]*[Ações]</f>
        <v>0</v>
      </c>
      <c r="AL401" s="7">
        <f>SUMPRODUCT(N([Nome]=Tabela3[[#This Row],[Nome]]),[Div Base]*[Ações])</f>
        <v>0</v>
      </c>
      <c r="AM401" s="5">
        <f>[Patrimônio Líquido]/[Total Ações]</f>
        <v>-5.1985188628690455</v>
      </c>
      <c r="AN401" s="52">
        <f>MAX(Tabela3[[#This Row],[Cotação 1]:[Cotação 5]])</f>
        <v>3.75</v>
      </c>
      <c r="AO401" s="53">
        <f>[Cotação]/[VPA]</f>
        <v>-0.72135931385856067</v>
      </c>
      <c r="AP401" s="37">
        <f>IF(Tabela3[[#This Row],[Lucro/Ação]]&gt;0,Tabela3[[#This Row],[Cotação]]/(Tabela3[[#This Row],[Lucro/Ação]]/[Ref]*4),0)</f>
        <v>0</v>
      </c>
      <c r="AQ401" s="85">
        <f>[Lucro Distribuir]/[Total Ações]</f>
        <v>0</v>
      </c>
      <c r="AR401" s="85">
        <f>IF([Unit ON]&gt;0,SUMPRODUCT(N([Nome]=Tabela3[[#This Row],[Nome]]),N(RIGHT([PAPEL],1)="3"),[Div Base])*[Unit ON]+SUMPRODUCT(N([Nome]=Tabela3[[#This Row],[Nome]]),N(RIGHT([PAPEL],1)="4"),[Div Base])*[Unit PN],[Div Base])</f>
        <v>0</v>
      </c>
      <c r="AS401" s="10" t="str">
        <f>IF(AND([% A.A.]&gt;=6%,SUMPRODUCT(N([Nome]=Tabela3[[#This Row],[Nome]]),[PL])&gt;0,[Rentabilidade s/ PL]&gt;=[Rentabilidade s/ PL Média]),"Sim","Não")</f>
        <v>Não</v>
      </c>
      <c r="AT401" s="22">
        <f>IF([Cotação]&gt;0,Tabela3[[#This Row],[Lucro]]/Tabela3[[#This Row],[Cotação]],0)</f>
        <v>0</v>
      </c>
      <c r="AU401" s="22">
        <f>((1+Tabela3[[#This Row],[% Yield]])^(1/(3*Tabela3[[#This Row],[Ref]])))^(12)-1</f>
        <v>0</v>
      </c>
      <c r="AV401" s="10">
        <f>IF([Cotação]&gt;0,($BH$1/Tabela3[[#This Row],[Cotação]]-MOD($BH$1/Tabela3[[#This Row],[Cotação]],100)),)</f>
        <v>100</v>
      </c>
      <c r="AW401" s="7">
        <f>Tabela3[[#This Row],[Ativos]]*[Lucro]</f>
        <v>0</v>
      </c>
      <c r="AX401" s="7">
        <f>SUMPRODUCT(N(Tabela1[Código]=Tabela3[[#This Row],[PAPEL]]),Tabela1[Fechamento])</f>
        <v>0</v>
      </c>
      <c r="AY401" s="7">
        <f>SUMPRODUCT(N(Tabela17[Código]=Tabela3[[#This Row],[PAPEL]]),Tabela17[Fechamento])</f>
        <v>0</v>
      </c>
      <c r="AZ401" s="7">
        <f>SUMPRODUCT(N(Tabela176[Código]=Tabela3[[#This Row],[PAPEL]]),Tabela176[Fechamento])</f>
        <v>0</v>
      </c>
      <c r="BA401" s="7">
        <f>SUMPRODUCT(N(Tabela1768[Código]=Tabela3[[#This Row],[PAPEL]]),Tabela1768[Fechamento])</f>
        <v>3.75</v>
      </c>
      <c r="BB401" s="7">
        <f>SUMPRODUCT(N(Tabela17683[Código]=Tabela3[[#This Row],[PAPEL]]),Tabela17683[Fechamento])</f>
        <v>0</v>
      </c>
    </row>
    <row r="402" spans="1:54">
      <c r="A402" s="3" t="s">
        <v>275</v>
      </c>
      <c r="B402" s="58" t="s">
        <v>870</v>
      </c>
      <c r="C402" s="16" t="str">
        <f>LEFT([PAPEL],LEN([PAPEL])-(LEN([PAPEL])-4))</f>
        <v>IGUA</v>
      </c>
      <c r="D402" s="16">
        <v>4</v>
      </c>
      <c r="E402" s="5">
        <v>90064557.299999997</v>
      </c>
      <c r="F402" s="56">
        <v>7378562</v>
      </c>
      <c r="G402" s="81">
        <v>0.25</v>
      </c>
      <c r="H402" s="87"/>
      <c r="I402" s="18">
        <v>0.12</v>
      </c>
      <c r="J402" s="18"/>
      <c r="K402" s="16"/>
      <c r="L402" s="87"/>
      <c r="M402" s="54"/>
      <c r="N402" s="54"/>
      <c r="O402" s="54"/>
      <c r="P402" s="91">
        <v>-151033000</v>
      </c>
      <c r="Q402" s="73">
        <v>-11320000</v>
      </c>
      <c r="R402" s="73">
        <f>IF(Tabela3[[#This Row],[Ativo || Passivo]]&gt;0,Tabela3[[#This Row],[Ativo || Passivo]]-Tabela3[[#This Row],[Patrimônio Líquido]],0)</f>
        <v>0</v>
      </c>
      <c r="S402" s="73">
        <f>Tabela3[[#This Row],[Cotação]]*Tabela3[[#This Row],[Total Ações]]</f>
        <v>81639163.230000004</v>
      </c>
      <c r="T402" s="37">
        <f>IF(Tabela3[[#This Row],[Passivo Circulante]]&gt;0,Tabela3[[#This Row],[Ativo Circulante]]/Tabela3[[#This Row],[Passivo Circulante]],0)</f>
        <v>0</v>
      </c>
      <c r="U402" s="37">
        <f>SUMPRODUCT(N([Liquidez Corrente]&gt;0),N(RIGHT([PAPEL],LEN([PAPEL])-(LEN([PAPEL])-1))="3"),[Liquidez Corrente])/SUMPRODUCT(N([Liquidez Corrente]&gt;0),N(RIGHT([PAPEL],LEN([PAPEL])-(LEN([PAPEL])-1))="3"))</f>
        <v>2.331224473064915</v>
      </c>
      <c r="V402" s="18">
        <f>IF(Tabela3[[#This Row],[Lucro Líquido]]&gt;0,Tabela3[[#This Row],[Lucro Líquido]]/Tabela3[[#This Row],[Patrimônio Líquido]],0)</f>
        <v>0</v>
      </c>
      <c r="W402" s="18">
        <f>SUMPRODUCT(N([Rentabilidade s/ PL]&gt;0),N(RIGHT([PAPEL],LEN([PAPEL])-(LEN([PAPEL])-1))="3"),[Rentabilidade s/ PL])/SUMPRODUCT(N([Rentabilidade s/ PL]&gt;0),N(RIGHT([PAPEL],LEN([PAPEL])-(LEN([PAPEL])-1))="3"))</f>
        <v>0.1261051308670782</v>
      </c>
      <c r="X402" s="18">
        <f>IF(Tabela3[[#This Row],[Dívida]]&gt;0,Tabela3[[#This Row],[Dívida]]/Tabela3[[#This Row],[Patrimônio Líquido]],0)</f>
        <v>0</v>
      </c>
      <c r="Y402" s="18">
        <f>SUMPRODUCT(N([Dívida / PL]&gt;0),N(RIGHT([PAPEL],LEN([PAPEL])-(LEN([PAPEL])-1))="3"),[Dívida / PL])/SUMPRODUCT(N([Dívida / PL]&gt;0),N(RIGHT([PAPEL],LEN([PAPEL])-(LEN([PAPEL])-1))="3"))</f>
        <v>2.1510410379481146</v>
      </c>
      <c r="Z402" s="7">
        <f>Tabela3[[#This Row],[Capital Social]]*20%</f>
        <v>18012911.460000001</v>
      </c>
      <c r="AA402" s="47">
        <f>IF(([Lucro Líquido]*5%)&gt;[Teto R. Legal],[Teto R. Legal],[Lucro Líquido]*5%)</f>
        <v>-566000</v>
      </c>
      <c r="AB402" s="47">
        <f>IF([Lucro Líquido]&lt;0,0,[Lucro Líquido]-[Reserva Legal])</f>
        <v>0</v>
      </c>
      <c r="AC402" s="47">
        <f>Tabela3[[#This Row],[Lucro Distribuir]]*[%Div]</f>
        <v>0</v>
      </c>
      <c r="AD402" s="56">
        <f>SUMPRODUCT(N([Nome]=Tabela3[[#This Row],[Nome]]),[Ações])</f>
        <v>29053083</v>
      </c>
      <c r="AE402" s="85">
        <f>[Capital Social]/[Total Ações]</f>
        <v>3.1</v>
      </c>
      <c r="AF402" s="85">
        <f>Tabela3[[#This Row],[Lucro Líquido]]/Tabela3[[#This Row],[Total Ações]]</f>
        <v>-0.38963162704625875</v>
      </c>
      <c r="AG402" s="85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</v>
      </c>
      <c r="AH402" s="85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402" s="77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402" s="85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</v>
      </c>
      <c r="AK402" s="7">
        <f>[Div Base]*[Ações]</f>
        <v>0</v>
      </c>
      <c r="AL402" s="7">
        <f>SUMPRODUCT(N([Nome]=Tabela3[[#This Row],[Nome]]),[Div Base]*[Ações])</f>
        <v>0</v>
      </c>
      <c r="AM402" s="5">
        <f>[Patrimônio Líquido]/[Total Ações]</f>
        <v>-5.1985188628690455</v>
      </c>
      <c r="AN402" s="52">
        <f>MAX(Tabela3[[#This Row],[Cotação 1]:[Cotação 5]])</f>
        <v>2.81</v>
      </c>
      <c r="AO402" s="53">
        <f>[Cotação]/[VPA]</f>
        <v>-0.54053857918468151</v>
      </c>
      <c r="AP402" s="37">
        <f>IF(Tabela3[[#This Row],[Lucro/Ação]]&gt;0,Tabela3[[#This Row],[Cotação]]/(Tabela3[[#This Row],[Lucro/Ação]]/[Ref]*4),0)</f>
        <v>0</v>
      </c>
      <c r="AQ402" s="85">
        <f>[Lucro Distribuir]/[Total Ações]</f>
        <v>0</v>
      </c>
      <c r="AR402" s="85">
        <f>IF([Unit ON]&gt;0,SUMPRODUCT(N([Nome]=Tabela3[[#This Row],[Nome]]),N(RIGHT([PAPEL],1)="3"),[Div Base])*[Unit ON]+SUMPRODUCT(N([Nome]=Tabela3[[#This Row],[Nome]]),N(RIGHT([PAPEL],1)="4"),[Div Base])*[Unit PN],[Div Base])</f>
        <v>0</v>
      </c>
      <c r="AS402" s="10" t="str">
        <f>IF(AND([% A.A.]&gt;=6%,SUMPRODUCT(N([Nome]=Tabela3[[#This Row],[Nome]]),[PL])&gt;0,[Rentabilidade s/ PL]&gt;=[Rentabilidade s/ PL Média]),"Sim","Não")</f>
        <v>Não</v>
      </c>
      <c r="AT402" s="22">
        <f>IF([Cotação]&gt;0,Tabela3[[#This Row],[Lucro]]/Tabela3[[#This Row],[Cotação]],0)</f>
        <v>0</v>
      </c>
      <c r="AU402" s="22">
        <f>((1+Tabela3[[#This Row],[% Yield]])^(1/(3*Tabela3[[#This Row],[Ref]])))^(12)-1</f>
        <v>0</v>
      </c>
      <c r="AV402" s="10">
        <f>IF([Cotação]&gt;0,($BH$1/Tabela3[[#This Row],[Cotação]]-MOD($BH$1/Tabela3[[#This Row],[Cotação]],100)),)</f>
        <v>100</v>
      </c>
      <c r="AW402" s="7">
        <f>Tabela3[[#This Row],[Ativos]]*[Lucro]</f>
        <v>0</v>
      </c>
      <c r="AX402" s="7">
        <f>SUMPRODUCT(N(Tabela1[Código]=Tabela3[[#This Row],[PAPEL]]),Tabela1[Fechamento])</f>
        <v>0</v>
      </c>
      <c r="AY402" s="7">
        <f>SUMPRODUCT(N(Tabela17[Código]=Tabela3[[#This Row],[PAPEL]]),Tabela17[Fechamento])</f>
        <v>0</v>
      </c>
      <c r="AZ402" s="7">
        <f>SUMPRODUCT(N(Tabela176[Código]=Tabela3[[#This Row],[PAPEL]]),Tabela176[Fechamento])</f>
        <v>0</v>
      </c>
      <c r="BA402" s="7">
        <f>SUMPRODUCT(N(Tabela1768[Código]=Tabela3[[#This Row],[PAPEL]]),Tabela1768[Fechamento])</f>
        <v>2.81</v>
      </c>
      <c r="BB402" s="7">
        <f>SUMPRODUCT(N(Tabela17683[Código]=Tabela3[[#This Row],[PAPEL]]),Tabela17683[Fechamento])</f>
        <v>0</v>
      </c>
    </row>
    <row r="403" spans="1:54">
      <c r="A403" s="3" t="s">
        <v>275</v>
      </c>
      <c r="B403" s="58" t="s">
        <v>871</v>
      </c>
      <c r="C403" s="16" t="str">
        <f>LEFT([PAPEL],LEN([PAPEL])-(LEN([PAPEL])-4))</f>
        <v>IGUA</v>
      </c>
      <c r="D403" s="16">
        <v>4</v>
      </c>
      <c r="E403" s="5">
        <v>90064557.299999997</v>
      </c>
      <c r="F403" s="56">
        <v>11990161</v>
      </c>
      <c r="G403" s="81">
        <v>0.25</v>
      </c>
      <c r="H403" s="87"/>
      <c r="I403" s="18">
        <v>0.08</v>
      </c>
      <c r="J403" s="18"/>
      <c r="K403" s="16"/>
      <c r="L403" s="87"/>
      <c r="M403" s="54"/>
      <c r="N403" s="54"/>
      <c r="O403" s="54"/>
      <c r="P403" s="91">
        <v>-151033000</v>
      </c>
      <c r="Q403" s="73">
        <v>-11320000</v>
      </c>
      <c r="R403" s="73">
        <f>IF(Tabela3[[#This Row],[Ativo || Passivo]]&gt;0,Tabela3[[#This Row],[Ativo || Passivo]]-Tabela3[[#This Row],[Patrimônio Líquido]],0)</f>
        <v>0</v>
      </c>
      <c r="S403" s="73">
        <f>Tabela3[[#This Row],[Cotação]]*Tabela3[[#This Row],[Total Ações]]</f>
        <v>95875173.899999991</v>
      </c>
      <c r="T403" s="37">
        <f>IF(Tabela3[[#This Row],[Passivo Circulante]]&gt;0,Tabela3[[#This Row],[Ativo Circulante]]/Tabela3[[#This Row],[Passivo Circulante]],0)</f>
        <v>0</v>
      </c>
      <c r="U403" s="37">
        <f>SUMPRODUCT(N([Liquidez Corrente]&gt;0),N(RIGHT([PAPEL],LEN([PAPEL])-(LEN([PAPEL])-1))="3"),[Liquidez Corrente])/SUMPRODUCT(N([Liquidez Corrente]&gt;0),N(RIGHT([PAPEL],LEN([PAPEL])-(LEN([PAPEL])-1))="3"))</f>
        <v>2.331224473064915</v>
      </c>
      <c r="V403" s="18">
        <f>IF(Tabela3[[#This Row],[Lucro Líquido]]&gt;0,Tabela3[[#This Row],[Lucro Líquido]]/Tabela3[[#This Row],[Patrimônio Líquido]],0)</f>
        <v>0</v>
      </c>
      <c r="W403" s="18">
        <f>SUMPRODUCT(N([Rentabilidade s/ PL]&gt;0),N(RIGHT([PAPEL],LEN([PAPEL])-(LEN([PAPEL])-1))="3"),[Rentabilidade s/ PL])/SUMPRODUCT(N([Rentabilidade s/ PL]&gt;0),N(RIGHT([PAPEL],LEN([PAPEL])-(LEN([PAPEL])-1))="3"))</f>
        <v>0.1261051308670782</v>
      </c>
      <c r="X403" s="18">
        <f>IF(Tabela3[[#This Row],[Dívida]]&gt;0,Tabela3[[#This Row],[Dívida]]/Tabela3[[#This Row],[Patrimônio Líquido]],0)</f>
        <v>0</v>
      </c>
      <c r="Y403" s="18">
        <f>SUMPRODUCT(N([Dívida / PL]&gt;0),N(RIGHT([PAPEL],LEN([PAPEL])-(LEN([PAPEL])-1))="3"),[Dívida / PL])/SUMPRODUCT(N([Dívida / PL]&gt;0),N(RIGHT([PAPEL],LEN([PAPEL])-(LEN([PAPEL])-1))="3"))</f>
        <v>2.1510410379481146</v>
      </c>
      <c r="Z403" s="7">
        <f>Tabela3[[#This Row],[Capital Social]]*20%</f>
        <v>18012911.460000001</v>
      </c>
      <c r="AA403" s="47">
        <f>IF(([Lucro Líquido]*5%)&gt;[Teto R. Legal],[Teto R. Legal],[Lucro Líquido]*5%)</f>
        <v>-566000</v>
      </c>
      <c r="AB403" s="47">
        <f>IF([Lucro Líquido]&lt;0,0,[Lucro Líquido]-[Reserva Legal])</f>
        <v>0</v>
      </c>
      <c r="AC403" s="47">
        <f>Tabela3[[#This Row],[Lucro Distribuir]]*[%Div]</f>
        <v>0</v>
      </c>
      <c r="AD403" s="56">
        <f>SUMPRODUCT(N([Nome]=Tabela3[[#This Row],[Nome]]),[Ações])</f>
        <v>29053083</v>
      </c>
      <c r="AE403" s="85">
        <f>[Capital Social]/[Total Ações]</f>
        <v>3.1</v>
      </c>
      <c r="AF403" s="85">
        <f>Tabela3[[#This Row],[Lucro Líquido]]/Tabela3[[#This Row],[Total Ações]]</f>
        <v>-0.38963162704625875</v>
      </c>
      <c r="AG403" s="85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</v>
      </c>
      <c r="AH403" s="85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403" s="77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403" s="85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</v>
      </c>
      <c r="AK403" s="7">
        <f>[Div Base]*[Ações]</f>
        <v>0</v>
      </c>
      <c r="AL403" s="7">
        <f>SUMPRODUCT(N([Nome]=Tabela3[[#This Row],[Nome]]),[Div Base]*[Ações])</f>
        <v>0</v>
      </c>
      <c r="AM403" s="5">
        <f>[Patrimônio Líquido]/[Total Ações]</f>
        <v>-5.1985188628690455</v>
      </c>
      <c r="AN403" s="52">
        <f>MAX(Tabela3[[#This Row],[Cotação 1]:[Cotação 5]])</f>
        <v>3.3</v>
      </c>
      <c r="AO403" s="53">
        <f>[Cotação]/[VPA]</f>
        <v>-0.6347961961955334</v>
      </c>
      <c r="AP403" s="37">
        <f>IF(Tabela3[[#This Row],[Lucro/Ação]]&gt;0,Tabela3[[#This Row],[Cotação]]/(Tabela3[[#This Row],[Lucro/Ação]]/[Ref]*4),0)</f>
        <v>0</v>
      </c>
      <c r="AQ403" s="85">
        <f>[Lucro Distribuir]/[Total Ações]</f>
        <v>0</v>
      </c>
      <c r="AR403" s="85">
        <f>IF([Unit ON]&gt;0,SUMPRODUCT(N([Nome]=Tabela3[[#This Row],[Nome]]),N(RIGHT([PAPEL],1)="3"),[Div Base])*[Unit ON]+SUMPRODUCT(N([Nome]=Tabela3[[#This Row],[Nome]]),N(RIGHT([PAPEL],1)="4"),[Div Base])*[Unit PN],[Div Base])</f>
        <v>0</v>
      </c>
      <c r="AS403" s="10" t="str">
        <f>IF(AND([% A.A.]&gt;=6%,SUMPRODUCT(N([Nome]=Tabela3[[#This Row],[Nome]]),[PL])&gt;0,[Rentabilidade s/ PL]&gt;=[Rentabilidade s/ PL Média]),"Sim","Não")</f>
        <v>Não</v>
      </c>
      <c r="AT403" s="22">
        <f>IF([Cotação]&gt;0,Tabela3[[#This Row],[Lucro]]/Tabela3[[#This Row],[Cotação]],0)</f>
        <v>0</v>
      </c>
      <c r="AU403" s="22">
        <f>((1+Tabela3[[#This Row],[% Yield]])^(1/(3*Tabela3[[#This Row],[Ref]])))^(12)-1</f>
        <v>0</v>
      </c>
      <c r="AV403" s="10">
        <f>IF([Cotação]&gt;0,($BH$1/Tabela3[[#This Row],[Cotação]]-MOD($BH$1/Tabela3[[#This Row],[Cotação]],100)),)</f>
        <v>100</v>
      </c>
      <c r="AW403" s="7">
        <f>Tabela3[[#This Row],[Ativos]]*[Lucro]</f>
        <v>0</v>
      </c>
      <c r="AX403" s="7">
        <f>SUMPRODUCT(N(Tabela1[Código]=Tabela3[[#This Row],[PAPEL]]),Tabela1[Fechamento])</f>
        <v>0</v>
      </c>
      <c r="AY403" s="7">
        <f>SUMPRODUCT(N(Tabela17[Código]=Tabela3[[#This Row],[PAPEL]]),Tabela17[Fechamento])</f>
        <v>0</v>
      </c>
      <c r="AZ403" s="7">
        <f>SUMPRODUCT(N(Tabela176[Código]=Tabela3[[#This Row],[PAPEL]]),Tabela176[Fechamento])</f>
        <v>0</v>
      </c>
      <c r="BA403" s="7">
        <f>SUMPRODUCT(N(Tabela1768[Código]=Tabela3[[#This Row],[PAPEL]]),Tabela1768[Fechamento])</f>
        <v>3.3</v>
      </c>
      <c r="BB403" s="7">
        <f>SUMPRODUCT(N(Tabela17683[Código]=Tabela3[[#This Row],[PAPEL]]),Tabela17683[Fechamento])</f>
        <v>0</v>
      </c>
    </row>
    <row r="404" spans="1:54" hidden="1">
      <c r="A404" s="3" t="s">
        <v>1157</v>
      </c>
      <c r="B404" s="58" t="s">
        <v>1158</v>
      </c>
      <c r="C404" s="16" t="str">
        <f>LEFT([PAPEL],LEN([PAPEL])-(LEN([PAPEL])-4))</f>
        <v>IMCH</v>
      </c>
      <c r="D404" s="16">
        <v>3</v>
      </c>
      <c r="E404" s="5">
        <v>639606303.27999997</v>
      </c>
      <c r="F404" s="56">
        <v>84482793</v>
      </c>
      <c r="G404" s="81">
        <v>0.25</v>
      </c>
      <c r="H404" s="87"/>
      <c r="J404" s="18"/>
      <c r="K404" s="16"/>
      <c r="L404" s="87"/>
      <c r="M404" s="54"/>
      <c r="N404" s="54"/>
      <c r="O404" s="54"/>
      <c r="P404" s="91">
        <v>894106000</v>
      </c>
      <c r="Q404" s="73">
        <v>-12039000</v>
      </c>
      <c r="R404" s="73">
        <f>IF(Tabela3[[#This Row],[Ativo || Passivo]]&gt;0,Tabela3[[#This Row],[Ativo || Passivo]]-Tabela3[[#This Row],[Patrimônio Líquido]],0)</f>
        <v>0</v>
      </c>
      <c r="S404" s="73">
        <f>Tabela3[[#This Row],[Cotação]]*Tabela3[[#This Row],[Total Ações]]</f>
        <v>1351724688</v>
      </c>
      <c r="T404" s="37">
        <f>IF(Tabela3[[#This Row],[Passivo Circulante]]&gt;0,Tabela3[[#This Row],[Ativo Circulante]]/Tabela3[[#This Row],[Passivo Circulante]],0)</f>
        <v>0</v>
      </c>
      <c r="U404" s="37">
        <f>SUMPRODUCT(N([Liquidez Corrente]&gt;0),N(RIGHT([PAPEL],LEN([PAPEL])-(LEN([PAPEL])-1))="3"),[Liquidez Corrente])/SUMPRODUCT(N([Liquidez Corrente]&gt;0),N(RIGHT([PAPEL],LEN([PAPEL])-(LEN([PAPEL])-1))="3"))</f>
        <v>2.331224473064915</v>
      </c>
      <c r="V404" s="18">
        <f>IF(Tabela3[[#This Row],[Lucro Líquido]]&gt;0,Tabela3[[#This Row],[Lucro Líquido]]/Tabela3[[#This Row],[Patrimônio Líquido]],0)</f>
        <v>0</v>
      </c>
      <c r="W404" s="18">
        <f>SUMPRODUCT(N([Rentabilidade s/ PL]&gt;0),N(RIGHT([PAPEL],LEN([PAPEL])-(LEN([PAPEL])-1))="3"),[Rentabilidade s/ PL])/SUMPRODUCT(N([Rentabilidade s/ PL]&gt;0),N(RIGHT([PAPEL],LEN([PAPEL])-(LEN([PAPEL])-1))="3"))</f>
        <v>0.1261051308670782</v>
      </c>
      <c r="X404" s="18">
        <f>IF(Tabela3[[#This Row],[Dívida]]&gt;0,Tabela3[[#This Row],[Dívida]]/Tabela3[[#This Row],[Patrimônio Líquido]],0)</f>
        <v>0</v>
      </c>
      <c r="Y404" s="18">
        <f>SUMPRODUCT(N([Dívida / PL]&gt;0),N(RIGHT([PAPEL],LEN([PAPEL])-(LEN([PAPEL])-1))="3"),[Dívida / PL])/SUMPRODUCT(N([Dívida / PL]&gt;0),N(RIGHT([PAPEL],LEN([PAPEL])-(LEN([PAPEL])-1))="3"))</f>
        <v>2.1510410379481146</v>
      </c>
      <c r="Z404" s="7">
        <f>Tabela3[[#This Row],[Capital Social]]*20%</f>
        <v>127921260.656</v>
      </c>
      <c r="AA404" s="47">
        <f>IF(([Lucro Líquido]*5%)&gt;[Teto R. Legal],[Teto R. Legal],[Lucro Líquido]*5%)</f>
        <v>-601950</v>
      </c>
      <c r="AB404" s="47">
        <f>IF([Lucro Líquido]&lt;0,0,[Lucro Líquido]-[Reserva Legal])</f>
        <v>0</v>
      </c>
      <c r="AC404" s="47">
        <f>Tabela3[[#This Row],[Lucro Distribuir]]*[%Div]</f>
        <v>0</v>
      </c>
      <c r="AD404" s="56">
        <f>SUMPRODUCT(N([Nome]=Tabela3[[#This Row],[Nome]]),[Ações])</f>
        <v>84482793</v>
      </c>
      <c r="AE404" s="85">
        <f>[Capital Social]/[Total Ações]</f>
        <v>7.5708470395859191</v>
      </c>
      <c r="AF404" s="85">
        <f>Tabela3[[#This Row],[Lucro Líquido]]/Tabela3[[#This Row],[Total Ações]]</f>
        <v>-0.14250239098984335</v>
      </c>
      <c r="AG404" s="85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</v>
      </c>
      <c r="AH404" s="85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404" s="77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404" s="85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</v>
      </c>
      <c r="AK404" s="7">
        <f>[Div Base]*[Ações]</f>
        <v>0</v>
      </c>
      <c r="AL404" s="120">
        <f>SUMPRODUCT(N([Nome]=Tabela3[[#This Row],[Nome]]),[Div Base]*[Ações])</f>
        <v>0</v>
      </c>
      <c r="AM404" s="5">
        <f>[Patrimônio Líquido]/[Total Ações]</f>
        <v>10.583291203452518</v>
      </c>
      <c r="AN404" s="52">
        <f>MAX(Tabela3[[#This Row],[Cotação 1]:[Cotação 5]])</f>
        <v>16</v>
      </c>
      <c r="AO404" s="53">
        <f>[Cotação]/[VPA]</f>
        <v>1.5118170418272554</v>
      </c>
      <c r="AP404" s="37">
        <f>IF(Tabela3[[#This Row],[Lucro/Ação]]&gt;0,Tabela3[[#This Row],[Cotação]]/(Tabela3[[#This Row],[Lucro/Ação]]/[Ref]*4),0)</f>
        <v>0</v>
      </c>
      <c r="AQ404" s="85">
        <f>[Lucro Distribuir]/[Total Ações]</f>
        <v>0</v>
      </c>
      <c r="AR404" s="85">
        <f>IF([Unit ON]&gt;0,SUMPRODUCT(N([Nome]=Tabela3[[#This Row],[Nome]]),N(RIGHT([PAPEL],1)="3"),[Div Base])*[Unit ON]+SUMPRODUCT(N([Nome]=Tabela3[[#This Row],[Nome]]),N(RIGHT([PAPEL],1)="4"),[Div Base])*[Unit PN],[Div Base])</f>
        <v>0</v>
      </c>
      <c r="AS404" s="10" t="str">
        <f>IF(AND([% A.A.]&gt;=6%,SUMPRODUCT(N([Nome]=Tabela3[[#This Row],[Nome]]),[PL])&gt;0,[Rentabilidade s/ PL]&gt;=[Rentabilidade s/ PL Média]),"Sim","Não")</f>
        <v>Não</v>
      </c>
      <c r="AT404" s="22">
        <f>IF([Cotação]&gt;0,Tabela3[[#This Row],[Lucro]]/Tabela3[[#This Row],[Cotação]],0)</f>
        <v>0</v>
      </c>
      <c r="AU404" s="22">
        <f>((1+Tabela3[[#This Row],[% Yield]])^(1/(3*Tabela3[[#This Row],[Ref]])))^(12)-1</f>
        <v>0</v>
      </c>
      <c r="AV404" s="10">
        <f>IF([Cotação]&gt;0,($BH$1/Tabela3[[#This Row],[Cotação]]-MOD($BH$1/Tabela3[[#This Row],[Cotação]],100)),)</f>
        <v>0</v>
      </c>
      <c r="AW404" s="7">
        <f>Tabela3[[#This Row],[Ativos]]*[Lucro]</f>
        <v>0</v>
      </c>
      <c r="AX404" s="7">
        <f>SUMPRODUCT(N(Tabela1[Código]=Tabela3[[#This Row],[PAPEL]]),Tabela1[Fechamento])</f>
        <v>0</v>
      </c>
      <c r="AY404" s="7">
        <f>SUMPRODUCT(N(Tabela17[Código]=Tabela3[[#This Row],[PAPEL]]),Tabela17[Fechamento])</f>
        <v>0</v>
      </c>
      <c r="AZ404" s="7">
        <f>SUMPRODUCT(N(Tabela176[Código]=Tabela3[[#This Row],[PAPEL]]),Tabela176[Fechamento])</f>
        <v>0</v>
      </c>
      <c r="BA404" s="7">
        <f>SUMPRODUCT(N(Tabela1768[Código]=Tabela3[[#This Row],[PAPEL]]),Tabela1768[Fechamento])</f>
        <v>16</v>
      </c>
      <c r="BB404" s="7">
        <f>SUMPRODUCT(N(Tabela17683[Código]=Tabela3[[#This Row],[PAPEL]]),Tabela17683[Fechamento])</f>
        <v>0</v>
      </c>
    </row>
    <row r="405" spans="1:54" hidden="1">
      <c r="A405" s="3" t="s">
        <v>1168</v>
      </c>
      <c r="B405" s="58" t="s">
        <v>1165</v>
      </c>
      <c r="C405" s="16" t="str">
        <f>LEFT([PAPEL],LEN([PAPEL])-(LEN([PAPEL])-4))</f>
        <v>LLIS</v>
      </c>
      <c r="D405" s="16">
        <v>3</v>
      </c>
      <c r="E405" s="5">
        <v>131150000</v>
      </c>
      <c r="F405" s="56">
        <v>171171254</v>
      </c>
      <c r="G405" s="81">
        <v>0.25</v>
      </c>
      <c r="H405" s="87"/>
      <c r="J405" s="18"/>
      <c r="K405" s="16"/>
      <c r="L405" s="87"/>
      <c r="M405" s="54"/>
      <c r="N405" s="54"/>
      <c r="O405" s="54"/>
      <c r="P405" s="91">
        <v>165992000</v>
      </c>
      <c r="Q405" s="73">
        <v>-14361000</v>
      </c>
      <c r="R405" s="73">
        <f>IF(Tabela3[[#This Row],[Ativo || Passivo]]&gt;0,Tabela3[[#This Row],[Ativo || Passivo]]-Tabela3[[#This Row],[Patrimônio Líquido]],0)</f>
        <v>0</v>
      </c>
      <c r="S405" s="73">
        <f>Tabela3[[#This Row],[Cotação]]*Tabela3[[#This Row],[Total Ações]]</f>
        <v>1030450949.0799999</v>
      </c>
      <c r="T405" s="37">
        <f>IF(Tabela3[[#This Row],[Passivo Circulante]]&gt;0,Tabela3[[#This Row],[Ativo Circulante]]/Tabela3[[#This Row],[Passivo Circulante]],0)</f>
        <v>0</v>
      </c>
      <c r="U405" s="37">
        <f>SUMPRODUCT(N([Liquidez Corrente]&gt;0),N(RIGHT([PAPEL],LEN([PAPEL])-(LEN([PAPEL])-1))="3"),[Liquidez Corrente])/SUMPRODUCT(N([Liquidez Corrente]&gt;0),N(RIGHT([PAPEL],LEN([PAPEL])-(LEN([PAPEL])-1))="3"))</f>
        <v>2.331224473064915</v>
      </c>
      <c r="V405" s="18">
        <f>IF(Tabela3[[#This Row],[Lucro Líquido]]&gt;0,Tabela3[[#This Row],[Lucro Líquido]]/Tabela3[[#This Row],[Patrimônio Líquido]],0)</f>
        <v>0</v>
      </c>
      <c r="W405" s="18">
        <f>SUMPRODUCT(N([Rentabilidade s/ PL]&gt;0),N(RIGHT([PAPEL],LEN([PAPEL])-(LEN([PAPEL])-1))="3"),[Rentabilidade s/ PL])/SUMPRODUCT(N([Rentabilidade s/ PL]&gt;0),N(RIGHT([PAPEL],LEN([PAPEL])-(LEN([PAPEL])-1))="3"))</f>
        <v>0.1261051308670782</v>
      </c>
      <c r="X405" s="18">
        <f>IF(Tabela3[[#This Row],[Dívida]]&gt;0,Tabela3[[#This Row],[Dívida]]/Tabela3[[#This Row],[Patrimônio Líquido]],0)</f>
        <v>0</v>
      </c>
      <c r="Y405" s="18">
        <f>SUMPRODUCT(N([Dívida / PL]&gt;0),N(RIGHT([PAPEL],LEN([PAPEL])-(LEN([PAPEL])-1))="3"),[Dívida / PL])/SUMPRODUCT(N([Dívida / PL]&gt;0),N(RIGHT([PAPEL],LEN([PAPEL])-(LEN([PAPEL])-1))="3"))</f>
        <v>2.1510410379481146</v>
      </c>
      <c r="Z405" s="7">
        <f>Tabela3[[#This Row],[Capital Social]]*20%</f>
        <v>26230000</v>
      </c>
      <c r="AA405" s="47">
        <f>IF(([Lucro Líquido]*5%)&gt;[Teto R. Legal],[Teto R. Legal],[Lucro Líquido]*5%)</f>
        <v>-718050</v>
      </c>
      <c r="AB405" s="47">
        <f>IF([Lucro Líquido]&lt;0,0,[Lucro Líquido]-[Reserva Legal])</f>
        <v>0</v>
      </c>
      <c r="AC405" s="47">
        <f>Tabela3[[#This Row],[Lucro Distribuir]]*[%Div]</f>
        <v>0</v>
      </c>
      <c r="AD405" s="56">
        <f>SUMPRODUCT(N([Nome]=Tabela3[[#This Row],[Nome]]),[Ações])</f>
        <v>171171254</v>
      </c>
      <c r="AE405" s="85">
        <f>[Capital Social]/[Total Ações]</f>
        <v>0.76619173450701017</v>
      </c>
      <c r="AF405" s="85">
        <f>Tabela3[[#This Row],[Lucro Líquido]]/Tabela3[[#This Row],[Total Ações]]</f>
        <v>-8.3898433086200333E-2</v>
      </c>
      <c r="AG405" s="85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</v>
      </c>
      <c r="AH405" s="85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405" s="77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405" s="85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</v>
      </c>
      <c r="AK405" s="7">
        <f>[Div Base]*[Ações]</f>
        <v>0</v>
      </c>
      <c r="AL405" s="120">
        <f>SUMPRODUCT(N([Nome]=Tabela3[[#This Row],[Nome]]),[Div Base]*[Ações])</f>
        <v>0</v>
      </c>
      <c r="AM405" s="5">
        <f>[Patrimônio Líquido]/[Total Ações]</f>
        <v>0.9697422675889259</v>
      </c>
      <c r="AN405" s="52">
        <f>MAX(Tabela3[[#This Row],[Cotação 1]:[Cotação 5]])</f>
        <v>6.02</v>
      </c>
      <c r="AO405" s="53">
        <f>[Cotação]/[VPA]</f>
        <v>6.2078350106029196</v>
      </c>
      <c r="AP405" s="37">
        <f>IF(Tabela3[[#This Row],[Lucro/Ação]]&gt;0,Tabela3[[#This Row],[Cotação]]/(Tabela3[[#This Row],[Lucro/Ação]]/[Ref]*4),0)</f>
        <v>0</v>
      </c>
      <c r="AQ405" s="85">
        <f>[Lucro Distribuir]/[Total Ações]</f>
        <v>0</v>
      </c>
      <c r="AR405" s="85">
        <f>IF([Unit ON]&gt;0,SUMPRODUCT(N([Nome]=Tabela3[[#This Row],[Nome]]),N(RIGHT([PAPEL],1)="3"),[Div Base])*[Unit ON]+SUMPRODUCT(N([Nome]=Tabela3[[#This Row],[Nome]]),N(RIGHT([PAPEL],1)="4"),[Div Base])*[Unit PN],[Div Base])</f>
        <v>0</v>
      </c>
      <c r="AS405" s="10" t="str">
        <f>IF(AND([% A.A.]&gt;=6%,SUMPRODUCT(N([Nome]=Tabela3[[#This Row],[Nome]]),[PL])&gt;0,[Rentabilidade s/ PL]&gt;=[Rentabilidade s/ PL Média]),"Sim","Não")</f>
        <v>Não</v>
      </c>
      <c r="AT405" s="22">
        <f>IF([Cotação]&gt;0,Tabela3[[#This Row],[Lucro]]/Tabela3[[#This Row],[Cotação]],0)</f>
        <v>0</v>
      </c>
      <c r="AU405" s="22">
        <f>((1+Tabela3[[#This Row],[% Yield]])^(1/(3*Tabela3[[#This Row],[Ref]])))^(12)-1</f>
        <v>0</v>
      </c>
      <c r="AV405" s="10">
        <f>IF([Cotação]&gt;0,($BH$1/Tabela3[[#This Row],[Cotação]]-MOD($BH$1/Tabela3[[#This Row],[Cotação]],100)),)</f>
        <v>0</v>
      </c>
      <c r="AW405" s="7">
        <f>Tabela3[[#This Row],[Ativos]]*[Lucro]</f>
        <v>0</v>
      </c>
      <c r="AX405" s="7">
        <f>SUMPRODUCT(N(Tabela1[Código]=Tabela3[[#This Row],[PAPEL]]),Tabela1[Fechamento])</f>
        <v>0</v>
      </c>
      <c r="AY405" s="7">
        <f>SUMPRODUCT(N(Tabela17[Código]=Tabela3[[#This Row],[PAPEL]]),Tabela17[Fechamento])</f>
        <v>0</v>
      </c>
      <c r="AZ405" s="7">
        <f>SUMPRODUCT(N(Tabela176[Código]=Tabela3[[#This Row],[PAPEL]]),Tabela176[Fechamento])</f>
        <v>0</v>
      </c>
      <c r="BA405" s="7">
        <f>SUMPRODUCT(N(Tabela1768[Código]=Tabela3[[#This Row],[PAPEL]]),Tabela1768[Fechamento])</f>
        <v>6.02</v>
      </c>
      <c r="BB405" s="7">
        <f>SUMPRODUCT(N(Tabela17683[Código]=Tabela3[[#This Row],[PAPEL]]),Tabela17683[Fechamento])</f>
        <v>0</v>
      </c>
    </row>
    <row r="406" spans="1:54" hidden="1">
      <c r="A406" s="4" t="s">
        <v>669</v>
      </c>
      <c r="B406" s="57" t="s">
        <v>670</v>
      </c>
      <c r="C406" s="15" t="str">
        <f>LEFT([PAPEL],LEN([PAPEL])-(LEN([PAPEL])-4))</f>
        <v>CCXC</v>
      </c>
      <c r="D406" s="15">
        <v>3</v>
      </c>
      <c r="E406" s="6">
        <v>742186771.17999995</v>
      </c>
      <c r="F406" s="8">
        <v>170122934</v>
      </c>
      <c r="G406" s="86">
        <v>0.25</v>
      </c>
      <c r="H406" s="15"/>
      <c r="I406" s="19"/>
      <c r="J406" s="19"/>
      <c r="K406" s="88"/>
      <c r="L406" s="88"/>
      <c r="M406" s="55"/>
      <c r="N406" s="55"/>
      <c r="O406" s="55"/>
      <c r="P406" s="92">
        <v>740069000</v>
      </c>
      <c r="Q406" s="93">
        <v>-15716000</v>
      </c>
      <c r="R406" s="93">
        <f>IF(Tabela3[[#This Row],[Ativo || Passivo]]&gt;0,Tabela3[[#This Row],[Ativo || Passivo]]-Tabela3[[#This Row],[Patrimônio Líquido]],0)</f>
        <v>0</v>
      </c>
      <c r="S406" s="93">
        <f>Tabela3[[#This Row],[Cotação]]*Tabela3[[#This Row],[Total Ações]]</f>
        <v>176927851.36000001</v>
      </c>
      <c r="T406" s="40">
        <f>IF(Tabela3[[#This Row],[Passivo Circulante]]&gt;0,Tabela3[[#This Row],[Ativo Circulante]]/Tabela3[[#This Row],[Passivo Circulante]],0)</f>
        <v>0</v>
      </c>
      <c r="U406" s="40">
        <f>SUMPRODUCT(N([Liquidez Corrente]&gt;0),N(RIGHT([PAPEL],LEN([PAPEL])-(LEN([PAPEL])-1))="3"),[Liquidez Corrente])/SUMPRODUCT(N([Liquidez Corrente]&gt;0),N(RIGHT([PAPEL],LEN([PAPEL])-(LEN([PAPEL])-1))="3"))</f>
        <v>2.331224473064915</v>
      </c>
      <c r="V406" s="19">
        <f>IF(Tabela3[[#This Row],[Lucro Líquido]]&gt;0,Tabela3[[#This Row],[Lucro Líquido]]/Tabela3[[#This Row],[Patrimônio Líquido]],0)</f>
        <v>0</v>
      </c>
      <c r="W406" s="19">
        <f>SUMPRODUCT(N([Rentabilidade s/ PL]&gt;0),N(RIGHT([PAPEL],LEN([PAPEL])-(LEN([PAPEL])-1))="3"),[Rentabilidade s/ PL])/SUMPRODUCT(N([Rentabilidade s/ PL]&gt;0),N(RIGHT([PAPEL],LEN([PAPEL])-(LEN([PAPEL])-1))="3"))</f>
        <v>0.1261051308670782</v>
      </c>
      <c r="X406" s="19">
        <f>IF(Tabela3[[#This Row],[Dívida]]&gt;0,Tabela3[[#This Row],[Dívida]]/Tabela3[[#This Row],[Patrimônio Líquido]],0)</f>
        <v>0</v>
      </c>
      <c r="Y406" s="19">
        <f>SUMPRODUCT(N([Dívida / PL]&gt;0),N(RIGHT([PAPEL],LEN([PAPEL])-(LEN([PAPEL])-1))="3"),[Dívida / PL])/SUMPRODUCT(N([Dívida / PL]&gt;0),N(RIGHT([PAPEL],LEN([PAPEL])-(LEN([PAPEL])-1))="3"))</f>
        <v>2.1510410379481146</v>
      </c>
      <c r="Z406" s="13">
        <f>Tabela3[[#This Row],[Capital Social]]*20%</f>
        <v>148437354.236</v>
      </c>
      <c r="AA406" s="13">
        <f>IF(([Lucro Líquido]*5%)&gt;[Teto R. Legal],[Teto R. Legal],[Lucro Líquido]*5%)</f>
        <v>-785800</v>
      </c>
      <c r="AB406" s="13">
        <f>IF([Lucro Líquido]&lt;0,0,[Lucro Líquido]-[Reserva Legal])</f>
        <v>0</v>
      </c>
      <c r="AC406" s="13">
        <f>Tabela3[[#This Row],[Lucro Distribuir]]*[%Div]</f>
        <v>0</v>
      </c>
      <c r="AD406" s="56">
        <f>SUMPRODUCT(N([Nome]=Tabela3[[#This Row],[Nome]]),[Ações])</f>
        <v>170122934</v>
      </c>
      <c r="AE406" s="6">
        <f>[Capital Social]/[Total Ações]</f>
        <v>4.3626497246984934</v>
      </c>
      <c r="AF406" s="78">
        <f>Tabela3[[#This Row],[Lucro Líquido]]/Tabela3[[#This Row],[Total Ações]]</f>
        <v>-9.2380254857349214E-2</v>
      </c>
      <c r="AG406" s="78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</v>
      </c>
      <c r="AH406" s="78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406" s="78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406" s="78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</v>
      </c>
      <c r="AK406" s="13">
        <f>[Div Base]*[Ações]</f>
        <v>0</v>
      </c>
      <c r="AL406" s="13">
        <f>SUMPRODUCT(N([Nome]=Tabela3[[#This Row],[Nome]]),[Div Base]*[Ações])</f>
        <v>0</v>
      </c>
      <c r="AM406" s="6">
        <f>[Patrimônio Líquido]/[Total Ações]</f>
        <v>4.3502012491743178</v>
      </c>
      <c r="AN406" s="48">
        <f>MAX(Tabela3[[#This Row],[Cotação 1]:[Cotação 5]])</f>
        <v>1.04</v>
      </c>
      <c r="AO406" s="44">
        <f>[Cotação]/[VPA]</f>
        <v>0.2390693994208648</v>
      </c>
      <c r="AP406" s="40">
        <f>IF(Tabela3[[#This Row],[Lucro/Ação]]&gt;0,Tabela3[[#This Row],[Cotação]]/(Tabela3[[#This Row],[Lucro/Ação]]/[Ref]*4),0)</f>
        <v>0</v>
      </c>
      <c r="AQ406" s="78">
        <f>[Lucro Distribuir]/[Total Ações]</f>
        <v>0</v>
      </c>
      <c r="AR406" s="78">
        <f>IF([Unit ON]&gt;0,SUMPRODUCT(N([Nome]=Tabela3[[#This Row],[Nome]]),N(RIGHT([PAPEL],1)="3"),[Div Base])*[Unit ON]+SUMPRODUCT(N([Nome]=Tabela3[[#This Row],[Nome]]),N(RIGHT([PAPEL],1)="4"),[Div Base])*[Unit PN],[Div Base])</f>
        <v>0</v>
      </c>
      <c r="AS406" s="14" t="str">
        <f>IF(AND([% A.A.]&gt;=6%,SUMPRODUCT(N([Nome]=Tabela3[[#This Row],[Nome]]),[PL])&gt;0,[Rentabilidade s/ PL]&gt;=[Rentabilidade s/ PL Média]),"Sim","Não")</f>
        <v>Não</v>
      </c>
      <c r="AT406" s="42">
        <f>IF([Cotação]&gt;0,Tabela3[[#This Row],[Lucro]]/Tabela3[[#This Row],[Cotação]],0)</f>
        <v>0</v>
      </c>
      <c r="AU406" s="42">
        <f>((1+Tabela3[[#This Row],[% Yield]])^(1/(3*Tabela3[[#This Row],[Ref]])))^(12)-1</f>
        <v>0</v>
      </c>
      <c r="AV406" s="14">
        <f>IF([Cotação]&gt;0,($BH$1/Tabela3[[#This Row],[Cotação]]-MOD($BH$1/Tabela3[[#This Row],[Cotação]],100)),)</f>
        <v>400</v>
      </c>
      <c r="AW406" s="17">
        <f>Tabela3[[#This Row],[Ativos]]*[Lucro]</f>
        <v>0</v>
      </c>
      <c r="AX406" s="17">
        <f>SUMPRODUCT(N(Tabela1[Código]=Tabela3[[#This Row],[PAPEL]]),Tabela1[Fechamento])</f>
        <v>0</v>
      </c>
      <c r="AY406" s="17">
        <f>SUMPRODUCT(N(Tabela17[Código]=Tabela3[[#This Row],[PAPEL]]),Tabela17[Fechamento])</f>
        <v>0</v>
      </c>
      <c r="AZ406" s="17">
        <f>SUMPRODUCT(N(Tabela176[Código]=Tabela3[[#This Row],[PAPEL]]),Tabela176[Fechamento])</f>
        <v>1.04</v>
      </c>
      <c r="BA406" s="17">
        <f>SUMPRODUCT(N(Tabela1768[Código]=Tabela3[[#This Row],[PAPEL]]),Tabela1768[Fechamento])</f>
        <v>0</v>
      </c>
      <c r="BB406" s="7">
        <f>SUMPRODUCT(N(Tabela17683[Código]=Tabela3[[#This Row],[PAPEL]]),Tabela17683[Fechamento])</f>
        <v>0</v>
      </c>
    </row>
    <row r="407" spans="1:54" hidden="1">
      <c r="A407" s="3" t="s">
        <v>898</v>
      </c>
      <c r="B407" s="58" t="s">
        <v>890</v>
      </c>
      <c r="C407" s="16" t="str">
        <f>LEFT([PAPEL],LEN([PAPEL])-(LEN([PAPEL])-4))</f>
        <v>AHEB</v>
      </c>
      <c r="D407" s="16">
        <v>3</v>
      </c>
      <c r="E407" s="5">
        <v>199970873</v>
      </c>
      <c r="F407" s="56">
        <v>6154605</v>
      </c>
      <c r="G407" s="81">
        <v>0.25</v>
      </c>
      <c r="H407" s="87"/>
      <c r="J407" s="18"/>
      <c r="K407" s="16"/>
      <c r="L407" s="87"/>
      <c r="M407" s="54"/>
      <c r="N407" s="54"/>
      <c r="O407" s="54"/>
      <c r="P407" s="91">
        <v>68456000</v>
      </c>
      <c r="Q407" s="73">
        <v>-16033000</v>
      </c>
      <c r="R407" s="73">
        <f>IF(Tabela3[[#This Row],[Ativo || Passivo]]&gt;0,Tabela3[[#This Row],[Ativo || Passivo]]-Tabela3[[#This Row],[Patrimônio Líquido]],0)</f>
        <v>0</v>
      </c>
      <c r="S407" s="73">
        <f>Tabela3[[#This Row],[Cotação]]*Tabela3[[#This Row],[Total Ações]]</f>
        <v>135349948.5</v>
      </c>
      <c r="T407" s="37">
        <f>IF(Tabela3[[#This Row],[Passivo Circulante]]&gt;0,Tabela3[[#This Row],[Ativo Circulante]]/Tabela3[[#This Row],[Passivo Circulante]],0)</f>
        <v>0</v>
      </c>
      <c r="U407" s="37">
        <f>SUMPRODUCT(N([Liquidez Corrente]&gt;0),N(RIGHT([PAPEL],LEN([PAPEL])-(LEN([PAPEL])-1))="3"),[Liquidez Corrente])/SUMPRODUCT(N([Liquidez Corrente]&gt;0),N(RIGHT([PAPEL],LEN([PAPEL])-(LEN([PAPEL])-1))="3"))</f>
        <v>2.331224473064915</v>
      </c>
      <c r="V407" s="18">
        <f>IF(Tabela3[[#This Row],[Lucro Líquido]]&gt;0,Tabela3[[#This Row],[Lucro Líquido]]/Tabela3[[#This Row],[Patrimônio Líquido]],0)</f>
        <v>0</v>
      </c>
      <c r="W407" s="18">
        <f>SUMPRODUCT(N([Rentabilidade s/ PL]&gt;0),N(RIGHT([PAPEL],LEN([PAPEL])-(LEN([PAPEL])-1))="3"),[Rentabilidade s/ PL])/SUMPRODUCT(N([Rentabilidade s/ PL]&gt;0),N(RIGHT([PAPEL],LEN([PAPEL])-(LEN([PAPEL])-1))="3"))</f>
        <v>0.1261051308670782</v>
      </c>
      <c r="X407" s="18">
        <f>IF(Tabela3[[#This Row],[Dívida]]&gt;0,Tabela3[[#This Row],[Dívida]]/Tabela3[[#This Row],[Patrimônio Líquido]],0)</f>
        <v>0</v>
      </c>
      <c r="Y407" s="18">
        <f>SUMPRODUCT(N([Dívida / PL]&gt;0),N(RIGHT([PAPEL],LEN([PAPEL])-(LEN([PAPEL])-1))="3"),[Dívida / PL])/SUMPRODUCT(N([Dívida / PL]&gt;0),N(RIGHT([PAPEL],LEN([PAPEL])-(LEN([PAPEL])-1))="3"))</f>
        <v>2.1510410379481146</v>
      </c>
      <c r="Z407" s="7">
        <f>Tabela3[[#This Row],[Capital Social]]*20%</f>
        <v>39994174.600000001</v>
      </c>
      <c r="AA407" s="47">
        <f>IF(([Lucro Líquido]*5%)&gt;[Teto R. Legal],[Teto R. Legal],[Lucro Líquido]*5%)</f>
        <v>-801650</v>
      </c>
      <c r="AB407" s="47">
        <f>IF([Lucro Líquido]&lt;0,0,[Lucro Líquido]-[Reserva Legal])</f>
        <v>0</v>
      </c>
      <c r="AC407" s="47">
        <f>Tabela3[[#This Row],[Lucro Distribuir]]*[%Div]</f>
        <v>0</v>
      </c>
      <c r="AD407" s="56">
        <f>SUMPRODUCT(N([Nome]=Tabela3[[#This Row],[Nome]]),[Ações])</f>
        <v>6941023</v>
      </c>
      <c r="AE407" s="85">
        <f>[Capital Social]/[Total Ações]</f>
        <v>28.810000053306265</v>
      </c>
      <c r="AF407" s="85">
        <f>Tabela3[[#This Row],[Lucro Líquido]]/Tabela3[[#This Row],[Total Ações]]</f>
        <v>-2.3098900551114729</v>
      </c>
      <c r="AG407" s="85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</v>
      </c>
      <c r="AH407" s="85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407" s="77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407" s="85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</v>
      </c>
      <c r="AK407" s="7">
        <f>[Div Base]*[Ações]</f>
        <v>0</v>
      </c>
      <c r="AL407" s="7">
        <f>SUMPRODUCT(N([Nome]=Tabela3[[#This Row],[Nome]]),[Div Base]*[Ações])</f>
        <v>0</v>
      </c>
      <c r="AM407" s="5">
        <f>[Patrimônio Líquido]/[Total Ações]</f>
        <v>9.8625231468041523</v>
      </c>
      <c r="AN407" s="52">
        <f>MAX(Tabela3[[#This Row],[Cotação 1]:[Cotação 5]])</f>
        <v>19.5</v>
      </c>
      <c r="AO407" s="53">
        <f>[Cotação]/[VPA]</f>
        <v>1.9771816714385884</v>
      </c>
      <c r="AP407" s="37">
        <f>IF(Tabela3[[#This Row],[Lucro/Ação]]&gt;0,Tabela3[[#This Row],[Cotação]]/(Tabela3[[#This Row],[Lucro/Ação]]/[Ref]*4),0)</f>
        <v>0</v>
      </c>
      <c r="AQ407" s="85">
        <f>[Lucro Distribuir]/[Total Ações]</f>
        <v>0</v>
      </c>
      <c r="AR407" s="85">
        <f>IF([Unit ON]&gt;0,SUMPRODUCT(N([Nome]=Tabela3[[#This Row],[Nome]]),N(RIGHT([PAPEL],1)="3"),[Div Base])*[Unit ON]+SUMPRODUCT(N([Nome]=Tabela3[[#This Row],[Nome]]),N(RIGHT([PAPEL],1)="4"),[Div Base])*[Unit PN],[Div Base])</f>
        <v>0</v>
      </c>
      <c r="AS407" s="10" t="str">
        <f>IF(AND([% A.A.]&gt;=6%,SUMPRODUCT(N([Nome]=Tabela3[[#This Row],[Nome]]),[PL])&gt;0,[Rentabilidade s/ PL]&gt;=[Rentabilidade s/ PL Média]),"Sim","Não")</f>
        <v>Não</v>
      </c>
      <c r="AT407" s="22">
        <f>IF([Cotação]&gt;0,Tabela3[[#This Row],[Lucro]]/Tabela3[[#This Row],[Cotação]],0)</f>
        <v>0</v>
      </c>
      <c r="AU407" s="22">
        <f>((1+Tabela3[[#This Row],[% Yield]])^(1/(3*Tabela3[[#This Row],[Ref]])))^(12)-1</f>
        <v>0</v>
      </c>
      <c r="AV407" s="10">
        <f>IF([Cotação]&gt;0,($BH$1/Tabela3[[#This Row],[Cotação]]-MOD($BH$1/Tabela3[[#This Row],[Cotação]],100)),)</f>
        <v>0</v>
      </c>
      <c r="AW407" s="7">
        <f>Tabela3[[#This Row],[Ativos]]*[Lucro]</f>
        <v>0</v>
      </c>
      <c r="AX407" s="7">
        <f>SUMPRODUCT(N(Tabela1[Código]=Tabela3[[#This Row],[PAPEL]]),Tabela1[Fechamento])</f>
        <v>0</v>
      </c>
      <c r="AY407" s="7">
        <f>SUMPRODUCT(N(Tabela17[Código]=Tabela3[[#This Row],[PAPEL]]),Tabela17[Fechamento])</f>
        <v>0</v>
      </c>
      <c r="AZ407" s="7">
        <f>SUMPRODUCT(N(Tabela176[Código]=Tabela3[[#This Row],[PAPEL]]),Tabela176[Fechamento])</f>
        <v>0</v>
      </c>
      <c r="BA407" s="7">
        <f>SUMPRODUCT(N(Tabela1768[Código]=Tabela3[[#This Row],[PAPEL]]),Tabela1768[Fechamento])</f>
        <v>19.5</v>
      </c>
      <c r="BB407" s="7">
        <f>SUMPRODUCT(N(Tabela17683[Código]=Tabela3[[#This Row],[PAPEL]]),Tabela17683[Fechamento])</f>
        <v>0</v>
      </c>
    </row>
    <row r="408" spans="1:54" hidden="1">
      <c r="A408" s="3" t="s">
        <v>898</v>
      </c>
      <c r="B408" s="58" t="s">
        <v>891</v>
      </c>
      <c r="C408" s="16" t="str">
        <f>LEFT([PAPEL],LEN([PAPEL])-(LEN([PAPEL])-4))</f>
        <v>AHEB</v>
      </c>
      <c r="D408" s="16">
        <v>3</v>
      </c>
      <c r="E408" s="5">
        <v>199970873</v>
      </c>
      <c r="F408" s="56">
        <v>317899</v>
      </c>
      <c r="G408" s="81">
        <v>0.25</v>
      </c>
      <c r="H408" s="87"/>
      <c r="I408" s="18">
        <v>0.08</v>
      </c>
      <c r="J408" s="18"/>
      <c r="K408" s="16"/>
      <c r="L408" s="87"/>
      <c r="M408" s="54"/>
      <c r="N408" s="54"/>
      <c r="O408" s="54"/>
      <c r="P408" s="91">
        <v>68456000</v>
      </c>
      <c r="Q408" s="73">
        <v>-16033000</v>
      </c>
      <c r="R408" s="73">
        <f>IF(Tabela3[[#This Row],[Ativo || Passivo]]&gt;0,Tabela3[[#This Row],[Ativo || Passivo]]-Tabela3[[#This Row],[Patrimônio Líquido]],0)</f>
        <v>0</v>
      </c>
      <c r="S408" s="73">
        <f>Tabela3[[#This Row],[Cotação]]*Tabela3[[#This Row],[Total Ações]]</f>
        <v>138889870.23000002</v>
      </c>
      <c r="T408" s="37">
        <f>IF(Tabela3[[#This Row],[Passivo Circulante]]&gt;0,Tabela3[[#This Row],[Ativo Circulante]]/Tabela3[[#This Row],[Passivo Circulante]],0)</f>
        <v>0</v>
      </c>
      <c r="U408" s="37">
        <f>SUMPRODUCT(N([Liquidez Corrente]&gt;0),N(RIGHT([PAPEL],LEN([PAPEL])-(LEN([PAPEL])-1))="3"),[Liquidez Corrente])/SUMPRODUCT(N([Liquidez Corrente]&gt;0),N(RIGHT([PAPEL],LEN([PAPEL])-(LEN([PAPEL])-1))="3"))</f>
        <v>2.331224473064915</v>
      </c>
      <c r="V408" s="18">
        <f>IF(Tabela3[[#This Row],[Lucro Líquido]]&gt;0,Tabela3[[#This Row],[Lucro Líquido]]/Tabela3[[#This Row],[Patrimônio Líquido]],0)</f>
        <v>0</v>
      </c>
      <c r="W408" s="18">
        <f>SUMPRODUCT(N([Rentabilidade s/ PL]&gt;0),N(RIGHT([PAPEL],LEN([PAPEL])-(LEN([PAPEL])-1))="3"),[Rentabilidade s/ PL])/SUMPRODUCT(N([Rentabilidade s/ PL]&gt;0),N(RIGHT([PAPEL],LEN([PAPEL])-(LEN([PAPEL])-1))="3"))</f>
        <v>0.1261051308670782</v>
      </c>
      <c r="X408" s="18">
        <f>IF(Tabela3[[#This Row],[Dívida]]&gt;0,Tabela3[[#This Row],[Dívida]]/Tabela3[[#This Row],[Patrimônio Líquido]],0)</f>
        <v>0</v>
      </c>
      <c r="Y408" s="18">
        <f>SUMPRODUCT(N([Dívida / PL]&gt;0),N(RIGHT([PAPEL],LEN([PAPEL])-(LEN([PAPEL])-1))="3"),[Dívida / PL])/SUMPRODUCT(N([Dívida / PL]&gt;0),N(RIGHT([PAPEL],LEN([PAPEL])-(LEN([PAPEL])-1))="3"))</f>
        <v>2.1510410379481146</v>
      </c>
      <c r="Z408" s="7">
        <f>Tabela3[[#This Row],[Capital Social]]*20%</f>
        <v>39994174.600000001</v>
      </c>
      <c r="AA408" s="47">
        <f>IF(([Lucro Líquido]*5%)&gt;[Teto R. Legal],[Teto R. Legal],[Lucro Líquido]*5%)</f>
        <v>-801650</v>
      </c>
      <c r="AB408" s="47">
        <f>IF([Lucro Líquido]&lt;0,0,[Lucro Líquido]-[Reserva Legal])</f>
        <v>0</v>
      </c>
      <c r="AC408" s="47">
        <f>Tabela3[[#This Row],[Lucro Distribuir]]*[%Div]</f>
        <v>0</v>
      </c>
      <c r="AD408" s="56">
        <f>SUMPRODUCT(N([Nome]=Tabela3[[#This Row],[Nome]]),[Ações])</f>
        <v>6941023</v>
      </c>
      <c r="AE408" s="85">
        <f>[Capital Social]/[Total Ações]</f>
        <v>28.810000053306265</v>
      </c>
      <c r="AF408" s="85">
        <f>Tabela3[[#This Row],[Lucro Líquido]]/Tabela3[[#This Row],[Total Ações]]</f>
        <v>-2.3098900551114729</v>
      </c>
      <c r="AG408" s="85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</v>
      </c>
      <c r="AH408" s="85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408" s="77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408" s="85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</v>
      </c>
      <c r="AK408" s="7">
        <f>[Div Base]*[Ações]</f>
        <v>0</v>
      </c>
      <c r="AL408" s="7">
        <f>SUMPRODUCT(N([Nome]=Tabela3[[#This Row],[Nome]]),[Div Base]*[Ações])</f>
        <v>0</v>
      </c>
      <c r="AM408" s="5">
        <f>[Patrimônio Líquido]/[Total Ações]</f>
        <v>9.8625231468041523</v>
      </c>
      <c r="AN408" s="52">
        <f>MAX(Tabela3[[#This Row],[Cotação 1]:[Cotação 5]])</f>
        <v>20.010000000000002</v>
      </c>
      <c r="AO408" s="53">
        <f>[Cotação]/[VPA]</f>
        <v>2.0288925766915979</v>
      </c>
      <c r="AP408" s="37">
        <f>IF(Tabela3[[#This Row],[Lucro/Ação]]&gt;0,Tabela3[[#This Row],[Cotação]]/(Tabela3[[#This Row],[Lucro/Ação]]/[Ref]*4),0)</f>
        <v>0</v>
      </c>
      <c r="AQ408" s="85">
        <f>[Lucro Distribuir]/[Total Ações]</f>
        <v>0</v>
      </c>
      <c r="AR408" s="85">
        <f>IF([Unit ON]&gt;0,SUMPRODUCT(N([Nome]=Tabela3[[#This Row],[Nome]]),N(RIGHT([PAPEL],1)="3"),[Div Base])*[Unit ON]+SUMPRODUCT(N([Nome]=Tabela3[[#This Row],[Nome]]),N(RIGHT([PAPEL],1)="4"),[Div Base])*[Unit PN],[Div Base])</f>
        <v>0</v>
      </c>
      <c r="AS408" s="10" t="str">
        <f>IF(AND([% A.A.]&gt;=6%,SUMPRODUCT(N([Nome]=Tabela3[[#This Row],[Nome]]),[PL])&gt;0,[Rentabilidade s/ PL]&gt;=[Rentabilidade s/ PL Média]),"Sim","Não")</f>
        <v>Não</v>
      </c>
      <c r="AT408" s="22">
        <f>IF([Cotação]&gt;0,Tabela3[[#This Row],[Lucro]]/Tabela3[[#This Row],[Cotação]],0)</f>
        <v>0</v>
      </c>
      <c r="AU408" s="22">
        <f>((1+Tabela3[[#This Row],[% Yield]])^(1/(3*Tabela3[[#This Row],[Ref]])))^(12)-1</f>
        <v>0</v>
      </c>
      <c r="AV408" s="10">
        <f>IF([Cotação]&gt;0,($BH$1/Tabela3[[#This Row],[Cotação]]-MOD($BH$1/Tabela3[[#This Row],[Cotação]],100)),)</f>
        <v>0</v>
      </c>
      <c r="AW408" s="7">
        <f>Tabela3[[#This Row],[Ativos]]*[Lucro]</f>
        <v>0</v>
      </c>
      <c r="AX408" s="7">
        <f>SUMPRODUCT(N(Tabela1[Código]=Tabela3[[#This Row],[PAPEL]]),Tabela1[Fechamento])</f>
        <v>0</v>
      </c>
      <c r="AY408" s="7">
        <f>SUMPRODUCT(N(Tabela17[Código]=Tabela3[[#This Row],[PAPEL]]),Tabela17[Fechamento])</f>
        <v>0</v>
      </c>
      <c r="AZ408" s="7">
        <f>SUMPRODUCT(N(Tabela176[Código]=Tabela3[[#This Row],[PAPEL]]),Tabela176[Fechamento])</f>
        <v>0</v>
      </c>
      <c r="BA408" s="7">
        <f>SUMPRODUCT(N(Tabela1768[Código]=Tabela3[[#This Row],[PAPEL]]),Tabela1768[Fechamento])</f>
        <v>20.010000000000002</v>
      </c>
      <c r="BB408" s="7">
        <f>SUMPRODUCT(N(Tabela17683[Código]=Tabela3[[#This Row],[PAPEL]]),Tabela17683[Fechamento])</f>
        <v>0</v>
      </c>
    </row>
    <row r="409" spans="1:54" hidden="1">
      <c r="A409" s="3" t="s">
        <v>898</v>
      </c>
      <c r="B409" s="58" t="s">
        <v>892</v>
      </c>
      <c r="C409" s="16" t="str">
        <f>LEFT([PAPEL],LEN([PAPEL])-(LEN([PAPEL])-4))</f>
        <v>AHEB</v>
      </c>
      <c r="D409" s="16">
        <v>3</v>
      </c>
      <c r="E409" s="5">
        <v>199970873</v>
      </c>
      <c r="F409" s="56">
        <v>468519</v>
      </c>
      <c r="G409" s="81">
        <v>0.25</v>
      </c>
      <c r="H409" s="87"/>
      <c r="I409" s="18">
        <v>0.08</v>
      </c>
      <c r="J409" s="18"/>
      <c r="K409" s="16"/>
      <c r="L409" s="87"/>
      <c r="M409" s="54"/>
      <c r="N409" s="54"/>
      <c r="O409" s="54"/>
      <c r="P409" s="91">
        <v>68456000</v>
      </c>
      <c r="Q409" s="73">
        <v>-16033000</v>
      </c>
      <c r="R409" s="73">
        <f>IF(Tabela3[[#This Row],[Ativo || Passivo]]&gt;0,Tabela3[[#This Row],[Ativo || Passivo]]-Tabela3[[#This Row],[Patrimônio Líquido]],0)</f>
        <v>0</v>
      </c>
      <c r="S409" s="73">
        <f>Tabela3[[#This Row],[Cotação]]*Tabela3[[#This Row],[Total Ações]]</f>
        <v>243005215.22999999</v>
      </c>
      <c r="T409" s="37">
        <f>IF(Tabela3[[#This Row],[Passivo Circulante]]&gt;0,Tabela3[[#This Row],[Ativo Circulante]]/Tabela3[[#This Row],[Passivo Circulante]],0)</f>
        <v>0</v>
      </c>
      <c r="U409" s="37">
        <f>SUMPRODUCT(N([Liquidez Corrente]&gt;0),N(RIGHT([PAPEL],LEN([PAPEL])-(LEN([PAPEL])-1))="3"),[Liquidez Corrente])/SUMPRODUCT(N([Liquidez Corrente]&gt;0),N(RIGHT([PAPEL],LEN([PAPEL])-(LEN([PAPEL])-1))="3"))</f>
        <v>2.331224473064915</v>
      </c>
      <c r="V409" s="18">
        <f>IF(Tabela3[[#This Row],[Lucro Líquido]]&gt;0,Tabela3[[#This Row],[Lucro Líquido]]/Tabela3[[#This Row],[Patrimônio Líquido]],0)</f>
        <v>0</v>
      </c>
      <c r="W409" s="18">
        <f>SUMPRODUCT(N([Rentabilidade s/ PL]&gt;0),N(RIGHT([PAPEL],LEN([PAPEL])-(LEN([PAPEL])-1))="3"),[Rentabilidade s/ PL])/SUMPRODUCT(N([Rentabilidade s/ PL]&gt;0),N(RIGHT([PAPEL],LEN([PAPEL])-(LEN([PAPEL])-1))="3"))</f>
        <v>0.1261051308670782</v>
      </c>
      <c r="X409" s="18">
        <f>IF(Tabela3[[#This Row],[Dívida]]&gt;0,Tabela3[[#This Row],[Dívida]]/Tabela3[[#This Row],[Patrimônio Líquido]],0)</f>
        <v>0</v>
      </c>
      <c r="Y409" s="18">
        <f>SUMPRODUCT(N([Dívida / PL]&gt;0),N(RIGHT([PAPEL],LEN([PAPEL])-(LEN([PAPEL])-1))="3"),[Dívida / PL])/SUMPRODUCT(N([Dívida / PL]&gt;0),N(RIGHT([PAPEL],LEN([PAPEL])-(LEN([PAPEL])-1))="3"))</f>
        <v>2.1510410379481146</v>
      </c>
      <c r="Z409" s="7">
        <f>Tabela3[[#This Row],[Capital Social]]*20%</f>
        <v>39994174.600000001</v>
      </c>
      <c r="AA409" s="47">
        <f>IF(([Lucro Líquido]*5%)&gt;[Teto R. Legal],[Teto R. Legal],[Lucro Líquido]*5%)</f>
        <v>-801650</v>
      </c>
      <c r="AB409" s="47">
        <f>IF([Lucro Líquido]&lt;0,0,[Lucro Líquido]-[Reserva Legal])</f>
        <v>0</v>
      </c>
      <c r="AC409" s="47">
        <f>Tabela3[[#This Row],[Lucro Distribuir]]*[%Div]</f>
        <v>0</v>
      </c>
      <c r="AD409" s="56">
        <f>SUMPRODUCT(N([Nome]=Tabela3[[#This Row],[Nome]]),[Ações])</f>
        <v>6941023</v>
      </c>
      <c r="AE409" s="85">
        <f>[Capital Social]/[Total Ações]</f>
        <v>28.810000053306265</v>
      </c>
      <c r="AF409" s="85">
        <f>Tabela3[[#This Row],[Lucro Líquido]]/Tabela3[[#This Row],[Total Ações]]</f>
        <v>-2.3098900551114729</v>
      </c>
      <c r="AG409" s="85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</v>
      </c>
      <c r="AH409" s="85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409" s="77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409" s="85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</v>
      </c>
      <c r="AK409" s="7">
        <f>[Div Base]*[Ações]</f>
        <v>0</v>
      </c>
      <c r="AL409" s="7">
        <f>SUMPRODUCT(N([Nome]=Tabela3[[#This Row],[Nome]]),[Div Base]*[Ações])</f>
        <v>0</v>
      </c>
      <c r="AM409" s="5">
        <f>[Patrimônio Líquido]/[Total Ações]</f>
        <v>9.8625231468041523</v>
      </c>
      <c r="AN409" s="52">
        <f>MAX(Tabela3[[#This Row],[Cotação 1]:[Cotação 5]])</f>
        <v>35.01</v>
      </c>
      <c r="AO409" s="53">
        <f>[Cotação]/[VPA]</f>
        <v>3.5498015547212809</v>
      </c>
      <c r="AP409" s="37">
        <f>IF(Tabela3[[#This Row],[Lucro/Ação]]&gt;0,Tabela3[[#This Row],[Cotação]]/(Tabela3[[#This Row],[Lucro/Ação]]/[Ref]*4),0)</f>
        <v>0</v>
      </c>
      <c r="AQ409" s="85">
        <f>[Lucro Distribuir]/[Total Ações]</f>
        <v>0</v>
      </c>
      <c r="AR409" s="85">
        <f>IF([Unit ON]&gt;0,SUMPRODUCT(N([Nome]=Tabela3[[#This Row],[Nome]]),N(RIGHT([PAPEL],1)="3"),[Div Base])*[Unit ON]+SUMPRODUCT(N([Nome]=Tabela3[[#This Row],[Nome]]),N(RIGHT([PAPEL],1)="4"),[Div Base])*[Unit PN],[Div Base])</f>
        <v>0</v>
      </c>
      <c r="AS409" s="10" t="str">
        <f>IF(AND([% A.A.]&gt;=6%,SUMPRODUCT(N([Nome]=Tabela3[[#This Row],[Nome]]),[PL])&gt;0,[Rentabilidade s/ PL]&gt;=[Rentabilidade s/ PL Média]),"Sim","Não")</f>
        <v>Não</v>
      </c>
      <c r="AT409" s="22">
        <f>IF([Cotação]&gt;0,Tabela3[[#This Row],[Lucro]]/Tabela3[[#This Row],[Cotação]],0)</f>
        <v>0</v>
      </c>
      <c r="AU409" s="22">
        <f>((1+Tabela3[[#This Row],[% Yield]])^(1/(3*Tabela3[[#This Row],[Ref]])))^(12)-1</f>
        <v>0</v>
      </c>
      <c r="AV409" s="10">
        <f>IF([Cotação]&gt;0,($BH$1/Tabela3[[#This Row],[Cotação]]-MOD($BH$1/Tabela3[[#This Row],[Cotação]],100)),)</f>
        <v>0</v>
      </c>
      <c r="AW409" s="7">
        <f>Tabela3[[#This Row],[Ativos]]*[Lucro]</f>
        <v>0</v>
      </c>
      <c r="AX409" s="7">
        <f>SUMPRODUCT(N(Tabela1[Código]=Tabela3[[#This Row],[PAPEL]]),Tabela1[Fechamento])</f>
        <v>0</v>
      </c>
      <c r="AY409" s="7">
        <f>SUMPRODUCT(N(Tabela17[Código]=Tabela3[[#This Row],[PAPEL]]),Tabela17[Fechamento])</f>
        <v>0</v>
      </c>
      <c r="AZ409" s="7">
        <f>SUMPRODUCT(N(Tabela176[Código]=Tabela3[[#This Row],[PAPEL]]),Tabela176[Fechamento])</f>
        <v>0</v>
      </c>
      <c r="BA409" s="7">
        <f>SUMPRODUCT(N(Tabela1768[Código]=Tabela3[[#This Row],[PAPEL]]),Tabela1768[Fechamento])</f>
        <v>35.01</v>
      </c>
      <c r="BB409" s="7">
        <f>SUMPRODUCT(N(Tabela17683[Código]=Tabela3[[#This Row],[PAPEL]]),Tabela17683[Fechamento])</f>
        <v>0</v>
      </c>
    </row>
    <row r="410" spans="1:54" hidden="1">
      <c r="A410" s="3" t="s">
        <v>277</v>
      </c>
      <c r="B410" s="58" t="s">
        <v>854</v>
      </c>
      <c r="C410" s="16" t="str">
        <f>LEFT([PAPEL],LEN([PAPEL])-(LEN([PAPEL])-4))</f>
        <v>MNPR</v>
      </c>
      <c r="D410" s="16">
        <v>3</v>
      </c>
      <c r="E410" s="5">
        <v>120107800</v>
      </c>
      <c r="F410" s="56">
        <v>710010000</v>
      </c>
      <c r="G410" s="81">
        <v>0.25</v>
      </c>
      <c r="H410" s="87"/>
      <c r="J410" s="18"/>
      <c r="K410" s="16"/>
      <c r="L410" s="87"/>
      <c r="M410" s="54"/>
      <c r="N410" s="54"/>
      <c r="O410" s="54"/>
      <c r="P410" s="91">
        <v>-208546000</v>
      </c>
      <c r="Q410" s="73">
        <v>-16565000</v>
      </c>
      <c r="R410" s="73">
        <f>IF(Tabela3[[#This Row],[Ativo || Passivo]]&gt;0,Tabela3[[#This Row],[Ativo || Passivo]]-Tabela3[[#This Row],[Patrimônio Líquido]],0)</f>
        <v>0</v>
      </c>
      <c r="S410" s="73">
        <f>Tabela3[[#This Row],[Cotação]]*Tabela3[[#This Row],[Total Ações]]</f>
        <v>49700700.000000007</v>
      </c>
      <c r="T410" s="37">
        <f>IF(Tabela3[[#This Row],[Passivo Circulante]]&gt;0,Tabela3[[#This Row],[Ativo Circulante]]/Tabela3[[#This Row],[Passivo Circulante]],0)</f>
        <v>0</v>
      </c>
      <c r="U410" s="37">
        <f>SUMPRODUCT(N([Liquidez Corrente]&gt;0),N(RIGHT([PAPEL],LEN([PAPEL])-(LEN([PAPEL])-1))="3"),[Liquidez Corrente])/SUMPRODUCT(N([Liquidez Corrente]&gt;0),N(RIGHT([PAPEL],LEN([PAPEL])-(LEN([PAPEL])-1))="3"))</f>
        <v>2.331224473064915</v>
      </c>
      <c r="V410" s="18">
        <f>IF(Tabela3[[#This Row],[Lucro Líquido]]&gt;0,Tabela3[[#This Row],[Lucro Líquido]]/Tabela3[[#This Row],[Patrimônio Líquido]],0)</f>
        <v>0</v>
      </c>
      <c r="W410" s="18">
        <f>SUMPRODUCT(N([Rentabilidade s/ PL]&gt;0),N(RIGHT([PAPEL],LEN([PAPEL])-(LEN([PAPEL])-1))="3"),[Rentabilidade s/ PL])/SUMPRODUCT(N([Rentabilidade s/ PL]&gt;0),N(RIGHT([PAPEL],LEN([PAPEL])-(LEN([PAPEL])-1))="3"))</f>
        <v>0.1261051308670782</v>
      </c>
      <c r="X410" s="18">
        <f>IF(Tabela3[[#This Row],[Dívida]]&gt;0,Tabela3[[#This Row],[Dívida]]/Tabela3[[#This Row],[Patrimônio Líquido]],0)</f>
        <v>0</v>
      </c>
      <c r="Y410" s="18">
        <f>SUMPRODUCT(N([Dívida / PL]&gt;0),N(RIGHT([PAPEL],LEN([PAPEL])-(LEN([PAPEL])-1))="3"),[Dívida / PL])/SUMPRODUCT(N([Dívida / PL]&gt;0),N(RIGHT([PAPEL],LEN([PAPEL])-(LEN([PAPEL])-1))="3"))</f>
        <v>2.1510410379481146</v>
      </c>
      <c r="Z410" s="7">
        <f>Tabela3[[#This Row],[Capital Social]]*20%</f>
        <v>24021560</v>
      </c>
      <c r="AA410" s="47">
        <f>IF(([Lucro Líquido]*5%)&gt;[Teto R. Legal],[Teto R. Legal],[Lucro Líquido]*5%)</f>
        <v>-828250</v>
      </c>
      <c r="AB410" s="47">
        <f>IF([Lucro Líquido]&lt;0,0,[Lucro Líquido]-[Reserva Legal])</f>
        <v>0</v>
      </c>
      <c r="AC410" s="47">
        <f>Tabela3[[#This Row],[Lucro Distribuir]]*[%Div]</f>
        <v>0</v>
      </c>
      <c r="AD410" s="56">
        <f>SUMPRODUCT(N([Nome]=Tabela3[[#This Row],[Nome]]),[Ações])</f>
        <v>710010000</v>
      </c>
      <c r="AE410" s="85">
        <f>[Capital Social]/[Total Ações]</f>
        <v>0.16916353290798722</v>
      </c>
      <c r="AF410" s="85">
        <f>Tabela3[[#This Row],[Lucro Líquido]]/Tabela3[[#This Row],[Total Ações]]</f>
        <v>-2.3330657314685709E-2</v>
      </c>
      <c r="AG410" s="85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</v>
      </c>
      <c r="AH410" s="85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410" s="77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410" s="85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</v>
      </c>
      <c r="AK410" s="7">
        <f>[Div Base]*[Ações]</f>
        <v>0</v>
      </c>
      <c r="AL410" s="7">
        <f>SUMPRODUCT(N([Nome]=Tabela3[[#This Row],[Nome]]),[Div Base]*[Ações])</f>
        <v>0</v>
      </c>
      <c r="AM410" s="5">
        <f>[Patrimônio Líquido]/[Total Ações]</f>
        <v>-0.29372262362501939</v>
      </c>
      <c r="AN410" s="52">
        <f>MAX(Tabela3[[#This Row],[Cotação 1]:[Cotação 5]])</f>
        <v>7.0000000000000007E-2</v>
      </c>
      <c r="AO410" s="53">
        <f>[Cotação]/[VPA]</f>
        <v>-0.23832008285941711</v>
      </c>
      <c r="AP410" s="37">
        <f>IF(Tabela3[[#This Row],[Lucro/Ação]]&gt;0,Tabela3[[#This Row],[Cotação]]/(Tabela3[[#This Row],[Lucro/Ação]]/[Ref]*4),0)</f>
        <v>0</v>
      </c>
      <c r="AQ410" s="85">
        <f>[Lucro Distribuir]/[Total Ações]</f>
        <v>0</v>
      </c>
      <c r="AR410" s="85">
        <f>IF([Unit ON]&gt;0,SUMPRODUCT(N([Nome]=Tabela3[[#This Row],[Nome]]),N(RIGHT([PAPEL],1)="3"),[Div Base])*[Unit ON]+SUMPRODUCT(N([Nome]=Tabela3[[#This Row],[Nome]]),N(RIGHT([PAPEL],1)="4"),[Div Base])*[Unit PN],[Div Base])</f>
        <v>0</v>
      </c>
      <c r="AS410" s="10" t="str">
        <f>IF(AND([% A.A.]&gt;=6%,SUMPRODUCT(N([Nome]=Tabela3[[#This Row],[Nome]]),[PL])&gt;0,[Rentabilidade s/ PL]&gt;=[Rentabilidade s/ PL Média]),"Sim","Não")</f>
        <v>Não</v>
      </c>
      <c r="AT410" s="22">
        <f>IF([Cotação]&gt;0,Tabela3[[#This Row],[Lucro]]/Tabela3[[#This Row],[Cotação]],0)</f>
        <v>0</v>
      </c>
      <c r="AU410" s="22">
        <f>((1+Tabela3[[#This Row],[% Yield]])^(1/(3*Tabela3[[#This Row],[Ref]])))^(12)-1</f>
        <v>0</v>
      </c>
      <c r="AV410" s="10">
        <f>IF([Cotação]&gt;0,($BH$1/Tabela3[[#This Row],[Cotação]]-MOD($BH$1/Tabela3[[#This Row],[Cotação]],100)),)</f>
        <v>7100</v>
      </c>
      <c r="AW410" s="7">
        <f>Tabela3[[#This Row],[Ativos]]*[Lucro]</f>
        <v>0</v>
      </c>
      <c r="AX410" s="7">
        <f>SUMPRODUCT(N(Tabela1[Código]=Tabela3[[#This Row],[PAPEL]]),Tabela1[Fechamento])</f>
        <v>0</v>
      </c>
      <c r="AY410" s="7">
        <f>SUMPRODUCT(N(Tabela17[Código]=Tabela3[[#This Row],[PAPEL]]),Tabela17[Fechamento])</f>
        <v>0</v>
      </c>
      <c r="AZ410" s="7">
        <f>SUMPRODUCT(N(Tabela176[Código]=Tabela3[[#This Row],[PAPEL]]),Tabela176[Fechamento])</f>
        <v>7.0000000000000007E-2</v>
      </c>
      <c r="BA410" s="7">
        <f>SUMPRODUCT(N(Tabela1768[Código]=Tabela3[[#This Row],[PAPEL]]),Tabela1768[Fechamento])</f>
        <v>0</v>
      </c>
      <c r="BB410" s="7">
        <f>SUMPRODUCT(N(Tabela17683[Código]=Tabela3[[#This Row],[PAPEL]]),Tabela17683[Fechamento])</f>
        <v>0</v>
      </c>
    </row>
    <row r="411" spans="1:54" hidden="1">
      <c r="A411" s="4" t="s">
        <v>316</v>
      </c>
      <c r="B411" s="57" t="s">
        <v>700</v>
      </c>
      <c r="C411" s="15" t="str">
        <f>LEFT([PAPEL],LEN([PAPEL])-(LEN([PAPEL])-4))</f>
        <v>MTIG</v>
      </c>
      <c r="D411" s="16">
        <v>3</v>
      </c>
      <c r="E411" s="6">
        <v>48319313.140000001</v>
      </c>
      <c r="F411" s="8">
        <v>104172000</v>
      </c>
      <c r="G411" s="86">
        <v>0.25</v>
      </c>
      <c r="H411" s="15"/>
      <c r="I411" s="19"/>
      <c r="J411" s="19"/>
      <c r="K411" s="88"/>
      <c r="L411" s="88"/>
      <c r="M411" s="55"/>
      <c r="N411" s="55"/>
      <c r="O411" s="55"/>
      <c r="P411" s="92">
        <v>26342000</v>
      </c>
      <c r="Q411" s="93">
        <v>-19296000</v>
      </c>
      <c r="R411" s="93">
        <f>IF(Tabela3[[#This Row],[Ativo || Passivo]]&gt;0,Tabela3[[#This Row],[Ativo || Passivo]]-Tabela3[[#This Row],[Patrimônio Líquido]],0)</f>
        <v>0</v>
      </c>
      <c r="S411" s="93">
        <f>Tabela3[[#This Row],[Cotação]]*Tabela3[[#This Row],[Total Ações]]</f>
        <v>190634760</v>
      </c>
      <c r="T411" s="40">
        <f>IF(Tabela3[[#This Row],[Passivo Circulante]]&gt;0,Tabela3[[#This Row],[Ativo Circulante]]/Tabela3[[#This Row],[Passivo Circulante]],0)</f>
        <v>0</v>
      </c>
      <c r="U411" s="40">
        <f>SUMPRODUCT(N([Liquidez Corrente]&gt;0),N(RIGHT([PAPEL],LEN([PAPEL])-(LEN([PAPEL])-1))="3"),[Liquidez Corrente])/SUMPRODUCT(N([Liquidez Corrente]&gt;0),N(RIGHT([PAPEL],LEN([PAPEL])-(LEN([PAPEL])-1))="3"))</f>
        <v>2.331224473064915</v>
      </c>
      <c r="V411" s="19">
        <f>IF(Tabela3[[#This Row],[Lucro Líquido]]&gt;0,Tabela3[[#This Row],[Lucro Líquido]]/Tabela3[[#This Row],[Patrimônio Líquido]],0)</f>
        <v>0</v>
      </c>
      <c r="W411" s="19">
        <f>SUMPRODUCT(N([Rentabilidade s/ PL]&gt;0),N(RIGHT([PAPEL],LEN([PAPEL])-(LEN([PAPEL])-1))="3"),[Rentabilidade s/ PL])/SUMPRODUCT(N([Rentabilidade s/ PL]&gt;0),N(RIGHT([PAPEL],LEN([PAPEL])-(LEN([PAPEL])-1))="3"))</f>
        <v>0.1261051308670782</v>
      </c>
      <c r="X411" s="19">
        <f>IF(Tabela3[[#This Row],[Dívida]]&gt;0,Tabela3[[#This Row],[Dívida]]/Tabela3[[#This Row],[Patrimônio Líquido]],0)</f>
        <v>0</v>
      </c>
      <c r="Y411" s="19">
        <f>SUMPRODUCT(N([Dívida / PL]&gt;0),N(RIGHT([PAPEL],LEN([PAPEL])-(LEN([PAPEL])-1))="3"),[Dívida / PL])/SUMPRODUCT(N([Dívida / PL]&gt;0),N(RIGHT([PAPEL],LEN([PAPEL])-(LEN([PAPEL])-1))="3"))</f>
        <v>2.1510410379481146</v>
      </c>
      <c r="Z411" s="13">
        <f>Tabela3[[#This Row],[Capital Social]]*20%</f>
        <v>9663862.6280000005</v>
      </c>
      <c r="AA411" s="13">
        <f>IF(([Lucro Líquido]*5%)&gt;[Teto R. Legal],[Teto R. Legal],[Lucro Líquido]*5%)</f>
        <v>-964800</v>
      </c>
      <c r="AB411" s="13">
        <f>IF([Lucro Líquido]&lt;0,0,[Lucro Líquido]-[Reserva Legal])</f>
        <v>0</v>
      </c>
      <c r="AC411" s="13">
        <f>Tabela3[[#This Row],[Lucro Distribuir]]*[%Div]</f>
        <v>0</v>
      </c>
      <c r="AD411" s="56">
        <f>SUMPRODUCT(N([Nome]=Tabela3[[#This Row],[Nome]]),[Ações])</f>
        <v>312516000</v>
      </c>
      <c r="AE411" s="6">
        <f>[Capital Social]/[Total Ações]</f>
        <v>0.15461388581704616</v>
      </c>
      <c r="AF411" s="78">
        <f>Tabela3[[#This Row],[Lucro Líquido]]/Tabela3[[#This Row],[Total Ações]]</f>
        <v>-6.1744038705218295E-2</v>
      </c>
      <c r="AG411" s="78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</v>
      </c>
      <c r="AH411" s="78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411" s="78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411" s="78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</v>
      </c>
      <c r="AK411" s="13">
        <f>[Div Base]*[Ações]</f>
        <v>0</v>
      </c>
      <c r="AL411" s="13">
        <f>SUMPRODUCT(N([Nome]=Tabela3[[#This Row],[Nome]]),[Div Base]*[Ações])</f>
        <v>0</v>
      </c>
      <c r="AM411" s="6">
        <f>[Patrimônio Líquido]/[Total Ações]</f>
        <v>8.4290084347681399E-2</v>
      </c>
      <c r="AN411" s="48">
        <f>MAX(Tabela3[[#This Row],[Cotação 1]:[Cotação 5]])</f>
        <v>0.61</v>
      </c>
      <c r="AO411" s="44">
        <f>[Cotação]/[VPA]</f>
        <v>7.236912914736922</v>
      </c>
      <c r="AP411" s="40">
        <f>IF(Tabela3[[#This Row],[Lucro/Ação]]&gt;0,Tabela3[[#This Row],[Cotação]]/(Tabela3[[#This Row],[Lucro/Ação]]/[Ref]*4),0)</f>
        <v>0</v>
      </c>
      <c r="AQ411" s="78">
        <f>[Lucro Distribuir]/[Total Ações]</f>
        <v>0</v>
      </c>
      <c r="AR411" s="78">
        <f>IF([Unit ON]&gt;0,SUMPRODUCT(N([Nome]=Tabela3[[#This Row],[Nome]]),N(RIGHT([PAPEL],1)="3"),[Div Base])*[Unit ON]+SUMPRODUCT(N([Nome]=Tabela3[[#This Row],[Nome]]),N(RIGHT([PAPEL],1)="4"),[Div Base])*[Unit PN],[Div Base])</f>
        <v>0</v>
      </c>
      <c r="AS411" s="14" t="str">
        <f>IF(AND([% A.A.]&gt;=6%,SUMPRODUCT(N([Nome]=Tabela3[[#This Row],[Nome]]),[PL])&gt;0,[Rentabilidade s/ PL]&gt;=[Rentabilidade s/ PL Média]),"Sim","Não")</f>
        <v>Não</v>
      </c>
      <c r="AT411" s="42">
        <f>IF([Cotação]&gt;0,Tabela3[[#This Row],[Lucro]]/Tabela3[[#This Row],[Cotação]],0)</f>
        <v>0</v>
      </c>
      <c r="AU411" s="42">
        <f>((1+Tabela3[[#This Row],[% Yield]])^(1/(3*Tabela3[[#This Row],[Ref]])))^(12)-1</f>
        <v>0</v>
      </c>
      <c r="AV411" s="14">
        <f>IF([Cotação]&gt;0,($BH$1/Tabela3[[#This Row],[Cotação]]-MOD($BH$1/Tabela3[[#This Row],[Cotação]],100)),)</f>
        <v>800</v>
      </c>
      <c r="AW411" s="17">
        <f>Tabela3[[#This Row],[Ativos]]*[Lucro]</f>
        <v>0</v>
      </c>
      <c r="AX411" s="17">
        <f>SUMPRODUCT(N(Tabela1[Código]=Tabela3[[#This Row],[PAPEL]]),Tabela1[Fechamento])</f>
        <v>0</v>
      </c>
      <c r="AY411" s="17">
        <f>SUMPRODUCT(N(Tabela17[Código]=Tabela3[[#This Row],[PAPEL]]),Tabela17[Fechamento])</f>
        <v>0</v>
      </c>
      <c r="AZ411" s="17">
        <f>SUMPRODUCT(N(Tabela176[Código]=Tabela3[[#This Row],[PAPEL]]),Tabela176[Fechamento])</f>
        <v>0.61</v>
      </c>
      <c r="BA411" s="17">
        <f>SUMPRODUCT(N(Tabela1768[Código]=Tabela3[[#This Row],[PAPEL]]),Tabela1768[Fechamento])</f>
        <v>0</v>
      </c>
      <c r="BB411" s="7">
        <f>SUMPRODUCT(N(Tabela17683[Código]=Tabela3[[#This Row],[PAPEL]]),Tabela17683[Fechamento])</f>
        <v>0</v>
      </c>
    </row>
    <row r="412" spans="1:54" hidden="1">
      <c r="A412" s="4" t="s">
        <v>316</v>
      </c>
      <c r="B412" s="57" t="s">
        <v>701</v>
      </c>
      <c r="C412" s="15" t="str">
        <f>LEFT([PAPEL],LEN([PAPEL])-(LEN([PAPEL])-4))</f>
        <v>MTIG</v>
      </c>
      <c r="D412" s="16">
        <v>3</v>
      </c>
      <c r="E412" s="6">
        <v>48319313.140000001</v>
      </c>
      <c r="F412" s="8">
        <v>208344000</v>
      </c>
      <c r="G412" s="86">
        <v>0.25</v>
      </c>
      <c r="H412" s="15"/>
      <c r="I412" s="19"/>
      <c r="J412" s="19"/>
      <c r="K412" s="88"/>
      <c r="L412" s="88"/>
      <c r="M412" s="55"/>
      <c r="N412" s="55"/>
      <c r="O412" s="55"/>
      <c r="P412" s="92">
        <v>26342000</v>
      </c>
      <c r="Q412" s="93">
        <v>-19296000</v>
      </c>
      <c r="R412" s="93">
        <f>IF(Tabela3[[#This Row],[Ativo || Passivo]]&gt;0,Tabela3[[#This Row],[Ativo || Passivo]]-Tabela3[[#This Row],[Patrimônio Líquido]],0)</f>
        <v>0</v>
      </c>
      <c r="S412" s="93">
        <f>Tabela3[[#This Row],[Cotação]]*Tabela3[[#This Row],[Total Ações]]</f>
        <v>34376760</v>
      </c>
      <c r="T412" s="40">
        <f>IF(Tabela3[[#This Row],[Passivo Circulante]]&gt;0,Tabela3[[#This Row],[Ativo Circulante]]/Tabela3[[#This Row],[Passivo Circulante]],0)</f>
        <v>0</v>
      </c>
      <c r="U412" s="40">
        <f>SUMPRODUCT(N([Liquidez Corrente]&gt;0),N(RIGHT([PAPEL],LEN([PAPEL])-(LEN([PAPEL])-1))="3"),[Liquidez Corrente])/SUMPRODUCT(N([Liquidez Corrente]&gt;0),N(RIGHT([PAPEL],LEN([PAPEL])-(LEN([PAPEL])-1))="3"))</f>
        <v>2.331224473064915</v>
      </c>
      <c r="V412" s="19">
        <f>IF(Tabela3[[#This Row],[Lucro Líquido]]&gt;0,Tabela3[[#This Row],[Lucro Líquido]]/Tabela3[[#This Row],[Patrimônio Líquido]],0)</f>
        <v>0</v>
      </c>
      <c r="W412" s="19">
        <f>SUMPRODUCT(N([Rentabilidade s/ PL]&gt;0),N(RIGHT([PAPEL],LEN([PAPEL])-(LEN([PAPEL])-1))="3"),[Rentabilidade s/ PL])/SUMPRODUCT(N([Rentabilidade s/ PL]&gt;0),N(RIGHT([PAPEL],LEN([PAPEL])-(LEN([PAPEL])-1))="3"))</f>
        <v>0.1261051308670782</v>
      </c>
      <c r="X412" s="19">
        <f>IF(Tabela3[[#This Row],[Dívida]]&gt;0,Tabela3[[#This Row],[Dívida]]/Tabela3[[#This Row],[Patrimônio Líquido]],0)</f>
        <v>0</v>
      </c>
      <c r="Y412" s="19">
        <f>SUMPRODUCT(N([Dívida / PL]&gt;0),N(RIGHT([PAPEL],LEN([PAPEL])-(LEN([PAPEL])-1))="3"),[Dívida / PL])/SUMPRODUCT(N([Dívida / PL]&gt;0),N(RIGHT([PAPEL],LEN([PAPEL])-(LEN([PAPEL])-1))="3"))</f>
        <v>2.1510410379481146</v>
      </c>
      <c r="Z412" s="13">
        <f>Tabela3[[#This Row],[Capital Social]]*20%</f>
        <v>9663862.6280000005</v>
      </c>
      <c r="AA412" s="13">
        <f>IF(([Lucro Líquido]*5%)&gt;[Teto R. Legal],[Teto R. Legal],[Lucro Líquido]*5%)</f>
        <v>-964800</v>
      </c>
      <c r="AB412" s="13">
        <f>IF([Lucro Líquido]&lt;0,0,[Lucro Líquido]-[Reserva Legal])</f>
        <v>0</v>
      </c>
      <c r="AC412" s="13">
        <f>Tabela3[[#This Row],[Lucro Distribuir]]*[%Div]</f>
        <v>0</v>
      </c>
      <c r="AD412" s="56">
        <f>SUMPRODUCT(N([Nome]=Tabela3[[#This Row],[Nome]]),[Ações])</f>
        <v>312516000</v>
      </c>
      <c r="AE412" s="6">
        <f>[Capital Social]/[Total Ações]</f>
        <v>0.15461388581704616</v>
      </c>
      <c r="AF412" s="78">
        <f>Tabela3[[#This Row],[Lucro Líquido]]/Tabela3[[#This Row],[Total Ações]]</f>
        <v>-6.1744038705218295E-2</v>
      </c>
      <c r="AG412" s="78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</v>
      </c>
      <c r="AH412" s="78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412" s="78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412" s="78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</v>
      </c>
      <c r="AK412" s="13">
        <f>[Div Base]*[Ações]</f>
        <v>0</v>
      </c>
      <c r="AL412" s="13">
        <f>SUMPRODUCT(N([Nome]=Tabela3[[#This Row],[Nome]]),[Div Base]*[Ações])</f>
        <v>0</v>
      </c>
      <c r="AM412" s="6">
        <f>[Patrimônio Líquido]/[Total Ações]</f>
        <v>8.4290084347681399E-2</v>
      </c>
      <c r="AN412" s="48">
        <f>MAX(Tabela3[[#This Row],[Cotação 1]:[Cotação 5]])</f>
        <v>0.11</v>
      </c>
      <c r="AO412" s="44">
        <f>[Cotação]/[VPA]</f>
        <v>1.3050170829853467</v>
      </c>
      <c r="AP412" s="40">
        <f>IF(Tabela3[[#This Row],[Lucro/Ação]]&gt;0,Tabela3[[#This Row],[Cotação]]/(Tabela3[[#This Row],[Lucro/Ação]]/[Ref]*4),0)</f>
        <v>0</v>
      </c>
      <c r="AQ412" s="78">
        <f>[Lucro Distribuir]/[Total Ações]</f>
        <v>0</v>
      </c>
      <c r="AR412" s="78">
        <f>IF([Unit ON]&gt;0,SUMPRODUCT(N([Nome]=Tabela3[[#This Row],[Nome]]),N(RIGHT([PAPEL],1)="3"),[Div Base])*[Unit ON]+SUMPRODUCT(N([Nome]=Tabela3[[#This Row],[Nome]]),N(RIGHT([PAPEL],1)="4"),[Div Base])*[Unit PN],[Div Base])</f>
        <v>0</v>
      </c>
      <c r="AS412" s="14" t="str">
        <f>IF(AND([% A.A.]&gt;=6%,SUMPRODUCT(N([Nome]=Tabela3[[#This Row],[Nome]]),[PL])&gt;0,[Rentabilidade s/ PL]&gt;=[Rentabilidade s/ PL Média]),"Sim","Não")</f>
        <v>Não</v>
      </c>
      <c r="AT412" s="42">
        <f>IF([Cotação]&gt;0,Tabela3[[#This Row],[Lucro]]/Tabela3[[#This Row],[Cotação]],0)</f>
        <v>0</v>
      </c>
      <c r="AU412" s="42">
        <f>((1+Tabela3[[#This Row],[% Yield]])^(1/(3*Tabela3[[#This Row],[Ref]])))^(12)-1</f>
        <v>0</v>
      </c>
      <c r="AV412" s="14">
        <f>IF([Cotação]&gt;0,($BH$1/Tabela3[[#This Row],[Cotação]]-MOD($BH$1/Tabela3[[#This Row],[Cotação]],100)),)</f>
        <v>4500</v>
      </c>
      <c r="AW412" s="17">
        <f>Tabela3[[#This Row],[Ativos]]*[Lucro]</f>
        <v>0</v>
      </c>
      <c r="AX412" s="17">
        <f>SUMPRODUCT(N(Tabela1[Código]=Tabela3[[#This Row],[PAPEL]]),Tabela1[Fechamento])</f>
        <v>0</v>
      </c>
      <c r="AY412" s="17">
        <f>SUMPRODUCT(N(Tabela17[Código]=Tabela3[[#This Row],[PAPEL]]),Tabela17[Fechamento])</f>
        <v>0</v>
      </c>
      <c r="AZ412" s="17">
        <f>SUMPRODUCT(N(Tabela176[Código]=Tabela3[[#This Row],[PAPEL]]),Tabela176[Fechamento])</f>
        <v>0.11</v>
      </c>
      <c r="BA412" s="17">
        <f>SUMPRODUCT(N(Tabela1768[Código]=Tabela3[[#This Row],[PAPEL]]),Tabela1768[Fechamento])</f>
        <v>0</v>
      </c>
      <c r="BB412" s="7">
        <f>SUMPRODUCT(N(Tabela17683[Código]=Tabela3[[#This Row],[PAPEL]]),Tabela17683[Fechamento])</f>
        <v>0</v>
      </c>
    </row>
    <row r="413" spans="1:54" hidden="1">
      <c r="A413" s="4" t="s">
        <v>291</v>
      </c>
      <c r="B413" s="57" t="s">
        <v>536</v>
      </c>
      <c r="C413" s="15" t="str">
        <f>LEFT([PAPEL],LEN([PAPEL])-(LEN([PAPEL])-4))</f>
        <v>MLFT</v>
      </c>
      <c r="D413" s="15">
        <v>3</v>
      </c>
      <c r="E413" s="6">
        <v>784003710.15999997</v>
      </c>
      <c r="F413" s="8">
        <v>385822906</v>
      </c>
      <c r="G413" s="86">
        <v>0.25</v>
      </c>
      <c r="H413" s="19"/>
      <c r="I413" s="19"/>
      <c r="J413" s="19"/>
      <c r="K413" s="88"/>
      <c r="L413" s="88"/>
      <c r="M413" s="55"/>
      <c r="N413" s="55"/>
      <c r="O413" s="55"/>
      <c r="P413" s="92">
        <v>1718473000</v>
      </c>
      <c r="Q413" s="93">
        <v>-19305000</v>
      </c>
      <c r="R413" s="93">
        <f>IF(Tabela3[[#This Row],[Ativo || Passivo]]&gt;0,Tabela3[[#This Row],[Ativo || Passivo]]-Tabela3[[#This Row],[Patrimônio Líquido]],0)</f>
        <v>0</v>
      </c>
      <c r="S413" s="93">
        <f>Tabela3[[#This Row],[Cotação]]*Tabela3[[#This Row],[Total Ações]]</f>
        <v>1802565464.3700001</v>
      </c>
      <c r="T413" s="40">
        <f>IF(Tabela3[[#This Row],[Passivo Circulante]]&gt;0,Tabela3[[#This Row],[Ativo Circulante]]/Tabela3[[#This Row],[Passivo Circulante]],0)</f>
        <v>0</v>
      </c>
      <c r="U413" s="40">
        <f>SUMPRODUCT(N([Liquidez Corrente]&gt;0),N(RIGHT([PAPEL],LEN([PAPEL])-(LEN([PAPEL])-1))="3"),[Liquidez Corrente])/SUMPRODUCT(N([Liquidez Corrente]&gt;0),N(RIGHT([PAPEL],LEN([PAPEL])-(LEN([PAPEL])-1))="3"))</f>
        <v>2.331224473064915</v>
      </c>
      <c r="V413" s="19">
        <f>IF(Tabela3[[#This Row],[Lucro Líquido]]&gt;0,Tabela3[[#This Row],[Lucro Líquido]]/Tabela3[[#This Row],[Patrimônio Líquido]],0)</f>
        <v>0</v>
      </c>
      <c r="W413" s="19">
        <f>SUMPRODUCT(N([Rentabilidade s/ PL]&gt;0),N(RIGHT([PAPEL],LEN([PAPEL])-(LEN([PAPEL])-1))="3"),[Rentabilidade s/ PL])/SUMPRODUCT(N([Rentabilidade s/ PL]&gt;0),N(RIGHT([PAPEL],LEN([PAPEL])-(LEN([PAPEL])-1))="3"))</f>
        <v>0.1261051308670782</v>
      </c>
      <c r="X413" s="19">
        <f>IF(Tabela3[[#This Row],[Dívida]]&gt;0,Tabela3[[#This Row],[Dívida]]/Tabela3[[#This Row],[Patrimônio Líquido]],0)</f>
        <v>0</v>
      </c>
      <c r="Y413" s="19">
        <f>SUMPRODUCT(N([Dívida / PL]&gt;0),N(RIGHT([PAPEL],LEN([PAPEL])-(LEN([PAPEL])-1))="3"),[Dívida / PL])/SUMPRODUCT(N([Dívida / PL]&gt;0),N(RIGHT([PAPEL],LEN([PAPEL])-(LEN([PAPEL])-1))="3"))</f>
        <v>2.1510410379481146</v>
      </c>
      <c r="Z413" s="13">
        <f>Tabela3[[#This Row],[Capital Social]]*20%</f>
        <v>156800742.03200001</v>
      </c>
      <c r="AA413" s="13">
        <f>IF(([Lucro Líquido]*5%)&gt;[Teto R. Legal],[Teto R. Legal],[Lucro Líquido]*5%)</f>
        <v>-965250</v>
      </c>
      <c r="AB413" s="13">
        <f>IF([Lucro Líquido]&lt;0,0,[Lucro Líquido]-[Reserva Legal])</f>
        <v>0</v>
      </c>
      <c r="AC413" s="13">
        <f>Tabela3[[#This Row],[Lucro Distribuir]]*[%Div]</f>
        <v>0</v>
      </c>
      <c r="AD413" s="56">
        <f>SUMPRODUCT(N([Nome]=Tabela3[[#This Row],[Nome]]),[Ações])</f>
        <v>963938751</v>
      </c>
      <c r="AE413" s="6">
        <f>[Capital Social]/[Total Ações]</f>
        <v>0.81333353322155211</v>
      </c>
      <c r="AF413" s="78">
        <f>Tabela3[[#This Row],[Lucro Líquido]]/Tabela3[[#This Row],[Total Ações]]</f>
        <v>-2.0027206064672464E-2</v>
      </c>
      <c r="AG413" s="78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</v>
      </c>
      <c r="AH413" s="78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413" s="78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413" s="78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</v>
      </c>
      <c r="AK413" s="13">
        <f>[Div Base]*[Ações]</f>
        <v>0</v>
      </c>
      <c r="AL413" s="13">
        <f>SUMPRODUCT(N([Nome]=Tabela3[[#This Row],[Nome]]),[Div Base]*[Ações])</f>
        <v>0</v>
      </c>
      <c r="AM413" s="6">
        <f>[Patrimônio Líquido]/[Total Ações]</f>
        <v>1.782761610338041</v>
      </c>
      <c r="AN413" s="48">
        <f>MAX(Tabela3[[#This Row],[Cotação 1]:[Cotação 5]])</f>
        <v>1.87</v>
      </c>
      <c r="AO413" s="44">
        <f>[Cotação]/[VPA]</f>
        <v>1.0489344111720116</v>
      </c>
      <c r="AP413" s="40">
        <f>IF(Tabela3[[#This Row],[Lucro/Ação]]&gt;0,Tabela3[[#This Row],[Cotação]]/(Tabela3[[#This Row],[Lucro/Ação]]/[Ref]*4),0)</f>
        <v>0</v>
      </c>
      <c r="AQ413" s="78">
        <f>[Lucro Distribuir]/[Total Ações]</f>
        <v>0</v>
      </c>
      <c r="AR413" s="78">
        <f>IF([Unit ON]&gt;0,SUMPRODUCT(N([Nome]=Tabela3[[#This Row],[Nome]]),N(RIGHT([PAPEL],1)="3"),[Div Base])*[Unit ON]+SUMPRODUCT(N([Nome]=Tabela3[[#This Row],[Nome]]),N(RIGHT([PAPEL],1)="4"),[Div Base])*[Unit PN],[Div Base])</f>
        <v>0</v>
      </c>
      <c r="AS413" s="14" t="str">
        <f>IF(AND([% A.A.]&gt;=6%,SUMPRODUCT(N([Nome]=Tabela3[[#This Row],[Nome]]),[PL])&gt;0,[Rentabilidade s/ PL]&gt;=[Rentabilidade s/ PL Média]),"Sim","Não")</f>
        <v>Não</v>
      </c>
      <c r="AT413" s="42">
        <f>IF([Cotação]&gt;0,Tabela3[[#This Row],[Lucro]]/Tabela3[[#This Row],[Cotação]],0)</f>
        <v>0</v>
      </c>
      <c r="AU413" s="42">
        <f>((1+Tabela3[[#This Row],[% Yield]])^(1/(3*Tabela3[[#This Row],[Ref]])))^(12)-1</f>
        <v>0</v>
      </c>
      <c r="AV413" s="14">
        <f>IF([Cotação]&gt;0,($BH$1/Tabela3[[#This Row],[Cotação]]-MOD($BH$1/Tabela3[[#This Row],[Cotação]],100)),)</f>
        <v>200</v>
      </c>
      <c r="AW413" s="17">
        <f>Tabela3[[#This Row],[Ativos]]*[Lucro]</f>
        <v>0</v>
      </c>
      <c r="AX413" s="17">
        <f>SUMPRODUCT(N(Tabela1[Código]=Tabela3[[#This Row],[PAPEL]]),Tabela1[Fechamento])</f>
        <v>0</v>
      </c>
      <c r="AY413" s="17">
        <f>SUMPRODUCT(N(Tabela17[Código]=Tabela3[[#This Row],[PAPEL]]),Tabela17[Fechamento])</f>
        <v>1.87</v>
      </c>
      <c r="AZ413" s="7">
        <f>SUMPRODUCT(N(Tabela176[Código]=Tabela3[[#This Row],[PAPEL]]),Tabela176[Fechamento])</f>
        <v>0</v>
      </c>
      <c r="BA413" s="7">
        <f>SUMPRODUCT(N(Tabela1768[Código]=Tabela3[[#This Row],[PAPEL]]),Tabela1768[Fechamento])</f>
        <v>0</v>
      </c>
      <c r="BB413" s="7">
        <f>SUMPRODUCT(N(Tabela17683[Código]=Tabela3[[#This Row],[PAPEL]]),Tabela17683[Fechamento])</f>
        <v>0</v>
      </c>
    </row>
    <row r="414" spans="1:54" hidden="1">
      <c r="A414" s="4" t="s">
        <v>291</v>
      </c>
      <c r="B414" s="57" t="s">
        <v>537</v>
      </c>
      <c r="C414" s="15" t="str">
        <f>LEFT([PAPEL],LEN([PAPEL])-(LEN([PAPEL])-4))</f>
        <v>MLFT</v>
      </c>
      <c r="D414" s="15">
        <v>3</v>
      </c>
      <c r="E414" s="6">
        <v>784003710.15999997</v>
      </c>
      <c r="F414" s="8">
        <v>578115845</v>
      </c>
      <c r="G414" s="86">
        <v>0.25</v>
      </c>
      <c r="H414" s="19"/>
      <c r="I414" s="19"/>
      <c r="J414" s="19"/>
      <c r="K414" s="88"/>
      <c r="L414" s="88"/>
      <c r="M414" s="55"/>
      <c r="N414" s="55"/>
      <c r="O414" s="55"/>
      <c r="P414" s="92">
        <v>1718473000</v>
      </c>
      <c r="Q414" s="93">
        <v>-19305000</v>
      </c>
      <c r="R414" s="93">
        <f>IF(Tabela3[[#This Row],[Ativo || Passivo]]&gt;0,Tabela3[[#This Row],[Ativo || Passivo]]-Tabela3[[#This Row],[Patrimônio Líquido]],0)</f>
        <v>0</v>
      </c>
      <c r="S414" s="93">
        <f>Tabela3[[#This Row],[Cotação]]*Tabela3[[#This Row],[Total Ações]]</f>
        <v>1590498939.1499999</v>
      </c>
      <c r="T414" s="40">
        <f>IF(Tabela3[[#This Row],[Passivo Circulante]]&gt;0,Tabela3[[#This Row],[Ativo Circulante]]/Tabela3[[#This Row],[Passivo Circulante]],0)</f>
        <v>0</v>
      </c>
      <c r="U414" s="40">
        <f>SUMPRODUCT(N([Liquidez Corrente]&gt;0),N(RIGHT([PAPEL],LEN([PAPEL])-(LEN([PAPEL])-1))="3"),[Liquidez Corrente])/SUMPRODUCT(N([Liquidez Corrente]&gt;0),N(RIGHT([PAPEL],LEN([PAPEL])-(LEN([PAPEL])-1))="3"))</f>
        <v>2.331224473064915</v>
      </c>
      <c r="V414" s="19">
        <f>IF(Tabela3[[#This Row],[Lucro Líquido]]&gt;0,Tabela3[[#This Row],[Lucro Líquido]]/Tabela3[[#This Row],[Patrimônio Líquido]],0)</f>
        <v>0</v>
      </c>
      <c r="W414" s="19">
        <f>SUMPRODUCT(N([Rentabilidade s/ PL]&gt;0),N(RIGHT([PAPEL],LEN([PAPEL])-(LEN([PAPEL])-1))="3"),[Rentabilidade s/ PL])/SUMPRODUCT(N([Rentabilidade s/ PL]&gt;0),N(RIGHT([PAPEL],LEN([PAPEL])-(LEN([PAPEL])-1))="3"))</f>
        <v>0.1261051308670782</v>
      </c>
      <c r="X414" s="19">
        <f>IF(Tabela3[[#This Row],[Dívida]]&gt;0,Tabela3[[#This Row],[Dívida]]/Tabela3[[#This Row],[Patrimônio Líquido]],0)</f>
        <v>0</v>
      </c>
      <c r="Y414" s="19">
        <f>SUMPRODUCT(N([Dívida / PL]&gt;0),N(RIGHT([PAPEL],LEN([PAPEL])-(LEN([PAPEL])-1))="3"),[Dívida / PL])/SUMPRODUCT(N([Dívida / PL]&gt;0),N(RIGHT([PAPEL],LEN([PAPEL])-(LEN([PAPEL])-1))="3"))</f>
        <v>2.1510410379481146</v>
      </c>
      <c r="Z414" s="13">
        <f>Tabela3[[#This Row],[Capital Social]]*20%</f>
        <v>156800742.03200001</v>
      </c>
      <c r="AA414" s="13">
        <f>IF(([Lucro Líquido]*5%)&gt;[Teto R. Legal],[Teto R. Legal],[Lucro Líquido]*5%)</f>
        <v>-965250</v>
      </c>
      <c r="AB414" s="13">
        <f>IF([Lucro Líquido]&lt;0,0,[Lucro Líquido]-[Reserva Legal])</f>
        <v>0</v>
      </c>
      <c r="AC414" s="13">
        <f>Tabela3[[#This Row],[Lucro Distribuir]]*[%Div]</f>
        <v>0</v>
      </c>
      <c r="AD414" s="56">
        <f>SUMPRODUCT(N([Nome]=Tabela3[[#This Row],[Nome]]),[Ações])</f>
        <v>963938751</v>
      </c>
      <c r="AE414" s="6">
        <f>[Capital Social]/[Total Ações]</f>
        <v>0.81333353322155211</v>
      </c>
      <c r="AF414" s="78">
        <f>Tabela3[[#This Row],[Lucro Líquido]]/Tabela3[[#This Row],[Total Ações]]</f>
        <v>-2.0027206064672464E-2</v>
      </c>
      <c r="AG414" s="78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</v>
      </c>
      <c r="AH414" s="78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414" s="78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414" s="78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</v>
      </c>
      <c r="AK414" s="13">
        <f>[Div Base]*[Ações]</f>
        <v>0</v>
      </c>
      <c r="AL414" s="13">
        <f>SUMPRODUCT(N([Nome]=Tabela3[[#This Row],[Nome]]),[Div Base]*[Ações])</f>
        <v>0</v>
      </c>
      <c r="AM414" s="6">
        <f>[Patrimônio Líquido]/[Total Ações]</f>
        <v>1.782761610338041</v>
      </c>
      <c r="AN414" s="48">
        <f>MAX(Tabela3[[#This Row],[Cotação 1]:[Cotação 5]])</f>
        <v>1.65</v>
      </c>
      <c r="AO414" s="44">
        <f>[Cotação]/[VPA]</f>
        <v>0.92553036279883361</v>
      </c>
      <c r="AP414" s="40">
        <f>IF(Tabela3[[#This Row],[Lucro/Ação]]&gt;0,Tabela3[[#This Row],[Cotação]]/(Tabela3[[#This Row],[Lucro/Ação]]/[Ref]*4),0)</f>
        <v>0</v>
      </c>
      <c r="AQ414" s="78">
        <f>[Lucro Distribuir]/[Total Ações]</f>
        <v>0</v>
      </c>
      <c r="AR414" s="78">
        <f>IF([Unit ON]&gt;0,SUMPRODUCT(N([Nome]=Tabela3[[#This Row],[Nome]]),N(RIGHT([PAPEL],1)="3"),[Div Base])*[Unit ON]+SUMPRODUCT(N([Nome]=Tabela3[[#This Row],[Nome]]),N(RIGHT([PAPEL],1)="4"),[Div Base])*[Unit PN],[Div Base])</f>
        <v>0</v>
      </c>
      <c r="AS414" s="14" t="str">
        <f>IF(AND([% A.A.]&gt;=6%,SUMPRODUCT(N([Nome]=Tabela3[[#This Row],[Nome]]),[PL])&gt;0,[Rentabilidade s/ PL]&gt;=[Rentabilidade s/ PL Média]),"Sim","Não")</f>
        <v>Não</v>
      </c>
      <c r="AT414" s="42">
        <f>IF([Cotação]&gt;0,Tabela3[[#This Row],[Lucro]]/Tabela3[[#This Row],[Cotação]],0)</f>
        <v>0</v>
      </c>
      <c r="AU414" s="42">
        <f>((1+Tabela3[[#This Row],[% Yield]])^(1/(3*Tabela3[[#This Row],[Ref]])))^(12)-1</f>
        <v>0</v>
      </c>
      <c r="AV414" s="14">
        <f>IF([Cotação]&gt;0,($BH$1/Tabela3[[#This Row],[Cotação]]-MOD($BH$1/Tabela3[[#This Row],[Cotação]],100)),)</f>
        <v>300</v>
      </c>
      <c r="AW414" s="17">
        <f>Tabela3[[#This Row],[Ativos]]*[Lucro]</f>
        <v>0</v>
      </c>
      <c r="AX414" s="17">
        <f>SUMPRODUCT(N(Tabela1[Código]=Tabela3[[#This Row],[PAPEL]]),Tabela1[Fechamento])</f>
        <v>0</v>
      </c>
      <c r="AY414" s="17">
        <f>SUMPRODUCT(N(Tabela17[Código]=Tabela3[[#This Row],[PAPEL]]),Tabela17[Fechamento])</f>
        <v>1.65</v>
      </c>
      <c r="AZ414" s="7">
        <f>SUMPRODUCT(N(Tabela176[Código]=Tabela3[[#This Row],[PAPEL]]),Tabela176[Fechamento])</f>
        <v>0</v>
      </c>
      <c r="BA414" s="7">
        <f>SUMPRODUCT(N(Tabela1768[Código]=Tabela3[[#This Row],[PAPEL]]),Tabela1768[Fechamento])</f>
        <v>0</v>
      </c>
      <c r="BB414" s="7">
        <f>SUMPRODUCT(N(Tabela17683[Código]=Tabela3[[#This Row],[PAPEL]]),Tabela17683[Fechamento])</f>
        <v>0</v>
      </c>
    </row>
    <row r="415" spans="1:54" hidden="1">
      <c r="A415" s="4" t="s">
        <v>643</v>
      </c>
      <c r="B415" s="57" t="s">
        <v>640</v>
      </c>
      <c r="C415" s="15" t="str">
        <f>LEFT([PAPEL],LEN([PAPEL])-(LEN([PAPEL])-4))</f>
        <v>TIBR</v>
      </c>
      <c r="D415" s="15">
        <v>3</v>
      </c>
      <c r="E415" s="6">
        <v>162504983.90000001</v>
      </c>
      <c r="F415" s="8">
        <v>812671800</v>
      </c>
      <c r="G415" s="86">
        <v>0.25</v>
      </c>
      <c r="H415" s="15"/>
      <c r="I415" s="19"/>
      <c r="J415" s="19"/>
      <c r="K415" s="88"/>
      <c r="L415" s="88"/>
      <c r="M415" s="55"/>
      <c r="N415" s="55"/>
      <c r="O415" s="55"/>
      <c r="P415" s="92">
        <v>392415000</v>
      </c>
      <c r="Q415" s="93">
        <v>-19960000</v>
      </c>
      <c r="R415" s="93">
        <f>IF(Tabela3[[#This Row],[Ativo || Passivo]]&gt;0,Tabela3[[#This Row],[Ativo || Passivo]]-Tabela3[[#This Row],[Patrimônio Líquido]],0)</f>
        <v>0</v>
      </c>
      <c r="S415" s="93">
        <f>Tabela3[[#This Row],[Cotação]]*Tabela3[[#This Row],[Total Ações]]</f>
        <v>417869928</v>
      </c>
      <c r="T415" s="40">
        <f>IF(Tabela3[[#This Row],[Passivo Circulante]]&gt;0,Tabela3[[#This Row],[Ativo Circulante]]/Tabela3[[#This Row],[Passivo Circulante]],0)</f>
        <v>0</v>
      </c>
      <c r="U415" s="40">
        <f>SUMPRODUCT(N([Liquidez Corrente]&gt;0),N(RIGHT([PAPEL],LEN([PAPEL])-(LEN([PAPEL])-1))="3"),[Liquidez Corrente])/SUMPRODUCT(N([Liquidez Corrente]&gt;0),N(RIGHT([PAPEL],LEN([PAPEL])-(LEN([PAPEL])-1))="3"))</f>
        <v>2.331224473064915</v>
      </c>
      <c r="V415" s="19">
        <f>IF(Tabela3[[#This Row],[Lucro Líquido]]&gt;0,Tabela3[[#This Row],[Lucro Líquido]]/Tabela3[[#This Row],[Patrimônio Líquido]],0)</f>
        <v>0</v>
      </c>
      <c r="W415" s="19">
        <f>SUMPRODUCT(N([Rentabilidade s/ PL]&gt;0),N(RIGHT([PAPEL],LEN([PAPEL])-(LEN([PAPEL])-1))="3"),[Rentabilidade s/ PL])/SUMPRODUCT(N([Rentabilidade s/ PL]&gt;0),N(RIGHT([PAPEL],LEN([PAPEL])-(LEN([PAPEL])-1))="3"))</f>
        <v>0.1261051308670782</v>
      </c>
      <c r="X415" s="19">
        <f>IF(Tabela3[[#This Row],[Dívida]]&gt;0,Tabela3[[#This Row],[Dívida]]/Tabela3[[#This Row],[Patrimônio Líquido]],0)</f>
        <v>0</v>
      </c>
      <c r="Y415" s="19">
        <f>SUMPRODUCT(N([Dívida / PL]&gt;0),N(RIGHT([PAPEL],LEN([PAPEL])-(LEN([PAPEL])-1))="3"),[Dívida / PL])/SUMPRODUCT(N([Dívida / PL]&gt;0),N(RIGHT([PAPEL],LEN([PAPEL])-(LEN([PAPEL])-1))="3"))</f>
        <v>2.1510410379481146</v>
      </c>
      <c r="Z415" s="13">
        <f>Tabela3[[#This Row],[Capital Social]]*20%</f>
        <v>32500996.780000001</v>
      </c>
      <c r="AA415" s="13">
        <f>IF(([Lucro Líquido]*5%)&gt;[Teto R. Legal],[Teto R. Legal],[Lucro Líquido]*5%)</f>
        <v>-998000</v>
      </c>
      <c r="AB415" s="13">
        <f>IF([Lucro Líquido]&lt;0,0,[Lucro Líquido]-[Reserva Legal])</f>
        <v>0</v>
      </c>
      <c r="AC415" s="13">
        <f>Tabela3[[#This Row],[Lucro Distribuir]]*[%Div]</f>
        <v>0</v>
      </c>
      <c r="AD415" s="56">
        <f>SUMPRODUCT(N([Nome]=Tabela3[[#This Row],[Nome]]),[Ações])</f>
        <v>2321499600</v>
      </c>
      <c r="AE415" s="6">
        <f>[Capital Social]/[Total Ações]</f>
        <v>7.0000005125997009E-2</v>
      </c>
      <c r="AF415" s="78">
        <f>Tabela3[[#This Row],[Lucro Líquido]]/Tabela3[[#This Row],[Total Ações]]</f>
        <v>-8.5978907771511147E-3</v>
      </c>
      <c r="AG415" s="78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</v>
      </c>
      <c r="AH415" s="78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415" s="78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415" s="78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</v>
      </c>
      <c r="AK415" s="13">
        <f>[Div Base]*[Ações]</f>
        <v>0</v>
      </c>
      <c r="AL415" s="13">
        <f>SUMPRODUCT(N([Nome]=Tabela3[[#This Row],[Nome]]),[Div Base]*[Ações])</f>
        <v>0</v>
      </c>
      <c r="AM415" s="6">
        <f>[Patrimônio Líquido]/[Total Ações]</f>
        <v>0.16903513573726225</v>
      </c>
      <c r="AN415" s="48">
        <f>MAX(Tabela3[[#This Row],[Cotação 1]:[Cotação 5]])</f>
        <v>0.18</v>
      </c>
      <c r="AO415" s="44">
        <f>[Cotação]/[VPA]</f>
        <v>1.0648673674553724</v>
      </c>
      <c r="AP415" s="40">
        <f>IF(Tabela3[[#This Row],[Lucro/Ação]]&gt;0,Tabela3[[#This Row],[Cotação]]/(Tabela3[[#This Row],[Lucro/Ação]]/[Ref]*4),0)</f>
        <v>0</v>
      </c>
      <c r="AQ415" s="78">
        <f>[Lucro Distribuir]/[Total Ações]</f>
        <v>0</v>
      </c>
      <c r="AR415" s="78">
        <f>IF([Unit ON]&gt;0,SUMPRODUCT(N([Nome]=Tabela3[[#This Row],[Nome]]),N(RIGHT([PAPEL],1)="3"),[Div Base])*[Unit ON]+SUMPRODUCT(N([Nome]=Tabela3[[#This Row],[Nome]]),N(RIGHT([PAPEL],1)="4"),[Div Base])*[Unit PN],[Div Base])</f>
        <v>0</v>
      </c>
      <c r="AS415" s="14" t="str">
        <f>IF(AND([% A.A.]&gt;=6%,SUMPRODUCT(N([Nome]=Tabela3[[#This Row],[Nome]]),[PL])&gt;0,[Rentabilidade s/ PL]&gt;=[Rentabilidade s/ PL Média]),"Sim","Não")</f>
        <v>Não</v>
      </c>
      <c r="AT415" s="42">
        <f>IF([Cotação]&gt;0,Tabela3[[#This Row],[Lucro]]/Tabela3[[#This Row],[Cotação]],0)</f>
        <v>0</v>
      </c>
      <c r="AU415" s="42">
        <f>((1+Tabela3[[#This Row],[% Yield]])^(1/(3*Tabela3[[#This Row],[Ref]])))^(12)-1</f>
        <v>0</v>
      </c>
      <c r="AV415" s="14">
        <f>IF([Cotação]&gt;0,($BH$1/Tabela3[[#This Row],[Cotação]]-MOD($BH$1/Tabela3[[#This Row],[Cotação]],100)),)</f>
        <v>2700</v>
      </c>
      <c r="AW415" s="17">
        <f>Tabela3[[#This Row],[Ativos]]*[Lucro]</f>
        <v>0</v>
      </c>
      <c r="AX415" s="17">
        <f>SUMPRODUCT(N(Tabela1[Código]=Tabela3[[#This Row],[PAPEL]]),Tabela1[Fechamento])</f>
        <v>0</v>
      </c>
      <c r="AY415" s="17">
        <f>SUMPRODUCT(N(Tabela17[Código]=Tabela3[[#This Row],[PAPEL]]),Tabela17[Fechamento])</f>
        <v>0</v>
      </c>
      <c r="AZ415" s="17">
        <f>SUMPRODUCT(N(Tabela176[Código]=Tabela3[[#This Row],[PAPEL]]),Tabela176[Fechamento])</f>
        <v>0.18</v>
      </c>
      <c r="BA415" s="17">
        <f>SUMPRODUCT(N(Tabela1768[Código]=Tabela3[[#This Row],[PAPEL]]),Tabela1768[Fechamento])</f>
        <v>0</v>
      </c>
      <c r="BB415" s="7">
        <f>SUMPRODUCT(N(Tabela17683[Código]=Tabela3[[#This Row],[PAPEL]]),Tabela17683[Fechamento])</f>
        <v>0</v>
      </c>
    </row>
    <row r="416" spans="1:54" hidden="1">
      <c r="A416" s="4" t="s">
        <v>643</v>
      </c>
      <c r="B416" s="57" t="s">
        <v>641</v>
      </c>
      <c r="C416" s="15" t="str">
        <f>LEFT([PAPEL],LEN([PAPEL])-(LEN([PAPEL])-4))</f>
        <v>TIBR</v>
      </c>
      <c r="D416" s="15">
        <v>3</v>
      </c>
      <c r="E416" s="6">
        <v>162504983.90000001</v>
      </c>
      <c r="F416" s="8">
        <v>987379000</v>
      </c>
      <c r="G416" s="86">
        <v>0.25</v>
      </c>
      <c r="H416" s="15"/>
      <c r="I416" s="19">
        <v>0.06</v>
      </c>
      <c r="J416" s="19"/>
      <c r="K416" s="88"/>
      <c r="L416" s="88"/>
      <c r="M416" s="55"/>
      <c r="N416" s="55"/>
      <c r="O416" s="55"/>
      <c r="P416" s="92">
        <v>392415000</v>
      </c>
      <c r="Q416" s="93">
        <v>-19960000</v>
      </c>
      <c r="R416" s="93">
        <f>IF(Tabela3[[#This Row],[Ativo || Passivo]]&gt;0,Tabela3[[#This Row],[Ativo || Passivo]]-Tabela3[[#This Row],[Patrimônio Líquido]],0)</f>
        <v>0</v>
      </c>
      <c r="S416" s="93">
        <f>Tabela3[[#This Row],[Cotação]]*Tabela3[[#This Row],[Total Ações]]</f>
        <v>557159904</v>
      </c>
      <c r="T416" s="40">
        <f>IF(Tabela3[[#This Row],[Passivo Circulante]]&gt;0,Tabela3[[#This Row],[Ativo Circulante]]/Tabela3[[#This Row],[Passivo Circulante]],0)</f>
        <v>0</v>
      </c>
      <c r="U416" s="40">
        <f>SUMPRODUCT(N([Liquidez Corrente]&gt;0),N(RIGHT([PAPEL],LEN([PAPEL])-(LEN([PAPEL])-1))="3"),[Liquidez Corrente])/SUMPRODUCT(N([Liquidez Corrente]&gt;0),N(RIGHT([PAPEL],LEN([PAPEL])-(LEN([PAPEL])-1))="3"))</f>
        <v>2.331224473064915</v>
      </c>
      <c r="V416" s="19">
        <f>IF(Tabela3[[#This Row],[Lucro Líquido]]&gt;0,Tabela3[[#This Row],[Lucro Líquido]]/Tabela3[[#This Row],[Patrimônio Líquido]],0)</f>
        <v>0</v>
      </c>
      <c r="W416" s="19">
        <f>SUMPRODUCT(N([Rentabilidade s/ PL]&gt;0),N(RIGHT([PAPEL],LEN([PAPEL])-(LEN([PAPEL])-1))="3"),[Rentabilidade s/ PL])/SUMPRODUCT(N([Rentabilidade s/ PL]&gt;0),N(RIGHT([PAPEL],LEN([PAPEL])-(LEN([PAPEL])-1))="3"))</f>
        <v>0.1261051308670782</v>
      </c>
      <c r="X416" s="19">
        <f>IF(Tabela3[[#This Row],[Dívida]]&gt;0,Tabela3[[#This Row],[Dívida]]/Tabela3[[#This Row],[Patrimônio Líquido]],0)</f>
        <v>0</v>
      </c>
      <c r="Y416" s="19">
        <f>SUMPRODUCT(N([Dívida / PL]&gt;0),N(RIGHT([PAPEL],LEN([PAPEL])-(LEN([PAPEL])-1))="3"),[Dívida / PL])/SUMPRODUCT(N([Dívida / PL]&gt;0),N(RIGHT([PAPEL],LEN([PAPEL])-(LEN([PAPEL])-1))="3"))</f>
        <v>2.1510410379481146</v>
      </c>
      <c r="Z416" s="13">
        <f>Tabela3[[#This Row],[Capital Social]]*20%</f>
        <v>32500996.780000001</v>
      </c>
      <c r="AA416" s="13">
        <f>IF(([Lucro Líquido]*5%)&gt;[Teto R. Legal],[Teto R. Legal],[Lucro Líquido]*5%)</f>
        <v>-998000</v>
      </c>
      <c r="AB416" s="13">
        <f>IF([Lucro Líquido]&lt;0,0,[Lucro Líquido]-[Reserva Legal])</f>
        <v>0</v>
      </c>
      <c r="AC416" s="13">
        <f>Tabela3[[#This Row],[Lucro Distribuir]]*[%Div]</f>
        <v>0</v>
      </c>
      <c r="AD416" s="56">
        <f>SUMPRODUCT(N([Nome]=Tabela3[[#This Row],[Nome]]),[Ações])</f>
        <v>2321499600</v>
      </c>
      <c r="AE416" s="6">
        <f>[Capital Social]/[Total Ações]</f>
        <v>7.0000005125997009E-2</v>
      </c>
      <c r="AF416" s="78">
        <f>Tabela3[[#This Row],[Lucro Líquido]]/Tabela3[[#This Row],[Total Ações]]</f>
        <v>-8.5978907771511147E-3</v>
      </c>
      <c r="AG416" s="78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</v>
      </c>
      <c r="AH416" s="78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416" s="78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416" s="78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</v>
      </c>
      <c r="AK416" s="13">
        <f>[Div Base]*[Ações]</f>
        <v>0</v>
      </c>
      <c r="AL416" s="13">
        <f>SUMPRODUCT(N([Nome]=Tabela3[[#This Row],[Nome]]),[Div Base]*[Ações])</f>
        <v>0</v>
      </c>
      <c r="AM416" s="6">
        <f>[Patrimônio Líquido]/[Total Ações]</f>
        <v>0.16903513573726225</v>
      </c>
      <c r="AN416" s="48">
        <f>MAX(Tabela3[[#This Row],[Cotação 1]:[Cotação 5]])</f>
        <v>0.24</v>
      </c>
      <c r="AO416" s="44">
        <f>[Cotação]/[VPA]</f>
        <v>1.4198231566071631</v>
      </c>
      <c r="AP416" s="40">
        <f>IF(Tabela3[[#This Row],[Lucro/Ação]]&gt;0,Tabela3[[#This Row],[Cotação]]/(Tabela3[[#This Row],[Lucro/Ação]]/[Ref]*4),0)</f>
        <v>0</v>
      </c>
      <c r="AQ416" s="78">
        <f>[Lucro Distribuir]/[Total Ações]</f>
        <v>0</v>
      </c>
      <c r="AR416" s="78">
        <f>IF([Unit ON]&gt;0,SUMPRODUCT(N([Nome]=Tabela3[[#This Row],[Nome]]),N(RIGHT([PAPEL],1)="3"),[Div Base])*[Unit ON]+SUMPRODUCT(N([Nome]=Tabela3[[#This Row],[Nome]]),N(RIGHT([PAPEL],1)="4"),[Div Base])*[Unit PN],[Div Base])</f>
        <v>0</v>
      </c>
      <c r="AS416" s="14" t="str">
        <f>IF(AND([% A.A.]&gt;=6%,SUMPRODUCT(N([Nome]=Tabela3[[#This Row],[Nome]]),[PL])&gt;0,[Rentabilidade s/ PL]&gt;=[Rentabilidade s/ PL Média]),"Sim","Não")</f>
        <v>Não</v>
      </c>
      <c r="AT416" s="42">
        <f>IF([Cotação]&gt;0,Tabela3[[#This Row],[Lucro]]/Tabela3[[#This Row],[Cotação]],0)</f>
        <v>0</v>
      </c>
      <c r="AU416" s="42">
        <f>((1+Tabela3[[#This Row],[% Yield]])^(1/(3*Tabela3[[#This Row],[Ref]])))^(12)-1</f>
        <v>0</v>
      </c>
      <c r="AV416" s="14">
        <f>IF([Cotação]&gt;0,($BH$1/Tabela3[[#This Row],[Cotação]]-MOD($BH$1/Tabela3[[#This Row],[Cotação]],100)),)</f>
        <v>2000</v>
      </c>
      <c r="AW416" s="17">
        <f>Tabela3[[#This Row],[Ativos]]*[Lucro]</f>
        <v>0</v>
      </c>
      <c r="AX416" s="17">
        <f>SUMPRODUCT(N(Tabela1[Código]=Tabela3[[#This Row],[PAPEL]]),Tabela1[Fechamento])</f>
        <v>0</v>
      </c>
      <c r="AY416" s="17">
        <f>SUMPRODUCT(N(Tabela17[Código]=Tabela3[[#This Row],[PAPEL]]),Tabela17[Fechamento])</f>
        <v>0</v>
      </c>
      <c r="AZ416" s="17">
        <f>SUMPRODUCT(N(Tabela176[Código]=Tabela3[[#This Row],[PAPEL]]),Tabela176[Fechamento])</f>
        <v>0.24</v>
      </c>
      <c r="BA416" s="17">
        <f>SUMPRODUCT(N(Tabela1768[Código]=Tabela3[[#This Row],[PAPEL]]),Tabela1768[Fechamento])</f>
        <v>0</v>
      </c>
      <c r="BB416" s="7">
        <f>SUMPRODUCT(N(Tabela17683[Código]=Tabela3[[#This Row],[PAPEL]]),Tabela17683[Fechamento])</f>
        <v>0</v>
      </c>
    </row>
    <row r="417" spans="1:54" hidden="1">
      <c r="A417" s="4" t="s">
        <v>643</v>
      </c>
      <c r="B417" s="57" t="s">
        <v>642</v>
      </c>
      <c r="C417" s="15" t="str">
        <f>LEFT([PAPEL],LEN([PAPEL])-(LEN([PAPEL])-4))</f>
        <v>TIBR</v>
      </c>
      <c r="D417" s="15">
        <v>3</v>
      </c>
      <c r="E417" s="6">
        <v>162504983.90000001</v>
      </c>
      <c r="F417" s="8">
        <v>521448800</v>
      </c>
      <c r="G417" s="86">
        <v>0.25</v>
      </c>
      <c r="H417" s="15"/>
      <c r="I417" s="19"/>
      <c r="J417" s="19"/>
      <c r="K417" s="88"/>
      <c r="L417" s="88"/>
      <c r="M417" s="55"/>
      <c r="N417" s="55"/>
      <c r="O417" s="55"/>
      <c r="P417" s="92">
        <v>392415000</v>
      </c>
      <c r="Q417" s="93">
        <v>-19960000</v>
      </c>
      <c r="R417" s="93">
        <f>IF(Tabela3[[#This Row],[Ativo || Passivo]]&gt;0,Tabela3[[#This Row],[Ativo || Passivo]]-Tabela3[[#This Row],[Patrimônio Líquido]],0)</f>
        <v>0</v>
      </c>
      <c r="S417" s="93">
        <f>Tabela3[[#This Row],[Cotação]]*Tabela3[[#This Row],[Total Ações]]</f>
        <v>557159904</v>
      </c>
      <c r="T417" s="40">
        <f>IF(Tabela3[[#This Row],[Passivo Circulante]]&gt;0,Tabela3[[#This Row],[Ativo Circulante]]/Tabela3[[#This Row],[Passivo Circulante]],0)</f>
        <v>0</v>
      </c>
      <c r="U417" s="40">
        <f>SUMPRODUCT(N([Liquidez Corrente]&gt;0),N(RIGHT([PAPEL],LEN([PAPEL])-(LEN([PAPEL])-1))="3"),[Liquidez Corrente])/SUMPRODUCT(N([Liquidez Corrente]&gt;0),N(RIGHT([PAPEL],LEN([PAPEL])-(LEN([PAPEL])-1))="3"))</f>
        <v>2.331224473064915</v>
      </c>
      <c r="V417" s="19">
        <f>IF(Tabela3[[#This Row],[Lucro Líquido]]&gt;0,Tabela3[[#This Row],[Lucro Líquido]]/Tabela3[[#This Row],[Patrimônio Líquido]],0)</f>
        <v>0</v>
      </c>
      <c r="W417" s="19">
        <f>SUMPRODUCT(N([Rentabilidade s/ PL]&gt;0),N(RIGHT([PAPEL],LEN([PAPEL])-(LEN([PAPEL])-1))="3"),[Rentabilidade s/ PL])/SUMPRODUCT(N([Rentabilidade s/ PL]&gt;0),N(RIGHT([PAPEL],LEN([PAPEL])-(LEN([PAPEL])-1))="3"))</f>
        <v>0.1261051308670782</v>
      </c>
      <c r="X417" s="19">
        <f>IF(Tabela3[[#This Row],[Dívida]]&gt;0,Tabela3[[#This Row],[Dívida]]/Tabela3[[#This Row],[Patrimônio Líquido]],0)</f>
        <v>0</v>
      </c>
      <c r="Y417" s="19">
        <f>SUMPRODUCT(N([Dívida / PL]&gt;0),N(RIGHT([PAPEL],LEN([PAPEL])-(LEN([PAPEL])-1))="3"),[Dívida / PL])/SUMPRODUCT(N([Dívida / PL]&gt;0),N(RIGHT([PAPEL],LEN([PAPEL])-(LEN([PAPEL])-1))="3"))</f>
        <v>2.1510410379481146</v>
      </c>
      <c r="Z417" s="13">
        <f>Tabela3[[#This Row],[Capital Social]]*20%</f>
        <v>32500996.780000001</v>
      </c>
      <c r="AA417" s="13">
        <f>IF(([Lucro Líquido]*5%)&gt;[Teto R. Legal],[Teto R. Legal],[Lucro Líquido]*5%)</f>
        <v>-998000</v>
      </c>
      <c r="AB417" s="13">
        <f>IF([Lucro Líquido]&lt;0,0,[Lucro Líquido]-[Reserva Legal])</f>
        <v>0</v>
      </c>
      <c r="AC417" s="13">
        <f>Tabela3[[#This Row],[Lucro Distribuir]]*[%Div]</f>
        <v>0</v>
      </c>
      <c r="AD417" s="56">
        <f>SUMPRODUCT(N([Nome]=Tabela3[[#This Row],[Nome]]),[Ações])</f>
        <v>2321499600</v>
      </c>
      <c r="AE417" s="6">
        <f>[Capital Social]/[Total Ações]</f>
        <v>7.0000005125997009E-2</v>
      </c>
      <c r="AF417" s="78">
        <f>Tabela3[[#This Row],[Lucro Líquido]]/Tabela3[[#This Row],[Total Ações]]</f>
        <v>-8.5978907771511147E-3</v>
      </c>
      <c r="AG417" s="78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</v>
      </c>
      <c r="AH417" s="78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417" s="78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417" s="78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</v>
      </c>
      <c r="AK417" s="13">
        <f>[Div Base]*[Ações]</f>
        <v>0</v>
      </c>
      <c r="AL417" s="13">
        <f>SUMPRODUCT(N([Nome]=Tabela3[[#This Row],[Nome]]),[Div Base]*[Ações])</f>
        <v>0</v>
      </c>
      <c r="AM417" s="6">
        <f>[Patrimônio Líquido]/[Total Ações]</f>
        <v>0.16903513573726225</v>
      </c>
      <c r="AN417" s="48">
        <f>MAX(Tabela3[[#This Row],[Cotação 1]:[Cotação 5]])</f>
        <v>0.24</v>
      </c>
      <c r="AO417" s="44">
        <f>[Cotação]/[VPA]</f>
        <v>1.4198231566071631</v>
      </c>
      <c r="AP417" s="40">
        <f>IF(Tabela3[[#This Row],[Lucro/Ação]]&gt;0,Tabela3[[#This Row],[Cotação]]/(Tabela3[[#This Row],[Lucro/Ação]]/[Ref]*4),0)</f>
        <v>0</v>
      </c>
      <c r="AQ417" s="78">
        <f>[Lucro Distribuir]/[Total Ações]</f>
        <v>0</v>
      </c>
      <c r="AR417" s="78">
        <f>IF([Unit ON]&gt;0,SUMPRODUCT(N([Nome]=Tabela3[[#This Row],[Nome]]),N(RIGHT([PAPEL],1)="3"),[Div Base])*[Unit ON]+SUMPRODUCT(N([Nome]=Tabela3[[#This Row],[Nome]]),N(RIGHT([PAPEL],1)="4"),[Div Base])*[Unit PN],[Div Base])</f>
        <v>0</v>
      </c>
      <c r="AS417" s="14" t="str">
        <f>IF(AND([% A.A.]&gt;=6%,SUMPRODUCT(N([Nome]=Tabela3[[#This Row],[Nome]]),[PL])&gt;0,[Rentabilidade s/ PL]&gt;=[Rentabilidade s/ PL Média]),"Sim","Não")</f>
        <v>Não</v>
      </c>
      <c r="AT417" s="42">
        <f>IF([Cotação]&gt;0,Tabela3[[#This Row],[Lucro]]/Tabela3[[#This Row],[Cotação]],0)</f>
        <v>0</v>
      </c>
      <c r="AU417" s="42">
        <f>((1+Tabela3[[#This Row],[% Yield]])^(1/(3*Tabela3[[#This Row],[Ref]])))^(12)-1</f>
        <v>0</v>
      </c>
      <c r="AV417" s="14">
        <f>IF([Cotação]&gt;0,($BH$1/Tabela3[[#This Row],[Cotação]]-MOD($BH$1/Tabela3[[#This Row],[Cotação]],100)),)</f>
        <v>2000</v>
      </c>
      <c r="AW417" s="17">
        <f>Tabela3[[#This Row],[Ativos]]*[Lucro]</f>
        <v>0</v>
      </c>
      <c r="AX417" s="17">
        <f>SUMPRODUCT(N(Tabela1[Código]=Tabela3[[#This Row],[PAPEL]]),Tabela1[Fechamento])</f>
        <v>0</v>
      </c>
      <c r="AY417" s="17">
        <f>SUMPRODUCT(N(Tabela17[Código]=Tabela3[[#This Row],[PAPEL]]),Tabela17[Fechamento])</f>
        <v>0</v>
      </c>
      <c r="AZ417" s="17">
        <f>SUMPRODUCT(N(Tabela176[Código]=Tabela3[[#This Row],[PAPEL]]),Tabela176[Fechamento])</f>
        <v>0.24</v>
      </c>
      <c r="BA417" s="17">
        <f>SUMPRODUCT(N(Tabela1768[Código]=Tabela3[[#This Row],[PAPEL]]),Tabela1768[Fechamento])</f>
        <v>0</v>
      </c>
      <c r="BB417" s="7">
        <f>SUMPRODUCT(N(Tabela17683[Código]=Tabela3[[#This Row],[PAPEL]]),Tabela17683[Fechamento])</f>
        <v>0</v>
      </c>
    </row>
    <row r="418" spans="1:54" hidden="1">
      <c r="A418" s="3" t="s">
        <v>1196</v>
      </c>
      <c r="B418" s="57" t="s">
        <v>1205</v>
      </c>
      <c r="C418" s="16" t="str">
        <f>LEFT([PAPEL],LEN([PAPEL])-(LEN([PAPEL])-4))</f>
        <v>CRDE</v>
      </c>
      <c r="D418" s="16">
        <v>3</v>
      </c>
      <c r="E418" s="5">
        <v>391346714</v>
      </c>
      <c r="F418" s="56">
        <v>48443062</v>
      </c>
      <c r="G418" s="81">
        <v>0.25</v>
      </c>
      <c r="H418" s="87"/>
      <c r="J418" s="18"/>
      <c r="K418" s="16"/>
      <c r="L418" s="87"/>
      <c r="M418" s="54"/>
      <c r="N418" s="54"/>
      <c r="O418" s="54"/>
      <c r="P418" s="91">
        <v>367051000</v>
      </c>
      <c r="Q418" s="73">
        <v>-21576000</v>
      </c>
      <c r="R418" s="73">
        <f>IF(Tabela3[[#This Row],[Ativo || Passivo]]&gt;0,Tabela3[[#This Row],[Ativo || Passivo]]-Tabela3[[#This Row],[Patrimônio Líquido]],0)</f>
        <v>0</v>
      </c>
      <c r="S418" s="73">
        <f>Tabela3[[#This Row],[Cotação]]*Tabela3[[#This Row],[Total Ações]]</f>
        <v>159377673.97999999</v>
      </c>
      <c r="T418" s="37">
        <f>IF(Tabela3[[#This Row],[Passivo Circulante]]&gt;0,Tabela3[[#This Row],[Ativo Circulante]]/Tabela3[[#This Row],[Passivo Circulante]],0)</f>
        <v>0</v>
      </c>
      <c r="U418" s="37">
        <f>SUMPRODUCT(N([Liquidez Corrente]&gt;0),N(RIGHT([PAPEL],LEN([PAPEL])-(LEN([PAPEL])-1))="3"),[Liquidez Corrente])/SUMPRODUCT(N([Liquidez Corrente]&gt;0),N(RIGHT([PAPEL],LEN([PAPEL])-(LEN([PAPEL])-1))="3"))</f>
        <v>2.331224473064915</v>
      </c>
      <c r="V418" s="18">
        <f>IF(Tabela3[[#This Row],[Lucro Líquido]]&gt;0,Tabela3[[#This Row],[Lucro Líquido]]/Tabela3[[#This Row],[Patrimônio Líquido]],0)</f>
        <v>0</v>
      </c>
      <c r="W418" s="18">
        <f>SUMPRODUCT(N([Rentabilidade s/ PL]&gt;0),N(RIGHT([PAPEL],LEN([PAPEL])-(LEN([PAPEL])-1))="3"),[Rentabilidade s/ PL])/SUMPRODUCT(N([Rentabilidade s/ PL]&gt;0),N(RIGHT([PAPEL],LEN([PAPEL])-(LEN([PAPEL])-1))="3"))</f>
        <v>0.1261051308670782</v>
      </c>
      <c r="X418" s="18">
        <f>IF(Tabela3[[#This Row],[Dívida]]&gt;0,Tabela3[[#This Row],[Dívida]]/Tabela3[[#This Row],[Patrimônio Líquido]],0)</f>
        <v>0</v>
      </c>
      <c r="Y418" s="18">
        <f>SUMPRODUCT(N([Dívida / PL]&gt;0),N(RIGHT([PAPEL],LEN([PAPEL])-(LEN([PAPEL])-1))="3"),[Dívida / PL])/SUMPRODUCT(N([Dívida / PL]&gt;0),N(RIGHT([PAPEL],LEN([PAPEL])-(LEN([PAPEL])-1))="3"))</f>
        <v>2.1510410379481146</v>
      </c>
      <c r="Z418" s="7">
        <f>Tabela3[[#This Row],[Capital Social]]*20%</f>
        <v>78269342.799999997</v>
      </c>
      <c r="AA418" s="47">
        <f>IF(([Lucro Líquido]*5%)&gt;[Teto R. Legal],[Teto R. Legal],[Lucro Líquido]*5%)</f>
        <v>-1078800</v>
      </c>
      <c r="AB418" s="47">
        <f>IF([Lucro Líquido]&lt;0,0,[Lucro Líquido]-[Reserva Legal])</f>
        <v>0</v>
      </c>
      <c r="AC418" s="47">
        <f>Tabela3[[#This Row],[Lucro Distribuir]]*[%Div]</f>
        <v>0</v>
      </c>
      <c r="AD418" s="56">
        <f>SUMPRODUCT(N([Nome]=Tabela3[[#This Row],[Nome]]),[Ações])</f>
        <v>48443062</v>
      </c>
      <c r="AE418" s="85">
        <f>[Capital Social]/[Total Ações]</f>
        <v>8.078488391175604</v>
      </c>
      <c r="AF418" s="85">
        <f>Tabela3[[#This Row],[Lucro Líquido]]/Tabela3[[#This Row],[Total Ações]]</f>
        <v>-0.44538885671595241</v>
      </c>
      <c r="AG418" s="85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</v>
      </c>
      <c r="AH418" s="85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418" s="77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418" s="85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</v>
      </c>
      <c r="AK418" s="7">
        <f>[Div Base]*[Ações]</f>
        <v>0</v>
      </c>
      <c r="AL418" s="120">
        <f>SUMPRODUCT(N([Nome]=Tabela3[[#This Row],[Nome]]),[Div Base]*[Ações])</f>
        <v>0</v>
      </c>
      <c r="AM418" s="5">
        <f>[Patrimônio Líquido]/[Total Ações]</f>
        <v>7.576957047017383</v>
      </c>
      <c r="AN418" s="52">
        <f>MAX(Tabela3[[#This Row],[Cotação 1]:[Cotação 5]])</f>
        <v>3.29</v>
      </c>
      <c r="AO418" s="53">
        <f>[Cotação]/[VPA]</f>
        <v>0.43421125124301529</v>
      </c>
      <c r="AP418" s="37">
        <f>IF(Tabela3[[#This Row],[Lucro/Ação]]&gt;0,Tabela3[[#This Row],[Cotação]]/(Tabela3[[#This Row],[Lucro/Ação]]/[Ref]*4),0)</f>
        <v>0</v>
      </c>
      <c r="AQ418" s="85">
        <f>[Lucro Distribuir]/[Total Ações]</f>
        <v>0</v>
      </c>
      <c r="AR418" s="85">
        <f>IF([Unit ON]&gt;0,SUMPRODUCT(N([Nome]=Tabela3[[#This Row],[Nome]]),N(RIGHT([PAPEL],1)="3"),[Div Base])*[Unit ON]+SUMPRODUCT(N([Nome]=Tabela3[[#This Row],[Nome]]),N(RIGHT([PAPEL],1)="4"),[Div Base])*[Unit PN],[Div Base])</f>
        <v>0</v>
      </c>
      <c r="AS418" s="10" t="str">
        <f>IF(AND([% A.A.]&gt;=6%,SUMPRODUCT(N([Nome]=Tabela3[[#This Row],[Nome]]),[PL])&gt;0,[Rentabilidade s/ PL]&gt;=[Rentabilidade s/ PL Média]),"Sim","Não")</f>
        <v>Não</v>
      </c>
      <c r="AT418" s="22">
        <f>IF([Cotação]&gt;0,Tabela3[[#This Row],[Lucro]]/Tabela3[[#This Row],[Cotação]],0)</f>
        <v>0</v>
      </c>
      <c r="AU418" s="22">
        <f>((1+Tabela3[[#This Row],[% Yield]])^(1/(3*Tabela3[[#This Row],[Ref]])))^(12)-1</f>
        <v>0</v>
      </c>
      <c r="AV418" s="10">
        <f>IF([Cotação]&gt;0,($BH$1/Tabela3[[#This Row],[Cotação]]-MOD($BH$1/Tabela3[[#This Row],[Cotação]],100)),)</f>
        <v>100</v>
      </c>
      <c r="AW418" s="7">
        <f>Tabela3[[#This Row],[Ativos]]*[Lucro]</f>
        <v>0</v>
      </c>
      <c r="AX418" s="7">
        <f>SUMPRODUCT(N(Tabela1[Código]=Tabela3[[#This Row],[PAPEL]]),Tabela1[Fechamento])</f>
        <v>0</v>
      </c>
      <c r="AY418" s="7">
        <f>SUMPRODUCT(N(Tabela17[Código]=Tabela3[[#This Row],[PAPEL]]),Tabela17[Fechamento])</f>
        <v>0</v>
      </c>
      <c r="AZ418" s="7">
        <f>SUMPRODUCT(N(Tabela176[Código]=Tabela3[[#This Row],[PAPEL]]),Tabela176[Fechamento])</f>
        <v>0</v>
      </c>
      <c r="BA418" s="7">
        <f>SUMPRODUCT(N(Tabela1768[Código]=Tabela3[[#This Row],[PAPEL]]),Tabela1768[Fechamento])</f>
        <v>3.29</v>
      </c>
      <c r="BB418" s="7">
        <f>SUMPRODUCT(N(Tabela17683[Código]=Tabela3[[#This Row],[PAPEL]]),Tabela17683[Fechamento])</f>
        <v>0</v>
      </c>
    </row>
    <row r="419" spans="1:54" hidden="1">
      <c r="A419" s="3" t="s">
        <v>1012</v>
      </c>
      <c r="B419" s="58" t="s">
        <v>1019</v>
      </c>
      <c r="C419" s="16" t="str">
        <f>LEFT([PAPEL],LEN([PAPEL])-(LEN([PAPEL])-4))</f>
        <v>ESTR</v>
      </c>
      <c r="D419" s="16">
        <v>3</v>
      </c>
      <c r="E419" s="5">
        <v>30602186.559999999</v>
      </c>
      <c r="F419" s="56">
        <v>5388995</v>
      </c>
      <c r="G419" s="81">
        <v>0.25</v>
      </c>
      <c r="H419" s="87"/>
      <c r="J419" s="18"/>
      <c r="K419" s="16"/>
      <c r="L419" s="87"/>
      <c r="M419" s="54"/>
      <c r="N419" s="54"/>
      <c r="O419" s="54"/>
      <c r="P419" s="91">
        <v>-246948000</v>
      </c>
      <c r="Q419" s="73">
        <v>-23685000</v>
      </c>
      <c r="R419" s="73">
        <f>IF(Tabela3[[#This Row],[Ativo || Passivo]]&gt;0,Tabela3[[#This Row],[Ativo || Passivo]]-Tabela3[[#This Row],[Patrimônio Líquido]],0)</f>
        <v>0</v>
      </c>
      <c r="S419" s="73">
        <f>Tabela3[[#This Row],[Cotação]]*Tabela3[[#This Row],[Total Ações]]</f>
        <v>80834900</v>
      </c>
      <c r="T419" s="37">
        <f>IF(Tabela3[[#This Row],[Passivo Circulante]]&gt;0,Tabela3[[#This Row],[Ativo Circulante]]/Tabela3[[#This Row],[Passivo Circulante]],0)</f>
        <v>0</v>
      </c>
      <c r="U419" s="37">
        <f>SUMPRODUCT(N([Liquidez Corrente]&gt;0),N(RIGHT([PAPEL],LEN([PAPEL])-(LEN([PAPEL])-1))="3"),[Liquidez Corrente])/SUMPRODUCT(N([Liquidez Corrente]&gt;0),N(RIGHT([PAPEL],LEN([PAPEL])-(LEN([PAPEL])-1))="3"))</f>
        <v>2.331224473064915</v>
      </c>
      <c r="V419" s="18">
        <f>IF(Tabela3[[#This Row],[Lucro Líquido]]&gt;0,Tabela3[[#This Row],[Lucro Líquido]]/Tabela3[[#This Row],[Patrimônio Líquido]],0)</f>
        <v>0</v>
      </c>
      <c r="W419" s="18">
        <f>SUMPRODUCT(N([Rentabilidade s/ PL]&gt;0),N(RIGHT([PAPEL],LEN([PAPEL])-(LEN([PAPEL])-1))="3"),[Rentabilidade s/ PL])/SUMPRODUCT(N([Rentabilidade s/ PL]&gt;0),N(RIGHT([PAPEL],LEN([PAPEL])-(LEN([PAPEL])-1))="3"))</f>
        <v>0.1261051308670782</v>
      </c>
      <c r="X419" s="18">
        <f>IF(Tabela3[[#This Row],[Dívida]]&gt;0,Tabela3[[#This Row],[Dívida]]/Tabela3[[#This Row],[Patrimônio Líquido]],0)</f>
        <v>0</v>
      </c>
      <c r="Y419" s="18">
        <f>SUMPRODUCT(N([Dívida / PL]&gt;0),N(RIGHT([PAPEL],LEN([PAPEL])-(LEN([PAPEL])-1))="3"),[Dívida / PL])/SUMPRODUCT(N([Dívida / PL]&gt;0),N(RIGHT([PAPEL],LEN([PAPEL])-(LEN([PAPEL])-1))="3"))</f>
        <v>2.1510410379481146</v>
      </c>
      <c r="Z419" s="7">
        <f>Tabela3[[#This Row],[Capital Social]]*20%</f>
        <v>6120437.3119999999</v>
      </c>
      <c r="AA419" s="47">
        <f>IF(([Lucro Líquido]*5%)&gt;[Teto R. Legal],[Teto R. Legal],[Lucro Líquido]*5%)</f>
        <v>-1184250</v>
      </c>
      <c r="AB419" s="47">
        <f>IF([Lucro Líquido]&lt;0,0,[Lucro Líquido]-[Reserva Legal])</f>
        <v>0</v>
      </c>
      <c r="AC419" s="47">
        <f>Tabela3[[#This Row],[Lucro Distribuir]]*[%Div]</f>
        <v>0</v>
      </c>
      <c r="AD419" s="56">
        <f>SUMPRODUCT(N([Nome]=Tabela3[[#This Row],[Nome]]),[Ações])</f>
        <v>16166980</v>
      </c>
      <c r="AE419" s="85">
        <f>[Capital Social]/[Total Ações]</f>
        <v>1.892882069502158</v>
      </c>
      <c r="AF419" s="85">
        <f>Tabela3[[#This Row],[Lucro Líquido]]/Tabela3[[#This Row],[Total Ações]]</f>
        <v>-1.4650231521285979</v>
      </c>
      <c r="AG419" s="85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</v>
      </c>
      <c r="AH419" s="85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419" s="77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419" s="85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</v>
      </c>
      <c r="AK419" s="7">
        <f>[Div Base]*[Ações]</f>
        <v>0</v>
      </c>
      <c r="AL419" s="7">
        <f>SUMPRODUCT(N([Nome]=Tabela3[[#This Row],[Nome]]),[Div Base]*[Ações])</f>
        <v>0</v>
      </c>
      <c r="AM419" s="5">
        <f>[Patrimônio Líquido]/[Total Ações]</f>
        <v>-15.274837972212497</v>
      </c>
      <c r="AN419" s="52">
        <f>MAX(Tabela3[[#This Row],[Cotação 1]:[Cotação 5]])</f>
        <v>5</v>
      </c>
      <c r="AO419" s="53">
        <f>[Cotação]/[VPA]</f>
        <v>-0.32733571440141246</v>
      </c>
      <c r="AP419" s="37">
        <f>IF(Tabela3[[#This Row],[Lucro/Ação]]&gt;0,Tabela3[[#This Row],[Cotação]]/(Tabela3[[#This Row],[Lucro/Ação]]/[Ref]*4),0)</f>
        <v>0</v>
      </c>
      <c r="AQ419" s="85">
        <f>[Lucro Distribuir]/[Total Ações]</f>
        <v>0</v>
      </c>
      <c r="AR419" s="85">
        <f>IF([Unit ON]&gt;0,SUMPRODUCT(N([Nome]=Tabela3[[#This Row],[Nome]]),N(RIGHT([PAPEL],1)="3"),[Div Base])*[Unit ON]+SUMPRODUCT(N([Nome]=Tabela3[[#This Row],[Nome]]),N(RIGHT([PAPEL],1)="4"),[Div Base])*[Unit PN],[Div Base])</f>
        <v>0</v>
      </c>
      <c r="AS419" s="10" t="str">
        <f>IF(AND([% A.A.]&gt;=6%,SUMPRODUCT(N([Nome]=Tabela3[[#This Row],[Nome]]),[PL])&gt;0,[Rentabilidade s/ PL]&gt;=[Rentabilidade s/ PL Média]),"Sim","Não")</f>
        <v>Não</v>
      </c>
      <c r="AT419" s="22">
        <f>IF([Cotação]&gt;0,Tabela3[[#This Row],[Lucro]]/Tabela3[[#This Row],[Cotação]],0)</f>
        <v>0</v>
      </c>
      <c r="AU419" s="22">
        <f>((1+Tabela3[[#This Row],[% Yield]])^(1/(3*Tabela3[[#This Row],[Ref]])))^(12)-1</f>
        <v>0</v>
      </c>
      <c r="AV419" s="10">
        <f>IF([Cotação]&gt;0,($BH$1/Tabela3[[#This Row],[Cotação]]-MOD($BH$1/Tabela3[[#This Row],[Cotação]],100)),)</f>
        <v>100</v>
      </c>
      <c r="AW419" s="7">
        <f>Tabela3[[#This Row],[Ativos]]*[Lucro]</f>
        <v>0</v>
      </c>
      <c r="AX419" s="7">
        <f>SUMPRODUCT(N(Tabela1[Código]=Tabela3[[#This Row],[PAPEL]]),Tabela1[Fechamento])</f>
        <v>0</v>
      </c>
      <c r="AY419" s="7">
        <f>SUMPRODUCT(N(Tabela17[Código]=Tabela3[[#This Row],[PAPEL]]),Tabela17[Fechamento])</f>
        <v>0</v>
      </c>
      <c r="AZ419" s="7">
        <f>SUMPRODUCT(N(Tabela176[Código]=Tabela3[[#This Row],[PAPEL]]),Tabela176[Fechamento])</f>
        <v>0</v>
      </c>
      <c r="BA419" s="7">
        <f>SUMPRODUCT(N(Tabela1768[Código]=Tabela3[[#This Row],[PAPEL]]),Tabela1768[Fechamento])</f>
        <v>5</v>
      </c>
      <c r="BB419" s="7">
        <f>SUMPRODUCT(N(Tabela17683[Código]=Tabela3[[#This Row],[PAPEL]]),Tabela17683[Fechamento])</f>
        <v>0</v>
      </c>
    </row>
    <row r="420" spans="1:54" hidden="1">
      <c r="A420" s="3" t="s">
        <v>1012</v>
      </c>
      <c r="B420" s="58" t="s">
        <v>1020</v>
      </c>
      <c r="C420" s="16" t="str">
        <f>LEFT([PAPEL],LEN([PAPEL])-(LEN([PAPEL])-4))</f>
        <v>ESTR</v>
      </c>
      <c r="D420" s="16">
        <v>3</v>
      </c>
      <c r="E420" s="5">
        <v>30602186.559999999</v>
      </c>
      <c r="F420" s="56">
        <v>10777985</v>
      </c>
      <c r="G420" s="81">
        <v>0.25</v>
      </c>
      <c r="H420" s="87"/>
      <c r="I420" s="18">
        <v>0.06</v>
      </c>
      <c r="J420" s="18"/>
      <c r="K420" s="16"/>
      <c r="L420" s="87"/>
      <c r="M420" s="54"/>
      <c r="N420" s="54"/>
      <c r="O420" s="54"/>
      <c r="P420" s="91">
        <v>-246948000</v>
      </c>
      <c r="Q420" s="73">
        <v>-23685000</v>
      </c>
      <c r="R420" s="73">
        <f>IF(Tabela3[[#This Row],[Ativo || Passivo]]&gt;0,Tabela3[[#This Row],[Ativo || Passivo]]-Tabela3[[#This Row],[Patrimônio Líquido]],0)</f>
        <v>0</v>
      </c>
      <c r="S420" s="73">
        <f>Tabela3[[#This Row],[Cotação]]*Tabela3[[#This Row],[Total Ações]]</f>
        <v>3071726.2</v>
      </c>
      <c r="T420" s="37">
        <f>IF(Tabela3[[#This Row],[Passivo Circulante]]&gt;0,Tabela3[[#This Row],[Ativo Circulante]]/Tabela3[[#This Row],[Passivo Circulante]],0)</f>
        <v>0</v>
      </c>
      <c r="U420" s="37">
        <f>SUMPRODUCT(N([Liquidez Corrente]&gt;0),N(RIGHT([PAPEL],LEN([PAPEL])-(LEN([PAPEL])-1))="3"),[Liquidez Corrente])/SUMPRODUCT(N([Liquidez Corrente]&gt;0),N(RIGHT([PAPEL],LEN([PAPEL])-(LEN([PAPEL])-1))="3"))</f>
        <v>2.331224473064915</v>
      </c>
      <c r="V420" s="18">
        <f>IF(Tabela3[[#This Row],[Lucro Líquido]]&gt;0,Tabela3[[#This Row],[Lucro Líquido]]/Tabela3[[#This Row],[Patrimônio Líquido]],0)</f>
        <v>0</v>
      </c>
      <c r="W420" s="18">
        <f>SUMPRODUCT(N([Rentabilidade s/ PL]&gt;0),N(RIGHT([PAPEL],LEN([PAPEL])-(LEN([PAPEL])-1))="3"),[Rentabilidade s/ PL])/SUMPRODUCT(N([Rentabilidade s/ PL]&gt;0),N(RIGHT([PAPEL],LEN([PAPEL])-(LEN([PAPEL])-1))="3"))</f>
        <v>0.1261051308670782</v>
      </c>
      <c r="X420" s="18">
        <f>IF(Tabela3[[#This Row],[Dívida]]&gt;0,Tabela3[[#This Row],[Dívida]]/Tabela3[[#This Row],[Patrimônio Líquido]],0)</f>
        <v>0</v>
      </c>
      <c r="Y420" s="18">
        <f>SUMPRODUCT(N([Dívida / PL]&gt;0),N(RIGHT([PAPEL],LEN([PAPEL])-(LEN([PAPEL])-1))="3"),[Dívida / PL])/SUMPRODUCT(N([Dívida / PL]&gt;0),N(RIGHT([PAPEL],LEN([PAPEL])-(LEN([PAPEL])-1))="3"))</f>
        <v>2.1510410379481146</v>
      </c>
      <c r="Z420" s="7">
        <f>Tabela3[[#This Row],[Capital Social]]*20%</f>
        <v>6120437.3119999999</v>
      </c>
      <c r="AA420" s="47">
        <f>IF(([Lucro Líquido]*5%)&gt;[Teto R. Legal],[Teto R. Legal],[Lucro Líquido]*5%)</f>
        <v>-1184250</v>
      </c>
      <c r="AB420" s="47">
        <f>IF([Lucro Líquido]&lt;0,0,[Lucro Líquido]-[Reserva Legal])</f>
        <v>0</v>
      </c>
      <c r="AC420" s="47">
        <f>Tabela3[[#This Row],[Lucro Distribuir]]*[%Div]</f>
        <v>0</v>
      </c>
      <c r="AD420" s="56">
        <f>SUMPRODUCT(N([Nome]=Tabela3[[#This Row],[Nome]]),[Ações])</f>
        <v>16166980</v>
      </c>
      <c r="AE420" s="85">
        <f>[Capital Social]/[Total Ações]</f>
        <v>1.892882069502158</v>
      </c>
      <c r="AF420" s="85">
        <f>Tabela3[[#This Row],[Lucro Líquido]]/Tabela3[[#This Row],[Total Ações]]</f>
        <v>-1.4650231521285979</v>
      </c>
      <c r="AG420" s="85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</v>
      </c>
      <c r="AH420" s="85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420" s="77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420" s="85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</v>
      </c>
      <c r="AK420" s="7">
        <f>[Div Base]*[Ações]</f>
        <v>0</v>
      </c>
      <c r="AL420" s="7">
        <f>SUMPRODUCT(N([Nome]=Tabela3[[#This Row],[Nome]]),[Div Base]*[Ações])</f>
        <v>0</v>
      </c>
      <c r="AM420" s="5">
        <f>[Patrimônio Líquido]/[Total Ações]</f>
        <v>-15.274837972212497</v>
      </c>
      <c r="AN420" s="52">
        <f>MAX(Tabela3[[#This Row],[Cotação 1]:[Cotação 5]])</f>
        <v>0.19</v>
      </c>
      <c r="AO420" s="53">
        <f>[Cotação]/[VPA]</f>
        <v>-1.2438757147253673E-2</v>
      </c>
      <c r="AP420" s="37">
        <f>IF(Tabela3[[#This Row],[Lucro/Ação]]&gt;0,Tabela3[[#This Row],[Cotação]]/(Tabela3[[#This Row],[Lucro/Ação]]/[Ref]*4),0)</f>
        <v>0</v>
      </c>
      <c r="AQ420" s="85">
        <f>[Lucro Distribuir]/[Total Ações]</f>
        <v>0</v>
      </c>
      <c r="AR420" s="85">
        <f>IF([Unit ON]&gt;0,SUMPRODUCT(N([Nome]=Tabela3[[#This Row],[Nome]]),N(RIGHT([PAPEL],1)="3"),[Div Base])*[Unit ON]+SUMPRODUCT(N([Nome]=Tabela3[[#This Row],[Nome]]),N(RIGHT([PAPEL],1)="4"),[Div Base])*[Unit PN],[Div Base])</f>
        <v>0</v>
      </c>
      <c r="AS420" s="10" t="str">
        <f>IF(AND([% A.A.]&gt;=6%,SUMPRODUCT(N([Nome]=Tabela3[[#This Row],[Nome]]),[PL])&gt;0,[Rentabilidade s/ PL]&gt;=[Rentabilidade s/ PL Média]),"Sim","Não")</f>
        <v>Não</v>
      </c>
      <c r="AT420" s="22">
        <f>IF([Cotação]&gt;0,Tabela3[[#This Row],[Lucro]]/Tabela3[[#This Row],[Cotação]],0)</f>
        <v>0</v>
      </c>
      <c r="AU420" s="22">
        <f>((1+Tabela3[[#This Row],[% Yield]])^(1/(3*Tabela3[[#This Row],[Ref]])))^(12)-1</f>
        <v>0</v>
      </c>
      <c r="AV420" s="10">
        <f>IF([Cotação]&gt;0,($BH$1/Tabela3[[#This Row],[Cotação]]-MOD($BH$1/Tabela3[[#This Row],[Cotação]],100)),)</f>
        <v>2600</v>
      </c>
      <c r="AW420" s="7">
        <f>Tabela3[[#This Row],[Ativos]]*[Lucro]</f>
        <v>0</v>
      </c>
      <c r="AX420" s="7">
        <f>SUMPRODUCT(N(Tabela1[Código]=Tabela3[[#This Row],[PAPEL]]),Tabela1[Fechamento])</f>
        <v>0</v>
      </c>
      <c r="AY420" s="7">
        <f>SUMPRODUCT(N(Tabela17[Código]=Tabela3[[#This Row],[PAPEL]]),Tabela17[Fechamento])</f>
        <v>0</v>
      </c>
      <c r="AZ420" s="7">
        <f>SUMPRODUCT(N(Tabela176[Código]=Tabela3[[#This Row],[PAPEL]]),Tabela176[Fechamento])</f>
        <v>0</v>
      </c>
      <c r="BA420" s="7">
        <f>SUMPRODUCT(N(Tabela1768[Código]=Tabela3[[#This Row],[PAPEL]]),Tabela1768[Fechamento])</f>
        <v>0.19</v>
      </c>
      <c r="BB420" s="7">
        <f>SUMPRODUCT(N(Tabela17683[Código]=Tabela3[[#This Row],[PAPEL]]),Tabela17683[Fechamento])</f>
        <v>0</v>
      </c>
    </row>
    <row r="421" spans="1:54" hidden="1">
      <c r="A421" s="3" t="s">
        <v>929</v>
      </c>
      <c r="B421" s="58" t="s">
        <v>1034</v>
      </c>
      <c r="C421" s="16" t="str">
        <f>LEFT([PAPEL],LEN([PAPEL])-(LEN([PAPEL])-4))</f>
        <v>CTNM</v>
      </c>
      <c r="D421" s="16">
        <v>3</v>
      </c>
      <c r="E421" s="5">
        <v>882235698</v>
      </c>
      <c r="F421" s="56">
        <v>55651200</v>
      </c>
      <c r="G421" s="81">
        <v>0.25</v>
      </c>
      <c r="H421" s="87"/>
      <c r="J421" s="18"/>
      <c r="K421" s="16"/>
      <c r="L421" s="87"/>
      <c r="M421" s="54"/>
      <c r="N421" s="54"/>
      <c r="O421" s="54"/>
      <c r="P421" s="91">
        <v>1000768000</v>
      </c>
      <c r="Q421" s="73">
        <v>-24156000</v>
      </c>
      <c r="R421" s="73">
        <f>IF(Tabela3[[#This Row],[Ativo || Passivo]]&gt;0,Tabela3[[#This Row],[Ativo || Passivo]]-Tabela3[[#This Row],[Patrimônio Líquido]],0)</f>
        <v>0</v>
      </c>
      <c r="S421" s="73">
        <f>Tabela3[[#This Row],[Cotação]]*Tabela3[[#This Row],[Total Ações]]</f>
        <v>302688195.16000003</v>
      </c>
      <c r="T421" s="37">
        <f>IF(Tabela3[[#This Row],[Passivo Circulante]]&gt;0,Tabela3[[#This Row],[Ativo Circulante]]/Tabela3[[#This Row],[Passivo Circulante]],0)</f>
        <v>0</v>
      </c>
      <c r="U421" s="37">
        <f>SUMPRODUCT(N([Liquidez Corrente]&gt;0),N(RIGHT([PAPEL],LEN([PAPEL])-(LEN([PAPEL])-1))="3"),[Liquidez Corrente])/SUMPRODUCT(N([Liquidez Corrente]&gt;0),N(RIGHT([PAPEL],LEN([PAPEL])-(LEN([PAPEL])-1))="3"))</f>
        <v>2.331224473064915</v>
      </c>
      <c r="V421" s="18">
        <f>IF(Tabela3[[#This Row],[Lucro Líquido]]&gt;0,Tabela3[[#This Row],[Lucro Líquido]]/Tabela3[[#This Row],[Patrimônio Líquido]],0)</f>
        <v>0</v>
      </c>
      <c r="W421" s="18">
        <f>SUMPRODUCT(N([Rentabilidade s/ PL]&gt;0),N(RIGHT([PAPEL],LEN([PAPEL])-(LEN([PAPEL])-1))="3"),[Rentabilidade s/ PL])/SUMPRODUCT(N([Rentabilidade s/ PL]&gt;0),N(RIGHT([PAPEL],LEN([PAPEL])-(LEN([PAPEL])-1))="3"))</f>
        <v>0.1261051308670782</v>
      </c>
      <c r="X421" s="18">
        <f>IF(Tabela3[[#This Row],[Dívida]]&gt;0,Tabela3[[#This Row],[Dívida]]/Tabela3[[#This Row],[Patrimônio Líquido]],0)</f>
        <v>0</v>
      </c>
      <c r="Y421" s="18">
        <f>SUMPRODUCT(N([Dívida / PL]&gt;0),N(RIGHT([PAPEL],LEN([PAPEL])-(LEN([PAPEL])-1))="3"),[Dívida / PL])/SUMPRODUCT(N([Dívida / PL]&gt;0),N(RIGHT([PAPEL],LEN([PAPEL])-(LEN([PAPEL])-1))="3"))</f>
        <v>2.1510410379481146</v>
      </c>
      <c r="Z421" s="7">
        <f>Tabela3[[#This Row],[Capital Social]]*20%</f>
        <v>176447139.60000002</v>
      </c>
      <c r="AA421" s="47">
        <f>IF(([Lucro Líquido]*5%)&gt;[Teto R. Legal],[Teto R. Legal],[Lucro Líquido]*5%)</f>
        <v>-1207800</v>
      </c>
      <c r="AB421" s="47">
        <f>IF([Lucro Líquido]&lt;0,0,[Lucro Líquido]-[Reserva Legal])</f>
        <v>0</v>
      </c>
      <c r="AC421" s="47">
        <f>Tabela3[[#This Row],[Lucro Distribuir]]*[%Div]</f>
        <v>0</v>
      </c>
      <c r="AD421" s="56">
        <f>SUMPRODUCT(N([Nome]=Tabela3[[#This Row],[Nome]]),[Ações])</f>
        <v>122545828</v>
      </c>
      <c r="AE421" s="85">
        <f>[Capital Social]/[Total Ações]</f>
        <v>7.1992307889910379</v>
      </c>
      <c r="AF421" s="85">
        <f>Tabela3[[#This Row],[Lucro Líquido]]/Tabela3[[#This Row],[Total Ações]]</f>
        <v>-0.19711809364901431</v>
      </c>
      <c r="AG421" s="85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</v>
      </c>
      <c r="AH421" s="85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421" s="77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421" s="85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</v>
      </c>
      <c r="AK421" s="7">
        <f>[Div Base]*[Ações]</f>
        <v>0</v>
      </c>
      <c r="AL421" s="7">
        <f>SUMPRODUCT(N([Nome]=Tabela3[[#This Row],[Nome]]),[Div Base]*[Ações])</f>
        <v>0</v>
      </c>
      <c r="AM421" s="5">
        <f>[Patrimônio Líquido]/[Total Ações]</f>
        <v>8.1664795638738514</v>
      </c>
      <c r="AN421" s="52">
        <f>MAX(Tabela3[[#This Row],[Cotação 1]:[Cotação 5]])</f>
        <v>2.4700000000000002</v>
      </c>
      <c r="AO421" s="53">
        <f>[Cotação]/[VPA]</f>
        <v>0.30245590902187125</v>
      </c>
      <c r="AP421" s="37">
        <f>IF(Tabela3[[#This Row],[Lucro/Ação]]&gt;0,Tabela3[[#This Row],[Cotação]]/(Tabela3[[#This Row],[Lucro/Ação]]/[Ref]*4),0)</f>
        <v>0</v>
      </c>
      <c r="AQ421" s="85">
        <f>[Lucro Distribuir]/[Total Ações]</f>
        <v>0</v>
      </c>
      <c r="AR421" s="85">
        <f>IF([Unit ON]&gt;0,SUMPRODUCT(N([Nome]=Tabela3[[#This Row],[Nome]]),N(RIGHT([PAPEL],1)="3"),[Div Base])*[Unit ON]+SUMPRODUCT(N([Nome]=Tabela3[[#This Row],[Nome]]),N(RIGHT([PAPEL],1)="4"),[Div Base])*[Unit PN],[Div Base])</f>
        <v>0</v>
      </c>
      <c r="AS421" s="10" t="str">
        <f>IF(AND([% A.A.]&gt;=6%,SUMPRODUCT(N([Nome]=Tabela3[[#This Row],[Nome]]),[PL])&gt;0,[Rentabilidade s/ PL]&gt;=[Rentabilidade s/ PL Média]),"Sim","Não")</f>
        <v>Não</v>
      </c>
      <c r="AT421" s="22">
        <f>IF([Cotação]&gt;0,Tabela3[[#This Row],[Lucro]]/Tabela3[[#This Row],[Cotação]],0)</f>
        <v>0</v>
      </c>
      <c r="AU421" s="22">
        <f>((1+Tabela3[[#This Row],[% Yield]])^(1/(3*Tabela3[[#This Row],[Ref]])))^(12)-1</f>
        <v>0</v>
      </c>
      <c r="AV421" s="10">
        <f>IF([Cotação]&gt;0,($BH$1/Tabela3[[#This Row],[Cotação]]-MOD($BH$1/Tabela3[[#This Row],[Cotação]],100)),)</f>
        <v>200</v>
      </c>
      <c r="AW421" s="7">
        <f>Tabela3[[#This Row],[Ativos]]*[Lucro]</f>
        <v>0</v>
      </c>
      <c r="AX421" s="7">
        <f>SUMPRODUCT(N(Tabela1[Código]=Tabela3[[#This Row],[PAPEL]]),Tabela1[Fechamento])</f>
        <v>0</v>
      </c>
      <c r="AY421" s="7">
        <f>SUMPRODUCT(N(Tabela17[Código]=Tabela3[[#This Row],[PAPEL]]),Tabela17[Fechamento])</f>
        <v>0</v>
      </c>
      <c r="AZ421" s="7">
        <f>SUMPRODUCT(N(Tabela176[Código]=Tabela3[[#This Row],[PAPEL]]),Tabela176[Fechamento])</f>
        <v>0</v>
      </c>
      <c r="BA421" s="7">
        <f>SUMPRODUCT(N(Tabela1768[Código]=Tabela3[[#This Row],[PAPEL]]),Tabela1768[Fechamento])</f>
        <v>2.4700000000000002</v>
      </c>
      <c r="BB421" s="7">
        <f>SUMPRODUCT(N(Tabela17683[Código]=Tabela3[[#This Row],[PAPEL]]),Tabela17683[Fechamento])</f>
        <v>0</v>
      </c>
    </row>
    <row r="422" spans="1:54" hidden="1">
      <c r="A422" s="3" t="s">
        <v>929</v>
      </c>
      <c r="B422" s="58" t="s">
        <v>1035</v>
      </c>
      <c r="C422" s="16" t="str">
        <f>LEFT([PAPEL],LEN([PAPEL])-(LEN([PAPEL])-4))</f>
        <v>CTNM</v>
      </c>
      <c r="D422" s="16">
        <v>3</v>
      </c>
      <c r="E422" s="5">
        <v>882235698</v>
      </c>
      <c r="F422" s="56">
        <v>66894628</v>
      </c>
      <c r="G422" s="81">
        <v>0.25</v>
      </c>
      <c r="H422" s="87"/>
      <c r="J422" s="18"/>
      <c r="K422" s="16"/>
      <c r="L422" s="87"/>
      <c r="M422" s="54"/>
      <c r="N422" s="54"/>
      <c r="O422" s="54"/>
      <c r="P422" s="91">
        <v>1000768000</v>
      </c>
      <c r="Q422" s="73">
        <v>-24156000</v>
      </c>
      <c r="R422" s="73">
        <f>IF(Tabela3[[#This Row],[Ativo || Passivo]]&gt;0,Tabela3[[#This Row],[Ativo || Passivo]]-Tabela3[[#This Row],[Patrimônio Líquido]],0)</f>
        <v>0</v>
      </c>
      <c r="S422" s="73">
        <f>Tabela3[[#This Row],[Cotação]]*Tabela3[[#This Row],[Total Ações]]</f>
        <v>257346238.80000001</v>
      </c>
      <c r="T422" s="37">
        <f>IF(Tabela3[[#This Row],[Passivo Circulante]]&gt;0,Tabela3[[#This Row],[Ativo Circulante]]/Tabela3[[#This Row],[Passivo Circulante]],0)</f>
        <v>0</v>
      </c>
      <c r="U422" s="37">
        <f>SUMPRODUCT(N([Liquidez Corrente]&gt;0),N(RIGHT([PAPEL],LEN([PAPEL])-(LEN([PAPEL])-1))="3"),[Liquidez Corrente])/SUMPRODUCT(N([Liquidez Corrente]&gt;0),N(RIGHT([PAPEL],LEN([PAPEL])-(LEN([PAPEL])-1))="3"))</f>
        <v>2.331224473064915</v>
      </c>
      <c r="V422" s="18">
        <f>IF(Tabela3[[#This Row],[Lucro Líquido]]&gt;0,Tabela3[[#This Row],[Lucro Líquido]]/Tabela3[[#This Row],[Patrimônio Líquido]],0)</f>
        <v>0</v>
      </c>
      <c r="W422" s="18">
        <f>SUMPRODUCT(N([Rentabilidade s/ PL]&gt;0),N(RIGHT([PAPEL],LEN([PAPEL])-(LEN([PAPEL])-1))="3"),[Rentabilidade s/ PL])/SUMPRODUCT(N([Rentabilidade s/ PL]&gt;0),N(RIGHT([PAPEL],LEN([PAPEL])-(LEN([PAPEL])-1))="3"))</f>
        <v>0.1261051308670782</v>
      </c>
      <c r="X422" s="18">
        <f>IF(Tabela3[[#This Row],[Dívida]]&gt;0,Tabela3[[#This Row],[Dívida]]/Tabela3[[#This Row],[Patrimônio Líquido]],0)</f>
        <v>0</v>
      </c>
      <c r="Y422" s="18">
        <f>SUMPRODUCT(N([Dívida / PL]&gt;0),N(RIGHT([PAPEL],LEN([PAPEL])-(LEN([PAPEL])-1))="3"),[Dívida / PL])/SUMPRODUCT(N([Dívida / PL]&gt;0),N(RIGHT([PAPEL],LEN([PAPEL])-(LEN([PAPEL])-1))="3"))</f>
        <v>2.1510410379481146</v>
      </c>
      <c r="Z422" s="7">
        <f>Tabela3[[#This Row],[Capital Social]]*20%</f>
        <v>176447139.60000002</v>
      </c>
      <c r="AA422" s="47">
        <f>IF(([Lucro Líquido]*5%)&gt;[Teto R. Legal],[Teto R. Legal],[Lucro Líquido]*5%)</f>
        <v>-1207800</v>
      </c>
      <c r="AB422" s="47">
        <f>IF([Lucro Líquido]&lt;0,0,[Lucro Líquido]-[Reserva Legal])</f>
        <v>0</v>
      </c>
      <c r="AC422" s="47">
        <f>Tabela3[[#This Row],[Lucro Distribuir]]*[%Div]</f>
        <v>0</v>
      </c>
      <c r="AD422" s="56">
        <f>SUMPRODUCT(N([Nome]=Tabela3[[#This Row],[Nome]]),[Ações])</f>
        <v>122545828</v>
      </c>
      <c r="AE422" s="85">
        <f>[Capital Social]/[Total Ações]</f>
        <v>7.1992307889910379</v>
      </c>
      <c r="AF422" s="85">
        <f>Tabela3[[#This Row],[Lucro Líquido]]/Tabela3[[#This Row],[Total Ações]]</f>
        <v>-0.19711809364901431</v>
      </c>
      <c r="AG422" s="85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</v>
      </c>
      <c r="AH422" s="85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422" s="77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422" s="85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</v>
      </c>
      <c r="AK422" s="7">
        <f>[Div Base]*[Ações]</f>
        <v>0</v>
      </c>
      <c r="AL422" s="7">
        <f>SUMPRODUCT(N([Nome]=Tabela3[[#This Row],[Nome]]),[Div Base]*[Ações])</f>
        <v>0</v>
      </c>
      <c r="AM422" s="5">
        <f>[Patrimônio Líquido]/[Total Ações]</f>
        <v>8.1664795638738514</v>
      </c>
      <c r="AN422" s="52">
        <f>MAX(Tabela3[[#This Row],[Cotação 1]:[Cotação 5]])</f>
        <v>2.1</v>
      </c>
      <c r="AO422" s="53">
        <f>[Cotação]/[VPA]</f>
        <v>0.25714874856110509</v>
      </c>
      <c r="AP422" s="37">
        <f>IF(Tabela3[[#This Row],[Lucro/Ação]]&gt;0,Tabela3[[#This Row],[Cotação]]/(Tabela3[[#This Row],[Lucro/Ação]]/[Ref]*4),0)</f>
        <v>0</v>
      </c>
      <c r="AQ422" s="85">
        <f>[Lucro Distribuir]/[Total Ações]</f>
        <v>0</v>
      </c>
      <c r="AR422" s="85">
        <f>IF([Unit ON]&gt;0,SUMPRODUCT(N([Nome]=Tabela3[[#This Row],[Nome]]),N(RIGHT([PAPEL],1)="3"),[Div Base])*[Unit ON]+SUMPRODUCT(N([Nome]=Tabela3[[#This Row],[Nome]]),N(RIGHT([PAPEL],1)="4"),[Div Base])*[Unit PN],[Div Base])</f>
        <v>0</v>
      </c>
      <c r="AS422" s="10" t="str">
        <f>IF(AND([% A.A.]&gt;=6%,SUMPRODUCT(N([Nome]=Tabela3[[#This Row],[Nome]]),[PL])&gt;0,[Rentabilidade s/ PL]&gt;=[Rentabilidade s/ PL Média]),"Sim","Não")</f>
        <v>Não</v>
      </c>
      <c r="AT422" s="22">
        <f>IF([Cotação]&gt;0,Tabela3[[#This Row],[Lucro]]/Tabela3[[#This Row],[Cotação]],0)</f>
        <v>0</v>
      </c>
      <c r="AU422" s="22">
        <f>((1+Tabela3[[#This Row],[% Yield]])^(1/(3*Tabela3[[#This Row],[Ref]])))^(12)-1</f>
        <v>0</v>
      </c>
      <c r="AV422" s="10">
        <f>IF([Cotação]&gt;0,($BH$1/Tabela3[[#This Row],[Cotação]]-MOD($BH$1/Tabela3[[#This Row],[Cotação]],100)),)</f>
        <v>200</v>
      </c>
      <c r="AW422" s="7">
        <f>Tabela3[[#This Row],[Ativos]]*[Lucro]</f>
        <v>0</v>
      </c>
      <c r="AX422" s="7">
        <f>SUMPRODUCT(N(Tabela1[Código]=Tabela3[[#This Row],[PAPEL]]),Tabela1[Fechamento])</f>
        <v>0</v>
      </c>
      <c r="AY422" s="7">
        <f>SUMPRODUCT(N(Tabela17[Código]=Tabela3[[#This Row],[PAPEL]]),Tabela17[Fechamento])</f>
        <v>0</v>
      </c>
      <c r="AZ422" s="7">
        <f>SUMPRODUCT(N(Tabela176[Código]=Tabela3[[#This Row],[PAPEL]]),Tabela176[Fechamento])</f>
        <v>0</v>
      </c>
      <c r="BA422" s="7">
        <f>SUMPRODUCT(N(Tabela1768[Código]=Tabela3[[#This Row],[PAPEL]]),Tabela1768[Fechamento])</f>
        <v>2.1</v>
      </c>
      <c r="BB422" s="7">
        <f>SUMPRODUCT(N(Tabela17683[Código]=Tabela3[[#This Row],[PAPEL]]),Tabela17683[Fechamento])</f>
        <v>0</v>
      </c>
    </row>
    <row r="423" spans="1:54" hidden="1">
      <c r="A423" s="4" t="s">
        <v>19</v>
      </c>
      <c r="B423" s="57" t="s">
        <v>686</v>
      </c>
      <c r="C423" s="15" t="str">
        <f>LEFT([PAPEL],LEN([PAPEL])-(LEN([PAPEL])-4))</f>
        <v>MSPA</v>
      </c>
      <c r="D423" s="15">
        <v>3</v>
      </c>
      <c r="E423" s="6">
        <v>36152545</v>
      </c>
      <c r="F423" s="8">
        <v>5631445</v>
      </c>
      <c r="G423" s="86">
        <v>0.25</v>
      </c>
      <c r="H423" s="15"/>
      <c r="I423" s="19"/>
      <c r="J423" s="19"/>
      <c r="K423" s="88"/>
      <c r="L423" s="88"/>
      <c r="M423" s="55"/>
      <c r="N423" s="55"/>
      <c r="O423" s="55"/>
      <c r="P423" s="92">
        <v>808776000</v>
      </c>
      <c r="Q423" s="93">
        <v>-24517000</v>
      </c>
      <c r="R423" s="93">
        <f>IF(Tabela3[[#This Row],[Ativo || Passivo]]&gt;0,Tabela3[[#This Row],[Ativo || Passivo]]-Tabela3[[#This Row],[Patrimônio Líquido]],0)</f>
        <v>0</v>
      </c>
      <c r="S423" s="93">
        <f>Tabela3[[#This Row],[Cotação]]*Tabela3[[#This Row],[Total Ações]]</f>
        <v>174855107.70000002</v>
      </c>
      <c r="T423" s="40">
        <f>IF(Tabela3[[#This Row],[Passivo Circulante]]&gt;0,Tabela3[[#This Row],[Ativo Circulante]]/Tabela3[[#This Row],[Passivo Circulante]],0)</f>
        <v>0</v>
      </c>
      <c r="U423" s="40">
        <f>SUMPRODUCT(N([Liquidez Corrente]&gt;0),N(RIGHT([PAPEL],LEN([PAPEL])-(LEN([PAPEL])-1))="3"),[Liquidez Corrente])/SUMPRODUCT(N([Liquidez Corrente]&gt;0),N(RIGHT([PAPEL],LEN([PAPEL])-(LEN([PAPEL])-1))="3"))</f>
        <v>2.331224473064915</v>
      </c>
      <c r="V423" s="19">
        <f>IF(Tabela3[[#This Row],[Lucro Líquido]]&gt;0,Tabela3[[#This Row],[Lucro Líquido]]/Tabela3[[#This Row],[Patrimônio Líquido]],0)</f>
        <v>0</v>
      </c>
      <c r="W423" s="19">
        <f>SUMPRODUCT(N([Rentabilidade s/ PL]&gt;0),N(RIGHT([PAPEL],LEN([PAPEL])-(LEN([PAPEL])-1))="3"),[Rentabilidade s/ PL])/SUMPRODUCT(N([Rentabilidade s/ PL]&gt;0),N(RIGHT([PAPEL],LEN([PAPEL])-(LEN([PAPEL])-1))="3"))</f>
        <v>0.1261051308670782</v>
      </c>
      <c r="X423" s="19">
        <f>IF(Tabela3[[#This Row],[Dívida]]&gt;0,Tabela3[[#This Row],[Dívida]]/Tabela3[[#This Row],[Patrimônio Líquido]],0)</f>
        <v>0</v>
      </c>
      <c r="Y423" s="19">
        <f>SUMPRODUCT(N([Dívida / PL]&gt;0),N(RIGHT([PAPEL],LEN([PAPEL])-(LEN([PAPEL])-1))="3"),[Dívida / PL])/SUMPRODUCT(N([Dívida / PL]&gt;0),N(RIGHT([PAPEL],LEN([PAPEL])-(LEN([PAPEL])-1))="3"))</f>
        <v>2.1510410379481146</v>
      </c>
      <c r="Z423" s="13">
        <f>Tabela3[[#This Row],[Capital Social]]*20%</f>
        <v>7230509</v>
      </c>
      <c r="AA423" s="13">
        <f>IF(([Lucro Líquido]*5%)&gt;[Teto R. Legal],[Teto R. Legal],[Lucro Líquido]*5%)</f>
        <v>-1225850</v>
      </c>
      <c r="AB423" s="13">
        <f>IF([Lucro Líquido]&lt;0,0,[Lucro Líquido]-[Reserva Legal])</f>
        <v>0</v>
      </c>
      <c r="AC423" s="13">
        <f>Tabela3[[#This Row],[Lucro Distribuir]]*[%Div]</f>
        <v>0</v>
      </c>
      <c r="AD423" s="56">
        <f>SUMPRODUCT(N([Nome]=Tabela3[[#This Row],[Nome]]),[Ações])</f>
        <v>6404949</v>
      </c>
      <c r="AE423" s="6">
        <f>[Capital Social]/[Total Ações]</f>
        <v>5.6444703931288132</v>
      </c>
      <c r="AF423" s="78">
        <f>Tabela3[[#This Row],[Lucro Líquido]]/Tabela3[[#This Row],[Total Ações]]</f>
        <v>-3.8278212675854251</v>
      </c>
      <c r="AG423" s="78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</v>
      </c>
      <c r="AH423" s="78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423" s="78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423" s="78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</v>
      </c>
      <c r="AK423" s="13">
        <f>[Div Base]*[Ações]</f>
        <v>0</v>
      </c>
      <c r="AL423" s="13">
        <f>SUMPRODUCT(N([Nome]=Tabela3[[#This Row],[Nome]]),[Div Base]*[Ações])</f>
        <v>0</v>
      </c>
      <c r="AM423" s="6">
        <f>[Patrimônio Líquido]/[Total Ações]</f>
        <v>126.27360498889219</v>
      </c>
      <c r="AN423" s="48">
        <f>MAX(Tabela3[[#This Row],[Cotação 1]:[Cotação 5]])</f>
        <v>27.3</v>
      </c>
      <c r="AO423" s="44">
        <f>[Cotação]/[VPA]</f>
        <v>0.21619720132644885</v>
      </c>
      <c r="AP423" s="40">
        <f>IF(Tabela3[[#This Row],[Lucro/Ação]]&gt;0,Tabela3[[#This Row],[Cotação]]/(Tabela3[[#This Row],[Lucro/Ação]]/[Ref]*4),0)</f>
        <v>0</v>
      </c>
      <c r="AQ423" s="78">
        <f>[Lucro Distribuir]/[Total Ações]</f>
        <v>0</v>
      </c>
      <c r="AR423" s="78">
        <f>IF([Unit ON]&gt;0,SUMPRODUCT(N([Nome]=Tabela3[[#This Row],[Nome]]),N(RIGHT([PAPEL],1)="3"),[Div Base])*[Unit ON]+SUMPRODUCT(N([Nome]=Tabela3[[#This Row],[Nome]]),N(RIGHT([PAPEL],1)="4"),[Div Base])*[Unit PN],[Div Base])</f>
        <v>0</v>
      </c>
      <c r="AS423" s="14" t="str">
        <f>IF(AND([% A.A.]&gt;=6%,SUMPRODUCT(N([Nome]=Tabela3[[#This Row],[Nome]]),[PL])&gt;0,[Rentabilidade s/ PL]&gt;=[Rentabilidade s/ PL Média]),"Sim","Não")</f>
        <v>Não</v>
      </c>
      <c r="AT423" s="42">
        <f>IF([Cotação]&gt;0,Tabela3[[#This Row],[Lucro]]/Tabela3[[#This Row],[Cotação]],0)</f>
        <v>0</v>
      </c>
      <c r="AU423" s="42">
        <f>((1+Tabela3[[#This Row],[% Yield]])^(1/(3*Tabela3[[#This Row],[Ref]])))^(12)-1</f>
        <v>0</v>
      </c>
      <c r="AV423" s="14">
        <f>IF([Cotação]&gt;0,($BH$1/Tabela3[[#This Row],[Cotação]]-MOD($BH$1/Tabela3[[#This Row],[Cotação]],100)),)</f>
        <v>0</v>
      </c>
      <c r="AW423" s="17">
        <f>Tabela3[[#This Row],[Ativos]]*[Lucro]</f>
        <v>0</v>
      </c>
      <c r="AX423" s="17">
        <f>SUMPRODUCT(N(Tabela1[Código]=Tabela3[[#This Row],[PAPEL]]),Tabela1[Fechamento])</f>
        <v>0</v>
      </c>
      <c r="AY423" s="17">
        <f>SUMPRODUCT(N(Tabela17[Código]=Tabela3[[#This Row],[PAPEL]]),Tabela17[Fechamento])</f>
        <v>0</v>
      </c>
      <c r="AZ423" s="17">
        <f>SUMPRODUCT(N(Tabela176[Código]=Tabela3[[#This Row],[PAPEL]]),Tabela176[Fechamento])</f>
        <v>27.3</v>
      </c>
      <c r="BA423" s="17">
        <f>SUMPRODUCT(N(Tabela1768[Código]=Tabela3[[#This Row],[PAPEL]]),Tabela1768[Fechamento])</f>
        <v>0</v>
      </c>
      <c r="BB423" s="7">
        <f>SUMPRODUCT(N(Tabela17683[Código]=Tabela3[[#This Row],[PAPEL]]),Tabela17683[Fechamento])</f>
        <v>0</v>
      </c>
    </row>
    <row r="424" spans="1:54" hidden="1">
      <c r="A424" s="4" t="s">
        <v>19</v>
      </c>
      <c r="B424" s="57" t="s">
        <v>687</v>
      </c>
      <c r="C424" s="15" t="str">
        <f>LEFT([PAPEL],LEN([PAPEL])-(LEN([PAPEL])-4))</f>
        <v>MSPA</v>
      </c>
      <c r="D424" s="15">
        <v>3</v>
      </c>
      <c r="E424" s="6">
        <v>36152545</v>
      </c>
      <c r="F424" s="8">
        <v>773504</v>
      </c>
      <c r="G424" s="86">
        <v>0.25</v>
      </c>
      <c r="H424" s="15"/>
      <c r="I424" s="19"/>
      <c r="J424" s="19">
        <v>0.1</v>
      </c>
      <c r="K424" s="88"/>
      <c r="L424" s="88"/>
      <c r="M424" s="55"/>
      <c r="N424" s="55"/>
      <c r="O424" s="55"/>
      <c r="P424" s="92">
        <v>808776000</v>
      </c>
      <c r="Q424" s="93">
        <v>-24517000</v>
      </c>
      <c r="R424" s="93">
        <f>IF(Tabela3[[#This Row],[Ativo || Passivo]]&gt;0,Tabela3[[#This Row],[Ativo || Passivo]]-Tabela3[[#This Row],[Patrimônio Líquido]],0)</f>
        <v>0</v>
      </c>
      <c r="S424" s="93">
        <f>Tabela3[[#This Row],[Cotação]]*Tabela3[[#This Row],[Total Ações]]</f>
        <v>174855107.70000002</v>
      </c>
      <c r="T424" s="40">
        <f>IF(Tabela3[[#This Row],[Passivo Circulante]]&gt;0,Tabela3[[#This Row],[Ativo Circulante]]/Tabela3[[#This Row],[Passivo Circulante]],0)</f>
        <v>0</v>
      </c>
      <c r="U424" s="40">
        <f>SUMPRODUCT(N([Liquidez Corrente]&gt;0),N(RIGHT([PAPEL],LEN([PAPEL])-(LEN([PAPEL])-1))="3"),[Liquidez Corrente])/SUMPRODUCT(N([Liquidez Corrente]&gt;0),N(RIGHT([PAPEL],LEN([PAPEL])-(LEN([PAPEL])-1))="3"))</f>
        <v>2.331224473064915</v>
      </c>
      <c r="V424" s="19">
        <f>IF(Tabela3[[#This Row],[Lucro Líquido]]&gt;0,Tabela3[[#This Row],[Lucro Líquido]]/Tabela3[[#This Row],[Patrimônio Líquido]],0)</f>
        <v>0</v>
      </c>
      <c r="W424" s="19">
        <f>SUMPRODUCT(N([Rentabilidade s/ PL]&gt;0),N(RIGHT([PAPEL],LEN([PAPEL])-(LEN([PAPEL])-1))="3"),[Rentabilidade s/ PL])/SUMPRODUCT(N([Rentabilidade s/ PL]&gt;0),N(RIGHT([PAPEL],LEN([PAPEL])-(LEN([PAPEL])-1))="3"))</f>
        <v>0.1261051308670782</v>
      </c>
      <c r="X424" s="19">
        <f>IF(Tabela3[[#This Row],[Dívida]]&gt;0,Tabela3[[#This Row],[Dívida]]/Tabela3[[#This Row],[Patrimônio Líquido]],0)</f>
        <v>0</v>
      </c>
      <c r="Y424" s="19">
        <f>SUMPRODUCT(N([Dívida / PL]&gt;0),N(RIGHT([PAPEL],LEN([PAPEL])-(LEN([PAPEL])-1))="3"),[Dívida / PL])/SUMPRODUCT(N([Dívida / PL]&gt;0),N(RIGHT([PAPEL],LEN([PAPEL])-(LEN([PAPEL])-1))="3"))</f>
        <v>2.1510410379481146</v>
      </c>
      <c r="Z424" s="13">
        <f>Tabela3[[#This Row],[Capital Social]]*20%</f>
        <v>7230509</v>
      </c>
      <c r="AA424" s="13">
        <f>IF(([Lucro Líquido]*5%)&gt;[Teto R. Legal],[Teto R. Legal],[Lucro Líquido]*5%)</f>
        <v>-1225850</v>
      </c>
      <c r="AB424" s="13">
        <f>IF([Lucro Líquido]&lt;0,0,[Lucro Líquido]-[Reserva Legal])</f>
        <v>0</v>
      </c>
      <c r="AC424" s="13">
        <f>Tabela3[[#This Row],[Lucro Distribuir]]*[%Div]</f>
        <v>0</v>
      </c>
      <c r="AD424" s="56">
        <f>SUMPRODUCT(N([Nome]=Tabela3[[#This Row],[Nome]]),[Ações])</f>
        <v>6404949</v>
      </c>
      <c r="AE424" s="6">
        <f>[Capital Social]/[Total Ações]</f>
        <v>5.6444703931288132</v>
      </c>
      <c r="AF424" s="78">
        <f>Tabela3[[#This Row],[Lucro Líquido]]/Tabela3[[#This Row],[Total Ações]]</f>
        <v>-3.8278212675854251</v>
      </c>
      <c r="AG424" s="78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</v>
      </c>
      <c r="AH424" s="78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424" s="78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424" s="78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</v>
      </c>
      <c r="AK424" s="13">
        <f>[Div Base]*[Ações]</f>
        <v>0</v>
      </c>
      <c r="AL424" s="13">
        <f>SUMPRODUCT(N([Nome]=Tabela3[[#This Row],[Nome]]),[Div Base]*[Ações])</f>
        <v>0</v>
      </c>
      <c r="AM424" s="6">
        <f>[Patrimônio Líquido]/[Total Ações]</f>
        <v>126.27360498889219</v>
      </c>
      <c r="AN424" s="48">
        <f>MAX(Tabela3[[#This Row],[Cotação 1]:[Cotação 5]])</f>
        <v>27.3</v>
      </c>
      <c r="AO424" s="44">
        <f>[Cotação]/[VPA]</f>
        <v>0.21619720132644885</v>
      </c>
      <c r="AP424" s="40">
        <f>IF(Tabela3[[#This Row],[Lucro/Ação]]&gt;0,Tabela3[[#This Row],[Cotação]]/(Tabela3[[#This Row],[Lucro/Ação]]/[Ref]*4),0)</f>
        <v>0</v>
      </c>
      <c r="AQ424" s="78">
        <f>[Lucro Distribuir]/[Total Ações]</f>
        <v>0</v>
      </c>
      <c r="AR424" s="78">
        <f>IF([Unit ON]&gt;0,SUMPRODUCT(N([Nome]=Tabela3[[#This Row],[Nome]]),N(RIGHT([PAPEL],1)="3"),[Div Base])*[Unit ON]+SUMPRODUCT(N([Nome]=Tabela3[[#This Row],[Nome]]),N(RIGHT([PAPEL],1)="4"),[Div Base])*[Unit PN],[Div Base])</f>
        <v>0</v>
      </c>
      <c r="AS424" s="14" t="str">
        <f>IF(AND([% A.A.]&gt;=6%,SUMPRODUCT(N([Nome]=Tabela3[[#This Row],[Nome]]),[PL])&gt;0,[Rentabilidade s/ PL]&gt;=[Rentabilidade s/ PL Média]),"Sim","Não")</f>
        <v>Não</v>
      </c>
      <c r="AT424" s="42">
        <f>IF([Cotação]&gt;0,Tabela3[[#This Row],[Lucro]]/Tabela3[[#This Row],[Cotação]],0)</f>
        <v>0</v>
      </c>
      <c r="AU424" s="42">
        <f>((1+Tabela3[[#This Row],[% Yield]])^(1/(3*Tabela3[[#This Row],[Ref]])))^(12)-1</f>
        <v>0</v>
      </c>
      <c r="AV424" s="14">
        <f>IF([Cotação]&gt;0,($BH$1/Tabela3[[#This Row],[Cotação]]-MOD($BH$1/Tabela3[[#This Row],[Cotação]],100)),)</f>
        <v>0</v>
      </c>
      <c r="AW424" s="17">
        <f>Tabela3[[#This Row],[Ativos]]*[Lucro]</f>
        <v>0</v>
      </c>
      <c r="AX424" s="17">
        <f>SUMPRODUCT(N(Tabela1[Código]=Tabela3[[#This Row],[PAPEL]]),Tabela1[Fechamento])</f>
        <v>0</v>
      </c>
      <c r="AY424" s="17">
        <f>SUMPRODUCT(N(Tabela17[Código]=Tabela3[[#This Row],[PAPEL]]),Tabela17[Fechamento])</f>
        <v>0</v>
      </c>
      <c r="AZ424" s="17">
        <f>SUMPRODUCT(N(Tabela176[Código]=Tabela3[[#This Row],[PAPEL]]),Tabela176[Fechamento])</f>
        <v>27.3</v>
      </c>
      <c r="BA424" s="17">
        <f>SUMPRODUCT(N(Tabela1768[Código]=Tabela3[[#This Row],[PAPEL]]),Tabela1768[Fechamento])</f>
        <v>0</v>
      </c>
      <c r="BB424" s="7">
        <f>SUMPRODUCT(N(Tabela17683[Código]=Tabela3[[#This Row],[PAPEL]]),Tabela17683[Fechamento])</f>
        <v>0</v>
      </c>
    </row>
    <row r="425" spans="1:54" hidden="1">
      <c r="A425" s="3" t="s">
        <v>1268</v>
      </c>
      <c r="B425" s="57" t="s">
        <v>1248</v>
      </c>
      <c r="C425" s="16" t="str">
        <f>LEFT([PAPEL],LEN([PAPEL])-(LEN([PAPEL])-4))</f>
        <v>SULT</v>
      </c>
      <c r="D425" s="16">
        <v>3</v>
      </c>
      <c r="E425" s="5">
        <v>130000000</v>
      </c>
      <c r="F425" s="56">
        <v>7489720</v>
      </c>
      <c r="G425" s="81">
        <v>0.25</v>
      </c>
      <c r="H425" s="87"/>
      <c r="J425" s="18"/>
      <c r="K425" s="16"/>
      <c r="L425" s="87"/>
      <c r="M425" s="54"/>
      <c r="N425" s="54"/>
      <c r="O425" s="54"/>
      <c r="P425" s="91">
        <v>198646000</v>
      </c>
      <c r="Q425" s="73">
        <v>-25149000</v>
      </c>
      <c r="R425" s="73">
        <f>IF(Tabela3[[#This Row],[Ativo || Passivo]]&gt;0,Tabela3[[#This Row],[Ativo || Passivo]]-Tabela3[[#This Row],[Patrimônio Líquido]],0)</f>
        <v>0</v>
      </c>
      <c r="S425" s="73">
        <f>Tabela3[[#This Row],[Cotação]]*Tabela3[[#This Row],[Total Ações]]</f>
        <v>14489999.999999998</v>
      </c>
      <c r="T425" s="37">
        <f>IF(Tabela3[[#This Row],[Passivo Circulante]]&gt;0,Tabela3[[#This Row],[Ativo Circulante]]/Tabela3[[#This Row],[Passivo Circulante]],0)</f>
        <v>0</v>
      </c>
      <c r="U425" s="37">
        <f>SUMPRODUCT(N([Liquidez Corrente]&gt;0),N(RIGHT([PAPEL],LEN([PAPEL])-(LEN([PAPEL])-1))="3"),[Liquidez Corrente])/SUMPRODUCT(N([Liquidez Corrente]&gt;0),N(RIGHT([PAPEL],LEN([PAPEL])-(LEN([PAPEL])-1))="3"))</f>
        <v>2.331224473064915</v>
      </c>
      <c r="V425" s="18">
        <f>IF(Tabela3[[#This Row],[Lucro Líquido]]&gt;0,Tabela3[[#This Row],[Lucro Líquido]]/Tabela3[[#This Row],[Patrimônio Líquido]],0)</f>
        <v>0</v>
      </c>
      <c r="W425" s="18">
        <f>SUMPRODUCT(N([Rentabilidade s/ PL]&gt;0),N(RIGHT([PAPEL],LEN([PAPEL])-(LEN([PAPEL])-1))="3"),[Rentabilidade s/ PL])/SUMPRODUCT(N([Rentabilidade s/ PL]&gt;0),N(RIGHT([PAPEL],LEN([PAPEL])-(LEN([PAPEL])-1))="3"))</f>
        <v>0.1261051308670782</v>
      </c>
      <c r="X425" s="18">
        <f>IF(Tabela3[[#This Row],[Dívida]]&gt;0,Tabela3[[#This Row],[Dívida]]/Tabela3[[#This Row],[Patrimônio Líquido]],0)</f>
        <v>0</v>
      </c>
      <c r="Y425" s="18">
        <f>SUMPRODUCT(N([Dívida / PL]&gt;0),N(RIGHT([PAPEL],LEN([PAPEL])-(LEN([PAPEL])-1))="3"),[Dívida / PL])/SUMPRODUCT(N([Dívida / PL]&gt;0),N(RIGHT([PAPEL],LEN([PAPEL])-(LEN([PAPEL])-1))="3"))</f>
        <v>2.1510410379481146</v>
      </c>
      <c r="Z425" s="7">
        <f>Tabela3[[#This Row],[Capital Social]]*20%</f>
        <v>26000000</v>
      </c>
      <c r="AA425" s="47">
        <f>IF(([Lucro Líquido]*5%)&gt;[Teto R. Legal],[Teto R. Legal],[Lucro Líquido]*5%)</f>
        <v>-1257450</v>
      </c>
      <c r="AB425" s="47">
        <f>IF([Lucro Líquido]&lt;0,0,[Lucro Líquido]-[Reserva Legal])</f>
        <v>0</v>
      </c>
      <c r="AC425" s="47">
        <f>Tabela3[[#This Row],[Lucro Distribuir]]*[%Div]</f>
        <v>0</v>
      </c>
      <c r="AD425" s="56">
        <f>SUMPRODUCT(N([Nome]=Tabela3[[#This Row],[Nome]]),[Ações])</f>
        <v>12600000</v>
      </c>
      <c r="AE425" s="85">
        <f>[Capital Social]/[Total Ações]</f>
        <v>10.317460317460318</v>
      </c>
      <c r="AF425" s="85">
        <f>Tabela3[[#This Row],[Lucro Líquido]]/Tabela3[[#This Row],[Total Ações]]</f>
        <v>-1.9959523809523809</v>
      </c>
      <c r="AG425" s="85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</v>
      </c>
      <c r="AH425" s="85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425" s="77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425" s="85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</v>
      </c>
      <c r="AK425" s="7">
        <f>[Div Base]*[Ações]</f>
        <v>0</v>
      </c>
      <c r="AL425" s="120">
        <f>SUMPRODUCT(N([Nome]=Tabela3[[#This Row],[Nome]]),[Div Base]*[Ações])</f>
        <v>0</v>
      </c>
      <c r="AM425" s="5">
        <f>[Patrimônio Líquido]/[Total Ações]</f>
        <v>15.765555555555556</v>
      </c>
      <c r="AN425" s="52">
        <f>MAX(Tabela3[[#This Row],[Cotação 1]:[Cotação 5]])</f>
        <v>1.1499999999999999</v>
      </c>
      <c r="AO425" s="53">
        <f>[Cotação]/[VPA]</f>
        <v>7.2943829727253495E-2</v>
      </c>
      <c r="AP425" s="37">
        <f>IF(Tabela3[[#This Row],[Lucro/Ação]]&gt;0,Tabela3[[#This Row],[Cotação]]/(Tabela3[[#This Row],[Lucro/Ação]]/[Ref]*4),0)</f>
        <v>0</v>
      </c>
      <c r="AQ425" s="85">
        <f>[Lucro Distribuir]/[Total Ações]</f>
        <v>0</v>
      </c>
      <c r="AR425" s="85">
        <f>IF([Unit ON]&gt;0,SUMPRODUCT(N([Nome]=Tabela3[[#This Row],[Nome]]),N(RIGHT([PAPEL],1)="3"),[Div Base])*[Unit ON]+SUMPRODUCT(N([Nome]=Tabela3[[#This Row],[Nome]]),N(RIGHT([PAPEL],1)="4"),[Div Base])*[Unit PN],[Div Base])</f>
        <v>0</v>
      </c>
      <c r="AS425" s="10" t="str">
        <f>IF(AND([% A.A.]&gt;=6%,SUMPRODUCT(N([Nome]=Tabela3[[#This Row],[Nome]]),[PL])&gt;0,[Rentabilidade s/ PL]&gt;=[Rentabilidade s/ PL Média]),"Sim","Não")</f>
        <v>Não</v>
      </c>
      <c r="AT425" s="22">
        <f>IF([Cotação]&gt;0,Tabela3[[#This Row],[Lucro]]/Tabela3[[#This Row],[Cotação]],0)</f>
        <v>0</v>
      </c>
      <c r="AU425" s="22">
        <f>((1+Tabela3[[#This Row],[% Yield]])^(1/(3*Tabela3[[#This Row],[Ref]])))^(12)-1</f>
        <v>0</v>
      </c>
      <c r="AV425" s="10">
        <f>IF([Cotação]&gt;0,($BH$1/Tabela3[[#This Row],[Cotação]]-MOD($BH$1/Tabela3[[#This Row],[Cotação]],100)),)</f>
        <v>400</v>
      </c>
      <c r="AW425" s="7">
        <f>Tabela3[[#This Row],[Ativos]]*[Lucro]</f>
        <v>0</v>
      </c>
      <c r="AX425" s="7">
        <f>SUMPRODUCT(N(Tabela1[Código]=Tabela3[[#This Row],[PAPEL]]),Tabela1[Fechamento])</f>
        <v>0</v>
      </c>
      <c r="AY425" s="7">
        <f>SUMPRODUCT(N(Tabela17[Código]=Tabela3[[#This Row],[PAPEL]]),Tabela17[Fechamento])</f>
        <v>0</v>
      </c>
      <c r="AZ425" s="7">
        <f>SUMPRODUCT(N(Tabela176[Código]=Tabela3[[#This Row],[PAPEL]]),Tabela176[Fechamento])</f>
        <v>0</v>
      </c>
      <c r="BA425" s="7">
        <f>SUMPRODUCT(N(Tabela1768[Código]=Tabela3[[#This Row],[PAPEL]]),Tabela1768[Fechamento])</f>
        <v>0</v>
      </c>
      <c r="BB425" s="7">
        <f>SUMPRODUCT(N(Tabela17683[Código]=Tabela3[[#This Row],[PAPEL]]),Tabela17683[Fechamento])</f>
        <v>1.1499999999999999</v>
      </c>
    </row>
    <row r="426" spans="1:54" hidden="1">
      <c r="A426" s="3" t="s">
        <v>1268</v>
      </c>
      <c r="B426" s="57" t="s">
        <v>1249</v>
      </c>
      <c r="C426" s="16" t="str">
        <f>LEFT([PAPEL],LEN([PAPEL])-(LEN([PAPEL])-4))</f>
        <v>SULT</v>
      </c>
      <c r="D426" s="16">
        <v>3</v>
      </c>
      <c r="E426" s="5">
        <v>130000000</v>
      </c>
      <c r="F426" s="56">
        <v>5110280</v>
      </c>
      <c r="G426" s="81">
        <v>0.25</v>
      </c>
      <c r="H426" s="87"/>
      <c r="J426" s="18">
        <v>0.1</v>
      </c>
      <c r="K426" s="16"/>
      <c r="L426" s="87"/>
      <c r="M426" s="54"/>
      <c r="N426" s="54"/>
      <c r="O426" s="54"/>
      <c r="P426" s="91">
        <v>198646000</v>
      </c>
      <c r="Q426" s="73">
        <v>-25149000</v>
      </c>
      <c r="R426" s="73">
        <f>IF(Tabela3[[#This Row],[Ativo || Passivo]]&gt;0,Tabela3[[#This Row],[Ativo || Passivo]]-Tabela3[[#This Row],[Patrimônio Líquido]],0)</f>
        <v>0</v>
      </c>
      <c r="S426" s="73">
        <f>Tabela3[[#This Row],[Cotação]]*Tabela3[[#This Row],[Total Ações]]</f>
        <v>13734000.000000002</v>
      </c>
      <c r="T426" s="37">
        <f>IF(Tabela3[[#This Row],[Passivo Circulante]]&gt;0,Tabela3[[#This Row],[Ativo Circulante]]/Tabela3[[#This Row],[Passivo Circulante]],0)</f>
        <v>0</v>
      </c>
      <c r="U426" s="37">
        <f>SUMPRODUCT(N([Liquidez Corrente]&gt;0),N(RIGHT([PAPEL],LEN([PAPEL])-(LEN([PAPEL])-1))="3"),[Liquidez Corrente])/SUMPRODUCT(N([Liquidez Corrente]&gt;0),N(RIGHT([PAPEL],LEN([PAPEL])-(LEN([PAPEL])-1))="3"))</f>
        <v>2.331224473064915</v>
      </c>
      <c r="V426" s="18">
        <f>IF(Tabela3[[#This Row],[Lucro Líquido]]&gt;0,Tabela3[[#This Row],[Lucro Líquido]]/Tabela3[[#This Row],[Patrimônio Líquido]],0)</f>
        <v>0</v>
      </c>
      <c r="W426" s="18">
        <f>SUMPRODUCT(N([Rentabilidade s/ PL]&gt;0),N(RIGHT([PAPEL],LEN([PAPEL])-(LEN([PAPEL])-1))="3"),[Rentabilidade s/ PL])/SUMPRODUCT(N([Rentabilidade s/ PL]&gt;0),N(RIGHT([PAPEL],LEN([PAPEL])-(LEN([PAPEL])-1))="3"))</f>
        <v>0.1261051308670782</v>
      </c>
      <c r="X426" s="18">
        <f>IF(Tabela3[[#This Row],[Dívida]]&gt;0,Tabela3[[#This Row],[Dívida]]/Tabela3[[#This Row],[Patrimônio Líquido]],0)</f>
        <v>0</v>
      </c>
      <c r="Y426" s="18">
        <f>SUMPRODUCT(N([Dívida / PL]&gt;0),N(RIGHT([PAPEL],LEN([PAPEL])-(LEN([PAPEL])-1))="3"),[Dívida / PL])/SUMPRODUCT(N([Dívida / PL]&gt;0),N(RIGHT([PAPEL],LEN([PAPEL])-(LEN([PAPEL])-1))="3"))</f>
        <v>2.1510410379481146</v>
      </c>
      <c r="Z426" s="7">
        <f>Tabela3[[#This Row],[Capital Social]]*20%</f>
        <v>26000000</v>
      </c>
      <c r="AA426" s="47">
        <f>IF(([Lucro Líquido]*5%)&gt;[Teto R. Legal],[Teto R. Legal],[Lucro Líquido]*5%)</f>
        <v>-1257450</v>
      </c>
      <c r="AB426" s="47">
        <f>IF([Lucro Líquido]&lt;0,0,[Lucro Líquido]-[Reserva Legal])</f>
        <v>0</v>
      </c>
      <c r="AC426" s="47">
        <f>Tabela3[[#This Row],[Lucro Distribuir]]*[%Div]</f>
        <v>0</v>
      </c>
      <c r="AD426" s="56">
        <f>SUMPRODUCT(N([Nome]=Tabela3[[#This Row],[Nome]]),[Ações])</f>
        <v>12600000</v>
      </c>
      <c r="AE426" s="85">
        <f>[Capital Social]/[Total Ações]</f>
        <v>10.317460317460318</v>
      </c>
      <c r="AF426" s="85">
        <f>Tabela3[[#This Row],[Lucro Líquido]]/Tabela3[[#This Row],[Total Ações]]</f>
        <v>-1.9959523809523809</v>
      </c>
      <c r="AG426" s="85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</v>
      </c>
      <c r="AH426" s="85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426" s="77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426" s="85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</v>
      </c>
      <c r="AK426" s="7">
        <f>[Div Base]*[Ações]</f>
        <v>0</v>
      </c>
      <c r="AL426" s="120">
        <f>SUMPRODUCT(N([Nome]=Tabela3[[#This Row],[Nome]]),[Div Base]*[Ações])</f>
        <v>0</v>
      </c>
      <c r="AM426" s="5">
        <f>[Patrimônio Líquido]/[Total Ações]</f>
        <v>15.765555555555556</v>
      </c>
      <c r="AN426" s="52">
        <f>MAX(Tabela3[[#This Row],[Cotação 1]:[Cotação 5]])</f>
        <v>1.0900000000000001</v>
      </c>
      <c r="AO426" s="53">
        <f>[Cotação]/[VPA]</f>
        <v>6.91380646980055E-2</v>
      </c>
      <c r="AP426" s="37">
        <f>IF(Tabela3[[#This Row],[Lucro/Ação]]&gt;0,Tabela3[[#This Row],[Cotação]]/(Tabela3[[#This Row],[Lucro/Ação]]/[Ref]*4),0)</f>
        <v>0</v>
      </c>
      <c r="AQ426" s="85">
        <f>[Lucro Distribuir]/[Total Ações]</f>
        <v>0</v>
      </c>
      <c r="AR426" s="85">
        <f>IF([Unit ON]&gt;0,SUMPRODUCT(N([Nome]=Tabela3[[#This Row],[Nome]]),N(RIGHT([PAPEL],1)="3"),[Div Base])*[Unit ON]+SUMPRODUCT(N([Nome]=Tabela3[[#This Row],[Nome]]),N(RIGHT([PAPEL],1)="4"),[Div Base])*[Unit PN],[Div Base])</f>
        <v>0</v>
      </c>
      <c r="AS426" s="10" t="str">
        <f>IF(AND([% A.A.]&gt;=6%,SUMPRODUCT(N([Nome]=Tabela3[[#This Row],[Nome]]),[PL])&gt;0,[Rentabilidade s/ PL]&gt;=[Rentabilidade s/ PL Média]),"Sim","Não")</f>
        <v>Não</v>
      </c>
      <c r="AT426" s="22">
        <f>IF([Cotação]&gt;0,Tabela3[[#This Row],[Lucro]]/Tabela3[[#This Row],[Cotação]],0)</f>
        <v>0</v>
      </c>
      <c r="AU426" s="22">
        <f>((1+Tabela3[[#This Row],[% Yield]])^(1/(3*Tabela3[[#This Row],[Ref]])))^(12)-1</f>
        <v>0</v>
      </c>
      <c r="AV426" s="10">
        <f>IF([Cotação]&gt;0,($BH$1/Tabela3[[#This Row],[Cotação]]-MOD($BH$1/Tabela3[[#This Row],[Cotação]],100)),)</f>
        <v>400</v>
      </c>
      <c r="AW426" s="7">
        <f>Tabela3[[#This Row],[Ativos]]*[Lucro]</f>
        <v>0</v>
      </c>
      <c r="AX426" s="7">
        <f>SUMPRODUCT(N(Tabela1[Código]=Tabela3[[#This Row],[PAPEL]]),Tabela1[Fechamento])</f>
        <v>0</v>
      </c>
      <c r="AY426" s="7">
        <f>SUMPRODUCT(N(Tabela17[Código]=Tabela3[[#This Row],[PAPEL]]),Tabela17[Fechamento])</f>
        <v>0</v>
      </c>
      <c r="AZ426" s="7">
        <f>SUMPRODUCT(N(Tabela176[Código]=Tabela3[[#This Row],[PAPEL]]),Tabela176[Fechamento])</f>
        <v>0</v>
      </c>
      <c r="BA426" s="7">
        <f>SUMPRODUCT(N(Tabela1768[Código]=Tabela3[[#This Row],[PAPEL]]),Tabela1768[Fechamento])</f>
        <v>0</v>
      </c>
      <c r="BB426" s="7">
        <f>SUMPRODUCT(N(Tabela17683[Código]=Tabela3[[#This Row],[PAPEL]]),Tabela17683[Fechamento])</f>
        <v>1.0900000000000001</v>
      </c>
    </row>
    <row r="427" spans="1:54" hidden="1">
      <c r="A427" s="3" t="s">
        <v>1440</v>
      </c>
      <c r="B427" s="57" t="s">
        <v>1417</v>
      </c>
      <c r="C427" s="16" t="str">
        <f>LEFT([PAPEL],LEN([PAPEL])-(LEN([PAPEL])-4))</f>
        <v>BDLL</v>
      </c>
      <c r="D427" s="16">
        <v>3</v>
      </c>
      <c r="E427" s="5">
        <v>116800000</v>
      </c>
      <c r="F427" s="56">
        <v>607192</v>
      </c>
      <c r="G427" s="81">
        <v>0.25</v>
      </c>
      <c r="H427" s="87"/>
      <c r="J427" s="18"/>
      <c r="K427" s="16"/>
      <c r="L427" s="87"/>
      <c r="M427" s="54"/>
      <c r="N427" s="54"/>
      <c r="O427" s="54"/>
      <c r="P427" s="91">
        <v>366268000</v>
      </c>
      <c r="Q427" s="73">
        <v>-26803000</v>
      </c>
      <c r="R427" s="73">
        <f>IF(Tabela3[[#This Row],[Ativo || Passivo]]&gt;0,Tabela3[[#This Row],[Ativo || Passivo]]-Tabela3[[#This Row],[Patrimônio Líquido]],0)</f>
        <v>0</v>
      </c>
      <c r="S427" s="73">
        <f>Tabela3[[#This Row],[Cotação]]*Tabela3[[#This Row],[Total Ações]]</f>
        <v>72000000</v>
      </c>
      <c r="T427" s="37">
        <f>IF(Tabela3[[#This Row],[Passivo Circulante]]&gt;0,Tabela3[[#This Row],[Ativo Circulante]]/Tabela3[[#This Row],[Passivo Circulante]],0)</f>
        <v>0</v>
      </c>
      <c r="U427" s="37">
        <f>SUMPRODUCT(N([Liquidez Corrente]&gt;0),N(RIGHT([PAPEL],LEN([PAPEL])-(LEN([PAPEL])-1))="3"),[Liquidez Corrente])/SUMPRODUCT(N([Liquidez Corrente]&gt;0),N(RIGHT([PAPEL],LEN([PAPEL])-(LEN([PAPEL])-1))="3"))</f>
        <v>2.331224473064915</v>
      </c>
      <c r="V427" s="18">
        <f>IF(Tabela3[[#This Row],[Lucro Líquido]]&gt;0,Tabela3[[#This Row],[Lucro Líquido]]/Tabela3[[#This Row],[Patrimônio Líquido]],0)</f>
        <v>0</v>
      </c>
      <c r="W427" s="18">
        <f>SUMPRODUCT(N([Rentabilidade s/ PL]&gt;0),N(RIGHT([PAPEL],LEN([PAPEL])-(LEN([PAPEL])-1))="3"),[Rentabilidade s/ PL])/SUMPRODUCT(N([Rentabilidade s/ PL]&gt;0),N(RIGHT([PAPEL],LEN([PAPEL])-(LEN([PAPEL])-1))="3"))</f>
        <v>0.1261051308670782</v>
      </c>
      <c r="X427" s="18">
        <f>IF(Tabela3[[#This Row],[Dívida]]&gt;0,Tabela3[[#This Row],[Dívida]]/Tabela3[[#This Row],[Patrimônio Líquido]],0)</f>
        <v>0</v>
      </c>
      <c r="Y427" s="18">
        <f>SUMPRODUCT(N([Dívida / PL]&gt;0),N(RIGHT([PAPEL],LEN([PAPEL])-(LEN([PAPEL])-1))="3"),[Dívida / PL])/SUMPRODUCT(N([Dívida / PL]&gt;0),N(RIGHT([PAPEL],LEN([PAPEL])-(LEN([PAPEL])-1))="3"))</f>
        <v>2.1510410379481146</v>
      </c>
      <c r="Z427" s="7">
        <f>Tabela3[[#This Row],[Capital Social]]*20%</f>
        <v>23360000</v>
      </c>
      <c r="AA427" s="47">
        <f>IF(([Lucro Líquido]*5%)&gt;[Teto R. Legal],[Teto R. Legal],[Lucro Líquido]*5%)</f>
        <v>-1340150</v>
      </c>
      <c r="AB427" s="47">
        <f>IF([Lucro Líquido]&lt;0,0,[Lucro Líquido]-[Reserva Legal])</f>
        <v>0</v>
      </c>
      <c r="AC427" s="47">
        <f>Tabela3[[#This Row],[Lucro Distribuir]]*[%Div]</f>
        <v>0</v>
      </c>
      <c r="AD427" s="56">
        <f>SUMPRODUCT(N([Nome]=Tabela3[[#This Row],[Nome]]),[Ações])</f>
        <v>1600000</v>
      </c>
      <c r="AE427" s="85">
        <f>[Capital Social]/[Total Ações]</f>
        <v>73</v>
      </c>
      <c r="AF427" s="85">
        <f>Tabela3[[#This Row],[Lucro Líquido]]/Tabela3[[#This Row],[Total Ações]]</f>
        <v>-16.751874999999998</v>
      </c>
      <c r="AG427" s="85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</v>
      </c>
      <c r="AH427" s="85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427" s="77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427" s="85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</v>
      </c>
      <c r="AK427" s="7">
        <f>[Div Base]*[Ações]</f>
        <v>0</v>
      </c>
      <c r="AL427" s="120">
        <f>SUMPRODUCT(N([Nome]=Tabela3[[#This Row],[Nome]]),[Div Base]*[Ações])</f>
        <v>0</v>
      </c>
      <c r="AM427" s="5">
        <f>[Patrimônio Líquido]/[Total Ações]</f>
        <v>228.91749999999999</v>
      </c>
      <c r="AN427" s="52">
        <f>MAX(Tabela3[[#This Row],[Cotação 1]:[Cotação 5]])</f>
        <v>45</v>
      </c>
      <c r="AO427" s="53">
        <f>[Cotação]/[VPA]</f>
        <v>0.19657736957637578</v>
      </c>
      <c r="AP427" s="37">
        <f>IF(Tabela3[[#This Row],[Lucro/Ação]]&gt;0,Tabela3[[#This Row],[Cotação]]/(Tabela3[[#This Row],[Lucro/Ação]]/[Ref]*4),0)</f>
        <v>0</v>
      </c>
      <c r="AQ427" s="85">
        <f>[Lucro Distribuir]/[Total Ações]</f>
        <v>0</v>
      </c>
      <c r="AR427" s="85">
        <f>IF([Unit ON]&gt;0,SUMPRODUCT(N([Nome]=Tabela3[[#This Row],[Nome]]),N(RIGHT([PAPEL],1)="3"),[Div Base])*[Unit ON]+SUMPRODUCT(N([Nome]=Tabela3[[#This Row],[Nome]]),N(RIGHT([PAPEL],1)="4"),[Div Base])*[Unit PN],[Div Base])</f>
        <v>0</v>
      </c>
      <c r="AS427" s="10" t="str">
        <f>IF(AND([% A.A.]&gt;=6%,SUMPRODUCT(N([Nome]=Tabela3[[#This Row],[Nome]]),[PL])&gt;0,[Rentabilidade s/ PL]&gt;=[Rentabilidade s/ PL Média]),"Sim","Não")</f>
        <v>Não</v>
      </c>
      <c r="AT427" s="22">
        <f>IF([Cotação]&gt;0,Tabela3[[#This Row],[Lucro]]/Tabela3[[#This Row],[Cotação]],0)</f>
        <v>0</v>
      </c>
      <c r="AU427" s="22">
        <f>((1+Tabela3[[#This Row],[% Yield]])^(1/(3*Tabela3[[#This Row],[Ref]])))^(12)-1</f>
        <v>0</v>
      </c>
      <c r="AV427" s="10">
        <f>IF([Cotação]&gt;0,($BH$1/Tabela3[[#This Row],[Cotação]]-MOD($BH$1/Tabela3[[#This Row],[Cotação]],100)),)</f>
        <v>0</v>
      </c>
      <c r="AW427" s="7">
        <f>Tabela3[[#This Row],[Ativos]]*[Lucro]</f>
        <v>0</v>
      </c>
      <c r="AX427" s="7">
        <f>SUMPRODUCT(N(Tabela1[Código]=Tabela3[[#This Row],[PAPEL]]),Tabela1[Fechamento])</f>
        <v>0</v>
      </c>
      <c r="AY427" s="7">
        <f>SUMPRODUCT(N(Tabela17[Código]=Tabela3[[#This Row],[PAPEL]]),Tabela17[Fechamento])</f>
        <v>0</v>
      </c>
      <c r="AZ427" s="7">
        <f>SUMPRODUCT(N(Tabela176[Código]=Tabela3[[#This Row],[PAPEL]]),Tabela176[Fechamento])</f>
        <v>0</v>
      </c>
      <c r="BA427" s="7">
        <f>SUMPRODUCT(N(Tabela1768[Código]=Tabela3[[#This Row],[PAPEL]]),Tabela1768[Fechamento])</f>
        <v>0</v>
      </c>
      <c r="BB427" s="7">
        <f>SUMPRODUCT(N(Tabela17683[Código]=Tabela3[[#This Row],[PAPEL]]),Tabela17683[Fechamento])</f>
        <v>45</v>
      </c>
    </row>
    <row r="428" spans="1:54" hidden="1">
      <c r="A428" s="3" t="s">
        <v>1440</v>
      </c>
      <c r="B428" s="57" t="s">
        <v>1418</v>
      </c>
      <c r="C428" s="16" t="str">
        <f>LEFT([PAPEL],LEN([PAPEL])-(LEN([PAPEL])-4))</f>
        <v>BDLL</v>
      </c>
      <c r="D428" s="16">
        <v>3</v>
      </c>
      <c r="E428" s="5">
        <v>116800000</v>
      </c>
      <c r="F428" s="56">
        <v>992808</v>
      </c>
      <c r="G428" s="81">
        <v>0.25</v>
      </c>
      <c r="H428" s="87"/>
      <c r="I428" s="18">
        <v>0.08</v>
      </c>
      <c r="J428" s="18"/>
      <c r="K428" s="16"/>
      <c r="L428" s="87"/>
      <c r="M428" s="54"/>
      <c r="N428" s="54"/>
      <c r="O428" s="54"/>
      <c r="P428" s="91">
        <v>366268000</v>
      </c>
      <c r="Q428" s="73">
        <v>-26803000</v>
      </c>
      <c r="R428" s="73">
        <f>IF(Tabela3[[#This Row],[Ativo || Passivo]]&gt;0,Tabela3[[#This Row],[Ativo || Passivo]]-Tabela3[[#This Row],[Patrimônio Líquido]],0)</f>
        <v>0</v>
      </c>
      <c r="S428" s="73">
        <f>Tabela3[[#This Row],[Cotação]]*Tabela3[[#This Row],[Total Ações]]</f>
        <v>64000000</v>
      </c>
      <c r="T428" s="37">
        <f>IF(Tabela3[[#This Row],[Passivo Circulante]]&gt;0,Tabela3[[#This Row],[Ativo Circulante]]/Tabela3[[#This Row],[Passivo Circulante]],0)</f>
        <v>0</v>
      </c>
      <c r="U428" s="37">
        <f>SUMPRODUCT(N([Liquidez Corrente]&gt;0),N(RIGHT([PAPEL],LEN([PAPEL])-(LEN([PAPEL])-1))="3"),[Liquidez Corrente])/SUMPRODUCT(N([Liquidez Corrente]&gt;0),N(RIGHT([PAPEL],LEN([PAPEL])-(LEN([PAPEL])-1))="3"))</f>
        <v>2.331224473064915</v>
      </c>
      <c r="V428" s="18">
        <f>IF(Tabela3[[#This Row],[Lucro Líquido]]&gt;0,Tabela3[[#This Row],[Lucro Líquido]]/Tabela3[[#This Row],[Patrimônio Líquido]],0)</f>
        <v>0</v>
      </c>
      <c r="W428" s="18">
        <f>SUMPRODUCT(N([Rentabilidade s/ PL]&gt;0),N(RIGHT([PAPEL],LEN([PAPEL])-(LEN([PAPEL])-1))="3"),[Rentabilidade s/ PL])/SUMPRODUCT(N([Rentabilidade s/ PL]&gt;0),N(RIGHT([PAPEL],LEN([PAPEL])-(LEN([PAPEL])-1))="3"))</f>
        <v>0.1261051308670782</v>
      </c>
      <c r="X428" s="18">
        <f>IF(Tabela3[[#This Row],[Dívida]]&gt;0,Tabela3[[#This Row],[Dívida]]/Tabela3[[#This Row],[Patrimônio Líquido]],0)</f>
        <v>0</v>
      </c>
      <c r="Y428" s="18">
        <f>SUMPRODUCT(N([Dívida / PL]&gt;0),N(RIGHT([PAPEL],LEN([PAPEL])-(LEN([PAPEL])-1))="3"),[Dívida / PL])/SUMPRODUCT(N([Dívida / PL]&gt;0),N(RIGHT([PAPEL],LEN([PAPEL])-(LEN([PAPEL])-1))="3"))</f>
        <v>2.1510410379481146</v>
      </c>
      <c r="Z428" s="7">
        <f>Tabela3[[#This Row],[Capital Social]]*20%</f>
        <v>23360000</v>
      </c>
      <c r="AA428" s="47">
        <f>IF(([Lucro Líquido]*5%)&gt;[Teto R. Legal],[Teto R. Legal],[Lucro Líquido]*5%)</f>
        <v>-1340150</v>
      </c>
      <c r="AB428" s="47">
        <f>IF([Lucro Líquido]&lt;0,0,[Lucro Líquido]-[Reserva Legal])</f>
        <v>0</v>
      </c>
      <c r="AC428" s="47">
        <f>Tabela3[[#This Row],[Lucro Distribuir]]*[%Div]</f>
        <v>0</v>
      </c>
      <c r="AD428" s="56">
        <f>SUMPRODUCT(N([Nome]=Tabela3[[#This Row],[Nome]]),[Ações])</f>
        <v>1600000</v>
      </c>
      <c r="AE428" s="85">
        <f>[Capital Social]/[Total Ações]</f>
        <v>73</v>
      </c>
      <c r="AF428" s="85">
        <f>Tabela3[[#This Row],[Lucro Líquido]]/Tabela3[[#This Row],[Total Ações]]</f>
        <v>-16.751874999999998</v>
      </c>
      <c r="AG428" s="85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</v>
      </c>
      <c r="AH428" s="85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428" s="77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428" s="85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</v>
      </c>
      <c r="AK428" s="7">
        <f>[Div Base]*[Ações]</f>
        <v>0</v>
      </c>
      <c r="AL428" s="120">
        <f>SUMPRODUCT(N([Nome]=Tabela3[[#This Row],[Nome]]),[Div Base]*[Ações])</f>
        <v>0</v>
      </c>
      <c r="AM428" s="5">
        <f>[Patrimônio Líquido]/[Total Ações]</f>
        <v>228.91749999999999</v>
      </c>
      <c r="AN428" s="52">
        <f>MAX(Tabela3[[#This Row],[Cotação 1]:[Cotação 5]])</f>
        <v>40</v>
      </c>
      <c r="AO428" s="53">
        <f>[Cotação]/[VPA]</f>
        <v>0.17473543962344515</v>
      </c>
      <c r="AP428" s="37">
        <f>IF(Tabela3[[#This Row],[Lucro/Ação]]&gt;0,Tabela3[[#This Row],[Cotação]]/(Tabela3[[#This Row],[Lucro/Ação]]/[Ref]*4),0)</f>
        <v>0</v>
      </c>
      <c r="AQ428" s="85">
        <f>[Lucro Distribuir]/[Total Ações]</f>
        <v>0</v>
      </c>
      <c r="AR428" s="85">
        <f>IF([Unit ON]&gt;0,SUMPRODUCT(N([Nome]=Tabela3[[#This Row],[Nome]]),N(RIGHT([PAPEL],1)="3"),[Div Base])*[Unit ON]+SUMPRODUCT(N([Nome]=Tabela3[[#This Row],[Nome]]),N(RIGHT([PAPEL],1)="4"),[Div Base])*[Unit PN],[Div Base])</f>
        <v>0</v>
      </c>
      <c r="AS428" s="10" t="str">
        <f>IF(AND([% A.A.]&gt;=6%,SUMPRODUCT(N([Nome]=Tabela3[[#This Row],[Nome]]),[PL])&gt;0,[Rentabilidade s/ PL]&gt;=[Rentabilidade s/ PL Média]),"Sim","Não")</f>
        <v>Não</v>
      </c>
      <c r="AT428" s="22">
        <f>IF([Cotação]&gt;0,Tabela3[[#This Row],[Lucro]]/Tabela3[[#This Row],[Cotação]],0)</f>
        <v>0</v>
      </c>
      <c r="AU428" s="22">
        <f>((1+Tabela3[[#This Row],[% Yield]])^(1/(3*Tabela3[[#This Row],[Ref]])))^(12)-1</f>
        <v>0</v>
      </c>
      <c r="AV428" s="10">
        <f>IF([Cotação]&gt;0,($BH$1/Tabela3[[#This Row],[Cotação]]-MOD($BH$1/Tabela3[[#This Row],[Cotação]],100)),)</f>
        <v>0</v>
      </c>
      <c r="AW428" s="7">
        <f>Tabela3[[#This Row],[Ativos]]*[Lucro]</f>
        <v>0</v>
      </c>
      <c r="AX428" s="7">
        <f>SUMPRODUCT(N(Tabela1[Código]=Tabela3[[#This Row],[PAPEL]]),Tabela1[Fechamento])</f>
        <v>0</v>
      </c>
      <c r="AY428" s="7">
        <f>SUMPRODUCT(N(Tabela17[Código]=Tabela3[[#This Row],[PAPEL]]),Tabela17[Fechamento])</f>
        <v>0</v>
      </c>
      <c r="AZ428" s="7">
        <f>SUMPRODUCT(N(Tabela176[Código]=Tabela3[[#This Row],[PAPEL]]),Tabela176[Fechamento])</f>
        <v>0</v>
      </c>
      <c r="BA428" s="7">
        <f>SUMPRODUCT(N(Tabela1768[Código]=Tabela3[[#This Row],[PAPEL]]),Tabela1768[Fechamento])</f>
        <v>0</v>
      </c>
      <c r="BB428" s="7">
        <f>SUMPRODUCT(N(Tabela17683[Código]=Tabela3[[#This Row],[PAPEL]]),Tabela17683[Fechamento])</f>
        <v>40</v>
      </c>
    </row>
    <row r="429" spans="1:54" hidden="1">
      <c r="A429" s="103" t="s">
        <v>1027</v>
      </c>
      <c r="B429" s="58" t="s">
        <v>1028</v>
      </c>
      <c r="C429" s="105" t="str">
        <f>LEFT([PAPEL],LEN([PAPEL])-(LEN([PAPEL])-4))</f>
        <v>HETA</v>
      </c>
      <c r="D429" s="16">
        <v>3</v>
      </c>
      <c r="E429" s="106">
        <v>15300000</v>
      </c>
      <c r="F429" s="107">
        <v>5135950</v>
      </c>
      <c r="G429" s="108">
        <v>0.3</v>
      </c>
      <c r="H429" s="109"/>
      <c r="I429" s="110"/>
      <c r="J429" s="110"/>
      <c r="K429" s="105"/>
      <c r="L429" s="109"/>
      <c r="M429" s="137"/>
      <c r="N429" s="137"/>
      <c r="O429" s="137"/>
      <c r="P429" s="111">
        <v>-407885000</v>
      </c>
      <c r="Q429" s="112">
        <v>-27612000</v>
      </c>
      <c r="R429" s="112">
        <f>IF(Tabela3[[#This Row],[Ativo || Passivo]]&gt;0,Tabela3[[#This Row],[Ativo || Passivo]]-Tabela3[[#This Row],[Patrimônio Líquido]],0)</f>
        <v>0</v>
      </c>
      <c r="S429" s="112">
        <f>Tabela3[[#This Row],[Cotação]]*Tabela3[[#This Row],[Total Ações]]</f>
        <v>9333000</v>
      </c>
      <c r="T429" s="134">
        <f>IF(Tabela3[[#This Row],[Passivo Circulante]]&gt;0,Tabela3[[#This Row],[Ativo Circulante]]/Tabela3[[#This Row],[Passivo Circulante]],0)</f>
        <v>0</v>
      </c>
      <c r="U429" s="134">
        <f>SUMPRODUCT(N([Liquidez Corrente]&gt;0),N(RIGHT([PAPEL],LEN([PAPEL])-(LEN([PAPEL])-1))="3"),[Liquidez Corrente])/SUMPRODUCT(N([Liquidez Corrente]&gt;0),N(RIGHT([PAPEL],LEN([PAPEL])-(LEN([PAPEL])-1))="3"))</f>
        <v>2.331224473064915</v>
      </c>
      <c r="V429" s="110">
        <f>IF(Tabela3[[#This Row],[Lucro Líquido]]&gt;0,Tabela3[[#This Row],[Lucro Líquido]]/Tabela3[[#This Row],[Patrimônio Líquido]],0)</f>
        <v>0</v>
      </c>
      <c r="W429" s="110">
        <f>SUMPRODUCT(N([Rentabilidade s/ PL]&gt;0),N(RIGHT([PAPEL],LEN([PAPEL])-(LEN([PAPEL])-1))="3"),[Rentabilidade s/ PL])/SUMPRODUCT(N([Rentabilidade s/ PL]&gt;0),N(RIGHT([PAPEL],LEN([PAPEL])-(LEN([PAPEL])-1))="3"))</f>
        <v>0.1261051308670782</v>
      </c>
      <c r="X429" s="110">
        <f>IF(Tabela3[[#This Row],[Dívida]]&gt;0,Tabela3[[#This Row],[Dívida]]/Tabela3[[#This Row],[Patrimônio Líquido]],0)</f>
        <v>0</v>
      </c>
      <c r="Y429" s="110">
        <f>SUMPRODUCT(N([Dívida / PL]&gt;0),N(RIGHT([PAPEL],LEN([PAPEL])-(LEN([PAPEL])-1))="3"),[Dívida / PL])/SUMPRODUCT(N([Dívida / PL]&gt;0),N(RIGHT([PAPEL],LEN([PAPEL])-(LEN([PAPEL])-1))="3"))</f>
        <v>2.1510410379481146</v>
      </c>
      <c r="Z429" s="113">
        <f>Tabela3[[#This Row],[Capital Social]]*20%</f>
        <v>3060000</v>
      </c>
      <c r="AA429" s="114">
        <f>IF(([Lucro Líquido]*5%)&gt;[Teto R. Legal],[Teto R. Legal],[Lucro Líquido]*5%)</f>
        <v>-1380600</v>
      </c>
      <c r="AB429" s="114">
        <f>IF([Lucro Líquido]&lt;0,0,[Lucro Líquido]-[Reserva Legal])</f>
        <v>0</v>
      </c>
      <c r="AC429" s="114">
        <f>Tabela3[[#This Row],[Lucro Distribuir]]*[%Div]</f>
        <v>0</v>
      </c>
      <c r="AD429" s="56">
        <f>SUMPRODUCT(N([Nome]=Tabela3[[#This Row],[Nome]]),[Ações])</f>
        <v>15300000</v>
      </c>
      <c r="AE429" s="115">
        <f>[Capital Social]/[Total Ações]</f>
        <v>1</v>
      </c>
      <c r="AF429" s="115">
        <f>Tabela3[[#This Row],[Lucro Líquido]]/Tabela3[[#This Row],[Total Ações]]</f>
        <v>-1.8047058823529412</v>
      </c>
      <c r="AG429" s="115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</v>
      </c>
      <c r="AH429" s="115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429" s="116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429" s="115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</v>
      </c>
      <c r="AK429" s="113">
        <f>[Div Base]*[Ações]</f>
        <v>0</v>
      </c>
      <c r="AL429" s="113">
        <f>SUMPRODUCT(N([Nome]=Tabela3[[#This Row],[Nome]]),[Div Base]*[Ações])</f>
        <v>0</v>
      </c>
      <c r="AM429" s="106">
        <f>[Patrimônio Líquido]/[Total Ações]</f>
        <v>-26.659150326797384</v>
      </c>
      <c r="AN429" s="117">
        <f>MAX(Tabela3[[#This Row],[Cotação 1]:[Cotação 5]])</f>
        <v>0.61</v>
      </c>
      <c r="AO429" s="118">
        <f>[Cotação]/[VPA]</f>
        <v>-2.288144942814764E-2</v>
      </c>
      <c r="AP429" s="37">
        <f>IF(Tabela3[[#This Row],[Lucro/Ação]]&gt;0,Tabela3[[#This Row],[Cotação]]/(Tabela3[[#This Row],[Lucro/Ação]]/[Ref]*4),0)</f>
        <v>0</v>
      </c>
      <c r="AQ429" s="115">
        <f>[Lucro Distribuir]/[Total Ações]</f>
        <v>0</v>
      </c>
      <c r="AR429" s="115">
        <f>IF([Unit ON]&gt;0,SUMPRODUCT(N([Nome]=Tabela3[[#This Row],[Nome]]),N(RIGHT([PAPEL],1)="3"),[Div Base])*[Unit ON]+SUMPRODUCT(N([Nome]=Tabela3[[#This Row],[Nome]]),N(RIGHT([PAPEL],1)="4"),[Div Base])*[Unit PN],[Div Base])</f>
        <v>0</v>
      </c>
      <c r="AS429" s="104" t="str">
        <f>IF(AND([% A.A.]&gt;=6%,SUMPRODUCT(N([Nome]=Tabela3[[#This Row],[Nome]]),[PL])&gt;0,[Rentabilidade s/ PL]&gt;=[Rentabilidade s/ PL Média]),"Sim","Não")</f>
        <v>Não</v>
      </c>
      <c r="AT429" s="119">
        <f>IF([Cotação]&gt;0,Tabela3[[#This Row],[Lucro]]/Tabela3[[#This Row],[Cotação]],0)</f>
        <v>0</v>
      </c>
      <c r="AU429" s="119">
        <f>((1+Tabela3[[#This Row],[% Yield]])^(1/(3*Tabela3[[#This Row],[Ref]])))^(12)-1</f>
        <v>0</v>
      </c>
      <c r="AV429" s="104">
        <f>IF([Cotação]&gt;0,($BH$1/Tabela3[[#This Row],[Cotação]]-MOD($BH$1/Tabela3[[#This Row],[Cotação]],100)),)</f>
        <v>800</v>
      </c>
      <c r="AW429" s="113">
        <f>Tabela3[[#This Row],[Ativos]]*[Lucro]</f>
        <v>0</v>
      </c>
      <c r="AX429" s="113">
        <f>SUMPRODUCT(N(Tabela1[Código]=Tabela3[[#This Row],[PAPEL]]),Tabela1[Fechamento])</f>
        <v>0</v>
      </c>
      <c r="AY429" s="113">
        <f>SUMPRODUCT(N(Tabela17[Código]=Tabela3[[#This Row],[PAPEL]]),Tabela17[Fechamento])</f>
        <v>0</v>
      </c>
      <c r="AZ429" s="113">
        <f>SUMPRODUCT(N(Tabela176[Código]=Tabela3[[#This Row],[PAPEL]]),Tabela176[Fechamento])</f>
        <v>0</v>
      </c>
      <c r="BA429" s="113">
        <f>SUMPRODUCT(N(Tabela1768[Código]=Tabela3[[#This Row],[PAPEL]]),Tabela1768[Fechamento])</f>
        <v>0.61</v>
      </c>
      <c r="BB429" s="7">
        <f>SUMPRODUCT(N(Tabela17683[Código]=Tabela3[[#This Row],[PAPEL]]),Tabela17683[Fechamento])</f>
        <v>0</v>
      </c>
    </row>
    <row r="430" spans="1:54" hidden="1">
      <c r="A430" s="3" t="s">
        <v>1027</v>
      </c>
      <c r="B430" s="58" t="s">
        <v>1029</v>
      </c>
      <c r="C430" s="16" t="str">
        <f>LEFT([PAPEL],LEN([PAPEL])-(LEN([PAPEL])-4))</f>
        <v>HETA</v>
      </c>
      <c r="D430" s="16">
        <v>3</v>
      </c>
      <c r="E430" s="106">
        <v>15300000</v>
      </c>
      <c r="F430" s="56">
        <v>10164050</v>
      </c>
      <c r="G430" s="81">
        <v>0.3</v>
      </c>
      <c r="H430" s="87"/>
      <c r="I430" s="18">
        <v>0.06</v>
      </c>
      <c r="J430" s="18"/>
      <c r="K430" s="16"/>
      <c r="L430" s="87"/>
      <c r="M430" s="54"/>
      <c r="N430" s="54"/>
      <c r="O430" s="54"/>
      <c r="P430" s="111">
        <v>-407885000</v>
      </c>
      <c r="Q430" s="112">
        <v>-27612000</v>
      </c>
      <c r="R430" s="112">
        <f>IF(Tabela3[[#This Row],[Ativo || Passivo]]&gt;0,Tabela3[[#This Row],[Ativo || Passivo]]-Tabela3[[#This Row],[Patrimônio Líquido]],0)</f>
        <v>0</v>
      </c>
      <c r="S430" s="112">
        <f>Tabela3[[#This Row],[Cotação]]*Tabela3[[#This Row],[Total Ações]]</f>
        <v>4743000</v>
      </c>
      <c r="T430" s="134">
        <f>IF(Tabela3[[#This Row],[Passivo Circulante]]&gt;0,Tabela3[[#This Row],[Ativo Circulante]]/Tabela3[[#This Row],[Passivo Circulante]],0)</f>
        <v>0</v>
      </c>
      <c r="U430" s="134">
        <f>SUMPRODUCT(N([Liquidez Corrente]&gt;0),N(RIGHT([PAPEL],LEN([PAPEL])-(LEN([PAPEL])-1))="3"),[Liquidez Corrente])/SUMPRODUCT(N([Liquidez Corrente]&gt;0),N(RIGHT([PAPEL],LEN([PAPEL])-(LEN([PAPEL])-1))="3"))</f>
        <v>2.331224473064915</v>
      </c>
      <c r="V430" s="110">
        <f>IF(Tabela3[[#This Row],[Lucro Líquido]]&gt;0,Tabela3[[#This Row],[Lucro Líquido]]/Tabela3[[#This Row],[Patrimônio Líquido]],0)</f>
        <v>0</v>
      </c>
      <c r="W430" s="110">
        <f>SUMPRODUCT(N([Rentabilidade s/ PL]&gt;0),N(RIGHT([PAPEL],LEN([PAPEL])-(LEN([PAPEL])-1))="3"),[Rentabilidade s/ PL])/SUMPRODUCT(N([Rentabilidade s/ PL]&gt;0),N(RIGHT([PAPEL],LEN([PAPEL])-(LEN([PAPEL])-1))="3"))</f>
        <v>0.1261051308670782</v>
      </c>
      <c r="X430" s="110">
        <f>IF(Tabela3[[#This Row],[Dívida]]&gt;0,Tabela3[[#This Row],[Dívida]]/Tabela3[[#This Row],[Patrimônio Líquido]],0)</f>
        <v>0</v>
      </c>
      <c r="Y430" s="110">
        <f>SUMPRODUCT(N([Dívida / PL]&gt;0),N(RIGHT([PAPEL],LEN([PAPEL])-(LEN([PAPEL])-1))="3"),[Dívida / PL])/SUMPRODUCT(N([Dívida / PL]&gt;0),N(RIGHT([PAPEL],LEN([PAPEL])-(LEN([PAPEL])-1))="3"))</f>
        <v>2.1510410379481146</v>
      </c>
      <c r="Z430" s="7">
        <f>Tabela3[[#This Row],[Capital Social]]*20%</f>
        <v>3060000</v>
      </c>
      <c r="AA430" s="47">
        <f>IF(([Lucro Líquido]*5%)&gt;[Teto R. Legal],[Teto R. Legal],[Lucro Líquido]*5%)</f>
        <v>-1380600</v>
      </c>
      <c r="AB430" s="47">
        <f>IF([Lucro Líquido]&lt;0,0,[Lucro Líquido]-[Reserva Legal])</f>
        <v>0</v>
      </c>
      <c r="AC430" s="47">
        <f>Tabela3[[#This Row],[Lucro Distribuir]]*[%Div]</f>
        <v>0</v>
      </c>
      <c r="AD430" s="56">
        <f>SUMPRODUCT(N([Nome]=Tabela3[[#This Row],[Nome]]),[Ações])</f>
        <v>15300000</v>
      </c>
      <c r="AE430" s="85">
        <f>[Capital Social]/[Total Ações]</f>
        <v>1</v>
      </c>
      <c r="AF430" s="85">
        <f>Tabela3[[#This Row],[Lucro Líquido]]/Tabela3[[#This Row],[Total Ações]]</f>
        <v>-1.8047058823529412</v>
      </c>
      <c r="AG430" s="85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</v>
      </c>
      <c r="AH430" s="85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430" s="77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430" s="85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</v>
      </c>
      <c r="AK430" s="7">
        <f>[Div Base]*[Ações]</f>
        <v>0</v>
      </c>
      <c r="AL430" s="7">
        <f>SUMPRODUCT(N([Nome]=Tabela3[[#This Row],[Nome]]),[Div Base]*[Ações])</f>
        <v>0</v>
      </c>
      <c r="AM430" s="5">
        <f>[Patrimônio Líquido]/[Total Ações]</f>
        <v>-26.659150326797384</v>
      </c>
      <c r="AN430" s="52">
        <f>MAX(Tabela3[[#This Row],[Cotação 1]:[Cotação 5]])</f>
        <v>0.31</v>
      </c>
      <c r="AO430" s="53">
        <f>[Cotação]/[VPA]</f>
        <v>-1.1628277578238965E-2</v>
      </c>
      <c r="AP430" s="37">
        <f>IF(Tabela3[[#This Row],[Lucro/Ação]]&gt;0,Tabela3[[#This Row],[Cotação]]/(Tabela3[[#This Row],[Lucro/Ação]]/[Ref]*4),0)</f>
        <v>0</v>
      </c>
      <c r="AQ430" s="85">
        <f>[Lucro Distribuir]/[Total Ações]</f>
        <v>0</v>
      </c>
      <c r="AR430" s="85">
        <f>IF([Unit ON]&gt;0,SUMPRODUCT(N([Nome]=Tabela3[[#This Row],[Nome]]),N(RIGHT([PAPEL],1)="3"),[Div Base])*[Unit ON]+SUMPRODUCT(N([Nome]=Tabela3[[#This Row],[Nome]]),N(RIGHT([PAPEL],1)="4"),[Div Base])*[Unit PN],[Div Base])</f>
        <v>0</v>
      </c>
      <c r="AS430" s="10" t="str">
        <f>IF(AND([% A.A.]&gt;=6%,SUMPRODUCT(N([Nome]=Tabela3[[#This Row],[Nome]]),[PL])&gt;0,[Rentabilidade s/ PL]&gt;=[Rentabilidade s/ PL Média]),"Sim","Não")</f>
        <v>Não</v>
      </c>
      <c r="AT430" s="22">
        <f>IF([Cotação]&gt;0,Tabela3[[#This Row],[Lucro]]/Tabela3[[#This Row],[Cotação]],0)</f>
        <v>0</v>
      </c>
      <c r="AU430" s="22">
        <f>((1+Tabela3[[#This Row],[% Yield]])^(1/(3*Tabela3[[#This Row],[Ref]])))^(12)-1</f>
        <v>0</v>
      </c>
      <c r="AV430" s="10">
        <f>IF([Cotação]&gt;0,($BH$1/Tabela3[[#This Row],[Cotação]]-MOD($BH$1/Tabela3[[#This Row],[Cotação]],100)),)</f>
        <v>1600</v>
      </c>
      <c r="AW430" s="7">
        <f>Tabela3[[#This Row],[Ativos]]*[Lucro]</f>
        <v>0</v>
      </c>
      <c r="AX430" s="7">
        <f>SUMPRODUCT(N(Tabela1[Código]=Tabela3[[#This Row],[PAPEL]]),Tabela1[Fechamento])</f>
        <v>0</v>
      </c>
      <c r="AY430" s="7">
        <f>SUMPRODUCT(N(Tabela17[Código]=Tabela3[[#This Row],[PAPEL]]),Tabela17[Fechamento])</f>
        <v>0</v>
      </c>
      <c r="AZ430" s="7">
        <f>SUMPRODUCT(N(Tabela176[Código]=Tabela3[[#This Row],[PAPEL]]),Tabela176[Fechamento])</f>
        <v>0</v>
      </c>
      <c r="BA430" s="7">
        <f>SUMPRODUCT(N(Tabela1768[Código]=Tabela3[[#This Row],[PAPEL]]),Tabela1768[Fechamento])</f>
        <v>0.31</v>
      </c>
      <c r="BB430" s="7">
        <f>SUMPRODUCT(N(Tabela17683[Código]=Tabela3[[#This Row],[PAPEL]]),Tabela17683[Fechamento])</f>
        <v>0</v>
      </c>
    </row>
    <row r="431" spans="1:54" hidden="1">
      <c r="A431" s="3" t="s">
        <v>929</v>
      </c>
      <c r="B431" s="58" t="s">
        <v>1054</v>
      </c>
      <c r="C431" s="16" t="str">
        <f>LEFT([PAPEL],LEN([PAPEL])-(LEN([PAPEL])-4))</f>
        <v>CTKA</v>
      </c>
      <c r="D431" s="16">
        <v>3</v>
      </c>
      <c r="E431" s="5">
        <v>60000000</v>
      </c>
      <c r="F431" s="56">
        <v>6120851</v>
      </c>
      <c r="G431" s="81">
        <v>0.35</v>
      </c>
      <c r="H431" s="87"/>
      <c r="J431" s="18"/>
      <c r="K431" s="16"/>
      <c r="L431" s="87"/>
      <c r="M431" s="54"/>
      <c r="N431" s="54"/>
      <c r="O431" s="54"/>
      <c r="P431" s="91">
        <v>3518000</v>
      </c>
      <c r="Q431" s="73">
        <v>-32852000</v>
      </c>
      <c r="R431" s="73">
        <f>IF(Tabela3[[#This Row],[Ativo || Passivo]]&gt;0,Tabela3[[#This Row],[Ativo || Passivo]]-Tabela3[[#This Row],[Patrimônio Líquido]],0)</f>
        <v>0</v>
      </c>
      <c r="S431" s="73">
        <f>Tabela3[[#This Row],[Cotação]]*Tabela3[[#This Row],[Total Ações]]</f>
        <v>31693523.400000002</v>
      </c>
      <c r="T431" s="37">
        <f>IF(Tabela3[[#This Row],[Passivo Circulante]]&gt;0,Tabela3[[#This Row],[Ativo Circulante]]/Tabela3[[#This Row],[Passivo Circulante]],0)</f>
        <v>0</v>
      </c>
      <c r="U431" s="37">
        <f>SUMPRODUCT(N([Liquidez Corrente]&gt;0),N(RIGHT([PAPEL],LEN([PAPEL])-(LEN([PAPEL])-1))="3"),[Liquidez Corrente])/SUMPRODUCT(N([Liquidez Corrente]&gt;0),N(RIGHT([PAPEL],LEN([PAPEL])-(LEN([PAPEL])-1))="3"))</f>
        <v>2.331224473064915</v>
      </c>
      <c r="V431" s="18">
        <f>IF(Tabela3[[#This Row],[Lucro Líquido]]&gt;0,Tabela3[[#This Row],[Lucro Líquido]]/Tabela3[[#This Row],[Patrimônio Líquido]],0)</f>
        <v>0</v>
      </c>
      <c r="W431" s="18">
        <f>SUMPRODUCT(N([Rentabilidade s/ PL]&gt;0),N(RIGHT([PAPEL],LEN([PAPEL])-(LEN([PAPEL])-1))="3"),[Rentabilidade s/ PL])/SUMPRODUCT(N([Rentabilidade s/ PL]&gt;0),N(RIGHT([PAPEL],LEN([PAPEL])-(LEN([PAPEL])-1))="3"))</f>
        <v>0.1261051308670782</v>
      </c>
      <c r="X431" s="18">
        <f>IF(Tabela3[[#This Row],[Dívida]]&gt;0,Tabela3[[#This Row],[Dívida]]/Tabela3[[#This Row],[Patrimônio Líquido]],0)</f>
        <v>0</v>
      </c>
      <c r="Y431" s="18">
        <f>SUMPRODUCT(N([Dívida / PL]&gt;0),N(RIGHT([PAPEL],LEN([PAPEL])-(LEN([PAPEL])-1))="3"),[Dívida / PL])/SUMPRODUCT(N([Dívida / PL]&gt;0),N(RIGHT([PAPEL],LEN([PAPEL])-(LEN([PAPEL])-1))="3"))</f>
        <v>2.1510410379481146</v>
      </c>
      <c r="Z431" s="7">
        <f>Tabela3[[#This Row],[Capital Social]]*20%</f>
        <v>12000000</v>
      </c>
      <c r="AA431" s="47">
        <f>IF(([Lucro Líquido]*5%)&gt;[Teto R. Legal],[Teto R. Legal],[Lucro Líquido]*5%)</f>
        <v>-1642600</v>
      </c>
      <c r="AB431" s="47">
        <f>IF([Lucro Líquido]&lt;0,0,[Lucro Líquido]-[Reserva Legal])</f>
        <v>0</v>
      </c>
      <c r="AC431" s="47">
        <f>Tabela3[[#This Row],[Lucro Distribuir]]*[%Div]</f>
        <v>0</v>
      </c>
      <c r="AD431" s="56">
        <f>SUMPRODUCT(N([Nome]=Tabela3[[#This Row],[Nome]]),[Ações])</f>
        <v>14406147</v>
      </c>
      <c r="AE431" s="85">
        <f>[Capital Social]/[Total Ações]</f>
        <v>4.1648887797688028</v>
      </c>
      <c r="AF431" s="85">
        <f>Tabela3[[#This Row],[Lucro Líquido]]/Tabela3[[#This Row],[Total Ações]]</f>
        <v>-2.2804154365494118</v>
      </c>
      <c r="AG431" s="85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</v>
      </c>
      <c r="AH431" s="85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431" s="77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431" s="85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</v>
      </c>
      <c r="AK431" s="7">
        <f>[Div Base]*[Ações]</f>
        <v>0</v>
      </c>
      <c r="AL431" s="7">
        <f>SUMPRODUCT(N([Nome]=Tabela3[[#This Row],[Nome]]),[Div Base]*[Ações])</f>
        <v>0</v>
      </c>
      <c r="AM431" s="5">
        <f>[Patrimônio Líquido]/[Total Ações]</f>
        <v>0.24420131212044413</v>
      </c>
      <c r="AN431" s="52">
        <f>MAX(Tabela3[[#This Row],[Cotação 1]:[Cotação 5]])</f>
        <v>2.2000000000000002</v>
      </c>
      <c r="AO431" s="53">
        <f>[Cotação]/[VPA]</f>
        <v>9.0089606026151241</v>
      </c>
      <c r="AP431" s="37">
        <f>IF(Tabela3[[#This Row],[Lucro/Ação]]&gt;0,Tabela3[[#This Row],[Cotação]]/(Tabela3[[#This Row],[Lucro/Ação]]/[Ref]*4),0)</f>
        <v>0</v>
      </c>
      <c r="AQ431" s="85">
        <f>[Lucro Distribuir]/[Total Ações]</f>
        <v>0</v>
      </c>
      <c r="AR431" s="85">
        <f>IF([Unit ON]&gt;0,SUMPRODUCT(N([Nome]=Tabela3[[#This Row],[Nome]]),N(RIGHT([PAPEL],1)="3"),[Div Base])*[Unit ON]+SUMPRODUCT(N([Nome]=Tabela3[[#This Row],[Nome]]),N(RIGHT([PAPEL],1)="4"),[Div Base])*[Unit PN],[Div Base])</f>
        <v>0</v>
      </c>
      <c r="AS431" s="10" t="str">
        <f>IF(AND([% A.A.]&gt;=6%,SUMPRODUCT(N([Nome]=Tabela3[[#This Row],[Nome]]),[PL])&gt;0,[Rentabilidade s/ PL]&gt;=[Rentabilidade s/ PL Média]),"Sim","Não")</f>
        <v>Não</v>
      </c>
      <c r="AT431" s="22">
        <f>IF([Cotação]&gt;0,Tabela3[[#This Row],[Lucro]]/Tabela3[[#This Row],[Cotação]],0)</f>
        <v>0</v>
      </c>
      <c r="AU431" s="22">
        <f>((1+Tabela3[[#This Row],[% Yield]])^(1/(3*Tabela3[[#This Row],[Ref]])))^(12)-1</f>
        <v>0</v>
      </c>
      <c r="AV431" s="10">
        <f>IF([Cotação]&gt;0,($BH$1/Tabela3[[#This Row],[Cotação]]-MOD($BH$1/Tabela3[[#This Row],[Cotação]],100)),)</f>
        <v>200</v>
      </c>
      <c r="AW431" s="7">
        <f>Tabela3[[#This Row],[Ativos]]*[Lucro]</f>
        <v>0</v>
      </c>
      <c r="AX431" s="7">
        <f>SUMPRODUCT(N(Tabela1[Código]=Tabela3[[#This Row],[PAPEL]]),Tabela1[Fechamento])</f>
        <v>0</v>
      </c>
      <c r="AY431" s="7">
        <f>SUMPRODUCT(N(Tabela17[Código]=Tabela3[[#This Row],[PAPEL]]),Tabela17[Fechamento])</f>
        <v>0</v>
      </c>
      <c r="AZ431" s="7">
        <f>SUMPRODUCT(N(Tabela176[Código]=Tabela3[[#This Row],[PAPEL]]),Tabela176[Fechamento])</f>
        <v>0</v>
      </c>
      <c r="BA431" s="7">
        <f>SUMPRODUCT(N(Tabela1768[Código]=Tabela3[[#This Row],[PAPEL]]),Tabela1768[Fechamento])</f>
        <v>2.2000000000000002</v>
      </c>
      <c r="BB431" s="7">
        <f>SUMPRODUCT(N(Tabela17683[Código]=Tabela3[[#This Row],[PAPEL]]),Tabela17683[Fechamento])</f>
        <v>0</v>
      </c>
    </row>
    <row r="432" spans="1:54" hidden="1">
      <c r="A432" s="3" t="s">
        <v>929</v>
      </c>
      <c r="B432" s="58" t="s">
        <v>1055</v>
      </c>
      <c r="C432" s="16" t="str">
        <f>LEFT([PAPEL],LEN([PAPEL])-(LEN([PAPEL])-4))</f>
        <v>CTKA</v>
      </c>
      <c r="D432" s="16">
        <v>3</v>
      </c>
      <c r="E432" s="5">
        <v>60000000</v>
      </c>
      <c r="F432" s="56">
        <v>8285296</v>
      </c>
      <c r="G432" s="81">
        <v>0.35</v>
      </c>
      <c r="H432" s="87"/>
      <c r="J432" s="18">
        <v>0.1</v>
      </c>
      <c r="K432" s="16"/>
      <c r="L432" s="87"/>
      <c r="M432" s="54"/>
      <c r="N432" s="54"/>
      <c r="O432" s="54"/>
      <c r="P432" s="91">
        <v>3518000</v>
      </c>
      <c r="Q432" s="73">
        <v>-32852000</v>
      </c>
      <c r="R432" s="73">
        <f>IF(Tabela3[[#This Row],[Ativo || Passivo]]&gt;0,Tabela3[[#This Row],[Ativo || Passivo]]-Tabela3[[#This Row],[Patrimônio Líquido]],0)</f>
        <v>0</v>
      </c>
      <c r="S432" s="73">
        <f>Tabela3[[#This Row],[Cotação]]*Tabela3[[#This Row],[Total Ações]]</f>
        <v>9363995.5500000007</v>
      </c>
      <c r="T432" s="37">
        <f>IF(Tabela3[[#This Row],[Passivo Circulante]]&gt;0,Tabela3[[#This Row],[Ativo Circulante]]/Tabela3[[#This Row],[Passivo Circulante]],0)</f>
        <v>0</v>
      </c>
      <c r="U432" s="37">
        <f>SUMPRODUCT(N([Liquidez Corrente]&gt;0),N(RIGHT([PAPEL],LEN([PAPEL])-(LEN([PAPEL])-1))="3"),[Liquidez Corrente])/SUMPRODUCT(N([Liquidez Corrente]&gt;0),N(RIGHT([PAPEL],LEN([PAPEL])-(LEN([PAPEL])-1))="3"))</f>
        <v>2.331224473064915</v>
      </c>
      <c r="V432" s="18">
        <f>IF(Tabela3[[#This Row],[Lucro Líquido]]&gt;0,Tabela3[[#This Row],[Lucro Líquido]]/Tabela3[[#This Row],[Patrimônio Líquido]],0)</f>
        <v>0</v>
      </c>
      <c r="W432" s="18">
        <f>SUMPRODUCT(N([Rentabilidade s/ PL]&gt;0),N(RIGHT([PAPEL],LEN([PAPEL])-(LEN([PAPEL])-1))="3"),[Rentabilidade s/ PL])/SUMPRODUCT(N([Rentabilidade s/ PL]&gt;0),N(RIGHT([PAPEL],LEN([PAPEL])-(LEN([PAPEL])-1))="3"))</f>
        <v>0.1261051308670782</v>
      </c>
      <c r="X432" s="18">
        <f>IF(Tabela3[[#This Row],[Dívida]]&gt;0,Tabela3[[#This Row],[Dívida]]/Tabela3[[#This Row],[Patrimônio Líquido]],0)</f>
        <v>0</v>
      </c>
      <c r="Y432" s="18">
        <f>SUMPRODUCT(N([Dívida / PL]&gt;0),N(RIGHT([PAPEL],LEN([PAPEL])-(LEN([PAPEL])-1))="3"),[Dívida / PL])/SUMPRODUCT(N([Dívida / PL]&gt;0),N(RIGHT([PAPEL],LEN([PAPEL])-(LEN([PAPEL])-1))="3"))</f>
        <v>2.1510410379481146</v>
      </c>
      <c r="Z432" s="7">
        <f>Tabela3[[#This Row],[Capital Social]]*20%</f>
        <v>12000000</v>
      </c>
      <c r="AA432" s="47">
        <f>IF(([Lucro Líquido]*5%)&gt;[Teto R. Legal],[Teto R. Legal],[Lucro Líquido]*5%)</f>
        <v>-1642600</v>
      </c>
      <c r="AB432" s="47">
        <f>IF([Lucro Líquido]&lt;0,0,[Lucro Líquido]-[Reserva Legal])</f>
        <v>0</v>
      </c>
      <c r="AC432" s="47">
        <f>Tabela3[[#This Row],[Lucro Distribuir]]*[%Div]</f>
        <v>0</v>
      </c>
      <c r="AD432" s="56">
        <f>SUMPRODUCT(N([Nome]=Tabela3[[#This Row],[Nome]]),[Ações])</f>
        <v>14406147</v>
      </c>
      <c r="AE432" s="85">
        <f>[Capital Social]/[Total Ações]</f>
        <v>4.1648887797688028</v>
      </c>
      <c r="AF432" s="85">
        <f>Tabela3[[#This Row],[Lucro Líquido]]/Tabela3[[#This Row],[Total Ações]]</f>
        <v>-2.2804154365494118</v>
      </c>
      <c r="AG432" s="85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</v>
      </c>
      <c r="AH432" s="85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432" s="77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432" s="85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</v>
      </c>
      <c r="AK432" s="7">
        <f>[Div Base]*[Ações]</f>
        <v>0</v>
      </c>
      <c r="AL432" s="7">
        <f>SUMPRODUCT(N([Nome]=Tabela3[[#This Row],[Nome]]),[Div Base]*[Ações])</f>
        <v>0</v>
      </c>
      <c r="AM432" s="5">
        <f>[Patrimônio Líquido]/[Total Ações]</f>
        <v>0.24420131212044413</v>
      </c>
      <c r="AN432" s="52">
        <f>MAX(Tabela3[[#This Row],[Cotação 1]:[Cotação 5]])</f>
        <v>0.65</v>
      </c>
      <c r="AO432" s="53">
        <f>[Cotação]/[VPA]</f>
        <v>2.6617383598635591</v>
      </c>
      <c r="AP432" s="37">
        <f>IF(Tabela3[[#This Row],[Lucro/Ação]]&gt;0,Tabela3[[#This Row],[Cotação]]/(Tabela3[[#This Row],[Lucro/Ação]]/[Ref]*4),0)</f>
        <v>0</v>
      </c>
      <c r="AQ432" s="85">
        <f>[Lucro Distribuir]/[Total Ações]</f>
        <v>0</v>
      </c>
      <c r="AR432" s="85">
        <f>IF([Unit ON]&gt;0,SUMPRODUCT(N([Nome]=Tabela3[[#This Row],[Nome]]),N(RIGHT([PAPEL],1)="3"),[Div Base])*[Unit ON]+SUMPRODUCT(N([Nome]=Tabela3[[#This Row],[Nome]]),N(RIGHT([PAPEL],1)="4"),[Div Base])*[Unit PN],[Div Base])</f>
        <v>0</v>
      </c>
      <c r="AS432" s="10" t="str">
        <f>IF(AND([% A.A.]&gt;=6%,SUMPRODUCT(N([Nome]=Tabela3[[#This Row],[Nome]]),[PL])&gt;0,[Rentabilidade s/ PL]&gt;=[Rentabilidade s/ PL Média]),"Sim","Não")</f>
        <v>Não</v>
      </c>
      <c r="AT432" s="22">
        <f>IF([Cotação]&gt;0,Tabela3[[#This Row],[Lucro]]/Tabela3[[#This Row],[Cotação]],0)</f>
        <v>0</v>
      </c>
      <c r="AU432" s="22">
        <f>((1+Tabela3[[#This Row],[% Yield]])^(1/(3*Tabela3[[#This Row],[Ref]])))^(12)-1</f>
        <v>0</v>
      </c>
      <c r="AV432" s="10">
        <f>IF([Cotação]&gt;0,($BH$1/Tabela3[[#This Row],[Cotação]]-MOD($BH$1/Tabela3[[#This Row],[Cotação]],100)),)</f>
        <v>700</v>
      </c>
      <c r="AW432" s="7">
        <f>Tabela3[[#This Row],[Ativos]]*[Lucro]</f>
        <v>0</v>
      </c>
      <c r="AX432" s="7">
        <f>SUMPRODUCT(N(Tabela1[Código]=Tabela3[[#This Row],[PAPEL]]),Tabela1[Fechamento])</f>
        <v>0</v>
      </c>
      <c r="AY432" s="7">
        <f>SUMPRODUCT(N(Tabela17[Código]=Tabela3[[#This Row],[PAPEL]]),Tabela17[Fechamento])</f>
        <v>0</v>
      </c>
      <c r="AZ432" s="7">
        <f>SUMPRODUCT(N(Tabela176[Código]=Tabela3[[#This Row],[PAPEL]]),Tabela176[Fechamento])</f>
        <v>0</v>
      </c>
      <c r="BA432" s="7">
        <f>SUMPRODUCT(N(Tabela1768[Código]=Tabela3[[#This Row],[PAPEL]]),Tabela1768[Fechamento])</f>
        <v>0.65</v>
      </c>
      <c r="BB432" s="7">
        <f>SUMPRODUCT(N(Tabela17683[Código]=Tabela3[[#This Row],[PAPEL]]),Tabela17683[Fechamento])</f>
        <v>0</v>
      </c>
    </row>
    <row r="433" spans="1:54" hidden="1">
      <c r="A433" s="4" t="s">
        <v>333</v>
      </c>
      <c r="B433" s="126" t="s">
        <v>626</v>
      </c>
      <c r="C433" s="15" t="str">
        <f>LEFT([PAPEL],LEN([PAPEL])-(LEN([PAPEL])-4))</f>
        <v>MGEL</v>
      </c>
      <c r="D433" s="15">
        <v>3</v>
      </c>
      <c r="E433" s="6">
        <v>171272996.66999999</v>
      </c>
      <c r="F433" s="8">
        <v>6201730</v>
      </c>
      <c r="G433" s="86">
        <v>0.25</v>
      </c>
      <c r="H433" s="9"/>
      <c r="I433" s="19"/>
      <c r="J433" s="19"/>
      <c r="K433" s="88"/>
      <c r="L433" s="88"/>
      <c r="M433" s="55"/>
      <c r="N433" s="55"/>
      <c r="O433" s="55"/>
      <c r="P433" s="92">
        <v>-64885000</v>
      </c>
      <c r="Q433" s="93">
        <v>-32917000</v>
      </c>
      <c r="R433" s="93">
        <f>IF(Tabela3[[#This Row],[Ativo || Passivo]]&gt;0,Tabela3[[#This Row],[Ativo || Passivo]]-Tabela3[[#This Row],[Patrimônio Líquido]],0)</f>
        <v>0</v>
      </c>
      <c r="S433" s="93">
        <f>Tabela3[[#This Row],[Cotação]]*Tabela3[[#This Row],[Total Ações]]</f>
        <v>433740950</v>
      </c>
      <c r="T433" s="40">
        <f>IF(Tabela3[[#This Row],[Passivo Circulante]]&gt;0,Tabela3[[#This Row],[Ativo Circulante]]/Tabela3[[#This Row],[Passivo Circulante]],0)</f>
        <v>0</v>
      </c>
      <c r="U433" s="40">
        <f>SUMPRODUCT(N([Liquidez Corrente]&gt;0),N(RIGHT([PAPEL],LEN([PAPEL])-(LEN([PAPEL])-1))="3"),[Liquidez Corrente])/SUMPRODUCT(N([Liquidez Corrente]&gt;0),N(RIGHT([PAPEL],LEN([PAPEL])-(LEN([PAPEL])-1))="3"))</f>
        <v>2.331224473064915</v>
      </c>
      <c r="V433" s="19">
        <f>IF(Tabela3[[#This Row],[Lucro Líquido]]&gt;0,Tabela3[[#This Row],[Lucro Líquido]]/Tabela3[[#This Row],[Patrimônio Líquido]],0)</f>
        <v>0</v>
      </c>
      <c r="W433" s="19">
        <f>SUMPRODUCT(N([Rentabilidade s/ PL]&gt;0),N(RIGHT([PAPEL],LEN([PAPEL])-(LEN([PAPEL])-1))="3"),[Rentabilidade s/ PL])/SUMPRODUCT(N([Rentabilidade s/ PL]&gt;0),N(RIGHT([PAPEL],LEN([PAPEL])-(LEN([PAPEL])-1))="3"))</f>
        <v>0.1261051308670782</v>
      </c>
      <c r="X433" s="19">
        <f>IF(Tabela3[[#This Row],[Dívida]]&gt;0,Tabela3[[#This Row],[Dívida]]/Tabela3[[#This Row],[Patrimônio Líquido]],0)</f>
        <v>0</v>
      </c>
      <c r="Y433" s="19">
        <f>SUMPRODUCT(N([Dívida / PL]&gt;0),N(RIGHT([PAPEL],LEN([PAPEL])-(LEN([PAPEL])-1))="3"),[Dívida / PL])/SUMPRODUCT(N([Dívida / PL]&gt;0),N(RIGHT([PAPEL],LEN([PAPEL])-(LEN([PAPEL])-1))="3"))</f>
        <v>2.1510410379481146</v>
      </c>
      <c r="Z433" s="13">
        <f>Tabela3[[#This Row],[Capital Social]]*20%</f>
        <v>34254599.333999999</v>
      </c>
      <c r="AA433" s="13">
        <f>IF(([Lucro Líquido]*5%)&gt;[Teto R. Legal],[Teto R. Legal],[Lucro Líquido]*5%)</f>
        <v>-1645850</v>
      </c>
      <c r="AB433" s="13">
        <f>IF([Lucro Líquido]&lt;0,0,[Lucro Líquido]-[Reserva Legal])</f>
        <v>0</v>
      </c>
      <c r="AC433" s="13">
        <f>Tabela3[[#This Row],[Lucro Distribuir]]*[%Div]</f>
        <v>0</v>
      </c>
      <c r="AD433" s="56">
        <f>SUMPRODUCT(N([Nome]=Tabela3[[#This Row],[Nome]]),[Ações])</f>
        <v>17349638</v>
      </c>
      <c r="AE433" s="6">
        <f>[Capital Social]/[Total Ações]</f>
        <v>9.871848431073893</v>
      </c>
      <c r="AF433" s="78">
        <f>Tabela3[[#This Row],[Lucro Líquido]]/Tabela3[[#This Row],[Total Ações]]</f>
        <v>-1.8972730151487887</v>
      </c>
      <c r="AG433" s="78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</v>
      </c>
      <c r="AH433" s="78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433" s="78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433" s="78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</v>
      </c>
      <c r="AK433" s="13">
        <f>[Div Base]*[Ações]</f>
        <v>0</v>
      </c>
      <c r="AL433" s="13">
        <f>SUMPRODUCT(N([Nome]=Tabela3[[#This Row],[Nome]]),[Div Base]*[Ações])</f>
        <v>0</v>
      </c>
      <c r="AM433" s="6">
        <f>[Patrimônio Líquido]/[Total Ações]</f>
        <v>-3.7398474826967569</v>
      </c>
      <c r="AN433" s="48">
        <f>MAX(Tabela3[[#This Row],[Cotação 1]:[Cotação 5]])</f>
        <v>25</v>
      </c>
      <c r="AO433" s="44">
        <f>[Cotação]/[VPA]</f>
        <v>-6.684764583493874</v>
      </c>
      <c r="AP433" s="40">
        <f>IF(Tabela3[[#This Row],[Lucro/Ação]]&gt;0,Tabela3[[#This Row],[Cotação]]/(Tabela3[[#This Row],[Lucro/Ação]]/[Ref]*4),0)</f>
        <v>0</v>
      </c>
      <c r="AQ433" s="78">
        <f>[Lucro Distribuir]/[Total Ações]</f>
        <v>0</v>
      </c>
      <c r="AR433" s="78">
        <f>IF([Unit ON]&gt;0,SUMPRODUCT(N([Nome]=Tabela3[[#This Row],[Nome]]),N(RIGHT([PAPEL],1)="3"),[Div Base])*[Unit ON]+SUMPRODUCT(N([Nome]=Tabela3[[#This Row],[Nome]]),N(RIGHT([PAPEL],1)="4"),[Div Base])*[Unit PN],[Div Base])</f>
        <v>0</v>
      </c>
      <c r="AS433" s="14" t="str">
        <f>IF(AND([% A.A.]&gt;=6%,SUMPRODUCT(N([Nome]=Tabela3[[#This Row],[Nome]]),[PL])&gt;0,[Rentabilidade s/ PL]&gt;=[Rentabilidade s/ PL Média]),"Sim","Não")</f>
        <v>Não</v>
      </c>
      <c r="AT433" s="42">
        <f>IF([Cotação]&gt;0,Tabela3[[#This Row],[Lucro]]/Tabela3[[#This Row],[Cotação]],0)</f>
        <v>0</v>
      </c>
      <c r="AU433" s="42">
        <f>((1+Tabela3[[#This Row],[% Yield]])^(1/(3*Tabela3[[#This Row],[Ref]])))^(12)-1</f>
        <v>0</v>
      </c>
      <c r="AV433" s="14">
        <f>IF([Cotação]&gt;0,($BH$1/Tabela3[[#This Row],[Cotação]]-MOD($BH$1/Tabela3[[#This Row],[Cotação]],100)),)</f>
        <v>0</v>
      </c>
      <c r="AW433" s="17">
        <f>Tabela3[[#This Row],[Ativos]]*[Lucro]</f>
        <v>0</v>
      </c>
      <c r="AX433" s="17">
        <f>SUMPRODUCT(N(Tabela1[Código]=Tabela3[[#This Row],[PAPEL]]),Tabela1[Fechamento])</f>
        <v>0</v>
      </c>
      <c r="AY433" s="17">
        <f>SUMPRODUCT(N(Tabela17[Código]=Tabela3[[#This Row],[PAPEL]]),Tabela17[Fechamento])</f>
        <v>0</v>
      </c>
      <c r="AZ433" s="17">
        <f>SUMPRODUCT(N(Tabela176[Código]=Tabela3[[#This Row],[PAPEL]]),Tabela176[Fechamento])</f>
        <v>25</v>
      </c>
      <c r="BA433" s="17">
        <f>SUMPRODUCT(N(Tabela1768[Código]=Tabela3[[#This Row],[PAPEL]]),Tabela1768[Fechamento])</f>
        <v>0</v>
      </c>
      <c r="BB433" s="7">
        <f>SUMPRODUCT(N(Tabela17683[Código]=Tabela3[[#This Row],[PAPEL]]),Tabela17683[Fechamento])</f>
        <v>0</v>
      </c>
    </row>
    <row r="434" spans="1:54" hidden="1">
      <c r="A434" s="4" t="s">
        <v>333</v>
      </c>
      <c r="B434" s="126" t="s">
        <v>627</v>
      </c>
      <c r="C434" s="15" t="str">
        <f>LEFT([PAPEL],LEN([PAPEL])-(LEN([PAPEL])-4))</f>
        <v>MGEL</v>
      </c>
      <c r="D434" s="15">
        <v>3</v>
      </c>
      <c r="E434" s="6">
        <v>171272996.66999999</v>
      </c>
      <c r="F434" s="8">
        <v>11147908</v>
      </c>
      <c r="G434" s="86">
        <v>0.25</v>
      </c>
      <c r="H434" s="9"/>
      <c r="I434" s="19"/>
      <c r="J434" s="19">
        <v>0.1</v>
      </c>
      <c r="K434" s="88"/>
      <c r="L434" s="88"/>
      <c r="M434" s="55"/>
      <c r="N434" s="55"/>
      <c r="O434" s="55"/>
      <c r="P434" s="92">
        <v>-64885000</v>
      </c>
      <c r="Q434" s="93">
        <v>-32917000</v>
      </c>
      <c r="R434" s="93">
        <f>IF(Tabela3[[#This Row],[Ativo || Passivo]]&gt;0,Tabela3[[#This Row],[Ativo || Passivo]]-Tabela3[[#This Row],[Patrimônio Líquido]],0)</f>
        <v>0</v>
      </c>
      <c r="S434" s="93">
        <f>Tabela3[[#This Row],[Cotação]]*Tabela3[[#This Row],[Total Ações]]</f>
        <v>10062790.039999999</v>
      </c>
      <c r="T434" s="40">
        <f>IF(Tabela3[[#This Row],[Passivo Circulante]]&gt;0,Tabela3[[#This Row],[Ativo Circulante]]/Tabela3[[#This Row],[Passivo Circulante]],0)</f>
        <v>0</v>
      </c>
      <c r="U434" s="40">
        <f>SUMPRODUCT(N([Liquidez Corrente]&gt;0),N(RIGHT([PAPEL],LEN([PAPEL])-(LEN([PAPEL])-1))="3"),[Liquidez Corrente])/SUMPRODUCT(N([Liquidez Corrente]&gt;0),N(RIGHT([PAPEL],LEN([PAPEL])-(LEN([PAPEL])-1))="3"))</f>
        <v>2.331224473064915</v>
      </c>
      <c r="V434" s="19">
        <f>IF(Tabela3[[#This Row],[Lucro Líquido]]&gt;0,Tabela3[[#This Row],[Lucro Líquido]]/Tabela3[[#This Row],[Patrimônio Líquido]],0)</f>
        <v>0</v>
      </c>
      <c r="W434" s="19">
        <f>SUMPRODUCT(N([Rentabilidade s/ PL]&gt;0),N(RIGHT([PAPEL],LEN([PAPEL])-(LEN([PAPEL])-1))="3"),[Rentabilidade s/ PL])/SUMPRODUCT(N([Rentabilidade s/ PL]&gt;0),N(RIGHT([PAPEL],LEN([PAPEL])-(LEN([PAPEL])-1))="3"))</f>
        <v>0.1261051308670782</v>
      </c>
      <c r="X434" s="19">
        <f>IF(Tabela3[[#This Row],[Dívida]]&gt;0,Tabela3[[#This Row],[Dívida]]/Tabela3[[#This Row],[Patrimônio Líquido]],0)</f>
        <v>0</v>
      </c>
      <c r="Y434" s="19">
        <f>SUMPRODUCT(N([Dívida / PL]&gt;0),N(RIGHT([PAPEL],LEN([PAPEL])-(LEN([PAPEL])-1))="3"),[Dívida / PL])/SUMPRODUCT(N([Dívida / PL]&gt;0),N(RIGHT([PAPEL],LEN([PAPEL])-(LEN([PAPEL])-1))="3"))</f>
        <v>2.1510410379481146</v>
      </c>
      <c r="Z434" s="13">
        <f>Tabela3[[#This Row],[Capital Social]]*20%</f>
        <v>34254599.333999999</v>
      </c>
      <c r="AA434" s="13">
        <f>IF(([Lucro Líquido]*5%)&gt;[Teto R. Legal],[Teto R. Legal],[Lucro Líquido]*5%)</f>
        <v>-1645850</v>
      </c>
      <c r="AB434" s="13">
        <f>IF([Lucro Líquido]&lt;0,0,[Lucro Líquido]-[Reserva Legal])</f>
        <v>0</v>
      </c>
      <c r="AC434" s="13">
        <f>Tabela3[[#This Row],[Lucro Distribuir]]*[%Div]</f>
        <v>0</v>
      </c>
      <c r="AD434" s="56">
        <f>SUMPRODUCT(N([Nome]=Tabela3[[#This Row],[Nome]]),[Ações])</f>
        <v>17349638</v>
      </c>
      <c r="AE434" s="6">
        <f>[Capital Social]/[Total Ações]</f>
        <v>9.871848431073893</v>
      </c>
      <c r="AF434" s="78">
        <f>Tabela3[[#This Row],[Lucro Líquido]]/Tabela3[[#This Row],[Total Ações]]</f>
        <v>-1.8972730151487887</v>
      </c>
      <c r="AG434" s="78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</v>
      </c>
      <c r="AH434" s="78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434" s="78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434" s="78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</v>
      </c>
      <c r="AK434" s="13">
        <f>[Div Base]*[Ações]</f>
        <v>0</v>
      </c>
      <c r="AL434" s="13">
        <f>SUMPRODUCT(N([Nome]=Tabela3[[#This Row],[Nome]]),[Div Base]*[Ações])</f>
        <v>0</v>
      </c>
      <c r="AM434" s="6">
        <f>[Patrimônio Líquido]/[Total Ações]</f>
        <v>-3.7398474826967569</v>
      </c>
      <c r="AN434" s="48">
        <f>MAX(Tabela3[[#This Row],[Cotação 1]:[Cotação 5]])</f>
        <v>0.57999999999999996</v>
      </c>
      <c r="AO434" s="44">
        <f>[Cotação]/[VPA]</f>
        <v>-0.15508653833705788</v>
      </c>
      <c r="AP434" s="40">
        <f>IF(Tabela3[[#This Row],[Lucro/Ação]]&gt;0,Tabela3[[#This Row],[Cotação]]/(Tabela3[[#This Row],[Lucro/Ação]]/[Ref]*4),0)</f>
        <v>0</v>
      </c>
      <c r="AQ434" s="78">
        <f>[Lucro Distribuir]/[Total Ações]</f>
        <v>0</v>
      </c>
      <c r="AR434" s="78">
        <f>IF([Unit ON]&gt;0,SUMPRODUCT(N([Nome]=Tabela3[[#This Row],[Nome]]),N(RIGHT([PAPEL],1)="3"),[Div Base])*[Unit ON]+SUMPRODUCT(N([Nome]=Tabela3[[#This Row],[Nome]]),N(RIGHT([PAPEL],1)="4"),[Div Base])*[Unit PN],[Div Base])</f>
        <v>0</v>
      </c>
      <c r="AS434" s="14" t="str">
        <f>IF(AND([% A.A.]&gt;=6%,SUMPRODUCT(N([Nome]=Tabela3[[#This Row],[Nome]]),[PL])&gt;0,[Rentabilidade s/ PL]&gt;=[Rentabilidade s/ PL Média]),"Sim","Não")</f>
        <v>Não</v>
      </c>
      <c r="AT434" s="42">
        <f>IF([Cotação]&gt;0,Tabela3[[#This Row],[Lucro]]/Tabela3[[#This Row],[Cotação]],0)</f>
        <v>0</v>
      </c>
      <c r="AU434" s="42">
        <f>((1+Tabela3[[#This Row],[% Yield]])^(1/(3*Tabela3[[#This Row],[Ref]])))^(12)-1</f>
        <v>0</v>
      </c>
      <c r="AV434" s="14">
        <f>IF([Cotação]&gt;0,($BH$1/Tabela3[[#This Row],[Cotação]]-MOD($BH$1/Tabela3[[#This Row],[Cotação]],100)),)</f>
        <v>800</v>
      </c>
      <c r="AW434" s="17">
        <f>Tabela3[[#This Row],[Ativos]]*[Lucro]</f>
        <v>0</v>
      </c>
      <c r="AX434" s="17">
        <f>SUMPRODUCT(N(Tabela1[Código]=Tabela3[[#This Row],[PAPEL]]),Tabela1[Fechamento])</f>
        <v>0</v>
      </c>
      <c r="AY434" s="17">
        <f>SUMPRODUCT(N(Tabela17[Código]=Tabela3[[#This Row],[PAPEL]]),Tabela17[Fechamento])</f>
        <v>0</v>
      </c>
      <c r="AZ434" s="17">
        <f>SUMPRODUCT(N(Tabela176[Código]=Tabela3[[#This Row],[PAPEL]]),Tabela176[Fechamento])</f>
        <v>0.57999999999999996</v>
      </c>
      <c r="BA434" s="17">
        <f>SUMPRODUCT(N(Tabela1768[Código]=Tabela3[[#This Row],[PAPEL]]),Tabela1768[Fechamento])</f>
        <v>0</v>
      </c>
      <c r="BB434" s="7">
        <f>SUMPRODUCT(N(Tabela17683[Código]=Tabela3[[#This Row],[PAPEL]]),Tabela17683[Fechamento])</f>
        <v>0</v>
      </c>
    </row>
    <row r="435" spans="1:54" hidden="1">
      <c r="A435" s="4" t="s">
        <v>14</v>
      </c>
      <c r="B435" s="57" t="s">
        <v>555</v>
      </c>
      <c r="C435" s="15" t="str">
        <f>LEFT([PAPEL],LEN([PAPEL])-(LEN([PAPEL])-4))</f>
        <v>BMEB</v>
      </c>
      <c r="D435" s="15">
        <v>3</v>
      </c>
      <c r="E435" s="6">
        <v>433340000</v>
      </c>
      <c r="F435" s="8">
        <v>26262082</v>
      </c>
      <c r="G435" s="86">
        <v>0.25</v>
      </c>
      <c r="H435" s="15"/>
      <c r="I435" s="19"/>
      <c r="J435" s="19"/>
      <c r="K435" s="88"/>
      <c r="L435" s="88"/>
      <c r="M435" s="55"/>
      <c r="N435" s="55"/>
      <c r="O435" s="55"/>
      <c r="P435" s="92">
        <v>819449000</v>
      </c>
      <c r="Q435" s="93">
        <v>-33881000</v>
      </c>
      <c r="R435" s="93">
        <f>IF(Tabela3[[#This Row],[Ativo || Passivo]]&gt;0,Tabela3[[#This Row],[Ativo || Passivo]]-Tabela3[[#This Row],[Patrimônio Líquido]],0)</f>
        <v>0</v>
      </c>
      <c r="S435" s="93">
        <f>Tabela3[[#This Row],[Cotação]]*Tabela3[[#This Row],[Total Ações]]</f>
        <v>571640000</v>
      </c>
      <c r="T435" s="40">
        <f>IF(Tabela3[[#This Row],[Passivo Circulante]]&gt;0,Tabela3[[#This Row],[Ativo Circulante]]/Tabela3[[#This Row],[Passivo Circulante]],0)</f>
        <v>0</v>
      </c>
      <c r="U435" s="40">
        <f>SUMPRODUCT(N([Liquidez Corrente]&gt;0),N(RIGHT([PAPEL],LEN([PAPEL])-(LEN([PAPEL])-1))="3"),[Liquidez Corrente])/SUMPRODUCT(N([Liquidez Corrente]&gt;0),N(RIGHT([PAPEL],LEN([PAPEL])-(LEN([PAPEL])-1))="3"))</f>
        <v>2.331224473064915</v>
      </c>
      <c r="V435" s="19">
        <f>IF(Tabela3[[#This Row],[Lucro Líquido]]&gt;0,Tabela3[[#This Row],[Lucro Líquido]]/Tabela3[[#This Row],[Patrimônio Líquido]],0)</f>
        <v>0</v>
      </c>
      <c r="W435" s="19">
        <f>SUMPRODUCT(N([Rentabilidade s/ PL]&gt;0),N(RIGHT([PAPEL],LEN([PAPEL])-(LEN([PAPEL])-1))="3"),[Rentabilidade s/ PL])/SUMPRODUCT(N([Rentabilidade s/ PL]&gt;0),N(RIGHT([PAPEL],LEN([PAPEL])-(LEN([PAPEL])-1))="3"))</f>
        <v>0.1261051308670782</v>
      </c>
      <c r="X435" s="19">
        <f>IF(Tabela3[[#This Row],[Dívida]]&gt;0,Tabela3[[#This Row],[Dívida]]/Tabela3[[#This Row],[Patrimônio Líquido]],0)</f>
        <v>0</v>
      </c>
      <c r="Y435" s="19">
        <f>SUMPRODUCT(N([Dívida / PL]&gt;0),N(RIGHT([PAPEL],LEN([PAPEL])-(LEN([PAPEL])-1))="3"),[Dívida / PL])/SUMPRODUCT(N([Dívida / PL]&gt;0),N(RIGHT([PAPEL],LEN([PAPEL])-(LEN([PAPEL])-1))="3"))</f>
        <v>2.1510410379481146</v>
      </c>
      <c r="Z435" s="13">
        <f>Tabela3[[#This Row],[Capital Social]]*20%</f>
        <v>86668000</v>
      </c>
      <c r="AA435" s="13">
        <f>IF(([Lucro Líquido]*5%)&gt;[Teto R. Legal],[Teto R. Legal],[Lucro Líquido]*5%)</f>
        <v>-1694050</v>
      </c>
      <c r="AB435" s="13">
        <f>IF([Lucro Líquido]&lt;0,0,[Lucro Líquido]-[Reserva Legal])</f>
        <v>0</v>
      </c>
      <c r="AC435" s="13">
        <f>Tabela3[[#This Row],[Lucro Distribuir]]*[%Div]</f>
        <v>0</v>
      </c>
      <c r="AD435" s="56">
        <f>SUMPRODUCT(N([Nome]=Tabela3[[#This Row],[Nome]]),[Ações])</f>
        <v>46100000</v>
      </c>
      <c r="AE435" s="6">
        <f>[Capital Social]/[Total Ações]</f>
        <v>9.4</v>
      </c>
      <c r="AF435" s="78">
        <f>Tabela3[[#This Row],[Lucro Líquido]]/Tabela3[[#This Row],[Total Ações]]</f>
        <v>-0.73494577006507589</v>
      </c>
      <c r="AG435" s="78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</v>
      </c>
      <c r="AH435" s="78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435" s="78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435" s="78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</v>
      </c>
      <c r="AK435" s="13">
        <f>[Div Base]*[Ações]</f>
        <v>0</v>
      </c>
      <c r="AL435" s="13">
        <f>SUMPRODUCT(N([Nome]=Tabela3[[#This Row],[Nome]]),[Div Base]*[Ações])</f>
        <v>0</v>
      </c>
      <c r="AM435" s="6">
        <f>[Patrimônio Líquido]/[Total Ações]</f>
        <v>17.775466377440345</v>
      </c>
      <c r="AN435" s="48">
        <f>MAX(Tabela3[[#This Row],[Cotação 1]:[Cotação 5]])</f>
        <v>12.4</v>
      </c>
      <c r="AO435" s="44">
        <f>[Cotação]/[VPA]</f>
        <v>0.69759069813984775</v>
      </c>
      <c r="AP435" s="40">
        <f>IF(Tabela3[[#This Row],[Lucro/Ação]]&gt;0,Tabela3[[#This Row],[Cotação]]/(Tabela3[[#This Row],[Lucro/Ação]]/[Ref]*4),0)</f>
        <v>0</v>
      </c>
      <c r="AQ435" s="78">
        <f>[Lucro Distribuir]/[Total Ações]</f>
        <v>0</v>
      </c>
      <c r="AR435" s="78">
        <f>IF([Unit ON]&gt;0,SUMPRODUCT(N([Nome]=Tabela3[[#This Row],[Nome]]),N(RIGHT([PAPEL],1)="3"),[Div Base])*[Unit ON]+SUMPRODUCT(N([Nome]=Tabela3[[#This Row],[Nome]]),N(RIGHT([PAPEL],1)="4"),[Div Base])*[Unit PN],[Div Base])</f>
        <v>0</v>
      </c>
      <c r="AS435" s="14" t="str">
        <f>IF(AND([% A.A.]&gt;=6%,SUMPRODUCT(N([Nome]=Tabela3[[#This Row],[Nome]]),[PL])&gt;0,[Rentabilidade s/ PL]&gt;=[Rentabilidade s/ PL Média]),"Sim","Não")</f>
        <v>Não</v>
      </c>
      <c r="AT435" s="42">
        <f>IF([Cotação]&gt;0,Tabela3[[#This Row],[Lucro]]/Tabela3[[#This Row],[Cotação]],0)</f>
        <v>0</v>
      </c>
      <c r="AU435" s="42">
        <f>((1+Tabela3[[#This Row],[% Yield]])^(1/(3*Tabela3[[#This Row],[Ref]])))^(12)-1</f>
        <v>0</v>
      </c>
      <c r="AV435" s="14">
        <f>IF([Cotação]&gt;0,($BH$1/Tabela3[[#This Row],[Cotação]]-MOD($BH$1/Tabela3[[#This Row],[Cotação]],100)),)</f>
        <v>0</v>
      </c>
      <c r="AW435" s="17">
        <f>Tabela3[[#This Row],[Ativos]]*[Lucro]</f>
        <v>0</v>
      </c>
      <c r="AX435" s="17">
        <f>SUMPRODUCT(N(Tabela1[Código]=Tabela3[[#This Row],[PAPEL]]),Tabela1[Fechamento])</f>
        <v>0</v>
      </c>
      <c r="AY435" s="17">
        <f>SUMPRODUCT(N(Tabela17[Código]=Tabela3[[#This Row],[PAPEL]]),Tabela17[Fechamento])</f>
        <v>0</v>
      </c>
      <c r="AZ435" s="17">
        <f>SUMPRODUCT(N(Tabela176[Código]=Tabela3[[#This Row],[PAPEL]]),Tabela176[Fechamento])</f>
        <v>12.4</v>
      </c>
      <c r="BA435" s="17">
        <f>SUMPRODUCT(N(Tabela1768[Código]=Tabela3[[#This Row],[PAPEL]]),Tabela1768[Fechamento])</f>
        <v>0</v>
      </c>
      <c r="BB435" s="7">
        <f>SUMPRODUCT(N(Tabela17683[Código]=Tabela3[[#This Row],[PAPEL]]),Tabela17683[Fechamento])</f>
        <v>0</v>
      </c>
    </row>
    <row r="436" spans="1:54" hidden="1">
      <c r="A436" s="4" t="s">
        <v>14</v>
      </c>
      <c r="B436" s="57" t="s">
        <v>556</v>
      </c>
      <c r="C436" s="15" t="str">
        <f>LEFT([PAPEL],LEN([PAPEL])-(LEN([PAPEL])-4))</f>
        <v>BMEB</v>
      </c>
      <c r="D436" s="15">
        <v>3</v>
      </c>
      <c r="E436" s="6">
        <v>433340000</v>
      </c>
      <c r="F436" s="8">
        <v>19837918</v>
      </c>
      <c r="G436" s="86">
        <v>0.25</v>
      </c>
      <c r="H436" s="15"/>
      <c r="I436" s="19">
        <v>0.06</v>
      </c>
      <c r="J436" s="19">
        <v>0.1</v>
      </c>
      <c r="K436" s="88"/>
      <c r="L436" s="88"/>
      <c r="M436" s="55"/>
      <c r="N436" s="55"/>
      <c r="O436" s="55"/>
      <c r="P436" s="92">
        <v>819449000</v>
      </c>
      <c r="Q436" s="93">
        <v>-33881000</v>
      </c>
      <c r="R436" s="93">
        <f>IF(Tabela3[[#This Row],[Ativo || Passivo]]&gt;0,Tabela3[[#This Row],[Ativo || Passivo]]-Tabela3[[#This Row],[Patrimônio Líquido]],0)</f>
        <v>0</v>
      </c>
      <c r="S436" s="93">
        <f>Tabela3[[#This Row],[Cotação]]*Tabela3[[#This Row],[Total Ações]]</f>
        <v>331920000</v>
      </c>
      <c r="T436" s="40">
        <f>IF(Tabela3[[#This Row],[Passivo Circulante]]&gt;0,Tabela3[[#This Row],[Ativo Circulante]]/Tabela3[[#This Row],[Passivo Circulante]],0)</f>
        <v>0</v>
      </c>
      <c r="U436" s="40">
        <f>SUMPRODUCT(N([Liquidez Corrente]&gt;0),N(RIGHT([PAPEL],LEN([PAPEL])-(LEN([PAPEL])-1))="3"),[Liquidez Corrente])/SUMPRODUCT(N([Liquidez Corrente]&gt;0),N(RIGHT([PAPEL],LEN([PAPEL])-(LEN([PAPEL])-1))="3"))</f>
        <v>2.331224473064915</v>
      </c>
      <c r="V436" s="19">
        <f>IF(Tabela3[[#This Row],[Lucro Líquido]]&gt;0,Tabela3[[#This Row],[Lucro Líquido]]/Tabela3[[#This Row],[Patrimônio Líquido]],0)</f>
        <v>0</v>
      </c>
      <c r="W436" s="19">
        <f>SUMPRODUCT(N([Rentabilidade s/ PL]&gt;0),N(RIGHT([PAPEL],LEN([PAPEL])-(LEN([PAPEL])-1))="3"),[Rentabilidade s/ PL])/SUMPRODUCT(N([Rentabilidade s/ PL]&gt;0),N(RIGHT([PAPEL],LEN([PAPEL])-(LEN([PAPEL])-1))="3"))</f>
        <v>0.1261051308670782</v>
      </c>
      <c r="X436" s="19">
        <f>IF(Tabela3[[#This Row],[Dívida]]&gt;0,Tabela3[[#This Row],[Dívida]]/Tabela3[[#This Row],[Patrimônio Líquido]],0)</f>
        <v>0</v>
      </c>
      <c r="Y436" s="19">
        <f>SUMPRODUCT(N([Dívida / PL]&gt;0),N(RIGHT([PAPEL],LEN([PAPEL])-(LEN([PAPEL])-1))="3"),[Dívida / PL])/SUMPRODUCT(N([Dívida / PL]&gt;0),N(RIGHT([PAPEL],LEN([PAPEL])-(LEN([PAPEL])-1))="3"))</f>
        <v>2.1510410379481146</v>
      </c>
      <c r="Z436" s="13">
        <f>Tabela3[[#This Row],[Capital Social]]*20%</f>
        <v>86668000</v>
      </c>
      <c r="AA436" s="13">
        <f>IF(([Lucro Líquido]*5%)&gt;[Teto R. Legal],[Teto R. Legal],[Lucro Líquido]*5%)</f>
        <v>-1694050</v>
      </c>
      <c r="AB436" s="13">
        <f>IF([Lucro Líquido]&lt;0,0,[Lucro Líquido]-[Reserva Legal])</f>
        <v>0</v>
      </c>
      <c r="AC436" s="13">
        <f>Tabela3[[#This Row],[Lucro Distribuir]]*[%Div]</f>
        <v>0</v>
      </c>
      <c r="AD436" s="56">
        <f>SUMPRODUCT(N([Nome]=Tabela3[[#This Row],[Nome]]),[Ações])</f>
        <v>46100000</v>
      </c>
      <c r="AE436" s="6">
        <f>[Capital Social]/[Total Ações]</f>
        <v>9.4</v>
      </c>
      <c r="AF436" s="78">
        <f>Tabela3[[#This Row],[Lucro Líquido]]/Tabela3[[#This Row],[Total Ações]]</f>
        <v>-0.73494577006507589</v>
      </c>
      <c r="AG436" s="78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</v>
      </c>
      <c r="AH436" s="78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436" s="78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436" s="78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</v>
      </c>
      <c r="AK436" s="13">
        <f>[Div Base]*[Ações]</f>
        <v>0</v>
      </c>
      <c r="AL436" s="13">
        <f>SUMPRODUCT(N([Nome]=Tabela3[[#This Row],[Nome]]),[Div Base]*[Ações])</f>
        <v>0</v>
      </c>
      <c r="AM436" s="6">
        <f>[Patrimônio Líquido]/[Total Ações]</f>
        <v>17.775466377440345</v>
      </c>
      <c r="AN436" s="48">
        <f>MAX(Tabela3[[#This Row],[Cotação 1]:[Cotação 5]])</f>
        <v>7.2</v>
      </c>
      <c r="AO436" s="44">
        <f>[Cotação]/[VPA]</f>
        <v>0.40505266343604063</v>
      </c>
      <c r="AP436" s="40">
        <f>IF(Tabela3[[#This Row],[Lucro/Ação]]&gt;0,Tabela3[[#This Row],[Cotação]]/(Tabela3[[#This Row],[Lucro/Ação]]/[Ref]*4),0)</f>
        <v>0</v>
      </c>
      <c r="AQ436" s="78">
        <f>[Lucro Distribuir]/[Total Ações]</f>
        <v>0</v>
      </c>
      <c r="AR436" s="78">
        <f>IF([Unit ON]&gt;0,SUMPRODUCT(N([Nome]=Tabela3[[#This Row],[Nome]]),N(RIGHT([PAPEL],1)="3"),[Div Base])*[Unit ON]+SUMPRODUCT(N([Nome]=Tabela3[[#This Row],[Nome]]),N(RIGHT([PAPEL],1)="4"),[Div Base])*[Unit PN],[Div Base])</f>
        <v>0</v>
      </c>
      <c r="AS436" s="14" t="str">
        <f>IF(AND([% A.A.]&gt;=6%,SUMPRODUCT(N([Nome]=Tabela3[[#This Row],[Nome]]),[PL])&gt;0,[Rentabilidade s/ PL]&gt;=[Rentabilidade s/ PL Média]),"Sim","Não")</f>
        <v>Não</v>
      </c>
      <c r="AT436" s="42">
        <f>IF([Cotação]&gt;0,Tabela3[[#This Row],[Lucro]]/Tabela3[[#This Row],[Cotação]],0)</f>
        <v>0</v>
      </c>
      <c r="AU436" s="42">
        <f>((1+Tabela3[[#This Row],[% Yield]])^(1/(3*Tabela3[[#This Row],[Ref]])))^(12)-1</f>
        <v>0</v>
      </c>
      <c r="AV436" s="14">
        <f>IF([Cotação]&gt;0,($BH$1/Tabela3[[#This Row],[Cotação]]-MOD($BH$1/Tabela3[[#This Row],[Cotação]],100)),)</f>
        <v>0</v>
      </c>
      <c r="AW436" s="17">
        <f>Tabela3[[#This Row],[Ativos]]*[Lucro]</f>
        <v>0</v>
      </c>
      <c r="AX436" s="17">
        <f>SUMPRODUCT(N(Tabela1[Código]=Tabela3[[#This Row],[PAPEL]]),Tabela1[Fechamento])</f>
        <v>0</v>
      </c>
      <c r="AY436" s="17">
        <f>SUMPRODUCT(N(Tabela17[Código]=Tabela3[[#This Row],[PAPEL]]),Tabela17[Fechamento])</f>
        <v>0</v>
      </c>
      <c r="AZ436" s="17">
        <f>SUMPRODUCT(N(Tabela176[Código]=Tabela3[[#This Row],[PAPEL]]),Tabela176[Fechamento])</f>
        <v>7.2</v>
      </c>
      <c r="BA436" s="17">
        <f>SUMPRODUCT(N(Tabela1768[Código]=Tabela3[[#This Row],[PAPEL]]),Tabela1768[Fechamento])</f>
        <v>0</v>
      </c>
      <c r="BB436" s="7">
        <f>SUMPRODUCT(N(Tabela17683[Código]=Tabela3[[#This Row],[PAPEL]]),Tabela17683[Fechamento])</f>
        <v>0</v>
      </c>
    </row>
    <row r="437" spans="1:54" hidden="1">
      <c r="A437" s="4" t="s">
        <v>12</v>
      </c>
      <c r="B437" s="57" t="s">
        <v>97</v>
      </c>
      <c r="C437" s="14" t="str">
        <f>LEFT([PAPEL],LEN([PAPEL])-(LEN([PAPEL])-4))</f>
        <v>EEEL</v>
      </c>
      <c r="D437" s="15">
        <v>3</v>
      </c>
      <c r="E437" s="6">
        <v>588447186.05999994</v>
      </c>
      <c r="F437" s="8">
        <v>380669270</v>
      </c>
      <c r="G437" s="86">
        <v>0.5</v>
      </c>
      <c r="H437" s="15"/>
      <c r="I437" s="19"/>
      <c r="J437" s="19"/>
      <c r="K437" s="88"/>
      <c r="L437" s="88"/>
      <c r="M437" s="55"/>
      <c r="N437" s="55"/>
      <c r="O437" s="55"/>
      <c r="P437" s="89">
        <v>1791505000</v>
      </c>
      <c r="Q437" s="89">
        <v>-38094000</v>
      </c>
      <c r="R437" s="89">
        <f>IF(Tabela3[[#This Row],[Ativo || Passivo]]&gt;0,Tabela3[[#This Row],[Ativo || Passivo]]-Tabela3[[#This Row],[Patrimônio Líquido]],0)</f>
        <v>0</v>
      </c>
      <c r="S437" s="89">
        <f>Tabela3[[#This Row],[Cotação]]*Tabela3[[#This Row],[Total Ações]]</f>
        <v>557610952.31999993</v>
      </c>
      <c r="T437" s="132">
        <f>IF(Tabela3[[#This Row],[Passivo Circulante]]&gt;0,Tabela3[[#This Row],[Ativo Circulante]]/Tabela3[[#This Row],[Passivo Circulante]],0)</f>
        <v>0</v>
      </c>
      <c r="U437" s="132">
        <f>SUMPRODUCT(N([Liquidez Corrente]&gt;0),N(RIGHT([PAPEL],LEN([PAPEL])-(LEN([PAPEL])-1))="3"),[Liquidez Corrente])/SUMPRODUCT(N([Liquidez Corrente]&gt;0),N(RIGHT([PAPEL],LEN([PAPEL])-(LEN([PAPEL])-1))="3"))</f>
        <v>2.331224473064915</v>
      </c>
      <c r="V437" s="19">
        <f>IF(Tabela3[[#This Row],[Lucro Líquido]]&gt;0,Tabela3[[#This Row],[Lucro Líquido]]/Tabela3[[#This Row],[Patrimônio Líquido]],0)</f>
        <v>0</v>
      </c>
      <c r="W437" s="19">
        <f>SUMPRODUCT(N([Rentabilidade s/ PL]&gt;0),N(RIGHT([PAPEL],LEN([PAPEL])-(LEN([PAPEL])-1))="3"),[Rentabilidade s/ PL])/SUMPRODUCT(N([Rentabilidade s/ PL]&gt;0),N(RIGHT([PAPEL],LEN([PAPEL])-(LEN([PAPEL])-1))="3"))</f>
        <v>0.1261051308670782</v>
      </c>
      <c r="X437" s="19">
        <f>IF(Tabela3[[#This Row],[Dívida]]&gt;0,Tabela3[[#This Row],[Dívida]]/Tabela3[[#This Row],[Patrimônio Líquido]],0)</f>
        <v>0</v>
      </c>
      <c r="Y437" s="19">
        <f>SUMPRODUCT(N([Dívida / PL]&gt;0),N(RIGHT([PAPEL],LEN([PAPEL])-(LEN([PAPEL])-1))="3"),[Dívida / PL])/SUMPRODUCT(N([Dívida / PL]&gt;0),N(RIGHT([PAPEL],LEN([PAPEL])-(LEN([PAPEL])-1))="3"))</f>
        <v>2.1510410379481146</v>
      </c>
      <c r="Z437" s="6">
        <f>Tabela3[[#This Row],[Capital Social]]*20%</f>
        <v>117689437.212</v>
      </c>
      <c r="AA437" s="6">
        <f>IF(([Lucro Líquido]*5%)&gt;[Teto R. Legal],[Teto R. Legal],[Lucro Líquido]*5%)</f>
        <v>-1904700</v>
      </c>
      <c r="AB437" s="89">
        <f>IF([Lucro Líquido]&lt;0,0,[Lucro Líquido]-[Reserva Legal])</f>
        <v>0</v>
      </c>
      <c r="AC437" s="89">
        <f>Tabela3[[#This Row],[Lucro Distribuir]]*[%Div]</f>
        <v>0</v>
      </c>
      <c r="AD437" s="21">
        <f>SUMPRODUCT(N([Nome]=Tabela3[[#This Row],[Nome]]),[Ações])</f>
        <v>387229828</v>
      </c>
      <c r="AE437" s="6">
        <f>[Capital Social]/[Total Ações]</f>
        <v>1.5196328988891836</v>
      </c>
      <c r="AF437" s="78">
        <f>Tabela3[[#This Row],[Lucro Líquido]]/Tabela3[[#This Row],[Total Ações]]</f>
        <v>-9.8375686079637439E-2</v>
      </c>
      <c r="AG437" s="78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</v>
      </c>
      <c r="AH437" s="78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437" s="78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437" s="78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</v>
      </c>
      <c r="AK437" s="6">
        <f>[Div Base]*[Ações]</f>
        <v>0</v>
      </c>
      <c r="AL437" s="6">
        <f>SUMPRODUCT(N([Nome]=Tabela3[[#This Row],[Nome]]),[Div Base]*[Ações])</f>
        <v>0</v>
      </c>
      <c r="AM437" s="6">
        <f>[Patrimônio Líquido]/[Total Ações]</f>
        <v>4.6264643642069849</v>
      </c>
      <c r="AN437" s="48">
        <f>MAX(Tabela3[[#This Row],[Cotação 1]:[Cotação 5]])</f>
        <v>1.44</v>
      </c>
      <c r="AO437" s="44">
        <f>[Cotação]/[VPA]</f>
        <v>0.31125280271057015</v>
      </c>
      <c r="AP437" s="40">
        <f>IF(Tabela3[[#This Row],[Lucro/Ação]]&gt;0,Tabela3[[#This Row],[Cotação]]/(Tabela3[[#This Row],[Lucro/Ação]]/[Ref]*4),0)</f>
        <v>0</v>
      </c>
      <c r="AQ437" s="78">
        <f>[Lucro Distribuir]/[Total Ações]</f>
        <v>0</v>
      </c>
      <c r="AR437" s="78">
        <f>IF([Unit ON]&gt;0,SUMPRODUCT(N([Nome]=Tabela3[[#This Row],[Nome]]),N(RIGHT([PAPEL],1)="3"),[Div Base])*[Unit ON]+SUMPRODUCT(N([Nome]=Tabela3[[#This Row],[Nome]]),N(RIGHT([PAPEL],1)="4"),[Div Base])*[Unit PN],[Div Base])</f>
        <v>0</v>
      </c>
      <c r="AS437" s="15" t="str">
        <f>IF(AND([% A.A.]&gt;=6%,SUMPRODUCT(N([Nome]=Tabela3[[#This Row],[Nome]]),[PL])&gt;0,[Rentabilidade s/ PL]&gt;=[Rentabilidade s/ PL Média]),"Sim","Não")</f>
        <v>Não</v>
      </c>
      <c r="AT437" s="42">
        <f>IF([Cotação]&gt;0,Tabela3[[#This Row],[Lucro]]/Tabela3[[#This Row],[Cotação]],0)</f>
        <v>0</v>
      </c>
      <c r="AU437" s="19">
        <f>((1+Tabela3[[#This Row],[% Yield]])^(1/(3*Tabela3[[#This Row],[Ref]])))^(12)-1</f>
        <v>0</v>
      </c>
      <c r="AV437" s="14">
        <f>IF([Cotação]&gt;0,($BH$1/Tabela3[[#This Row],[Cotação]]-MOD($BH$1/Tabela3[[#This Row],[Cotação]],100)),)</f>
        <v>300</v>
      </c>
      <c r="AW437" s="17">
        <f>Tabela3[[#This Row],[Ativos]]*[Lucro]</f>
        <v>0</v>
      </c>
      <c r="AX437" s="5">
        <f>SUMPRODUCT(N(Tabela1[Código]=Tabela3[[#This Row],[PAPEL]]),Tabela1[Fechamento])</f>
        <v>1.44</v>
      </c>
      <c r="AY437" s="5">
        <f>SUMPRODUCT(N(Tabela17[Código]=Tabela3[[#This Row],[PAPEL]]),Tabela17[Fechamento])</f>
        <v>0</v>
      </c>
      <c r="AZ437" s="7">
        <f>SUMPRODUCT(N(Tabela176[Código]=Tabela3[[#This Row],[PAPEL]]),Tabela176[Fechamento])</f>
        <v>0</v>
      </c>
      <c r="BA437" s="7">
        <f>SUMPRODUCT(N(Tabela1768[Código]=Tabela3[[#This Row],[PAPEL]]),Tabela1768[Fechamento])</f>
        <v>0</v>
      </c>
      <c r="BB437" s="7">
        <f>SUMPRODUCT(N(Tabela17683[Código]=Tabela3[[#This Row],[PAPEL]]),Tabela17683[Fechamento])</f>
        <v>0</v>
      </c>
    </row>
    <row r="438" spans="1:54" hidden="1">
      <c r="A438" s="4" t="s">
        <v>12</v>
      </c>
      <c r="B438" s="57" t="s">
        <v>98</v>
      </c>
      <c r="C438" s="14" t="str">
        <f>LEFT([PAPEL],LEN([PAPEL])-(LEN([PAPEL])-4))</f>
        <v>EEEL</v>
      </c>
      <c r="D438" s="15">
        <v>3</v>
      </c>
      <c r="E438" s="6">
        <v>588447186.05999994</v>
      </c>
      <c r="F438" s="8">
        <v>6560558</v>
      </c>
      <c r="G438" s="81">
        <v>0.5</v>
      </c>
      <c r="H438" s="15"/>
      <c r="I438" s="19">
        <v>0.1</v>
      </c>
      <c r="J438" s="19"/>
      <c r="K438" s="88"/>
      <c r="L438" s="88"/>
      <c r="M438" s="55"/>
      <c r="N438" s="55"/>
      <c r="O438" s="55"/>
      <c r="P438" s="89">
        <v>1791505000</v>
      </c>
      <c r="Q438" s="89">
        <v>-38094000</v>
      </c>
      <c r="R438" s="89">
        <f>IF(Tabela3[[#This Row],[Ativo || Passivo]]&gt;0,Tabela3[[#This Row],[Ativo || Passivo]]-Tabela3[[#This Row],[Patrimônio Líquido]],0)</f>
        <v>0</v>
      </c>
      <c r="S438" s="89">
        <f>Tabela3[[#This Row],[Cotação]]*Tabela3[[#This Row],[Total Ações]]</f>
        <v>693141392.12</v>
      </c>
      <c r="T438" s="132">
        <f>IF(Tabela3[[#This Row],[Passivo Circulante]]&gt;0,Tabela3[[#This Row],[Ativo Circulante]]/Tabela3[[#This Row],[Passivo Circulante]],0)</f>
        <v>0</v>
      </c>
      <c r="U438" s="132">
        <f>SUMPRODUCT(N([Liquidez Corrente]&gt;0),N(RIGHT([PAPEL],LEN([PAPEL])-(LEN([PAPEL])-1))="3"),[Liquidez Corrente])/SUMPRODUCT(N([Liquidez Corrente]&gt;0),N(RIGHT([PAPEL],LEN([PAPEL])-(LEN([PAPEL])-1))="3"))</f>
        <v>2.331224473064915</v>
      </c>
      <c r="V438" s="19">
        <f>IF(Tabela3[[#This Row],[Lucro Líquido]]&gt;0,Tabela3[[#This Row],[Lucro Líquido]]/Tabela3[[#This Row],[Patrimônio Líquido]],0)</f>
        <v>0</v>
      </c>
      <c r="W438" s="19">
        <f>SUMPRODUCT(N([Rentabilidade s/ PL]&gt;0),N(RIGHT([PAPEL],LEN([PAPEL])-(LEN([PAPEL])-1))="3"),[Rentabilidade s/ PL])/SUMPRODUCT(N([Rentabilidade s/ PL]&gt;0),N(RIGHT([PAPEL],LEN([PAPEL])-(LEN([PAPEL])-1))="3"))</f>
        <v>0.1261051308670782</v>
      </c>
      <c r="X438" s="19">
        <f>IF(Tabela3[[#This Row],[Dívida]]&gt;0,Tabela3[[#This Row],[Dívida]]/Tabela3[[#This Row],[Patrimônio Líquido]],0)</f>
        <v>0</v>
      </c>
      <c r="Y438" s="19">
        <f>SUMPRODUCT(N([Dívida / PL]&gt;0),N(RIGHT([PAPEL],LEN([PAPEL])-(LEN([PAPEL])-1))="3"),[Dívida / PL])/SUMPRODUCT(N([Dívida / PL]&gt;0),N(RIGHT([PAPEL],LEN([PAPEL])-(LEN([PAPEL])-1))="3"))</f>
        <v>2.1510410379481146</v>
      </c>
      <c r="Z438" s="6">
        <f>Tabela3[[#This Row],[Capital Social]]*20%</f>
        <v>117689437.212</v>
      </c>
      <c r="AA438" s="6">
        <f>IF(([Lucro Líquido]*5%)&gt;[Teto R. Legal],[Teto R. Legal],[Lucro Líquido]*5%)</f>
        <v>-1904700</v>
      </c>
      <c r="AB438" s="89">
        <f>IF([Lucro Líquido]&lt;0,0,[Lucro Líquido]-[Reserva Legal])</f>
        <v>0</v>
      </c>
      <c r="AC438" s="89">
        <f>Tabela3[[#This Row],[Lucro Distribuir]]*[%Div]</f>
        <v>0</v>
      </c>
      <c r="AD438" s="21">
        <f>SUMPRODUCT(N([Nome]=Tabela3[[#This Row],[Nome]]),[Ações])</f>
        <v>387229828</v>
      </c>
      <c r="AE438" s="6">
        <f>[Capital Social]/[Total Ações]</f>
        <v>1.5196328988891836</v>
      </c>
      <c r="AF438" s="78">
        <f>Tabela3[[#This Row],[Lucro Líquido]]/Tabela3[[#This Row],[Total Ações]]</f>
        <v>-9.8375686079637439E-2</v>
      </c>
      <c r="AG438" s="78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</v>
      </c>
      <c r="AH438" s="78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438" s="78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438" s="78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</v>
      </c>
      <c r="AK438" s="6">
        <f>[Div Base]*[Ações]</f>
        <v>0</v>
      </c>
      <c r="AL438" s="6">
        <f>SUMPRODUCT(N([Nome]=Tabela3[[#This Row],[Nome]]),[Div Base]*[Ações])</f>
        <v>0</v>
      </c>
      <c r="AM438" s="6">
        <f>[Patrimônio Líquido]/[Total Ações]</f>
        <v>4.6264643642069849</v>
      </c>
      <c r="AN438" s="48">
        <f>MAX(Tabela3[[#This Row],[Cotação 1]:[Cotação 5]])</f>
        <v>1.79</v>
      </c>
      <c r="AO438" s="44">
        <f>[Cotação]/[VPA]</f>
        <v>0.38690452559161148</v>
      </c>
      <c r="AP438" s="40">
        <f>IF(Tabela3[[#This Row],[Lucro/Ação]]&gt;0,Tabela3[[#This Row],[Cotação]]/(Tabela3[[#This Row],[Lucro/Ação]]/[Ref]*4),0)</f>
        <v>0</v>
      </c>
      <c r="AQ438" s="78">
        <f>[Lucro Distribuir]/[Total Ações]</f>
        <v>0</v>
      </c>
      <c r="AR438" s="78">
        <f>IF([Unit ON]&gt;0,SUMPRODUCT(N([Nome]=Tabela3[[#This Row],[Nome]]),N(RIGHT([PAPEL],1)="3"),[Div Base])*[Unit ON]+SUMPRODUCT(N([Nome]=Tabela3[[#This Row],[Nome]]),N(RIGHT([PAPEL],1)="4"),[Div Base])*[Unit PN],[Div Base])</f>
        <v>0</v>
      </c>
      <c r="AS438" s="15" t="str">
        <f>IF(AND([% A.A.]&gt;=6%,SUMPRODUCT(N([Nome]=Tabela3[[#This Row],[Nome]]),[PL])&gt;0,[Rentabilidade s/ PL]&gt;=[Rentabilidade s/ PL Média]),"Sim","Não")</f>
        <v>Não</v>
      </c>
      <c r="AT438" s="42">
        <f>IF([Cotação]&gt;0,Tabela3[[#This Row],[Lucro]]/Tabela3[[#This Row],[Cotação]],0)</f>
        <v>0</v>
      </c>
      <c r="AU438" s="19">
        <f>((1+Tabela3[[#This Row],[% Yield]])^(1/(3*Tabela3[[#This Row],[Ref]])))^(12)-1</f>
        <v>0</v>
      </c>
      <c r="AV438" s="14">
        <f>IF([Cotação]&gt;0,($BH$1/Tabela3[[#This Row],[Cotação]]-MOD($BH$1/Tabela3[[#This Row],[Cotação]],100)),)</f>
        <v>200</v>
      </c>
      <c r="AW438" s="17">
        <f>Tabela3[[#This Row],[Ativos]]*[Lucro]</f>
        <v>0</v>
      </c>
      <c r="AX438" s="5">
        <f>SUMPRODUCT(N(Tabela1[Código]=Tabela3[[#This Row],[PAPEL]]),Tabela1[Fechamento])</f>
        <v>1.79</v>
      </c>
      <c r="AY438" s="5">
        <f>SUMPRODUCT(N(Tabela17[Código]=Tabela3[[#This Row],[PAPEL]]),Tabela17[Fechamento])</f>
        <v>0</v>
      </c>
      <c r="AZ438" s="7">
        <f>SUMPRODUCT(N(Tabela176[Código]=Tabela3[[#This Row],[PAPEL]]),Tabela176[Fechamento])</f>
        <v>0</v>
      </c>
      <c r="BA438" s="7">
        <f>SUMPRODUCT(N(Tabela1768[Código]=Tabela3[[#This Row],[PAPEL]]),Tabela1768[Fechamento])</f>
        <v>0</v>
      </c>
      <c r="BB438" s="7">
        <f>SUMPRODUCT(N(Tabela17683[Código]=Tabela3[[#This Row],[PAPEL]]),Tabela17683[Fechamento])</f>
        <v>0</v>
      </c>
    </row>
    <row r="439" spans="1:54" hidden="1">
      <c r="A439" s="3" t="s">
        <v>853</v>
      </c>
      <c r="B439" s="125" t="s">
        <v>849</v>
      </c>
      <c r="C439" s="16" t="str">
        <f>LEFT([PAPEL],LEN([PAPEL])-(LEN([PAPEL])-4))</f>
        <v>CLAN</v>
      </c>
      <c r="D439" s="16">
        <v>2</v>
      </c>
      <c r="E439" s="5">
        <v>1000070000</v>
      </c>
      <c r="F439" s="56">
        <v>70759470</v>
      </c>
      <c r="G439" s="81">
        <v>0.25</v>
      </c>
      <c r="H439" s="87"/>
      <c r="J439" s="18"/>
      <c r="K439" s="16"/>
      <c r="L439" s="87"/>
      <c r="M439" s="54"/>
      <c r="N439" s="54"/>
      <c r="O439" s="54"/>
      <c r="P439" s="91">
        <v>979640000</v>
      </c>
      <c r="Q439" s="73">
        <v>-43203000</v>
      </c>
      <c r="R439" s="73">
        <f>IF(Tabela3[[#This Row],[Ativo || Passivo]]&gt;0,Tabela3[[#This Row],[Ativo || Passivo]]-Tabela3[[#This Row],[Patrimônio Líquido]],0)</f>
        <v>0</v>
      </c>
      <c r="S439" s="73">
        <f>Tabela3[[#This Row],[Cotação]]*Tabela3[[#This Row],[Total Ações]]</f>
        <v>0</v>
      </c>
      <c r="T439" s="37">
        <f>IF(Tabela3[[#This Row],[Passivo Circulante]]&gt;0,Tabela3[[#This Row],[Ativo Circulante]]/Tabela3[[#This Row],[Passivo Circulante]],0)</f>
        <v>0</v>
      </c>
      <c r="U439" s="37">
        <f>SUMPRODUCT(N([Liquidez Corrente]&gt;0),N(RIGHT([PAPEL],LEN([PAPEL])-(LEN([PAPEL])-1))="3"),[Liquidez Corrente])/SUMPRODUCT(N([Liquidez Corrente]&gt;0),N(RIGHT([PAPEL],LEN([PAPEL])-(LEN([PAPEL])-1))="3"))</f>
        <v>2.331224473064915</v>
      </c>
      <c r="V439" s="18">
        <f>IF(Tabela3[[#This Row],[Lucro Líquido]]&gt;0,Tabela3[[#This Row],[Lucro Líquido]]/Tabela3[[#This Row],[Patrimônio Líquido]],0)</f>
        <v>0</v>
      </c>
      <c r="W439" s="18">
        <f>SUMPRODUCT(N([Rentabilidade s/ PL]&gt;0),N(RIGHT([PAPEL],LEN([PAPEL])-(LEN([PAPEL])-1))="3"),[Rentabilidade s/ PL])/SUMPRODUCT(N([Rentabilidade s/ PL]&gt;0),N(RIGHT([PAPEL],LEN([PAPEL])-(LEN([PAPEL])-1))="3"))</f>
        <v>0.1261051308670782</v>
      </c>
      <c r="X439" s="18">
        <f>IF(Tabela3[[#This Row],[Dívida]]&gt;0,Tabela3[[#This Row],[Dívida]]/Tabela3[[#This Row],[Patrimônio Líquido]],0)</f>
        <v>0</v>
      </c>
      <c r="Y439" s="18">
        <f>SUMPRODUCT(N([Dívida / PL]&gt;0),N(RIGHT([PAPEL],LEN([PAPEL])-(LEN([PAPEL])-1))="3"),[Dívida / PL])/SUMPRODUCT(N([Dívida / PL]&gt;0),N(RIGHT([PAPEL],LEN([PAPEL])-(LEN([PAPEL])-1))="3"))</f>
        <v>2.1510410379481146</v>
      </c>
      <c r="Z439" s="7">
        <f>Tabela3[[#This Row],[Capital Social]]*20%</f>
        <v>200014000</v>
      </c>
      <c r="AA439" s="47">
        <f>IF(([Lucro Líquido]*5%)&gt;[Teto R. Legal],[Teto R. Legal],[Lucro Líquido]*5%)</f>
        <v>-2160150</v>
      </c>
      <c r="AB439" s="47">
        <f>IF([Lucro Líquido]&lt;0,0,[Lucro Líquido]-[Reserva Legal])</f>
        <v>0</v>
      </c>
      <c r="AC439" s="47">
        <f>Tabela3[[#This Row],[Lucro Distribuir]]*[%Div]</f>
        <v>0</v>
      </c>
      <c r="AD439" s="56">
        <f>SUMPRODUCT(N([Nome]=Tabela3[[#This Row],[Nome]]),[Ações])</f>
        <v>158703348</v>
      </c>
      <c r="AE439" s="85">
        <f>[Capital Social]/[Total Ações]</f>
        <v>6.3015053721487968</v>
      </c>
      <c r="AF439" s="85">
        <f>Tabela3[[#This Row],[Lucro Líquido]]/Tabela3[[#This Row],[Total Ações]]</f>
        <v>-0.27222488085128488</v>
      </c>
      <c r="AG439" s="85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</v>
      </c>
      <c r="AH439" s="85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439" s="77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439" s="85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</v>
      </c>
      <c r="AK439" s="7">
        <f>[Div Base]*[Ações]</f>
        <v>0</v>
      </c>
      <c r="AL439" s="7">
        <f>SUMPRODUCT(N([Nome]=Tabela3[[#This Row],[Nome]]),[Div Base]*[Ações])</f>
        <v>0</v>
      </c>
      <c r="AM439" s="5">
        <f>[Patrimônio Líquido]/[Total Ações]</f>
        <v>6.1727746285478489</v>
      </c>
      <c r="AN439" s="52">
        <f>MAX(Tabela3[[#This Row],[Cotação 1]:[Cotação 5]])</f>
        <v>0</v>
      </c>
      <c r="AO439" s="53">
        <f>[Cotação]/[VPA]</f>
        <v>0</v>
      </c>
      <c r="AP439" s="37">
        <f>IF(Tabela3[[#This Row],[Lucro/Ação]]&gt;0,Tabela3[[#This Row],[Cotação]]/(Tabela3[[#This Row],[Lucro/Ação]]/[Ref]*4),0)</f>
        <v>0</v>
      </c>
      <c r="AQ439" s="85">
        <f>[Lucro Distribuir]/[Total Ações]</f>
        <v>0</v>
      </c>
      <c r="AR439" s="85">
        <f>IF([Unit ON]&gt;0,SUMPRODUCT(N([Nome]=Tabela3[[#This Row],[Nome]]),N(RIGHT([PAPEL],1)="3"),[Div Base])*[Unit ON]+SUMPRODUCT(N([Nome]=Tabela3[[#This Row],[Nome]]),N(RIGHT([PAPEL],1)="4"),[Div Base])*[Unit PN],[Div Base])</f>
        <v>0</v>
      </c>
      <c r="AS439" s="10" t="str">
        <f>IF(AND([% A.A.]&gt;=6%,SUMPRODUCT(N([Nome]=Tabela3[[#This Row],[Nome]]),[PL])&gt;0,[Rentabilidade s/ PL]&gt;=[Rentabilidade s/ PL Média]),"Sim","Não")</f>
        <v>Não</v>
      </c>
      <c r="AT439" s="22">
        <f>IF([Cotação]&gt;0,Tabela3[[#This Row],[Lucro]]/Tabela3[[#This Row],[Cotação]],0)</f>
        <v>0</v>
      </c>
      <c r="AU439" s="22">
        <f>((1+Tabela3[[#This Row],[% Yield]])^(1/(3*Tabela3[[#This Row],[Ref]])))^(12)-1</f>
        <v>0</v>
      </c>
      <c r="AV439" s="10">
        <f>IF([Cotação]&gt;0,($BH$1/Tabela3[[#This Row],[Cotação]]-MOD($BH$1/Tabela3[[#This Row],[Cotação]],100)),)</f>
        <v>0</v>
      </c>
      <c r="AW439" s="7">
        <f>Tabela3[[#This Row],[Ativos]]*[Lucro]</f>
        <v>0</v>
      </c>
      <c r="AX439" s="7">
        <f>SUMPRODUCT(N(Tabela1[Código]=Tabela3[[#This Row],[PAPEL]]),Tabela1[Fechamento])</f>
        <v>0</v>
      </c>
      <c r="AY439" s="7">
        <f>SUMPRODUCT(N(Tabela17[Código]=Tabela3[[#This Row],[PAPEL]]),Tabela17[Fechamento])</f>
        <v>0</v>
      </c>
      <c r="AZ439" s="7">
        <f>SUMPRODUCT(N(Tabela176[Código]=Tabela3[[#This Row],[PAPEL]]),Tabela176[Fechamento])</f>
        <v>0</v>
      </c>
      <c r="BA439" s="7">
        <f>SUMPRODUCT(N(Tabela1768[Código]=Tabela3[[#This Row],[PAPEL]]),Tabela1768[Fechamento])</f>
        <v>0</v>
      </c>
      <c r="BB439" s="7">
        <f>SUMPRODUCT(N(Tabela17683[Código]=Tabela3[[#This Row],[PAPEL]]),Tabela17683[Fechamento])</f>
        <v>0</v>
      </c>
    </row>
    <row r="440" spans="1:54" hidden="1">
      <c r="A440" s="3" t="s">
        <v>853</v>
      </c>
      <c r="B440" s="125" t="s">
        <v>850</v>
      </c>
      <c r="C440" s="16" t="str">
        <f>LEFT([PAPEL],LEN([PAPEL])-(LEN([PAPEL])-4))</f>
        <v>CLAN</v>
      </c>
      <c r="D440" s="16">
        <v>2</v>
      </c>
      <c r="E440" s="5">
        <v>1000070000</v>
      </c>
      <c r="F440" s="56">
        <v>87943878</v>
      </c>
      <c r="G440" s="81">
        <v>0.25</v>
      </c>
      <c r="H440" s="87"/>
      <c r="J440" s="18">
        <v>0.1</v>
      </c>
      <c r="K440" s="16"/>
      <c r="L440" s="87"/>
      <c r="M440" s="54"/>
      <c r="N440" s="54"/>
      <c r="O440" s="54"/>
      <c r="P440" s="91">
        <v>979640000</v>
      </c>
      <c r="Q440" s="73">
        <v>-43203000</v>
      </c>
      <c r="R440" s="73">
        <f>IF(Tabela3[[#This Row],[Ativo || Passivo]]&gt;0,Tabela3[[#This Row],[Ativo || Passivo]]-Tabela3[[#This Row],[Patrimônio Líquido]],0)</f>
        <v>0</v>
      </c>
      <c r="S440" s="73">
        <f>Tabela3[[#This Row],[Cotação]]*Tabela3[[#This Row],[Total Ações]]</f>
        <v>476110044</v>
      </c>
      <c r="T440" s="37">
        <f>IF(Tabela3[[#This Row],[Passivo Circulante]]&gt;0,Tabela3[[#This Row],[Ativo Circulante]]/Tabela3[[#This Row],[Passivo Circulante]],0)</f>
        <v>0</v>
      </c>
      <c r="U440" s="37">
        <f>SUMPRODUCT(N([Liquidez Corrente]&gt;0),N(RIGHT([PAPEL],LEN([PAPEL])-(LEN([PAPEL])-1))="3"),[Liquidez Corrente])/SUMPRODUCT(N([Liquidez Corrente]&gt;0),N(RIGHT([PAPEL],LEN([PAPEL])-(LEN([PAPEL])-1))="3"))</f>
        <v>2.331224473064915</v>
      </c>
      <c r="V440" s="18">
        <f>IF(Tabela3[[#This Row],[Lucro Líquido]]&gt;0,Tabela3[[#This Row],[Lucro Líquido]]/Tabela3[[#This Row],[Patrimônio Líquido]],0)</f>
        <v>0</v>
      </c>
      <c r="W440" s="18">
        <f>SUMPRODUCT(N([Rentabilidade s/ PL]&gt;0),N(RIGHT([PAPEL],LEN([PAPEL])-(LEN([PAPEL])-1))="3"),[Rentabilidade s/ PL])/SUMPRODUCT(N([Rentabilidade s/ PL]&gt;0),N(RIGHT([PAPEL],LEN([PAPEL])-(LEN([PAPEL])-1))="3"))</f>
        <v>0.1261051308670782</v>
      </c>
      <c r="X440" s="18">
        <f>IF(Tabela3[[#This Row],[Dívida]]&gt;0,Tabela3[[#This Row],[Dívida]]/Tabela3[[#This Row],[Patrimônio Líquido]],0)</f>
        <v>0</v>
      </c>
      <c r="Y440" s="18">
        <f>SUMPRODUCT(N([Dívida / PL]&gt;0),N(RIGHT([PAPEL],LEN([PAPEL])-(LEN([PAPEL])-1))="3"),[Dívida / PL])/SUMPRODUCT(N([Dívida / PL]&gt;0),N(RIGHT([PAPEL],LEN([PAPEL])-(LEN([PAPEL])-1))="3"))</f>
        <v>2.1510410379481146</v>
      </c>
      <c r="Z440" s="7">
        <f>Tabela3[[#This Row],[Capital Social]]*20%</f>
        <v>200014000</v>
      </c>
      <c r="AA440" s="47">
        <f>IF(([Lucro Líquido]*5%)&gt;[Teto R. Legal],[Teto R. Legal],[Lucro Líquido]*5%)</f>
        <v>-2160150</v>
      </c>
      <c r="AB440" s="47">
        <f>IF([Lucro Líquido]&lt;0,0,[Lucro Líquido]-[Reserva Legal])</f>
        <v>0</v>
      </c>
      <c r="AC440" s="47">
        <f>Tabela3[[#This Row],[Lucro Distribuir]]*[%Div]</f>
        <v>0</v>
      </c>
      <c r="AD440" s="56">
        <f>SUMPRODUCT(N([Nome]=Tabela3[[#This Row],[Nome]]),[Ações])</f>
        <v>158703348</v>
      </c>
      <c r="AE440" s="85">
        <f>[Capital Social]/[Total Ações]</f>
        <v>6.3015053721487968</v>
      </c>
      <c r="AF440" s="85">
        <f>Tabela3[[#This Row],[Lucro Líquido]]/Tabela3[[#This Row],[Total Ações]]</f>
        <v>-0.27222488085128488</v>
      </c>
      <c r="AG440" s="85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</v>
      </c>
      <c r="AH440" s="85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440" s="77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440" s="85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</v>
      </c>
      <c r="AK440" s="7">
        <f>[Div Base]*[Ações]</f>
        <v>0</v>
      </c>
      <c r="AL440" s="7">
        <f>SUMPRODUCT(N([Nome]=Tabela3[[#This Row],[Nome]]),[Div Base]*[Ações])</f>
        <v>0</v>
      </c>
      <c r="AM440" s="5">
        <f>[Patrimônio Líquido]/[Total Ações]</f>
        <v>6.1727746285478489</v>
      </c>
      <c r="AN440" s="52">
        <f>MAX(Tabela3[[#This Row],[Cotação 1]:[Cotação 5]])</f>
        <v>3</v>
      </c>
      <c r="AO440" s="53">
        <f>[Cotação]/[VPA]</f>
        <v>0.48600510799885671</v>
      </c>
      <c r="AP440" s="37">
        <f>IF(Tabela3[[#This Row],[Lucro/Ação]]&gt;0,Tabela3[[#This Row],[Cotação]]/(Tabela3[[#This Row],[Lucro/Ação]]/[Ref]*4),0)</f>
        <v>0</v>
      </c>
      <c r="AQ440" s="85">
        <f>[Lucro Distribuir]/[Total Ações]</f>
        <v>0</v>
      </c>
      <c r="AR440" s="85">
        <f>IF([Unit ON]&gt;0,SUMPRODUCT(N([Nome]=Tabela3[[#This Row],[Nome]]),N(RIGHT([PAPEL],1)="3"),[Div Base])*[Unit ON]+SUMPRODUCT(N([Nome]=Tabela3[[#This Row],[Nome]]),N(RIGHT([PAPEL],1)="4"),[Div Base])*[Unit PN],[Div Base])</f>
        <v>0</v>
      </c>
      <c r="AS440" s="10" t="str">
        <f>IF(AND([% A.A.]&gt;=6%,SUMPRODUCT(N([Nome]=Tabela3[[#This Row],[Nome]]),[PL])&gt;0,[Rentabilidade s/ PL]&gt;=[Rentabilidade s/ PL Média]),"Sim","Não")</f>
        <v>Não</v>
      </c>
      <c r="AT440" s="22">
        <f>IF([Cotação]&gt;0,Tabela3[[#This Row],[Lucro]]/Tabela3[[#This Row],[Cotação]],0)</f>
        <v>0</v>
      </c>
      <c r="AU440" s="22">
        <f>((1+Tabela3[[#This Row],[% Yield]])^(1/(3*Tabela3[[#This Row],[Ref]])))^(12)-1</f>
        <v>0</v>
      </c>
      <c r="AV440" s="10">
        <f>IF([Cotação]&gt;0,($BH$1/Tabela3[[#This Row],[Cotação]]-MOD($BH$1/Tabela3[[#This Row],[Cotação]],100)),)</f>
        <v>100</v>
      </c>
      <c r="AW440" s="7">
        <f>Tabela3[[#This Row],[Ativos]]*[Lucro]</f>
        <v>0</v>
      </c>
      <c r="AX440" s="7">
        <f>SUMPRODUCT(N(Tabela1[Código]=Tabela3[[#This Row],[PAPEL]]),Tabela1[Fechamento])</f>
        <v>0</v>
      </c>
      <c r="AY440" s="7">
        <f>SUMPRODUCT(N(Tabela17[Código]=Tabela3[[#This Row],[PAPEL]]),Tabela17[Fechamento])</f>
        <v>0</v>
      </c>
      <c r="AZ440" s="7">
        <f>SUMPRODUCT(N(Tabela176[Código]=Tabela3[[#This Row],[PAPEL]]),Tabela176[Fechamento])</f>
        <v>3</v>
      </c>
      <c r="BA440" s="7">
        <f>SUMPRODUCT(N(Tabela1768[Código]=Tabela3[[#This Row],[PAPEL]]),Tabela1768[Fechamento])</f>
        <v>0</v>
      </c>
      <c r="BB440" s="7">
        <f>SUMPRODUCT(N(Tabela17683[Código]=Tabela3[[#This Row],[PAPEL]]),Tabela17683[Fechamento])</f>
        <v>0</v>
      </c>
    </row>
    <row r="441" spans="1:54" hidden="1">
      <c r="A441" s="4" t="s">
        <v>322</v>
      </c>
      <c r="B441" s="126" t="s">
        <v>675</v>
      </c>
      <c r="C441" s="15" t="str">
        <f>LEFT([PAPEL],LEN([PAPEL])-(LEN([PAPEL])-4))</f>
        <v>SNSY</v>
      </c>
      <c r="D441" s="15">
        <v>3</v>
      </c>
      <c r="E441" s="6">
        <v>54625000</v>
      </c>
      <c r="F441" s="8">
        <v>6644806</v>
      </c>
      <c r="G441" s="81">
        <v>0.25</v>
      </c>
      <c r="H441" s="15"/>
      <c r="I441" s="19"/>
      <c r="J441" s="19"/>
      <c r="K441" s="88"/>
      <c r="L441" s="88"/>
      <c r="M441" s="55"/>
      <c r="N441" s="55"/>
      <c r="O441" s="55"/>
      <c r="P441" s="92">
        <v>-350694000</v>
      </c>
      <c r="Q441" s="93">
        <v>-43597000</v>
      </c>
      <c r="R441" s="93">
        <f>IF(Tabela3[[#This Row],[Ativo || Passivo]]&gt;0,Tabela3[[#This Row],[Ativo || Passivo]]-Tabela3[[#This Row],[Patrimônio Líquido]],0)</f>
        <v>0</v>
      </c>
      <c r="S441" s="93">
        <f>Tabela3[[#This Row],[Cotação]]*Tabela3[[#This Row],[Total Ações]]</f>
        <v>38582244</v>
      </c>
      <c r="T441" s="40">
        <f>IF(Tabela3[[#This Row],[Passivo Circulante]]&gt;0,Tabela3[[#This Row],[Ativo Circulante]]/Tabela3[[#This Row],[Passivo Circulante]],0)</f>
        <v>0</v>
      </c>
      <c r="U441" s="40">
        <f>SUMPRODUCT(N([Liquidez Corrente]&gt;0),N(RIGHT([PAPEL],LEN([PAPEL])-(LEN([PAPEL])-1))="3"),[Liquidez Corrente])/SUMPRODUCT(N([Liquidez Corrente]&gt;0),N(RIGHT([PAPEL],LEN([PAPEL])-(LEN([PAPEL])-1))="3"))</f>
        <v>2.331224473064915</v>
      </c>
      <c r="V441" s="19">
        <f>IF(Tabela3[[#This Row],[Lucro Líquido]]&gt;0,Tabela3[[#This Row],[Lucro Líquido]]/Tabela3[[#This Row],[Patrimônio Líquido]],0)</f>
        <v>0</v>
      </c>
      <c r="W441" s="19">
        <f>SUMPRODUCT(N([Rentabilidade s/ PL]&gt;0),N(RIGHT([PAPEL],LEN([PAPEL])-(LEN([PAPEL])-1))="3"),[Rentabilidade s/ PL])/SUMPRODUCT(N([Rentabilidade s/ PL]&gt;0),N(RIGHT([PAPEL],LEN([PAPEL])-(LEN([PAPEL])-1))="3"))</f>
        <v>0.1261051308670782</v>
      </c>
      <c r="X441" s="19">
        <f>IF(Tabela3[[#This Row],[Dívida]]&gt;0,Tabela3[[#This Row],[Dívida]]/Tabela3[[#This Row],[Patrimônio Líquido]],0)</f>
        <v>0</v>
      </c>
      <c r="Y441" s="19">
        <f>SUMPRODUCT(N([Dívida / PL]&gt;0),N(RIGHT([PAPEL],LEN([PAPEL])-(LEN([PAPEL])-1))="3"),[Dívida / PL])/SUMPRODUCT(N([Dívida / PL]&gt;0),N(RIGHT([PAPEL],LEN([PAPEL])-(LEN([PAPEL])-1))="3"))</f>
        <v>2.1510410379481146</v>
      </c>
      <c r="Z441" s="13">
        <f>Tabela3[[#This Row],[Capital Social]]*20%</f>
        <v>10925000</v>
      </c>
      <c r="AA441" s="13">
        <f>IF(([Lucro Líquido]*5%)&gt;[Teto R. Legal],[Teto R. Legal],[Lucro Líquido]*5%)</f>
        <v>-2179850</v>
      </c>
      <c r="AB441" s="13">
        <f>IF([Lucro Líquido]&lt;0,0,[Lucro Líquido]-[Reserva Legal])</f>
        <v>0</v>
      </c>
      <c r="AC441" s="13">
        <f>Tabela3[[#This Row],[Lucro Distribuir]]*[%Div]</f>
        <v>0</v>
      </c>
      <c r="AD441" s="56">
        <f>SUMPRODUCT(N([Nome]=Tabela3[[#This Row],[Nome]]),[Ações])</f>
        <v>19291122</v>
      </c>
      <c r="AE441" s="6">
        <f>[Capital Social]/[Total Ações]</f>
        <v>2.8316134230035974</v>
      </c>
      <c r="AF441" s="78">
        <f>Tabela3[[#This Row],[Lucro Líquido]]/Tabela3[[#This Row],[Total Ações]]</f>
        <v>-2.2599514947860473</v>
      </c>
      <c r="AG441" s="78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</v>
      </c>
      <c r="AH441" s="78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441" s="78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441" s="78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</v>
      </c>
      <c r="AK441" s="13">
        <f>[Div Base]*[Ações]</f>
        <v>0</v>
      </c>
      <c r="AL441" s="13">
        <f>SUMPRODUCT(N([Nome]=Tabela3[[#This Row],[Nome]]),[Div Base]*[Ações])</f>
        <v>0</v>
      </c>
      <c r="AM441" s="6">
        <f>[Patrimônio Líquido]/[Total Ações]</f>
        <v>-18.179035931658095</v>
      </c>
      <c r="AN441" s="48">
        <f>MAX(Tabela3[[#This Row],[Cotação 1]:[Cotação 5]])</f>
        <v>2</v>
      </c>
      <c r="AO441" s="44">
        <f>[Cotação]/[VPA]</f>
        <v>-0.11001683518965252</v>
      </c>
      <c r="AP441" s="40">
        <f>IF(Tabela3[[#This Row],[Lucro/Ação]]&gt;0,Tabela3[[#This Row],[Cotação]]/(Tabela3[[#This Row],[Lucro/Ação]]/[Ref]*4),0)</f>
        <v>0</v>
      </c>
      <c r="AQ441" s="78">
        <f>[Lucro Distribuir]/[Total Ações]</f>
        <v>0</v>
      </c>
      <c r="AR441" s="78">
        <f>IF([Unit ON]&gt;0,SUMPRODUCT(N([Nome]=Tabela3[[#This Row],[Nome]]),N(RIGHT([PAPEL],1)="3"),[Div Base])*[Unit ON]+SUMPRODUCT(N([Nome]=Tabela3[[#This Row],[Nome]]),N(RIGHT([PAPEL],1)="4"),[Div Base])*[Unit PN],[Div Base])</f>
        <v>0</v>
      </c>
      <c r="AS441" s="14" t="str">
        <f>IF(AND([% A.A.]&gt;=6%,SUMPRODUCT(N([Nome]=Tabela3[[#This Row],[Nome]]),[PL])&gt;0,[Rentabilidade s/ PL]&gt;=[Rentabilidade s/ PL Média]),"Sim","Não")</f>
        <v>Não</v>
      </c>
      <c r="AT441" s="42">
        <f>IF([Cotação]&gt;0,Tabela3[[#This Row],[Lucro]]/Tabela3[[#This Row],[Cotação]],0)</f>
        <v>0</v>
      </c>
      <c r="AU441" s="42">
        <f>((1+Tabela3[[#This Row],[% Yield]])^(1/(3*Tabela3[[#This Row],[Ref]])))^(12)-1</f>
        <v>0</v>
      </c>
      <c r="AV441" s="14">
        <f>IF([Cotação]&gt;0,($BH$1/Tabela3[[#This Row],[Cotação]]-MOD($BH$1/Tabela3[[#This Row],[Cotação]],100)),)</f>
        <v>200</v>
      </c>
      <c r="AW441" s="17">
        <f>Tabela3[[#This Row],[Ativos]]*[Lucro]</f>
        <v>0</v>
      </c>
      <c r="AX441" s="17">
        <f>SUMPRODUCT(N(Tabela1[Código]=Tabela3[[#This Row],[PAPEL]]),Tabela1[Fechamento])</f>
        <v>0</v>
      </c>
      <c r="AY441" s="17">
        <f>SUMPRODUCT(N(Tabela17[Código]=Tabela3[[#This Row],[PAPEL]]),Tabela17[Fechamento])</f>
        <v>0</v>
      </c>
      <c r="AZ441" s="17">
        <f>SUMPRODUCT(N(Tabela176[Código]=Tabela3[[#This Row],[PAPEL]]),Tabela176[Fechamento])</f>
        <v>2</v>
      </c>
      <c r="BA441" s="17">
        <f>SUMPRODUCT(N(Tabela1768[Código]=Tabela3[[#This Row],[PAPEL]]),Tabela1768[Fechamento])</f>
        <v>0</v>
      </c>
      <c r="BB441" s="7">
        <f>SUMPRODUCT(N(Tabela17683[Código]=Tabela3[[#This Row],[PAPEL]]),Tabela17683[Fechamento])</f>
        <v>0</v>
      </c>
    </row>
    <row r="442" spans="1:54" hidden="1">
      <c r="A442" s="4" t="s">
        <v>322</v>
      </c>
      <c r="B442" s="126" t="s">
        <v>676</v>
      </c>
      <c r="C442" s="15" t="str">
        <f>LEFT([PAPEL],LEN([PAPEL])-(LEN([PAPEL])-4))</f>
        <v>SNSY</v>
      </c>
      <c r="D442" s="15">
        <v>3</v>
      </c>
      <c r="E442" s="6">
        <v>54625000</v>
      </c>
      <c r="F442" s="8">
        <v>12619870</v>
      </c>
      <c r="G442" s="81">
        <v>0.25</v>
      </c>
      <c r="H442" s="15"/>
      <c r="I442" s="19"/>
      <c r="J442" s="19"/>
      <c r="K442" s="88"/>
      <c r="L442" s="88"/>
      <c r="M442" s="55"/>
      <c r="N442" s="55"/>
      <c r="O442" s="55"/>
      <c r="P442" s="92">
        <v>-350694000</v>
      </c>
      <c r="Q442" s="93">
        <v>-43597000</v>
      </c>
      <c r="R442" s="93">
        <f>IF(Tabela3[[#This Row],[Ativo || Passivo]]&gt;0,Tabela3[[#This Row],[Ativo || Passivo]]-Tabela3[[#This Row],[Patrimônio Líquido]],0)</f>
        <v>0</v>
      </c>
      <c r="S442" s="93">
        <f>Tabela3[[#This Row],[Cotação]]*Tabela3[[#This Row],[Total Ações]]</f>
        <v>14854163.939999999</v>
      </c>
      <c r="T442" s="40">
        <f>IF(Tabela3[[#This Row],[Passivo Circulante]]&gt;0,Tabela3[[#This Row],[Ativo Circulante]]/Tabela3[[#This Row],[Passivo Circulante]],0)</f>
        <v>0</v>
      </c>
      <c r="U442" s="40">
        <f>SUMPRODUCT(N([Liquidez Corrente]&gt;0),N(RIGHT([PAPEL],LEN([PAPEL])-(LEN([PAPEL])-1))="3"),[Liquidez Corrente])/SUMPRODUCT(N([Liquidez Corrente]&gt;0),N(RIGHT([PAPEL],LEN([PAPEL])-(LEN([PAPEL])-1))="3"))</f>
        <v>2.331224473064915</v>
      </c>
      <c r="V442" s="19">
        <f>IF(Tabela3[[#This Row],[Lucro Líquido]]&gt;0,Tabela3[[#This Row],[Lucro Líquido]]/Tabela3[[#This Row],[Patrimônio Líquido]],0)</f>
        <v>0</v>
      </c>
      <c r="W442" s="19">
        <f>SUMPRODUCT(N([Rentabilidade s/ PL]&gt;0),N(RIGHT([PAPEL],LEN([PAPEL])-(LEN([PAPEL])-1))="3"),[Rentabilidade s/ PL])/SUMPRODUCT(N([Rentabilidade s/ PL]&gt;0),N(RIGHT([PAPEL],LEN([PAPEL])-(LEN([PAPEL])-1))="3"))</f>
        <v>0.1261051308670782</v>
      </c>
      <c r="X442" s="19">
        <f>IF(Tabela3[[#This Row],[Dívida]]&gt;0,Tabela3[[#This Row],[Dívida]]/Tabela3[[#This Row],[Patrimônio Líquido]],0)</f>
        <v>0</v>
      </c>
      <c r="Y442" s="19">
        <f>SUMPRODUCT(N([Dívida / PL]&gt;0),N(RIGHT([PAPEL],LEN([PAPEL])-(LEN([PAPEL])-1))="3"),[Dívida / PL])/SUMPRODUCT(N([Dívida / PL]&gt;0),N(RIGHT([PAPEL],LEN([PAPEL])-(LEN([PAPEL])-1))="3"))</f>
        <v>2.1510410379481146</v>
      </c>
      <c r="Z442" s="13">
        <f>Tabela3[[#This Row],[Capital Social]]*20%</f>
        <v>10925000</v>
      </c>
      <c r="AA442" s="13">
        <f>IF(([Lucro Líquido]*5%)&gt;[Teto R. Legal],[Teto R. Legal],[Lucro Líquido]*5%)</f>
        <v>-2179850</v>
      </c>
      <c r="AB442" s="13">
        <f>IF([Lucro Líquido]&lt;0,0,[Lucro Líquido]-[Reserva Legal])</f>
        <v>0</v>
      </c>
      <c r="AC442" s="13">
        <f>Tabela3[[#This Row],[Lucro Distribuir]]*[%Div]</f>
        <v>0</v>
      </c>
      <c r="AD442" s="56">
        <f>SUMPRODUCT(N([Nome]=Tabela3[[#This Row],[Nome]]),[Ações])</f>
        <v>19291122</v>
      </c>
      <c r="AE442" s="6">
        <f>[Capital Social]/[Total Ações]</f>
        <v>2.8316134230035974</v>
      </c>
      <c r="AF442" s="78">
        <f>Tabela3[[#This Row],[Lucro Líquido]]/Tabela3[[#This Row],[Total Ações]]</f>
        <v>-2.2599514947860473</v>
      </c>
      <c r="AG442" s="78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</v>
      </c>
      <c r="AH442" s="78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442" s="78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442" s="78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</v>
      </c>
      <c r="AK442" s="13">
        <f>[Div Base]*[Ações]</f>
        <v>0</v>
      </c>
      <c r="AL442" s="13">
        <f>SUMPRODUCT(N([Nome]=Tabela3[[#This Row],[Nome]]),[Div Base]*[Ações])</f>
        <v>0</v>
      </c>
      <c r="AM442" s="6">
        <f>[Patrimônio Líquido]/[Total Ações]</f>
        <v>-18.179035931658095</v>
      </c>
      <c r="AN442" s="48">
        <f>MAX(Tabela3[[#This Row],[Cotação 1]:[Cotação 5]])</f>
        <v>0.77</v>
      </c>
      <c r="AO442" s="44">
        <f>[Cotação]/[VPA]</f>
        <v>-4.2356481548016224E-2</v>
      </c>
      <c r="AP442" s="40">
        <f>IF(Tabela3[[#This Row],[Lucro/Ação]]&gt;0,Tabela3[[#This Row],[Cotação]]/(Tabela3[[#This Row],[Lucro/Ação]]/[Ref]*4),0)</f>
        <v>0</v>
      </c>
      <c r="AQ442" s="78">
        <f>[Lucro Distribuir]/[Total Ações]</f>
        <v>0</v>
      </c>
      <c r="AR442" s="78">
        <f>IF([Unit ON]&gt;0,SUMPRODUCT(N([Nome]=Tabela3[[#This Row],[Nome]]),N(RIGHT([PAPEL],1)="3"),[Div Base])*[Unit ON]+SUMPRODUCT(N([Nome]=Tabela3[[#This Row],[Nome]]),N(RIGHT([PAPEL],1)="4"),[Div Base])*[Unit PN],[Div Base])</f>
        <v>0</v>
      </c>
      <c r="AS442" s="14" t="str">
        <f>IF(AND([% A.A.]&gt;=6%,SUMPRODUCT(N([Nome]=Tabela3[[#This Row],[Nome]]),[PL])&gt;0,[Rentabilidade s/ PL]&gt;=[Rentabilidade s/ PL Média]),"Sim","Não")</f>
        <v>Não</v>
      </c>
      <c r="AT442" s="42">
        <f>IF([Cotação]&gt;0,Tabela3[[#This Row],[Lucro]]/Tabela3[[#This Row],[Cotação]],0)</f>
        <v>0</v>
      </c>
      <c r="AU442" s="42">
        <f>((1+Tabela3[[#This Row],[% Yield]])^(1/(3*Tabela3[[#This Row],[Ref]])))^(12)-1</f>
        <v>0</v>
      </c>
      <c r="AV442" s="14">
        <f>IF([Cotação]&gt;0,($BH$1/Tabela3[[#This Row],[Cotação]]-MOD($BH$1/Tabela3[[#This Row],[Cotação]],100)),)</f>
        <v>600</v>
      </c>
      <c r="AW442" s="17">
        <f>Tabela3[[#This Row],[Ativos]]*[Lucro]</f>
        <v>0</v>
      </c>
      <c r="AX442" s="17">
        <f>SUMPRODUCT(N(Tabela1[Código]=Tabela3[[#This Row],[PAPEL]]),Tabela1[Fechamento])</f>
        <v>0</v>
      </c>
      <c r="AY442" s="17">
        <f>SUMPRODUCT(N(Tabela17[Código]=Tabela3[[#This Row],[PAPEL]]),Tabela17[Fechamento])</f>
        <v>0</v>
      </c>
      <c r="AZ442" s="17">
        <f>SUMPRODUCT(N(Tabela176[Código]=Tabela3[[#This Row],[PAPEL]]),Tabela176[Fechamento])</f>
        <v>0.77</v>
      </c>
      <c r="BA442" s="17">
        <f>SUMPRODUCT(N(Tabela1768[Código]=Tabela3[[#This Row],[PAPEL]]),Tabela1768[Fechamento])</f>
        <v>0</v>
      </c>
      <c r="BB442" s="7">
        <f>SUMPRODUCT(N(Tabela17683[Código]=Tabela3[[#This Row],[PAPEL]]),Tabela17683[Fechamento])</f>
        <v>0</v>
      </c>
    </row>
    <row r="443" spans="1:54" hidden="1">
      <c r="A443" s="4" t="s">
        <v>322</v>
      </c>
      <c r="B443" s="126" t="s">
        <v>677</v>
      </c>
      <c r="C443" s="15" t="str">
        <f>LEFT([PAPEL],LEN([PAPEL])-(LEN([PAPEL])-4))</f>
        <v>SNSY</v>
      </c>
      <c r="D443" s="15">
        <v>3</v>
      </c>
      <c r="E443" s="6">
        <v>54625000</v>
      </c>
      <c r="F443" s="8">
        <v>26446</v>
      </c>
      <c r="G443" s="81">
        <v>0.25</v>
      </c>
      <c r="H443" s="15"/>
      <c r="I443" s="19">
        <v>0.06</v>
      </c>
      <c r="J443" s="19"/>
      <c r="K443" s="88"/>
      <c r="L443" s="88"/>
      <c r="M443" s="55"/>
      <c r="N443" s="55"/>
      <c r="O443" s="55"/>
      <c r="P443" s="92">
        <v>-350694000</v>
      </c>
      <c r="Q443" s="93">
        <v>-43597000</v>
      </c>
      <c r="R443" s="93">
        <f>IF(Tabela3[[#This Row],[Ativo || Passivo]]&gt;0,Tabela3[[#This Row],[Ativo || Passivo]]-Tabela3[[#This Row],[Patrimônio Líquido]],0)</f>
        <v>0</v>
      </c>
      <c r="S443" s="93">
        <f>Tabela3[[#This Row],[Cotação]]*Tabela3[[#This Row],[Total Ações]]</f>
        <v>57873366</v>
      </c>
      <c r="T443" s="40">
        <f>IF(Tabela3[[#This Row],[Passivo Circulante]]&gt;0,Tabela3[[#This Row],[Ativo Circulante]]/Tabela3[[#This Row],[Passivo Circulante]],0)</f>
        <v>0</v>
      </c>
      <c r="U443" s="40">
        <f>SUMPRODUCT(N([Liquidez Corrente]&gt;0),N(RIGHT([PAPEL],LEN([PAPEL])-(LEN([PAPEL])-1))="3"),[Liquidez Corrente])/SUMPRODUCT(N([Liquidez Corrente]&gt;0),N(RIGHT([PAPEL],LEN([PAPEL])-(LEN([PAPEL])-1))="3"))</f>
        <v>2.331224473064915</v>
      </c>
      <c r="V443" s="19">
        <f>IF(Tabela3[[#This Row],[Lucro Líquido]]&gt;0,Tabela3[[#This Row],[Lucro Líquido]]/Tabela3[[#This Row],[Patrimônio Líquido]],0)</f>
        <v>0</v>
      </c>
      <c r="W443" s="19">
        <f>SUMPRODUCT(N([Rentabilidade s/ PL]&gt;0),N(RIGHT([PAPEL],LEN([PAPEL])-(LEN([PAPEL])-1))="3"),[Rentabilidade s/ PL])/SUMPRODUCT(N([Rentabilidade s/ PL]&gt;0),N(RIGHT([PAPEL],LEN([PAPEL])-(LEN([PAPEL])-1))="3"))</f>
        <v>0.1261051308670782</v>
      </c>
      <c r="X443" s="19">
        <f>IF(Tabela3[[#This Row],[Dívida]]&gt;0,Tabela3[[#This Row],[Dívida]]/Tabela3[[#This Row],[Patrimônio Líquido]],0)</f>
        <v>0</v>
      </c>
      <c r="Y443" s="19">
        <f>SUMPRODUCT(N([Dívida / PL]&gt;0),N(RIGHT([PAPEL],LEN([PAPEL])-(LEN([PAPEL])-1))="3"),[Dívida / PL])/SUMPRODUCT(N([Dívida / PL]&gt;0),N(RIGHT([PAPEL],LEN([PAPEL])-(LEN([PAPEL])-1))="3"))</f>
        <v>2.1510410379481146</v>
      </c>
      <c r="Z443" s="13">
        <f>Tabela3[[#This Row],[Capital Social]]*20%</f>
        <v>10925000</v>
      </c>
      <c r="AA443" s="13">
        <f>IF(([Lucro Líquido]*5%)&gt;[Teto R. Legal],[Teto R. Legal],[Lucro Líquido]*5%)</f>
        <v>-2179850</v>
      </c>
      <c r="AB443" s="13">
        <f>IF([Lucro Líquido]&lt;0,0,[Lucro Líquido]-[Reserva Legal])</f>
        <v>0</v>
      </c>
      <c r="AC443" s="13">
        <f>Tabela3[[#This Row],[Lucro Distribuir]]*[%Div]</f>
        <v>0</v>
      </c>
      <c r="AD443" s="56">
        <f>SUMPRODUCT(N([Nome]=Tabela3[[#This Row],[Nome]]),[Ações])</f>
        <v>19291122</v>
      </c>
      <c r="AE443" s="6">
        <f>[Capital Social]/[Total Ações]</f>
        <v>2.8316134230035974</v>
      </c>
      <c r="AF443" s="78">
        <f>Tabela3[[#This Row],[Lucro Líquido]]/Tabela3[[#This Row],[Total Ações]]</f>
        <v>-2.2599514947860473</v>
      </c>
      <c r="AG443" s="78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</v>
      </c>
      <c r="AH443" s="78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443" s="78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443" s="78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</v>
      </c>
      <c r="AK443" s="13">
        <f>[Div Base]*[Ações]</f>
        <v>0</v>
      </c>
      <c r="AL443" s="13">
        <f>SUMPRODUCT(N([Nome]=Tabela3[[#This Row],[Nome]]),[Div Base]*[Ações])</f>
        <v>0</v>
      </c>
      <c r="AM443" s="6">
        <f>[Patrimônio Líquido]/[Total Ações]</f>
        <v>-18.179035931658095</v>
      </c>
      <c r="AN443" s="48">
        <f>MAX(Tabela3[[#This Row],[Cotação 1]:[Cotação 5]])</f>
        <v>3</v>
      </c>
      <c r="AO443" s="44">
        <f>[Cotação]/[VPA]</f>
        <v>-0.1650252527844788</v>
      </c>
      <c r="AP443" s="40">
        <f>IF(Tabela3[[#This Row],[Lucro/Ação]]&gt;0,Tabela3[[#This Row],[Cotação]]/(Tabela3[[#This Row],[Lucro/Ação]]/[Ref]*4),0)</f>
        <v>0</v>
      </c>
      <c r="AQ443" s="78">
        <f>[Lucro Distribuir]/[Total Ações]</f>
        <v>0</v>
      </c>
      <c r="AR443" s="78">
        <f>IF([Unit ON]&gt;0,SUMPRODUCT(N([Nome]=Tabela3[[#This Row],[Nome]]),N(RIGHT([PAPEL],1)="3"),[Div Base])*[Unit ON]+SUMPRODUCT(N([Nome]=Tabela3[[#This Row],[Nome]]),N(RIGHT([PAPEL],1)="4"),[Div Base])*[Unit PN],[Div Base])</f>
        <v>0</v>
      </c>
      <c r="AS443" s="14" t="str">
        <f>IF(AND([% A.A.]&gt;=6%,SUMPRODUCT(N([Nome]=Tabela3[[#This Row],[Nome]]),[PL])&gt;0,[Rentabilidade s/ PL]&gt;=[Rentabilidade s/ PL Média]),"Sim","Não")</f>
        <v>Não</v>
      </c>
      <c r="AT443" s="42">
        <f>IF([Cotação]&gt;0,Tabela3[[#This Row],[Lucro]]/Tabela3[[#This Row],[Cotação]],0)</f>
        <v>0</v>
      </c>
      <c r="AU443" s="42">
        <f>((1+Tabela3[[#This Row],[% Yield]])^(1/(3*Tabela3[[#This Row],[Ref]])))^(12)-1</f>
        <v>0</v>
      </c>
      <c r="AV443" s="14">
        <f>IF([Cotação]&gt;0,($BH$1/Tabela3[[#This Row],[Cotação]]-MOD($BH$1/Tabela3[[#This Row],[Cotação]],100)),)</f>
        <v>100</v>
      </c>
      <c r="AW443" s="17">
        <f>Tabela3[[#This Row],[Ativos]]*[Lucro]</f>
        <v>0</v>
      </c>
      <c r="AX443" s="17">
        <f>SUMPRODUCT(N(Tabela1[Código]=Tabela3[[#This Row],[PAPEL]]),Tabela1[Fechamento])</f>
        <v>0</v>
      </c>
      <c r="AY443" s="17">
        <f>SUMPRODUCT(N(Tabela17[Código]=Tabela3[[#This Row],[PAPEL]]),Tabela17[Fechamento])</f>
        <v>0</v>
      </c>
      <c r="AZ443" s="17">
        <f>SUMPRODUCT(N(Tabela176[Código]=Tabela3[[#This Row],[PAPEL]]),Tabela176[Fechamento])</f>
        <v>3</v>
      </c>
      <c r="BA443" s="17">
        <f>SUMPRODUCT(N(Tabela1768[Código]=Tabela3[[#This Row],[PAPEL]]),Tabela1768[Fechamento])</f>
        <v>0</v>
      </c>
      <c r="BB443" s="7">
        <f>SUMPRODUCT(N(Tabela17683[Código]=Tabela3[[#This Row],[PAPEL]]),Tabela17683[Fechamento])</f>
        <v>0</v>
      </c>
    </row>
    <row r="444" spans="1:54" hidden="1">
      <c r="A444" s="3" t="s">
        <v>810</v>
      </c>
      <c r="B444" s="58" t="s">
        <v>811</v>
      </c>
      <c r="C444" s="16" t="str">
        <f>LEFT([PAPEL],LEN([PAPEL])-(LEN([PAPEL])-4))</f>
        <v>BOBR</v>
      </c>
      <c r="D444" s="16">
        <v>3</v>
      </c>
      <c r="E444" s="5">
        <v>795142427.63999999</v>
      </c>
      <c r="F444" s="56">
        <v>20000000</v>
      </c>
      <c r="G444" s="81">
        <v>0.25</v>
      </c>
      <c r="H444" s="87"/>
      <c r="J444" s="18"/>
      <c r="K444" s="16"/>
      <c r="L444" s="87"/>
      <c r="M444" s="54"/>
      <c r="N444" s="54"/>
      <c r="O444" s="54"/>
      <c r="P444" s="91">
        <v>-37030000</v>
      </c>
      <c r="Q444" s="73">
        <v>-45486000</v>
      </c>
      <c r="R444" s="73">
        <f>IF(Tabela3[[#This Row],[Ativo || Passivo]]&gt;0,Tabela3[[#This Row],[Ativo || Passivo]]-Tabela3[[#This Row],[Patrimônio Líquido]],0)</f>
        <v>0</v>
      </c>
      <c r="S444" s="73">
        <f>Tabela3[[#This Row],[Cotação]]*Tabela3[[#This Row],[Total Ações]]</f>
        <v>0</v>
      </c>
      <c r="T444" s="37">
        <f>IF(Tabela3[[#This Row],[Passivo Circulante]]&gt;0,Tabela3[[#This Row],[Ativo Circulante]]/Tabela3[[#This Row],[Passivo Circulante]],0)</f>
        <v>0</v>
      </c>
      <c r="U444" s="37">
        <f>SUMPRODUCT(N([Liquidez Corrente]&gt;0),N(RIGHT([PAPEL],LEN([PAPEL])-(LEN([PAPEL])-1))="3"),[Liquidez Corrente])/SUMPRODUCT(N([Liquidez Corrente]&gt;0),N(RIGHT([PAPEL],LEN([PAPEL])-(LEN([PAPEL])-1))="3"))</f>
        <v>2.331224473064915</v>
      </c>
      <c r="V444" s="18">
        <f>IF(Tabela3[[#This Row],[Lucro Líquido]]&gt;0,Tabela3[[#This Row],[Lucro Líquido]]/Tabela3[[#This Row],[Patrimônio Líquido]],0)</f>
        <v>0</v>
      </c>
      <c r="W444" s="18">
        <f>SUMPRODUCT(N([Rentabilidade s/ PL]&gt;0),N(RIGHT([PAPEL],LEN([PAPEL])-(LEN([PAPEL])-1))="3"),[Rentabilidade s/ PL])/SUMPRODUCT(N([Rentabilidade s/ PL]&gt;0),N(RIGHT([PAPEL],LEN([PAPEL])-(LEN([PAPEL])-1))="3"))</f>
        <v>0.1261051308670782</v>
      </c>
      <c r="X444" s="18">
        <f>IF(Tabela3[[#This Row],[Dívida]]&gt;0,Tabela3[[#This Row],[Dívida]]/Tabela3[[#This Row],[Patrimônio Líquido]],0)</f>
        <v>0</v>
      </c>
      <c r="Y444" s="18">
        <f>SUMPRODUCT(N([Dívida / PL]&gt;0),N(RIGHT([PAPEL],LEN([PAPEL])-(LEN([PAPEL])-1))="3"),[Dívida / PL])/SUMPRODUCT(N([Dívida / PL]&gt;0),N(RIGHT([PAPEL],LEN([PAPEL])-(LEN([PAPEL])-1))="3"))</f>
        <v>2.1510410379481146</v>
      </c>
      <c r="Z444" s="7">
        <f>Tabela3[[#This Row],[Capital Social]]*20%</f>
        <v>159028485.528</v>
      </c>
      <c r="AA444" s="47">
        <f>IF(([Lucro Líquido]*5%)&gt;[Teto R. Legal],[Teto R. Legal],[Lucro Líquido]*5%)</f>
        <v>-2274300</v>
      </c>
      <c r="AB444" s="47">
        <f>IF([Lucro Líquido]&lt;0,0,[Lucro Líquido]-[Reserva Legal])</f>
        <v>0</v>
      </c>
      <c r="AC444" s="47">
        <f>Tabela3[[#This Row],[Lucro Distribuir]]*[%Div]</f>
        <v>0</v>
      </c>
      <c r="AD444" s="56">
        <f>SUMPRODUCT(N([Nome]=Tabela3[[#This Row],[Nome]]),[Ações])</f>
        <v>54064588</v>
      </c>
      <c r="AE444" s="85">
        <f>[Capital Social]/[Total Ações]</f>
        <v>14.70726878821309</v>
      </c>
      <c r="AF444" s="85">
        <f>Tabela3[[#This Row],[Lucro Líquido]]/Tabela3[[#This Row],[Total Ações]]</f>
        <v>-0.841327043868345</v>
      </c>
      <c r="AG444" s="85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</v>
      </c>
      <c r="AH444" s="85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444" s="77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444" s="85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</v>
      </c>
      <c r="AK444" s="7">
        <f>[Div Base]*[Ações]</f>
        <v>0</v>
      </c>
      <c r="AL444" s="7">
        <f>SUMPRODUCT(N([Nome]=Tabela3[[#This Row],[Nome]]),[Div Base]*[Ações])</f>
        <v>0</v>
      </c>
      <c r="AM444" s="5">
        <f>[Patrimônio Líquido]/[Total Ações]</f>
        <v>-0.68492152386327254</v>
      </c>
      <c r="AN444" s="52">
        <f>MAX(Tabela3[[#This Row],[Cotação 1]:[Cotação 5]])</f>
        <v>0</v>
      </c>
      <c r="AO444" s="53">
        <f>[Cotação]/[VPA]</f>
        <v>0</v>
      </c>
      <c r="AP444" s="37">
        <f>IF(Tabela3[[#This Row],[Lucro/Ação]]&gt;0,Tabela3[[#This Row],[Cotação]]/(Tabela3[[#This Row],[Lucro/Ação]]/[Ref]*4),0)</f>
        <v>0</v>
      </c>
      <c r="AQ444" s="85">
        <f>[Lucro Distribuir]/[Total Ações]</f>
        <v>0</v>
      </c>
      <c r="AR444" s="85">
        <f>IF([Unit ON]&gt;0,SUMPRODUCT(N([Nome]=Tabela3[[#This Row],[Nome]]),N(RIGHT([PAPEL],1)="3"),[Div Base])*[Unit ON]+SUMPRODUCT(N([Nome]=Tabela3[[#This Row],[Nome]]),N(RIGHT([PAPEL],1)="4"),[Div Base])*[Unit PN],[Div Base])</f>
        <v>0</v>
      </c>
      <c r="AS444" s="10" t="str">
        <f>IF(AND([% A.A.]&gt;=6%,SUMPRODUCT(N([Nome]=Tabela3[[#This Row],[Nome]]),[PL])&gt;0,[Rentabilidade s/ PL]&gt;=[Rentabilidade s/ PL Média]),"Sim","Não")</f>
        <v>Não</v>
      </c>
      <c r="AT444" s="22">
        <f>IF([Cotação]&gt;0,Tabela3[[#This Row],[Lucro]]/Tabela3[[#This Row],[Cotação]],0)</f>
        <v>0</v>
      </c>
      <c r="AU444" s="22">
        <f>((1+Tabela3[[#This Row],[% Yield]])^(1/(3*Tabela3[[#This Row],[Ref]])))^(12)-1</f>
        <v>0</v>
      </c>
      <c r="AV444" s="10">
        <f>IF([Cotação]&gt;0,($BH$1/Tabela3[[#This Row],[Cotação]]-MOD($BH$1/Tabela3[[#This Row],[Cotação]],100)),)</f>
        <v>0</v>
      </c>
      <c r="AW444" s="7">
        <f>Tabela3[[#This Row],[Ativos]]*[Lucro]</f>
        <v>0</v>
      </c>
      <c r="AX444" s="7">
        <f>SUMPRODUCT(N(Tabela1[Código]=Tabela3[[#This Row],[PAPEL]]),Tabela1[Fechamento])</f>
        <v>0</v>
      </c>
      <c r="AY444" s="7">
        <f>SUMPRODUCT(N(Tabela17[Código]=Tabela3[[#This Row],[PAPEL]]),Tabela17[Fechamento])</f>
        <v>0</v>
      </c>
      <c r="AZ444" s="7">
        <f>SUMPRODUCT(N(Tabela176[Código]=Tabela3[[#This Row],[PAPEL]]),Tabela176[Fechamento])</f>
        <v>0</v>
      </c>
      <c r="BA444" s="7">
        <f>SUMPRODUCT(N(Tabela1768[Código]=Tabela3[[#This Row],[PAPEL]]),Tabela1768[Fechamento])</f>
        <v>0</v>
      </c>
      <c r="BB444" s="7">
        <f>SUMPRODUCT(N(Tabela17683[Código]=Tabela3[[#This Row],[PAPEL]]),Tabela17683[Fechamento])</f>
        <v>0</v>
      </c>
    </row>
    <row r="445" spans="1:54" hidden="1">
      <c r="A445" s="3" t="s">
        <v>810</v>
      </c>
      <c r="B445" s="58" t="s">
        <v>812</v>
      </c>
      <c r="C445" s="16" t="str">
        <f>LEFT([PAPEL],LEN([PAPEL])-(LEN([PAPEL])-4))</f>
        <v>BOBR</v>
      </c>
      <c r="D445" s="16">
        <v>3</v>
      </c>
      <c r="E445" s="5">
        <v>795142427.63999999</v>
      </c>
      <c r="F445" s="56">
        <v>34064588</v>
      </c>
      <c r="G445" s="81">
        <v>0.25</v>
      </c>
      <c r="H445" s="87"/>
      <c r="J445" s="18">
        <v>0.1</v>
      </c>
      <c r="K445" s="16"/>
      <c r="L445" s="87"/>
      <c r="M445" s="54"/>
      <c r="N445" s="54"/>
      <c r="O445" s="54"/>
      <c r="P445" s="91">
        <v>-37030000</v>
      </c>
      <c r="Q445" s="73">
        <v>-45486000</v>
      </c>
      <c r="R445" s="73">
        <f>IF(Tabela3[[#This Row],[Ativo || Passivo]]&gt;0,Tabela3[[#This Row],[Ativo || Passivo]]-Tabela3[[#This Row],[Patrimônio Líquido]],0)</f>
        <v>0</v>
      </c>
      <c r="S445" s="73">
        <f>Tabela3[[#This Row],[Cotação]]*Tabela3[[#This Row],[Total Ações]]</f>
        <v>324387528</v>
      </c>
      <c r="T445" s="37">
        <f>IF(Tabela3[[#This Row],[Passivo Circulante]]&gt;0,Tabela3[[#This Row],[Ativo Circulante]]/Tabela3[[#This Row],[Passivo Circulante]],0)</f>
        <v>0</v>
      </c>
      <c r="U445" s="37">
        <f>SUMPRODUCT(N([Liquidez Corrente]&gt;0),N(RIGHT([PAPEL],LEN([PAPEL])-(LEN([PAPEL])-1))="3"),[Liquidez Corrente])/SUMPRODUCT(N([Liquidez Corrente]&gt;0),N(RIGHT([PAPEL],LEN([PAPEL])-(LEN([PAPEL])-1))="3"))</f>
        <v>2.331224473064915</v>
      </c>
      <c r="V445" s="18">
        <f>IF(Tabela3[[#This Row],[Lucro Líquido]]&gt;0,Tabela3[[#This Row],[Lucro Líquido]]/Tabela3[[#This Row],[Patrimônio Líquido]],0)</f>
        <v>0</v>
      </c>
      <c r="W445" s="18">
        <f>SUMPRODUCT(N([Rentabilidade s/ PL]&gt;0),N(RIGHT([PAPEL],LEN([PAPEL])-(LEN([PAPEL])-1))="3"),[Rentabilidade s/ PL])/SUMPRODUCT(N([Rentabilidade s/ PL]&gt;0),N(RIGHT([PAPEL],LEN([PAPEL])-(LEN([PAPEL])-1))="3"))</f>
        <v>0.1261051308670782</v>
      </c>
      <c r="X445" s="18">
        <f>IF(Tabela3[[#This Row],[Dívida]]&gt;0,Tabela3[[#This Row],[Dívida]]/Tabela3[[#This Row],[Patrimônio Líquido]],0)</f>
        <v>0</v>
      </c>
      <c r="Y445" s="18">
        <f>SUMPRODUCT(N([Dívida / PL]&gt;0),N(RIGHT([PAPEL],LEN([PAPEL])-(LEN([PAPEL])-1))="3"),[Dívida / PL])/SUMPRODUCT(N([Dívida / PL]&gt;0),N(RIGHT([PAPEL],LEN([PAPEL])-(LEN([PAPEL])-1))="3"))</f>
        <v>2.1510410379481146</v>
      </c>
      <c r="Z445" s="7">
        <f>Tabela3[[#This Row],[Capital Social]]*20%</f>
        <v>159028485.528</v>
      </c>
      <c r="AA445" s="47">
        <f>IF(([Lucro Líquido]*5%)&gt;[Teto R. Legal],[Teto R. Legal],[Lucro Líquido]*5%)</f>
        <v>-2274300</v>
      </c>
      <c r="AB445" s="47">
        <f>IF([Lucro Líquido]&lt;0,0,[Lucro Líquido]-[Reserva Legal])</f>
        <v>0</v>
      </c>
      <c r="AC445" s="47">
        <f>Tabela3[[#This Row],[Lucro Distribuir]]*[%Div]</f>
        <v>0</v>
      </c>
      <c r="AD445" s="56">
        <f>SUMPRODUCT(N([Nome]=Tabela3[[#This Row],[Nome]]),[Ações])</f>
        <v>54064588</v>
      </c>
      <c r="AE445" s="85">
        <f>[Capital Social]/[Total Ações]</f>
        <v>14.70726878821309</v>
      </c>
      <c r="AF445" s="85">
        <f>Tabela3[[#This Row],[Lucro Líquido]]/Tabela3[[#This Row],[Total Ações]]</f>
        <v>-0.841327043868345</v>
      </c>
      <c r="AG445" s="85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</v>
      </c>
      <c r="AH445" s="85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445" s="77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445" s="85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</v>
      </c>
      <c r="AK445" s="7">
        <f>[Div Base]*[Ações]</f>
        <v>0</v>
      </c>
      <c r="AL445" s="7">
        <f>SUMPRODUCT(N([Nome]=Tabela3[[#This Row],[Nome]]),[Div Base]*[Ações])</f>
        <v>0</v>
      </c>
      <c r="AM445" s="5">
        <f>[Patrimônio Líquido]/[Total Ações]</f>
        <v>-0.68492152386327254</v>
      </c>
      <c r="AN445" s="52">
        <f>MAX(Tabela3[[#This Row],[Cotação 1]:[Cotação 5]])</f>
        <v>6</v>
      </c>
      <c r="AO445" s="53">
        <f>[Cotação]/[VPA]</f>
        <v>-8.7601276802592505</v>
      </c>
      <c r="AP445" s="37">
        <f>IF(Tabela3[[#This Row],[Lucro/Ação]]&gt;0,Tabela3[[#This Row],[Cotação]]/(Tabela3[[#This Row],[Lucro/Ação]]/[Ref]*4),0)</f>
        <v>0</v>
      </c>
      <c r="AQ445" s="85">
        <f>[Lucro Distribuir]/[Total Ações]</f>
        <v>0</v>
      </c>
      <c r="AR445" s="85">
        <f>IF([Unit ON]&gt;0,SUMPRODUCT(N([Nome]=Tabela3[[#This Row],[Nome]]),N(RIGHT([PAPEL],1)="3"),[Div Base])*[Unit ON]+SUMPRODUCT(N([Nome]=Tabela3[[#This Row],[Nome]]),N(RIGHT([PAPEL],1)="4"),[Div Base])*[Unit PN],[Div Base])</f>
        <v>0</v>
      </c>
      <c r="AS445" s="10" t="str">
        <f>IF(AND([% A.A.]&gt;=6%,SUMPRODUCT(N([Nome]=Tabela3[[#This Row],[Nome]]),[PL])&gt;0,[Rentabilidade s/ PL]&gt;=[Rentabilidade s/ PL Média]),"Sim","Não")</f>
        <v>Não</v>
      </c>
      <c r="AT445" s="22">
        <f>IF([Cotação]&gt;0,Tabela3[[#This Row],[Lucro]]/Tabela3[[#This Row],[Cotação]],0)</f>
        <v>0</v>
      </c>
      <c r="AU445" s="22">
        <f>((1+Tabela3[[#This Row],[% Yield]])^(1/(3*Tabela3[[#This Row],[Ref]])))^(12)-1</f>
        <v>0</v>
      </c>
      <c r="AV445" s="10">
        <f>IF([Cotação]&gt;0,($BH$1/Tabela3[[#This Row],[Cotação]]-MOD($BH$1/Tabela3[[#This Row],[Cotação]],100)),)</f>
        <v>0</v>
      </c>
      <c r="AW445" s="7">
        <f>Tabela3[[#This Row],[Ativos]]*[Lucro]</f>
        <v>0</v>
      </c>
      <c r="AX445" s="7">
        <f>SUMPRODUCT(N(Tabela1[Código]=Tabela3[[#This Row],[PAPEL]]),Tabela1[Fechamento])</f>
        <v>0</v>
      </c>
      <c r="AY445" s="7">
        <f>SUMPRODUCT(N(Tabela17[Código]=Tabela3[[#This Row],[PAPEL]]),Tabela17[Fechamento])</f>
        <v>0</v>
      </c>
      <c r="AZ445" s="7">
        <f>SUMPRODUCT(N(Tabela176[Código]=Tabela3[[#This Row],[PAPEL]]),Tabela176[Fechamento])</f>
        <v>6</v>
      </c>
      <c r="BA445" s="7">
        <f>SUMPRODUCT(N(Tabela1768[Código]=Tabela3[[#This Row],[PAPEL]]),Tabela1768[Fechamento])</f>
        <v>0</v>
      </c>
      <c r="BB445" s="7">
        <f>SUMPRODUCT(N(Tabela17683[Código]=Tabela3[[#This Row],[PAPEL]]),Tabela17683[Fechamento])</f>
        <v>0</v>
      </c>
    </row>
    <row r="446" spans="1:54" hidden="1">
      <c r="A446" s="3" t="s">
        <v>929</v>
      </c>
      <c r="B446" s="58" t="s">
        <v>1067</v>
      </c>
      <c r="C446" s="16" t="str">
        <f>LEFT([PAPEL],LEN([PAPEL])-(LEN([PAPEL])-4))</f>
        <v>SGPS</v>
      </c>
      <c r="D446" s="16">
        <v>3</v>
      </c>
      <c r="E446" s="5">
        <v>1860263807.6800001</v>
      </c>
      <c r="F446" s="56">
        <v>200000000</v>
      </c>
      <c r="G446" s="81">
        <v>0.33</v>
      </c>
      <c r="H446" s="87"/>
      <c r="J446" s="18"/>
      <c r="K446" s="16"/>
      <c r="L446" s="87"/>
      <c r="M446" s="54"/>
      <c r="N446" s="54"/>
      <c r="O446" s="54"/>
      <c r="P446" s="91">
        <v>1147616000</v>
      </c>
      <c r="Q446" s="73">
        <v>-49149000</v>
      </c>
      <c r="R446" s="73">
        <f>IF(Tabela3[[#This Row],[Ativo || Passivo]]&gt;0,Tabela3[[#This Row],[Ativo || Passivo]]-Tabela3[[#This Row],[Patrimônio Líquido]],0)</f>
        <v>0</v>
      </c>
      <c r="S446" s="73">
        <f>Tabela3[[#This Row],[Cotação]]*Tabela3[[#This Row],[Total Ações]]</f>
        <v>278000000</v>
      </c>
      <c r="T446" s="37">
        <f>IF(Tabela3[[#This Row],[Passivo Circulante]]&gt;0,Tabela3[[#This Row],[Ativo Circulante]]/Tabela3[[#This Row],[Passivo Circulante]],0)</f>
        <v>0</v>
      </c>
      <c r="U446" s="37">
        <f>SUMPRODUCT(N([Liquidez Corrente]&gt;0),N(RIGHT([PAPEL],LEN([PAPEL])-(LEN([PAPEL])-1))="3"),[Liquidez Corrente])/SUMPRODUCT(N([Liquidez Corrente]&gt;0),N(RIGHT([PAPEL],LEN([PAPEL])-(LEN([PAPEL])-1))="3"))</f>
        <v>2.331224473064915</v>
      </c>
      <c r="V446" s="18">
        <f>IF(Tabela3[[#This Row],[Lucro Líquido]]&gt;0,Tabela3[[#This Row],[Lucro Líquido]]/Tabela3[[#This Row],[Patrimônio Líquido]],0)</f>
        <v>0</v>
      </c>
      <c r="W446" s="18">
        <f>SUMPRODUCT(N([Rentabilidade s/ PL]&gt;0),N(RIGHT([PAPEL],LEN([PAPEL])-(LEN([PAPEL])-1))="3"),[Rentabilidade s/ PL])/SUMPRODUCT(N([Rentabilidade s/ PL]&gt;0),N(RIGHT([PAPEL],LEN([PAPEL])-(LEN([PAPEL])-1))="3"))</f>
        <v>0.1261051308670782</v>
      </c>
      <c r="X446" s="18">
        <f>IF(Tabela3[[#This Row],[Dívida]]&gt;0,Tabela3[[#This Row],[Dívida]]/Tabela3[[#This Row],[Patrimônio Líquido]],0)</f>
        <v>0</v>
      </c>
      <c r="Y446" s="18">
        <f>SUMPRODUCT(N([Dívida / PL]&gt;0),N(RIGHT([PAPEL],LEN([PAPEL])-(LEN([PAPEL])-1))="3"),[Dívida / PL])/SUMPRODUCT(N([Dívida / PL]&gt;0),N(RIGHT([PAPEL],LEN([PAPEL])-(LEN([PAPEL])-1))="3"))</f>
        <v>2.1510410379481146</v>
      </c>
      <c r="Z446" s="7">
        <f>Tabela3[[#This Row],[Capital Social]]*20%</f>
        <v>372052761.53600001</v>
      </c>
      <c r="AA446" s="47">
        <f>IF(([Lucro Líquido]*5%)&gt;[Teto R. Legal],[Teto R. Legal],[Lucro Líquido]*5%)</f>
        <v>-2457450</v>
      </c>
      <c r="AB446" s="47">
        <f>IF([Lucro Líquido]&lt;0,0,[Lucro Líquido]-[Reserva Legal])</f>
        <v>0</v>
      </c>
      <c r="AC446" s="47">
        <f>Tabela3[[#This Row],[Lucro Distribuir]]*[%Div]</f>
        <v>0</v>
      </c>
      <c r="AD446" s="56">
        <f>SUMPRODUCT(N([Nome]=Tabela3[[#This Row],[Nome]]),[Ações])</f>
        <v>200000000</v>
      </c>
      <c r="AE446" s="85">
        <f>[Capital Social]/[Total Ações]</f>
        <v>9.3013190384000008</v>
      </c>
      <c r="AF446" s="85">
        <f>Tabela3[[#This Row],[Lucro Líquido]]/Tabela3[[#This Row],[Total Ações]]</f>
        <v>-0.24574499999999999</v>
      </c>
      <c r="AG446" s="85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</v>
      </c>
      <c r="AH446" s="85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446" s="77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446" s="85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</v>
      </c>
      <c r="AK446" s="7">
        <f>[Div Base]*[Ações]</f>
        <v>0</v>
      </c>
      <c r="AL446" s="7">
        <f>SUMPRODUCT(N([Nome]=Tabela3[[#This Row],[Nome]]),[Div Base]*[Ações])</f>
        <v>0</v>
      </c>
      <c r="AM446" s="5">
        <f>[Patrimônio Líquido]/[Total Ações]</f>
        <v>5.7380800000000001</v>
      </c>
      <c r="AN446" s="52">
        <f>MAX(Tabela3[[#This Row],[Cotação 1]:[Cotação 5]])</f>
        <v>1.39</v>
      </c>
      <c r="AO446" s="53">
        <f>[Cotação]/[VPA]</f>
        <v>0.24224130719683237</v>
      </c>
      <c r="AP446" s="37">
        <f>IF(Tabela3[[#This Row],[Lucro/Ação]]&gt;0,Tabela3[[#This Row],[Cotação]]/(Tabela3[[#This Row],[Lucro/Ação]]/[Ref]*4),0)</f>
        <v>0</v>
      </c>
      <c r="AQ446" s="85">
        <f>[Lucro Distribuir]/[Total Ações]</f>
        <v>0</v>
      </c>
      <c r="AR446" s="85">
        <f>IF([Unit ON]&gt;0,SUMPRODUCT(N([Nome]=Tabela3[[#This Row],[Nome]]),N(RIGHT([PAPEL],1)="3"),[Div Base])*[Unit ON]+SUMPRODUCT(N([Nome]=Tabela3[[#This Row],[Nome]]),N(RIGHT([PAPEL],1)="4"),[Div Base])*[Unit PN],[Div Base])</f>
        <v>0</v>
      </c>
      <c r="AS446" s="10" t="str">
        <f>IF(AND([% A.A.]&gt;=6%,SUMPRODUCT(N([Nome]=Tabela3[[#This Row],[Nome]]),[PL])&gt;0,[Rentabilidade s/ PL]&gt;=[Rentabilidade s/ PL Média]),"Sim","Não")</f>
        <v>Não</v>
      </c>
      <c r="AT446" s="22">
        <f>IF([Cotação]&gt;0,Tabela3[[#This Row],[Lucro]]/Tabela3[[#This Row],[Cotação]],0)</f>
        <v>0</v>
      </c>
      <c r="AU446" s="22">
        <f>((1+Tabela3[[#This Row],[% Yield]])^(1/(3*Tabela3[[#This Row],[Ref]])))^(12)-1</f>
        <v>0</v>
      </c>
      <c r="AV446" s="10">
        <f>IF([Cotação]&gt;0,($BH$1/Tabela3[[#This Row],[Cotação]]-MOD($BH$1/Tabela3[[#This Row],[Cotação]],100)),)</f>
        <v>300</v>
      </c>
      <c r="AW446" s="7">
        <f>Tabela3[[#This Row],[Ativos]]*[Lucro]</f>
        <v>0</v>
      </c>
      <c r="AX446" s="7">
        <f>SUMPRODUCT(N(Tabela1[Código]=Tabela3[[#This Row],[PAPEL]]),Tabela1[Fechamento])</f>
        <v>0</v>
      </c>
      <c r="AY446" s="7">
        <f>SUMPRODUCT(N(Tabela17[Código]=Tabela3[[#This Row],[PAPEL]]),Tabela17[Fechamento])</f>
        <v>0</v>
      </c>
      <c r="AZ446" s="7">
        <f>SUMPRODUCT(N(Tabela176[Código]=Tabela3[[#This Row],[PAPEL]]),Tabela176[Fechamento])</f>
        <v>0</v>
      </c>
      <c r="BA446" s="7">
        <f>SUMPRODUCT(N(Tabela1768[Código]=Tabela3[[#This Row],[PAPEL]]),Tabela1768[Fechamento])</f>
        <v>1.39</v>
      </c>
      <c r="BB446" s="7">
        <f>SUMPRODUCT(N(Tabela17683[Código]=Tabela3[[#This Row],[PAPEL]]),Tabela17683[Fechamento])</f>
        <v>0</v>
      </c>
    </row>
    <row r="447" spans="1:54" hidden="1">
      <c r="A447" s="4" t="s">
        <v>667</v>
      </c>
      <c r="B447" s="57" t="s">
        <v>668</v>
      </c>
      <c r="C447" s="15" t="str">
        <f>LEFT([PAPEL],LEN([PAPEL])-(LEN([PAPEL])-4))</f>
        <v>FHER</v>
      </c>
      <c r="D447" s="15">
        <v>3</v>
      </c>
      <c r="E447" s="6">
        <v>448746223.56</v>
      </c>
      <c r="F447" s="8">
        <v>48471407</v>
      </c>
      <c r="G447" s="86">
        <v>0.25</v>
      </c>
      <c r="H447" s="15"/>
      <c r="I447" s="19"/>
      <c r="J447" s="19"/>
      <c r="K447" s="88"/>
      <c r="L447" s="88"/>
      <c r="M447" s="55"/>
      <c r="N447" s="55"/>
      <c r="O447" s="55"/>
      <c r="P447" s="92">
        <v>417901000</v>
      </c>
      <c r="Q447" s="93">
        <v>-53244000</v>
      </c>
      <c r="R447" s="93">
        <f>IF(Tabela3[[#This Row],[Ativo || Passivo]]&gt;0,Tabela3[[#This Row],[Ativo || Passivo]]-Tabela3[[#This Row],[Patrimônio Líquido]],0)</f>
        <v>0</v>
      </c>
      <c r="S447" s="93">
        <f>Tabela3[[#This Row],[Cotação]]*Tabela3[[#This Row],[Total Ações]]</f>
        <v>0</v>
      </c>
      <c r="T447" s="40">
        <f>IF(Tabela3[[#This Row],[Passivo Circulante]]&gt;0,Tabela3[[#This Row],[Ativo Circulante]]/Tabela3[[#This Row],[Passivo Circulante]],0)</f>
        <v>0</v>
      </c>
      <c r="U447" s="40">
        <f>SUMPRODUCT(N([Liquidez Corrente]&gt;0),N(RIGHT([PAPEL],LEN([PAPEL])-(LEN([PAPEL])-1))="3"),[Liquidez Corrente])/SUMPRODUCT(N([Liquidez Corrente]&gt;0),N(RIGHT([PAPEL],LEN([PAPEL])-(LEN([PAPEL])-1))="3"))</f>
        <v>2.331224473064915</v>
      </c>
      <c r="V447" s="19">
        <f>IF(Tabela3[[#This Row],[Lucro Líquido]]&gt;0,Tabela3[[#This Row],[Lucro Líquido]]/Tabela3[[#This Row],[Patrimônio Líquido]],0)</f>
        <v>0</v>
      </c>
      <c r="W447" s="19">
        <f>SUMPRODUCT(N([Rentabilidade s/ PL]&gt;0),N(RIGHT([PAPEL],LEN([PAPEL])-(LEN([PAPEL])-1))="3"),[Rentabilidade s/ PL])/SUMPRODUCT(N([Rentabilidade s/ PL]&gt;0),N(RIGHT([PAPEL],LEN([PAPEL])-(LEN([PAPEL])-1))="3"))</f>
        <v>0.1261051308670782</v>
      </c>
      <c r="X447" s="19">
        <f>IF(Tabela3[[#This Row],[Dívida]]&gt;0,Tabela3[[#This Row],[Dívida]]/Tabela3[[#This Row],[Patrimônio Líquido]],0)</f>
        <v>0</v>
      </c>
      <c r="Y447" s="19">
        <f>SUMPRODUCT(N([Dívida / PL]&gt;0),N(RIGHT([PAPEL],LEN([PAPEL])-(LEN([PAPEL])-1))="3"),[Dívida / PL])/SUMPRODUCT(N([Dívida / PL]&gt;0),N(RIGHT([PAPEL],LEN([PAPEL])-(LEN([PAPEL])-1))="3"))</f>
        <v>2.1510410379481146</v>
      </c>
      <c r="Z447" s="13">
        <f>Tabela3[[#This Row],[Capital Social]]*20%</f>
        <v>89749244.712000012</v>
      </c>
      <c r="AA447" s="13">
        <f>IF(([Lucro Líquido]*5%)&gt;[Teto R. Legal],[Teto R. Legal],[Lucro Líquido]*5%)</f>
        <v>-2662200</v>
      </c>
      <c r="AB447" s="13">
        <f>IF([Lucro Líquido]&lt;0,0,[Lucro Líquido]-[Reserva Legal])</f>
        <v>0</v>
      </c>
      <c r="AC447" s="13">
        <f>Tabela3[[#This Row],[Lucro Distribuir]]*[%Div]</f>
        <v>0</v>
      </c>
      <c r="AD447" s="56">
        <f>SUMPRODUCT(N([Nome]=Tabela3[[#This Row],[Nome]]),[Ações])</f>
        <v>48471407</v>
      </c>
      <c r="AE447" s="6">
        <f>[Capital Social]/[Total Ações]</f>
        <v>9.2579574502551569</v>
      </c>
      <c r="AF447" s="78">
        <f>Tabela3[[#This Row],[Lucro Líquido]]/Tabela3[[#This Row],[Total Ações]]</f>
        <v>-1.098462027314371</v>
      </c>
      <c r="AG447" s="78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</v>
      </c>
      <c r="AH447" s="78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447" s="78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447" s="78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</v>
      </c>
      <c r="AK447" s="13">
        <f>[Div Base]*[Ações]</f>
        <v>0</v>
      </c>
      <c r="AL447" s="13">
        <f>SUMPRODUCT(N([Nome]=Tabela3[[#This Row],[Nome]]),[Div Base]*[Ações])</f>
        <v>0</v>
      </c>
      <c r="AM447" s="6">
        <f>[Patrimônio Líquido]/[Total Ações]</f>
        <v>8.6215982960841231</v>
      </c>
      <c r="AN447" s="48">
        <f>MAX(Tabela3[[#This Row],[Cotação 1]:[Cotação 5]])</f>
        <v>0</v>
      </c>
      <c r="AO447" s="44">
        <f>[Cotação]/[VPA]</f>
        <v>0</v>
      </c>
      <c r="AP447" s="40">
        <f>IF(Tabela3[[#This Row],[Lucro/Ação]]&gt;0,Tabela3[[#This Row],[Cotação]]/(Tabela3[[#This Row],[Lucro/Ação]]/[Ref]*4),0)</f>
        <v>0</v>
      </c>
      <c r="AQ447" s="78">
        <f>[Lucro Distribuir]/[Total Ações]</f>
        <v>0</v>
      </c>
      <c r="AR447" s="78">
        <f>IF([Unit ON]&gt;0,SUMPRODUCT(N([Nome]=Tabela3[[#This Row],[Nome]]),N(RIGHT([PAPEL],1)="3"),[Div Base])*[Unit ON]+SUMPRODUCT(N([Nome]=Tabela3[[#This Row],[Nome]]),N(RIGHT([PAPEL],1)="4"),[Div Base])*[Unit PN],[Div Base])</f>
        <v>0</v>
      </c>
      <c r="AS447" s="14" t="str">
        <f>IF(AND([% A.A.]&gt;=6%,SUMPRODUCT(N([Nome]=Tabela3[[#This Row],[Nome]]),[PL])&gt;0,[Rentabilidade s/ PL]&gt;=[Rentabilidade s/ PL Média]),"Sim","Não")</f>
        <v>Não</v>
      </c>
      <c r="AT447" s="42">
        <f>IF([Cotação]&gt;0,Tabela3[[#This Row],[Lucro]]/Tabela3[[#This Row],[Cotação]],0)</f>
        <v>0</v>
      </c>
      <c r="AU447" s="42">
        <f>((1+Tabela3[[#This Row],[% Yield]])^(1/(3*Tabela3[[#This Row],[Ref]])))^(12)-1</f>
        <v>0</v>
      </c>
      <c r="AV447" s="14">
        <f>IF([Cotação]&gt;0,($BH$1/Tabela3[[#This Row],[Cotação]]-MOD($BH$1/Tabela3[[#This Row],[Cotação]],100)),)</f>
        <v>0</v>
      </c>
      <c r="AW447" s="17">
        <f>Tabela3[[#This Row],[Ativos]]*[Lucro]</f>
        <v>0</v>
      </c>
      <c r="AX447" s="17">
        <f>SUMPRODUCT(N(Tabela1[Código]=Tabela3[[#This Row],[PAPEL]]),Tabela1[Fechamento])</f>
        <v>0</v>
      </c>
      <c r="AY447" s="17">
        <f>SUMPRODUCT(N(Tabela17[Código]=Tabela3[[#This Row],[PAPEL]]),Tabela17[Fechamento])</f>
        <v>0</v>
      </c>
      <c r="AZ447" s="17">
        <f>SUMPRODUCT(N(Tabela176[Código]=Tabela3[[#This Row],[PAPEL]]),Tabela176[Fechamento])</f>
        <v>0</v>
      </c>
      <c r="BA447" s="17">
        <f>SUMPRODUCT(N(Tabela1768[Código]=Tabela3[[#This Row],[PAPEL]]),Tabela1768[Fechamento])</f>
        <v>0</v>
      </c>
      <c r="BB447" s="7">
        <f>SUMPRODUCT(N(Tabela17683[Código]=Tabela3[[#This Row],[PAPEL]]),Tabela17683[Fechamento])</f>
        <v>0</v>
      </c>
    </row>
    <row r="448" spans="1:54" hidden="1">
      <c r="A448" s="4" t="s">
        <v>243</v>
      </c>
      <c r="B448" s="126" t="s">
        <v>598</v>
      </c>
      <c r="C448" s="15" t="str">
        <f>LEFT([PAPEL],LEN([PAPEL])-(LEN([PAPEL])-4))</f>
        <v>RPMG</v>
      </c>
      <c r="D448" s="15">
        <v>2</v>
      </c>
      <c r="E448" s="6">
        <v>148873356.06</v>
      </c>
      <c r="F448" s="8">
        <v>991541636</v>
      </c>
      <c r="G448" s="81">
        <v>0.25</v>
      </c>
      <c r="H448" s="15"/>
      <c r="I448" s="19">
        <v>0.1</v>
      </c>
      <c r="J448" s="19"/>
      <c r="K448" s="88"/>
      <c r="L448" s="88"/>
      <c r="M448" s="55"/>
      <c r="N448" s="55"/>
      <c r="O448" s="55"/>
      <c r="P448" s="92">
        <v>-574737000</v>
      </c>
      <c r="Q448" s="93">
        <v>-53772000</v>
      </c>
      <c r="R448" s="93">
        <f>IF(Tabela3[[#This Row],[Ativo || Passivo]]&gt;0,Tabela3[[#This Row],[Ativo || Passivo]]-Tabela3[[#This Row],[Patrimônio Líquido]],0)</f>
        <v>0</v>
      </c>
      <c r="S448" s="93">
        <f>Tabela3[[#This Row],[Cotação]]*Tabela3[[#This Row],[Total Ações]]</f>
        <v>365481549.44</v>
      </c>
      <c r="T448" s="40">
        <f>IF(Tabela3[[#This Row],[Passivo Circulante]]&gt;0,Tabela3[[#This Row],[Ativo Circulante]]/Tabela3[[#This Row],[Passivo Circulante]],0)</f>
        <v>0</v>
      </c>
      <c r="U448" s="40">
        <f>SUMPRODUCT(N([Liquidez Corrente]&gt;0),N(RIGHT([PAPEL],LEN([PAPEL])-(LEN([PAPEL])-1))="3"),[Liquidez Corrente])/SUMPRODUCT(N([Liquidez Corrente]&gt;0),N(RIGHT([PAPEL],LEN([PAPEL])-(LEN([PAPEL])-1))="3"))</f>
        <v>2.331224473064915</v>
      </c>
      <c r="V448" s="19">
        <f>IF(Tabela3[[#This Row],[Lucro Líquido]]&gt;0,Tabela3[[#This Row],[Lucro Líquido]]/Tabela3[[#This Row],[Patrimônio Líquido]],0)</f>
        <v>0</v>
      </c>
      <c r="W448" s="19">
        <f>SUMPRODUCT(N([Rentabilidade s/ PL]&gt;0),N(RIGHT([PAPEL],LEN([PAPEL])-(LEN([PAPEL])-1))="3"),[Rentabilidade s/ PL])/SUMPRODUCT(N([Rentabilidade s/ PL]&gt;0),N(RIGHT([PAPEL],LEN([PAPEL])-(LEN([PAPEL])-1))="3"))</f>
        <v>0.1261051308670782</v>
      </c>
      <c r="X448" s="19">
        <f>IF(Tabela3[[#This Row],[Dívida]]&gt;0,Tabela3[[#This Row],[Dívida]]/Tabela3[[#This Row],[Patrimônio Líquido]],0)</f>
        <v>0</v>
      </c>
      <c r="Y448" s="19">
        <f>SUMPRODUCT(N([Dívida / PL]&gt;0),N(RIGHT([PAPEL],LEN([PAPEL])-(LEN([PAPEL])-1))="3"),[Dívida / PL])/SUMPRODUCT(N([Dívida / PL]&gt;0),N(RIGHT([PAPEL],LEN([PAPEL])-(LEN([PAPEL])-1))="3"))</f>
        <v>2.1510410379481146</v>
      </c>
      <c r="Z448" s="13">
        <f>Tabela3[[#This Row],[Capital Social]]*20%</f>
        <v>29774671.212000001</v>
      </c>
      <c r="AA448" s="13">
        <f>IF(([Lucro Líquido]*5%)&gt;[Teto R. Legal],[Teto R. Legal],[Lucro Líquido]*5%)</f>
        <v>-2688600</v>
      </c>
      <c r="AB448" s="13">
        <f>IF([Lucro Líquido]&lt;0,0,[Lucro Líquido]-[Reserva Legal])</f>
        <v>0</v>
      </c>
      <c r="AC448" s="13">
        <f>Tabela3[[#This Row],[Lucro Distribuir]]*[%Div]</f>
        <v>0</v>
      </c>
      <c r="AD448" s="56">
        <f>SUMPRODUCT(N([Nome]=Tabela3[[#This Row],[Nome]]),[Ações])</f>
        <v>1142129842</v>
      </c>
      <c r="AE448" s="6">
        <f>[Capital Social]/[Total Ações]</f>
        <v>0.13034713793950584</v>
      </c>
      <c r="AF448" s="78">
        <f>Tabela3[[#This Row],[Lucro Líquido]]/Tabela3[[#This Row],[Total Ações]]</f>
        <v>-4.7080461452472931E-2</v>
      </c>
      <c r="AG448" s="78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</v>
      </c>
      <c r="AH448" s="78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448" s="78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448" s="78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</v>
      </c>
      <c r="AK448" s="13">
        <f>[Div Base]*[Ações]</f>
        <v>0</v>
      </c>
      <c r="AL448" s="13">
        <f>SUMPRODUCT(N([Nome]=Tabela3[[#This Row],[Nome]]),[Div Base]*[Ações])</f>
        <v>0</v>
      </c>
      <c r="AM448" s="6">
        <f>[Patrimônio Líquido]/[Total Ações]</f>
        <v>-0.50321511518652706</v>
      </c>
      <c r="AN448" s="48">
        <f>MAX(Tabela3[[#This Row],[Cotação 1]:[Cotação 5]])</f>
        <v>0.32</v>
      </c>
      <c r="AO448" s="44">
        <f>[Cotação]/[VPA]</f>
        <v>-0.63591094611970356</v>
      </c>
      <c r="AP448" s="40">
        <f>IF(Tabela3[[#This Row],[Lucro/Ação]]&gt;0,Tabela3[[#This Row],[Cotação]]/(Tabela3[[#This Row],[Lucro/Ação]]/[Ref]*4),0)</f>
        <v>0</v>
      </c>
      <c r="AQ448" s="78">
        <f>[Lucro Distribuir]/[Total Ações]</f>
        <v>0</v>
      </c>
      <c r="AR448" s="78">
        <f>IF([Unit ON]&gt;0,SUMPRODUCT(N([Nome]=Tabela3[[#This Row],[Nome]]),N(RIGHT([PAPEL],1)="3"),[Div Base])*[Unit ON]+SUMPRODUCT(N([Nome]=Tabela3[[#This Row],[Nome]]),N(RIGHT([PAPEL],1)="4"),[Div Base])*[Unit PN],[Div Base])</f>
        <v>0</v>
      </c>
      <c r="AS448" s="14" t="str">
        <f>IF(AND([% A.A.]&gt;=6%,SUMPRODUCT(N([Nome]=Tabela3[[#This Row],[Nome]]),[PL])&gt;0,[Rentabilidade s/ PL]&gt;=[Rentabilidade s/ PL Média]),"Sim","Não")</f>
        <v>Não</v>
      </c>
      <c r="AT448" s="42">
        <f>IF([Cotação]&gt;0,Tabela3[[#This Row],[Lucro]]/Tabela3[[#This Row],[Cotação]],0)</f>
        <v>0</v>
      </c>
      <c r="AU448" s="42">
        <f>((1+Tabela3[[#This Row],[% Yield]])^(1/(3*Tabela3[[#This Row],[Ref]])))^(12)-1</f>
        <v>0</v>
      </c>
      <c r="AV448" s="14">
        <f>IF([Cotação]&gt;0,($BH$1/Tabela3[[#This Row],[Cotação]]-MOD($BH$1/Tabela3[[#This Row],[Cotação]],100)),)</f>
        <v>1500</v>
      </c>
      <c r="AW448" s="17">
        <f>Tabela3[[#This Row],[Ativos]]*[Lucro]</f>
        <v>0</v>
      </c>
      <c r="AX448" s="17">
        <f>SUMPRODUCT(N(Tabela1[Código]=Tabela3[[#This Row],[PAPEL]]),Tabela1[Fechamento])</f>
        <v>0</v>
      </c>
      <c r="AY448" s="17">
        <f>SUMPRODUCT(N(Tabela17[Código]=Tabela3[[#This Row],[PAPEL]]),Tabela17[Fechamento])</f>
        <v>0</v>
      </c>
      <c r="AZ448" s="17">
        <f>SUMPRODUCT(N(Tabela176[Código]=Tabela3[[#This Row],[PAPEL]]),Tabela176[Fechamento])</f>
        <v>0.32</v>
      </c>
      <c r="BA448" s="17">
        <f>SUMPRODUCT(N(Tabela1768[Código]=Tabela3[[#This Row],[PAPEL]]),Tabela1768[Fechamento])</f>
        <v>0</v>
      </c>
      <c r="BB448" s="7">
        <f>SUMPRODUCT(N(Tabela17683[Código]=Tabela3[[#This Row],[PAPEL]]),Tabela17683[Fechamento])</f>
        <v>0</v>
      </c>
    </row>
    <row r="449" spans="1:54" hidden="1">
      <c r="A449" s="4" t="s">
        <v>243</v>
      </c>
      <c r="B449" s="126" t="s">
        <v>599</v>
      </c>
      <c r="C449" s="15" t="str">
        <f>LEFT([PAPEL],LEN([PAPEL])-(LEN([PAPEL])-4))</f>
        <v>RPMG</v>
      </c>
      <c r="D449" s="15">
        <v>2</v>
      </c>
      <c r="E449" s="6">
        <v>148873356.06</v>
      </c>
      <c r="F449" s="8">
        <v>150588206</v>
      </c>
      <c r="G449" s="81">
        <v>0.25</v>
      </c>
      <c r="H449" s="15"/>
      <c r="I449" s="19">
        <v>0.1</v>
      </c>
      <c r="J449" s="19"/>
      <c r="K449" s="88"/>
      <c r="L449" s="88"/>
      <c r="M449" s="55"/>
      <c r="N449" s="55"/>
      <c r="O449" s="55"/>
      <c r="P449" s="92">
        <v>-574737000</v>
      </c>
      <c r="Q449" s="93">
        <v>-53772000</v>
      </c>
      <c r="R449" s="93">
        <f>IF(Tabela3[[#This Row],[Ativo || Passivo]]&gt;0,Tabela3[[#This Row],[Ativo || Passivo]]-Tabela3[[#This Row],[Patrimônio Líquido]],0)</f>
        <v>0</v>
      </c>
      <c r="S449" s="93">
        <f>Tabela3[[#This Row],[Cotação]]*Tabela3[[#This Row],[Total Ações]]</f>
        <v>365481549.44</v>
      </c>
      <c r="T449" s="40">
        <f>IF(Tabela3[[#This Row],[Passivo Circulante]]&gt;0,Tabela3[[#This Row],[Ativo Circulante]]/Tabela3[[#This Row],[Passivo Circulante]],0)</f>
        <v>0</v>
      </c>
      <c r="U449" s="40">
        <f>SUMPRODUCT(N([Liquidez Corrente]&gt;0),N(RIGHT([PAPEL],LEN([PAPEL])-(LEN([PAPEL])-1))="3"),[Liquidez Corrente])/SUMPRODUCT(N([Liquidez Corrente]&gt;0),N(RIGHT([PAPEL],LEN([PAPEL])-(LEN([PAPEL])-1))="3"))</f>
        <v>2.331224473064915</v>
      </c>
      <c r="V449" s="19">
        <f>IF(Tabela3[[#This Row],[Lucro Líquido]]&gt;0,Tabela3[[#This Row],[Lucro Líquido]]/Tabela3[[#This Row],[Patrimônio Líquido]],0)</f>
        <v>0</v>
      </c>
      <c r="W449" s="19">
        <f>SUMPRODUCT(N([Rentabilidade s/ PL]&gt;0),N(RIGHT([PAPEL],LEN([PAPEL])-(LEN([PAPEL])-1))="3"),[Rentabilidade s/ PL])/SUMPRODUCT(N([Rentabilidade s/ PL]&gt;0),N(RIGHT([PAPEL],LEN([PAPEL])-(LEN([PAPEL])-1))="3"))</f>
        <v>0.1261051308670782</v>
      </c>
      <c r="X449" s="19">
        <f>IF(Tabela3[[#This Row],[Dívida]]&gt;0,Tabela3[[#This Row],[Dívida]]/Tabela3[[#This Row],[Patrimônio Líquido]],0)</f>
        <v>0</v>
      </c>
      <c r="Y449" s="19">
        <f>SUMPRODUCT(N([Dívida / PL]&gt;0),N(RIGHT([PAPEL],LEN([PAPEL])-(LEN([PAPEL])-1))="3"),[Dívida / PL])/SUMPRODUCT(N([Dívida / PL]&gt;0),N(RIGHT([PAPEL],LEN([PAPEL])-(LEN([PAPEL])-1))="3"))</f>
        <v>2.1510410379481146</v>
      </c>
      <c r="Z449" s="13">
        <f>Tabela3[[#This Row],[Capital Social]]*20%</f>
        <v>29774671.212000001</v>
      </c>
      <c r="AA449" s="13">
        <f>IF(([Lucro Líquido]*5%)&gt;[Teto R. Legal],[Teto R. Legal],[Lucro Líquido]*5%)</f>
        <v>-2688600</v>
      </c>
      <c r="AB449" s="13">
        <f>IF([Lucro Líquido]&lt;0,0,[Lucro Líquido]-[Reserva Legal])</f>
        <v>0</v>
      </c>
      <c r="AC449" s="13">
        <f>Tabela3[[#This Row],[Lucro Distribuir]]*[%Div]</f>
        <v>0</v>
      </c>
      <c r="AD449" s="56">
        <f>SUMPRODUCT(N([Nome]=Tabela3[[#This Row],[Nome]]),[Ações])</f>
        <v>1142129842</v>
      </c>
      <c r="AE449" s="6">
        <f>[Capital Social]/[Total Ações]</f>
        <v>0.13034713793950584</v>
      </c>
      <c r="AF449" s="78">
        <f>Tabela3[[#This Row],[Lucro Líquido]]/Tabela3[[#This Row],[Total Ações]]</f>
        <v>-4.7080461452472931E-2</v>
      </c>
      <c r="AG449" s="78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</v>
      </c>
      <c r="AH449" s="78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449" s="78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449" s="78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</v>
      </c>
      <c r="AK449" s="13">
        <f>[Div Base]*[Ações]</f>
        <v>0</v>
      </c>
      <c r="AL449" s="13">
        <f>SUMPRODUCT(N([Nome]=Tabela3[[#This Row],[Nome]]),[Div Base]*[Ações])</f>
        <v>0</v>
      </c>
      <c r="AM449" s="6">
        <f>[Patrimônio Líquido]/[Total Ações]</f>
        <v>-0.50321511518652706</v>
      </c>
      <c r="AN449" s="48">
        <f>MAX(Tabela3[[#This Row],[Cotação 1]:[Cotação 5]])</f>
        <v>0.32</v>
      </c>
      <c r="AO449" s="44">
        <f>[Cotação]/[VPA]</f>
        <v>-0.63591094611970356</v>
      </c>
      <c r="AP449" s="40">
        <f>IF(Tabela3[[#This Row],[Lucro/Ação]]&gt;0,Tabela3[[#This Row],[Cotação]]/(Tabela3[[#This Row],[Lucro/Ação]]/[Ref]*4),0)</f>
        <v>0</v>
      </c>
      <c r="AQ449" s="78">
        <f>[Lucro Distribuir]/[Total Ações]</f>
        <v>0</v>
      </c>
      <c r="AR449" s="78">
        <f>IF([Unit ON]&gt;0,SUMPRODUCT(N([Nome]=Tabela3[[#This Row],[Nome]]),N(RIGHT([PAPEL],1)="3"),[Div Base])*[Unit ON]+SUMPRODUCT(N([Nome]=Tabela3[[#This Row],[Nome]]),N(RIGHT([PAPEL],1)="4"),[Div Base])*[Unit PN],[Div Base])</f>
        <v>0</v>
      </c>
      <c r="AS449" s="14" t="str">
        <f>IF(AND([% A.A.]&gt;=6%,SUMPRODUCT(N([Nome]=Tabela3[[#This Row],[Nome]]),[PL])&gt;0,[Rentabilidade s/ PL]&gt;=[Rentabilidade s/ PL Média]),"Sim","Não")</f>
        <v>Não</v>
      </c>
      <c r="AT449" s="42">
        <f>IF([Cotação]&gt;0,Tabela3[[#This Row],[Lucro]]/Tabela3[[#This Row],[Cotação]],0)</f>
        <v>0</v>
      </c>
      <c r="AU449" s="42">
        <f>((1+Tabela3[[#This Row],[% Yield]])^(1/(3*Tabela3[[#This Row],[Ref]])))^(12)-1</f>
        <v>0</v>
      </c>
      <c r="AV449" s="14">
        <f>IF([Cotação]&gt;0,($BH$1/Tabela3[[#This Row],[Cotação]]-MOD($BH$1/Tabela3[[#This Row],[Cotação]],100)),)</f>
        <v>1500</v>
      </c>
      <c r="AW449" s="17">
        <f>Tabela3[[#This Row],[Ativos]]*[Lucro]</f>
        <v>0</v>
      </c>
      <c r="AX449" s="17">
        <f>SUMPRODUCT(N(Tabela1[Código]=Tabela3[[#This Row],[PAPEL]]),Tabela1[Fechamento])</f>
        <v>0</v>
      </c>
      <c r="AY449" s="17">
        <f>SUMPRODUCT(N(Tabela17[Código]=Tabela3[[#This Row],[PAPEL]]),Tabela17[Fechamento])</f>
        <v>0</v>
      </c>
      <c r="AZ449" s="17">
        <f>SUMPRODUCT(N(Tabela176[Código]=Tabela3[[#This Row],[PAPEL]]),Tabela176[Fechamento])</f>
        <v>0.32</v>
      </c>
      <c r="BA449" s="17">
        <f>SUMPRODUCT(N(Tabela1768[Código]=Tabela3[[#This Row],[PAPEL]]),Tabela1768[Fechamento])</f>
        <v>0</v>
      </c>
      <c r="BB449" s="7">
        <f>SUMPRODUCT(N(Tabela17683[Código]=Tabela3[[#This Row],[PAPEL]]),Tabela17683[Fechamento])</f>
        <v>0</v>
      </c>
    </row>
    <row r="450" spans="1:54" hidden="1">
      <c r="A450" s="3" t="s">
        <v>1196</v>
      </c>
      <c r="B450" s="57" t="s">
        <v>1210</v>
      </c>
      <c r="C450" s="16" t="str">
        <f>LEFT([PAPEL],LEN([PAPEL])-(LEN([PAPEL])-4))</f>
        <v>GFSA</v>
      </c>
      <c r="D450" s="16">
        <v>3</v>
      </c>
      <c r="E450" s="5">
        <v>2734156672.1199999</v>
      </c>
      <c r="F450" s="56">
        <v>435559201</v>
      </c>
      <c r="G450" s="81">
        <v>0.25</v>
      </c>
      <c r="H450" s="87"/>
      <c r="J450" s="18"/>
      <c r="K450" s="16"/>
      <c r="L450" s="87"/>
      <c r="M450" s="54"/>
      <c r="N450" s="54"/>
      <c r="O450" s="54"/>
      <c r="P450" s="91">
        <v>2216828000</v>
      </c>
      <c r="Q450" s="73">
        <v>-53839000</v>
      </c>
      <c r="R450" s="73">
        <f>IF(Tabela3[[#This Row],[Ativo || Passivo]]&gt;0,Tabela3[[#This Row],[Ativo || Passivo]]-Tabela3[[#This Row],[Patrimônio Líquido]],0)</f>
        <v>0</v>
      </c>
      <c r="S450" s="73">
        <f>Tabela3[[#This Row],[Cotação]]*Tabela3[[#This Row],[Total Ações]]</f>
        <v>1341522339.0799999</v>
      </c>
      <c r="T450" s="37">
        <f>IF(Tabela3[[#This Row],[Passivo Circulante]]&gt;0,Tabela3[[#This Row],[Ativo Circulante]]/Tabela3[[#This Row],[Passivo Circulante]],0)</f>
        <v>0</v>
      </c>
      <c r="U450" s="37">
        <f>SUMPRODUCT(N([Liquidez Corrente]&gt;0),N(RIGHT([PAPEL],LEN([PAPEL])-(LEN([PAPEL])-1))="3"),[Liquidez Corrente])/SUMPRODUCT(N([Liquidez Corrente]&gt;0),N(RIGHT([PAPEL],LEN([PAPEL])-(LEN([PAPEL])-1))="3"))</f>
        <v>2.331224473064915</v>
      </c>
      <c r="V450" s="18">
        <f>IF(Tabela3[[#This Row],[Lucro Líquido]]&gt;0,Tabela3[[#This Row],[Lucro Líquido]]/Tabela3[[#This Row],[Patrimônio Líquido]],0)</f>
        <v>0</v>
      </c>
      <c r="W450" s="18">
        <f>SUMPRODUCT(N([Rentabilidade s/ PL]&gt;0),N(RIGHT([PAPEL],LEN([PAPEL])-(LEN([PAPEL])-1))="3"),[Rentabilidade s/ PL])/SUMPRODUCT(N([Rentabilidade s/ PL]&gt;0),N(RIGHT([PAPEL],LEN([PAPEL])-(LEN([PAPEL])-1))="3"))</f>
        <v>0.1261051308670782</v>
      </c>
      <c r="X450" s="18">
        <f>IF(Tabela3[[#This Row],[Dívida]]&gt;0,Tabela3[[#This Row],[Dívida]]/Tabela3[[#This Row],[Patrimônio Líquido]],0)</f>
        <v>0</v>
      </c>
      <c r="Y450" s="18">
        <f>SUMPRODUCT(N([Dívida / PL]&gt;0),N(RIGHT([PAPEL],LEN([PAPEL])-(LEN([PAPEL])-1))="3"),[Dívida / PL])/SUMPRODUCT(N([Dívida / PL]&gt;0),N(RIGHT([PAPEL],LEN([PAPEL])-(LEN([PAPEL])-1))="3"))</f>
        <v>2.1510410379481146</v>
      </c>
      <c r="Z450" s="7">
        <f>Tabela3[[#This Row],[Capital Social]]*20%</f>
        <v>546831334.42400002</v>
      </c>
      <c r="AA450" s="47">
        <f>IF(([Lucro Líquido]*5%)&gt;[Teto R. Legal],[Teto R. Legal],[Lucro Líquido]*5%)</f>
        <v>-2691950</v>
      </c>
      <c r="AB450" s="47">
        <f>IF([Lucro Líquido]&lt;0,0,[Lucro Líquido]-[Reserva Legal])</f>
        <v>0</v>
      </c>
      <c r="AC450" s="47">
        <f>Tabela3[[#This Row],[Lucro Distribuir]]*[%Div]</f>
        <v>0</v>
      </c>
      <c r="AD450" s="56">
        <f>SUMPRODUCT(N([Nome]=Tabela3[[#This Row],[Nome]]),[Ações])</f>
        <v>435559201</v>
      </c>
      <c r="AE450" s="85">
        <f>[Capital Social]/[Total Ações]</f>
        <v>6.2773479835637769</v>
      </c>
      <c r="AF450" s="85">
        <f>Tabela3[[#This Row],[Lucro Líquido]]/Tabela3[[#This Row],[Total Ações]]</f>
        <v>-0.12360891441712421</v>
      </c>
      <c r="AG450" s="85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</v>
      </c>
      <c r="AH450" s="85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450" s="77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450" s="85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</v>
      </c>
      <c r="AK450" s="7">
        <f>[Div Base]*[Ações]</f>
        <v>0</v>
      </c>
      <c r="AL450" s="120">
        <f>SUMPRODUCT(N([Nome]=Tabela3[[#This Row],[Nome]]),[Div Base]*[Ações])</f>
        <v>0</v>
      </c>
      <c r="AM450" s="5">
        <f>[Patrimônio Líquido]/[Total Ações]</f>
        <v>5.0896135242015008</v>
      </c>
      <c r="AN450" s="52">
        <f>MAX(Tabela3[[#This Row],[Cotação 1]:[Cotação 5]])</f>
        <v>3.08</v>
      </c>
      <c r="AO450" s="53">
        <f>[Cotação]/[VPA]</f>
        <v>0.60515400341388692</v>
      </c>
      <c r="AP450" s="37">
        <f>IF(Tabela3[[#This Row],[Lucro/Ação]]&gt;0,Tabela3[[#This Row],[Cotação]]/(Tabela3[[#This Row],[Lucro/Ação]]/[Ref]*4),0)</f>
        <v>0</v>
      </c>
      <c r="AQ450" s="85">
        <f>[Lucro Distribuir]/[Total Ações]</f>
        <v>0</v>
      </c>
      <c r="AR450" s="85">
        <f>IF([Unit ON]&gt;0,SUMPRODUCT(N([Nome]=Tabela3[[#This Row],[Nome]]),N(RIGHT([PAPEL],1)="3"),[Div Base])*[Unit ON]+SUMPRODUCT(N([Nome]=Tabela3[[#This Row],[Nome]]),N(RIGHT([PAPEL],1)="4"),[Div Base])*[Unit PN],[Div Base])</f>
        <v>0</v>
      </c>
      <c r="AS450" s="10" t="str">
        <f>IF(AND([% A.A.]&gt;=6%,SUMPRODUCT(N([Nome]=Tabela3[[#This Row],[Nome]]),[PL])&gt;0,[Rentabilidade s/ PL]&gt;=[Rentabilidade s/ PL Média]),"Sim","Não")</f>
        <v>Não</v>
      </c>
      <c r="AT450" s="22">
        <f>IF([Cotação]&gt;0,Tabela3[[#This Row],[Lucro]]/Tabela3[[#This Row],[Cotação]],0)</f>
        <v>0</v>
      </c>
      <c r="AU450" s="22">
        <f>((1+Tabela3[[#This Row],[% Yield]])^(1/(3*Tabela3[[#This Row],[Ref]])))^(12)-1</f>
        <v>0</v>
      </c>
      <c r="AV450" s="10">
        <f>IF([Cotação]&gt;0,($BH$1/Tabela3[[#This Row],[Cotação]]-MOD($BH$1/Tabela3[[#This Row],[Cotação]],100)),)</f>
        <v>100</v>
      </c>
      <c r="AW450" s="7">
        <f>Tabela3[[#This Row],[Ativos]]*[Lucro]</f>
        <v>0</v>
      </c>
      <c r="AX450" s="7">
        <f>SUMPRODUCT(N(Tabela1[Código]=Tabela3[[#This Row],[PAPEL]]),Tabela1[Fechamento])</f>
        <v>0</v>
      </c>
      <c r="AY450" s="7">
        <f>SUMPRODUCT(N(Tabela17[Código]=Tabela3[[#This Row],[PAPEL]]),Tabela17[Fechamento])</f>
        <v>0</v>
      </c>
      <c r="AZ450" s="7">
        <f>SUMPRODUCT(N(Tabela176[Código]=Tabela3[[#This Row],[PAPEL]]),Tabela176[Fechamento])</f>
        <v>0</v>
      </c>
      <c r="BA450" s="7">
        <f>SUMPRODUCT(N(Tabela1768[Código]=Tabela3[[#This Row],[PAPEL]]),Tabela1768[Fechamento])</f>
        <v>3.08</v>
      </c>
      <c r="BB450" s="7">
        <f>SUMPRODUCT(N(Tabela17683[Código]=Tabela3[[#This Row],[PAPEL]]),Tabela17683[Fechamento])</f>
        <v>0</v>
      </c>
    </row>
    <row r="451" spans="1:54" hidden="1">
      <c r="A451" s="3" t="s">
        <v>1497</v>
      </c>
      <c r="B451" s="57" t="s">
        <v>1468</v>
      </c>
      <c r="C451" s="16" t="str">
        <f>LEFT([PAPEL],LEN([PAPEL])-(LEN([PAPEL])-4))</f>
        <v>PLAS</v>
      </c>
      <c r="D451" s="16">
        <v>3</v>
      </c>
      <c r="E451" s="5">
        <v>289080000</v>
      </c>
      <c r="F451" s="56">
        <v>242017574</v>
      </c>
      <c r="G451" s="81">
        <v>0.25</v>
      </c>
      <c r="H451" s="87"/>
      <c r="J451" s="18"/>
      <c r="K451" s="16"/>
      <c r="L451" s="87"/>
      <c r="M451" s="54"/>
      <c r="N451" s="54"/>
      <c r="O451" s="54"/>
      <c r="P451" s="91">
        <v>368006000</v>
      </c>
      <c r="Q451" s="73">
        <v>-54443000</v>
      </c>
      <c r="R451" s="73">
        <f>IF(Tabela3[[#This Row],[Ativo || Passivo]]&gt;0,Tabela3[[#This Row],[Ativo || Passivo]]-Tabela3[[#This Row],[Patrimônio Líquido]],0)</f>
        <v>0</v>
      </c>
      <c r="S451" s="73">
        <f>Tabela3[[#This Row],[Cotação]]*Tabela3[[#This Row],[Total Ações]]</f>
        <v>99227205.339999989</v>
      </c>
      <c r="T451" s="37">
        <f>IF(Tabela3[[#This Row],[Passivo Circulante]]&gt;0,Tabela3[[#This Row],[Ativo Circulante]]/Tabela3[[#This Row],[Passivo Circulante]],0)</f>
        <v>0</v>
      </c>
      <c r="U451" s="37">
        <f>SUMPRODUCT(N([Liquidez Corrente]&gt;0),N(RIGHT([PAPEL],LEN([PAPEL])-(LEN([PAPEL])-1))="3"),[Liquidez Corrente])/SUMPRODUCT(N([Liquidez Corrente]&gt;0),N(RIGHT([PAPEL],LEN([PAPEL])-(LEN([PAPEL])-1))="3"))</f>
        <v>2.331224473064915</v>
      </c>
      <c r="V451" s="18">
        <f>IF(Tabela3[[#This Row],[Lucro Líquido]]&gt;0,Tabela3[[#This Row],[Lucro Líquido]]/Tabela3[[#This Row],[Patrimônio Líquido]],0)</f>
        <v>0</v>
      </c>
      <c r="W451" s="18">
        <f>SUMPRODUCT(N([Rentabilidade s/ PL]&gt;0),N(RIGHT([PAPEL],LEN([PAPEL])-(LEN([PAPEL])-1))="3"),[Rentabilidade s/ PL])/SUMPRODUCT(N([Rentabilidade s/ PL]&gt;0),N(RIGHT([PAPEL],LEN([PAPEL])-(LEN([PAPEL])-1))="3"))</f>
        <v>0.1261051308670782</v>
      </c>
      <c r="X451" s="18">
        <f>IF(Tabela3[[#This Row],[Dívida]]&gt;0,Tabela3[[#This Row],[Dívida]]/Tabela3[[#This Row],[Patrimônio Líquido]],0)</f>
        <v>0</v>
      </c>
      <c r="Y451" s="18">
        <f>SUMPRODUCT(N([Dívida / PL]&gt;0),N(RIGHT([PAPEL],LEN([PAPEL])-(LEN([PAPEL])-1))="3"),[Dívida / PL])/SUMPRODUCT(N([Dívida / PL]&gt;0),N(RIGHT([PAPEL],LEN([PAPEL])-(LEN([PAPEL])-1))="3"))</f>
        <v>2.1510410379481146</v>
      </c>
      <c r="Z451" s="7">
        <f>Tabela3[[#This Row],[Capital Social]]*20%</f>
        <v>57816000</v>
      </c>
      <c r="AA451" s="47">
        <f>IF(([Lucro Líquido]*5%)&gt;[Teto R. Legal],[Teto R. Legal],[Lucro Líquido]*5%)</f>
        <v>-2722150</v>
      </c>
      <c r="AB451" s="47">
        <f>IF([Lucro Líquido]&lt;0,0,[Lucro Líquido]-[Reserva Legal])</f>
        <v>0</v>
      </c>
      <c r="AC451" s="47">
        <f>Tabela3[[#This Row],[Lucro Distribuir]]*[%Div]</f>
        <v>0</v>
      </c>
      <c r="AD451" s="56">
        <f>SUMPRODUCT(N([Nome]=Tabela3[[#This Row],[Nome]]),[Ações])</f>
        <v>242017574</v>
      </c>
      <c r="AE451" s="85">
        <f>[Capital Social]/[Total Ações]</f>
        <v>1.1944587131511366</v>
      </c>
      <c r="AF451" s="85">
        <f>Tabela3[[#This Row],[Lucro Líquido]]/Tabela3[[#This Row],[Total Ações]]</f>
        <v>-0.22495473820425949</v>
      </c>
      <c r="AG451" s="85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</v>
      </c>
      <c r="AH451" s="85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451" s="77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451" s="85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</v>
      </c>
      <c r="AK451" s="7">
        <f>[Div Base]*[Ações]</f>
        <v>0</v>
      </c>
      <c r="AL451" s="120">
        <f>SUMPRODUCT(N([Nome]=Tabela3[[#This Row],[Nome]]),[Div Base]*[Ações])</f>
        <v>0</v>
      </c>
      <c r="AM451" s="5">
        <f>[Patrimônio Líquido]/[Total Ações]</f>
        <v>1.5205755264698257</v>
      </c>
      <c r="AN451" s="52">
        <f>MAX(Tabela3[[#This Row],[Cotação 1]:[Cotação 5]])</f>
        <v>0.41</v>
      </c>
      <c r="AO451" s="53">
        <f>[Cotação]/[VPA]</f>
        <v>0.26963474872692289</v>
      </c>
      <c r="AP451" s="37">
        <f>IF(Tabela3[[#This Row],[Lucro/Ação]]&gt;0,Tabela3[[#This Row],[Cotação]]/(Tabela3[[#This Row],[Lucro/Ação]]/[Ref]*4),0)</f>
        <v>0</v>
      </c>
      <c r="AQ451" s="85">
        <f>[Lucro Distribuir]/[Total Ações]</f>
        <v>0</v>
      </c>
      <c r="AR451" s="85">
        <f>IF([Unit ON]&gt;0,SUMPRODUCT(N([Nome]=Tabela3[[#This Row],[Nome]]),N(RIGHT([PAPEL],1)="3"),[Div Base])*[Unit ON]+SUMPRODUCT(N([Nome]=Tabela3[[#This Row],[Nome]]),N(RIGHT([PAPEL],1)="4"),[Div Base])*[Unit PN],[Div Base])</f>
        <v>0</v>
      </c>
      <c r="AS451" s="10" t="str">
        <f>IF(AND([% A.A.]&gt;=6%,SUMPRODUCT(N([Nome]=Tabela3[[#This Row],[Nome]]),[PL])&gt;0,[Rentabilidade s/ PL]&gt;=[Rentabilidade s/ PL Média]),"Sim","Não")</f>
        <v>Não</v>
      </c>
      <c r="AT451" s="22">
        <f>IF([Cotação]&gt;0,Tabela3[[#This Row],[Lucro]]/Tabela3[[#This Row],[Cotação]],0)</f>
        <v>0</v>
      </c>
      <c r="AU451" s="22">
        <f>((1+Tabela3[[#This Row],[% Yield]])^(1/(3*Tabela3[[#This Row],[Ref]])))^(12)-1</f>
        <v>0</v>
      </c>
      <c r="AV451" s="10">
        <f>IF([Cotação]&gt;0,($BH$1/Tabela3[[#This Row],[Cotação]]-MOD($BH$1/Tabela3[[#This Row],[Cotação]],100)),)</f>
        <v>1200</v>
      </c>
      <c r="AW451" s="7">
        <f>Tabela3[[#This Row],[Ativos]]*[Lucro]</f>
        <v>0</v>
      </c>
      <c r="AX451" s="7">
        <f>SUMPRODUCT(N(Tabela1[Código]=Tabela3[[#This Row],[PAPEL]]),Tabela1[Fechamento])</f>
        <v>0</v>
      </c>
      <c r="AY451" s="7">
        <f>SUMPRODUCT(N(Tabela17[Código]=Tabela3[[#This Row],[PAPEL]]),Tabela17[Fechamento])</f>
        <v>0</v>
      </c>
      <c r="AZ451" s="7">
        <f>SUMPRODUCT(N(Tabela176[Código]=Tabela3[[#This Row],[PAPEL]]),Tabela176[Fechamento])</f>
        <v>0</v>
      </c>
      <c r="BA451" s="7">
        <f>SUMPRODUCT(N(Tabela1768[Código]=Tabela3[[#This Row],[PAPEL]]),Tabela1768[Fechamento])</f>
        <v>0</v>
      </c>
      <c r="BB451" s="7">
        <f>SUMPRODUCT(N(Tabela17683[Código]=Tabela3[[#This Row],[PAPEL]]),Tabela17683[Fechamento])</f>
        <v>0.41</v>
      </c>
    </row>
    <row r="452" spans="1:54" hidden="1">
      <c r="A452" s="4" t="s">
        <v>40</v>
      </c>
      <c r="B452" s="126" t="s">
        <v>663</v>
      </c>
      <c r="C452" s="15" t="str">
        <f>LEFT([PAPEL],LEN([PAPEL])-(LEN([PAPEL])-4))</f>
        <v>GPCP</v>
      </c>
      <c r="D452" s="15">
        <v>3</v>
      </c>
      <c r="E452" s="6">
        <v>210200000</v>
      </c>
      <c r="F452" s="8">
        <v>358849702</v>
      </c>
      <c r="G452" s="86">
        <v>0.25</v>
      </c>
      <c r="H452" s="15"/>
      <c r="I452" s="19"/>
      <c r="J452" s="19"/>
      <c r="K452" s="88"/>
      <c r="L452" s="88"/>
      <c r="M452" s="55"/>
      <c r="N452" s="55"/>
      <c r="O452" s="55"/>
      <c r="P452" s="92">
        <v>69900000</v>
      </c>
      <c r="Q452" s="93">
        <v>-65107000</v>
      </c>
      <c r="R452" s="93">
        <f>IF(Tabela3[[#This Row],[Ativo || Passivo]]&gt;0,Tabela3[[#This Row],[Ativo || Passivo]]-Tabela3[[#This Row],[Patrimônio Líquido]],0)</f>
        <v>0</v>
      </c>
      <c r="S452" s="93">
        <f>Tabela3[[#This Row],[Cotação]]*Tabela3[[#This Row],[Total Ações]]</f>
        <v>179424851</v>
      </c>
      <c r="T452" s="40">
        <f>IF(Tabela3[[#This Row],[Passivo Circulante]]&gt;0,Tabela3[[#This Row],[Ativo Circulante]]/Tabela3[[#This Row],[Passivo Circulante]],0)</f>
        <v>0</v>
      </c>
      <c r="U452" s="40">
        <f>SUMPRODUCT(N([Liquidez Corrente]&gt;0),N(RIGHT([PAPEL],LEN([PAPEL])-(LEN([PAPEL])-1))="3"),[Liquidez Corrente])/SUMPRODUCT(N([Liquidez Corrente]&gt;0),N(RIGHT([PAPEL],LEN([PAPEL])-(LEN([PAPEL])-1))="3"))</f>
        <v>2.331224473064915</v>
      </c>
      <c r="V452" s="19">
        <f>IF(Tabela3[[#This Row],[Lucro Líquido]]&gt;0,Tabela3[[#This Row],[Lucro Líquido]]/Tabela3[[#This Row],[Patrimônio Líquido]],0)</f>
        <v>0</v>
      </c>
      <c r="W452" s="19">
        <f>SUMPRODUCT(N([Rentabilidade s/ PL]&gt;0),N(RIGHT([PAPEL],LEN([PAPEL])-(LEN([PAPEL])-1))="3"),[Rentabilidade s/ PL])/SUMPRODUCT(N([Rentabilidade s/ PL]&gt;0),N(RIGHT([PAPEL],LEN([PAPEL])-(LEN([PAPEL])-1))="3"))</f>
        <v>0.1261051308670782</v>
      </c>
      <c r="X452" s="19">
        <f>IF(Tabela3[[#This Row],[Dívida]]&gt;0,Tabela3[[#This Row],[Dívida]]/Tabela3[[#This Row],[Patrimônio Líquido]],0)</f>
        <v>0</v>
      </c>
      <c r="Y452" s="19">
        <f>SUMPRODUCT(N([Dívida / PL]&gt;0),N(RIGHT([PAPEL],LEN([PAPEL])-(LEN([PAPEL])-1))="3"),[Dívida / PL])/SUMPRODUCT(N([Dívida / PL]&gt;0),N(RIGHT([PAPEL],LEN([PAPEL])-(LEN([PAPEL])-1))="3"))</f>
        <v>2.1510410379481146</v>
      </c>
      <c r="Z452" s="13">
        <f>Tabela3[[#This Row],[Capital Social]]*20%</f>
        <v>42040000</v>
      </c>
      <c r="AA452" s="13">
        <f>IF(([Lucro Líquido]*5%)&gt;[Teto R. Legal],[Teto R. Legal],[Lucro Líquido]*5%)</f>
        <v>-3255350</v>
      </c>
      <c r="AB452" s="13">
        <f>IF([Lucro Líquido]&lt;0,0,[Lucro Líquido]-[Reserva Legal])</f>
        <v>0</v>
      </c>
      <c r="AC452" s="13">
        <f>Tabela3[[#This Row],[Lucro Distribuir]]*[%Div]</f>
        <v>0</v>
      </c>
      <c r="AD452" s="56">
        <f>SUMPRODUCT(N([Nome]=Tabela3[[#This Row],[Nome]]),[Ações])</f>
        <v>358849702</v>
      </c>
      <c r="AE452" s="6">
        <f>[Capital Social]/[Total Ações]</f>
        <v>0.58576055331376586</v>
      </c>
      <c r="AF452" s="78">
        <f>Tabela3[[#This Row],[Lucro Líquido]]/Tabela3[[#This Row],[Total Ações]]</f>
        <v>-0.18143250401807495</v>
      </c>
      <c r="AG452" s="78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</v>
      </c>
      <c r="AH452" s="78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452" s="78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452" s="78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</v>
      </c>
      <c r="AK452" s="13">
        <f>[Div Base]*[Ações]</f>
        <v>0</v>
      </c>
      <c r="AL452" s="13">
        <f>SUMPRODUCT(N([Nome]=Tabela3[[#This Row],[Nome]]),[Div Base]*[Ações])</f>
        <v>0</v>
      </c>
      <c r="AM452" s="6">
        <f>[Patrimônio Líquido]/[Total Ações]</f>
        <v>0.19478907077370236</v>
      </c>
      <c r="AN452" s="48">
        <f>MAX(Tabela3[[#This Row],[Cotação 1]:[Cotação 5]])</f>
        <v>0.5</v>
      </c>
      <c r="AO452" s="44">
        <f>[Cotação]/[VPA]</f>
        <v>2.5668791273247495</v>
      </c>
      <c r="AP452" s="40">
        <f>IF(Tabela3[[#This Row],[Lucro/Ação]]&gt;0,Tabela3[[#This Row],[Cotação]]/(Tabela3[[#This Row],[Lucro/Ação]]/[Ref]*4),0)</f>
        <v>0</v>
      </c>
      <c r="AQ452" s="78">
        <f>[Lucro Distribuir]/[Total Ações]</f>
        <v>0</v>
      </c>
      <c r="AR452" s="78">
        <f>IF([Unit ON]&gt;0,SUMPRODUCT(N([Nome]=Tabela3[[#This Row],[Nome]]),N(RIGHT([PAPEL],1)="3"),[Div Base])*[Unit ON]+SUMPRODUCT(N([Nome]=Tabela3[[#This Row],[Nome]]),N(RIGHT([PAPEL],1)="4"),[Div Base])*[Unit PN],[Div Base])</f>
        <v>0</v>
      </c>
      <c r="AS452" s="14" t="str">
        <f>IF(AND([% A.A.]&gt;=6%,SUMPRODUCT(N([Nome]=Tabela3[[#This Row],[Nome]]),[PL])&gt;0,[Rentabilidade s/ PL]&gt;=[Rentabilidade s/ PL Média]),"Sim","Não")</f>
        <v>Não</v>
      </c>
      <c r="AT452" s="42">
        <f>IF([Cotação]&gt;0,Tabela3[[#This Row],[Lucro]]/Tabela3[[#This Row],[Cotação]],0)</f>
        <v>0</v>
      </c>
      <c r="AU452" s="42">
        <f>((1+Tabela3[[#This Row],[% Yield]])^(1/(3*Tabela3[[#This Row],[Ref]])))^(12)-1</f>
        <v>0</v>
      </c>
      <c r="AV452" s="14">
        <f>IF([Cotação]&gt;0,($BH$1/Tabela3[[#This Row],[Cotação]]-MOD($BH$1/Tabela3[[#This Row],[Cotação]],100)),)</f>
        <v>1000</v>
      </c>
      <c r="AW452" s="17">
        <f>Tabela3[[#This Row],[Ativos]]*[Lucro]</f>
        <v>0</v>
      </c>
      <c r="AX452" s="17">
        <f>SUMPRODUCT(N(Tabela1[Código]=Tabela3[[#This Row],[PAPEL]]),Tabela1[Fechamento])</f>
        <v>0</v>
      </c>
      <c r="AY452" s="17">
        <f>SUMPRODUCT(N(Tabela17[Código]=Tabela3[[#This Row],[PAPEL]]),Tabela17[Fechamento])</f>
        <v>0</v>
      </c>
      <c r="AZ452" s="17">
        <f>SUMPRODUCT(N(Tabela176[Código]=Tabela3[[#This Row],[PAPEL]]),Tabela176[Fechamento])</f>
        <v>0.5</v>
      </c>
      <c r="BA452" s="17">
        <f>SUMPRODUCT(N(Tabela1768[Código]=Tabela3[[#This Row],[PAPEL]]),Tabela1768[Fechamento])</f>
        <v>0</v>
      </c>
      <c r="BB452" s="7">
        <f>SUMPRODUCT(N(Tabela17683[Código]=Tabela3[[#This Row],[PAPEL]]),Tabela17683[Fechamento])</f>
        <v>0</v>
      </c>
    </row>
    <row r="453" spans="1:54" hidden="1">
      <c r="A453" s="3" t="s">
        <v>1283</v>
      </c>
      <c r="B453" s="125" t="s">
        <v>1273</v>
      </c>
      <c r="C453" s="16" t="str">
        <f>LEFT([PAPEL],LEN([PAPEL])-(LEN([PAPEL])-4))</f>
        <v>TCNO</v>
      </c>
      <c r="D453" s="16">
        <v>3</v>
      </c>
      <c r="E453" s="5">
        <v>12971838.99</v>
      </c>
      <c r="F453" s="56">
        <v>35305085</v>
      </c>
      <c r="G453" s="81">
        <v>0.25</v>
      </c>
      <c r="H453" s="87"/>
      <c r="J453" s="18"/>
      <c r="K453" s="16"/>
      <c r="L453" s="87"/>
      <c r="M453" s="54"/>
      <c r="N453" s="54"/>
      <c r="O453" s="54"/>
      <c r="P453" s="91">
        <v>5301000</v>
      </c>
      <c r="Q453" s="73">
        <v>-67139000</v>
      </c>
      <c r="R453" s="73">
        <f>IF(Tabela3[[#This Row],[Ativo || Passivo]]&gt;0,Tabela3[[#This Row],[Ativo || Passivo]]-Tabela3[[#This Row],[Patrimônio Líquido]],0)</f>
        <v>0</v>
      </c>
      <c r="S453" s="73">
        <f>Tabela3[[#This Row],[Cotação]]*Tabela3[[#This Row],[Total Ações]]</f>
        <v>7944406.7999999998</v>
      </c>
      <c r="T453" s="37">
        <f>IF(Tabela3[[#This Row],[Passivo Circulante]]&gt;0,Tabela3[[#This Row],[Ativo Circulante]]/Tabela3[[#This Row],[Passivo Circulante]],0)</f>
        <v>0</v>
      </c>
      <c r="U453" s="37">
        <f>SUMPRODUCT(N([Liquidez Corrente]&gt;0),N(RIGHT([PAPEL],LEN([PAPEL])-(LEN([PAPEL])-1))="3"),[Liquidez Corrente])/SUMPRODUCT(N([Liquidez Corrente]&gt;0),N(RIGHT([PAPEL],LEN([PAPEL])-(LEN([PAPEL])-1))="3"))</f>
        <v>2.331224473064915</v>
      </c>
      <c r="V453" s="18">
        <f>IF(Tabela3[[#This Row],[Lucro Líquido]]&gt;0,Tabela3[[#This Row],[Lucro Líquido]]/Tabela3[[#This Row],[Patrimônio Líquido]],0)</f>
        <v>0</v>
      </c>
      <c r="W453" s="18">
        <f>SUMPRODUCT(N([Rentabilidade s/ PL]&gt;0),N(RIGHT([PAPEL],LEN([PAPEL])-(LEN([PAPEL])-1))="3"),[Rentabilidade s/ PL])/SUMPRODUCT(N([Rentabilidade s/ PL]&gt;0),N(RIGHT([PAPEL],LEN([PAPEL])-(LEN([PAPEL])-1))="3"))</f>
        <v>0.1261051308670782</v>
      </c>
      <c r="X453" s="18">
        <f>IF(Tabela3[[#This Row],[Dívida]]&gt;0,Tabela3[[#This Row],[Dívida]]/Tabela3[[#This Row],[Patrimônio Líquido]],0)</f>
        <v>0</v>
      </c>
      <c r="Y453" s="18">
        <f>SUMPRODUCT(N([Dívida / PL]&gt;0),N(RIGHT([PAPEL],LEN([PAPEL])-(LEN([PAPEL])-1))="3"),[Dívida / PL])/SUMPRODUCT(N([Dívida / PL]&gt;0),N(RIGHT([PAPEL],LEN([PAPEL])-(LEN([PAPEL])-1))="3"))</f>
        <v>2.1510410379481146</v>
      </c>
      <c r="Z453" s="7">
        <f>Tabela3[[#This Row],[Capital Social]]*20%</f>
        <v>2594367.7980000004</v>
      </c>
      <c r="AA453" s="47">
        <f>IF(([Lucro Líquido]*5%)&gt;[Teto R. Legal],[Teto R. Legal],[Lucro Líquido]*5%)</f>
        <v>-3356950</v>
      </c>
      <c r="AB453" s="47">
        <f>IF([Lucro Líquido]&lt;0,0,[Lucro Líquido]-[Reserva Legal])</f>
        <v>0</v>
      </c>
      <c r="AC453" s="47">
        <f>Tabela3[[#This Row],[Lucro Distribuir]]*[%Div]</f>
        <v>0</v>
      </c>
      <c r="AD453" s="56">
        <f>SUMPRODUCT(N([Nome]=Tabela3[[#This Row],[Nome]]),[Ações])</f>
        <v>99305085</v>
      </c>
      <c r="AE453" s="85">
        <f>[Capital Social]/[Total Ações]</f>
        <v>0.13062613047458749</v>
      </c>
      <c r="AF453" s="85">
        <f>Tabela3[[#This Row],[Lucro Líquido]]/Tabela3[[#This Row],[Total Ações]]</f>
        <v>-0.67608823858315015</v>
      </c>
      <c r="AG453" s="85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</v>
      </c>
      <c r="AH453" s="85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453" s="77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453" s="85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</v>
      </c>
      <c r="AK453" s="7">
        <f>[Div Base]*[Ações]</f>
        <v>0</v>
      </c>
      <c r="AL453" s="120">
        <f>SUMPRODUCT(N([Nome]=Tabela3[[#This Row],[Nome]]),[Div Base]*[Ações])</f>
        <v>0</v>
      </c>
      <c r="AM453" s="5">
        <f>[Patrimônio Líquido]/[Total Ações]</f>
        <v>5.3380952244288397E-2</v>
      </c>
      <c r="AN453" s="52">
        <f>MAX(Tabela3[[#This Row],[Cotação 1]:[Cotação 5]])</f>
        <v>0.08</v>
      </c>
      <c r="AO453" s="53">
        <f>[Cotação]/[VPA]</f>
        <v>1.4986619128466327</v>
      </c>
      <c r="AP453" s="37">
        <f>IF(Tabela3[[#This Row],[Lucro/Ação]]&gt;0,Tabela3[[#This Row],[Cotação]]/(Tabela3[[#This Row],[Lucro/Ação]]/[Ref]*4),0)</f>
        <v>0</v>
      </c>
      <c r="AQ453" s="85">
        <f>[Lucro Distribuir]/[Total Ações]</f>
        <v>0</v>
      </c>
      <c r="AR453" s="85">
        <f>IF([Unit ON]&gt;0,SUMPRODUCT(N([Nome]=Tabela3[[#This Row],[Nome]]),N(RIGHT([PAPEL],1)="3"),[Div Base])*[Unit ON]+SUMPRODUCT(N([Nome]=Tabela3[[#This Row],[Nome]]),N(RIGHT([PAPEL],1)="4"),[Div Base])*[Unit PN],[Div Base])</f>
        <v>0</v>
      </c>
      <c r="AS453" s="10" t="str">
        <f>IF(AND([% A.A.]&gt;=6%,SUMPRODUCT(N([Nome]=Tabela3[[#This Row],[Nome]]),[PL])&gt;0,[Rentabilidade s/ PL]&gt;=[Rentabilidade s/ PL Média]),"Sim","Não")</f>
        <v>Não</v>
      </c>
      <c r="AT453" s="22">
        <f>IF([Cotação]&gt;0,Tabela3[[#This Row],[Lucro]]/Tabela3[[#This Row],[Cotação]],0)</f>
        <v>0</v>
      </c>
      <c r="AU453" s="22">
        <f>((1+Tabela3[[#This Row],[% Yield]])^(1/(3*Tabela3[[#This Row],[Ref]])))^(12)-1</f>
        <v>0</v>
      </c>
      <c r="AV453" s="10">
        <f>IF([Cotação]&gt;0,($BH$1/Tabela3[[#This Row],[Cotação]]-MOD($BH$1/Tabela3[[#This Row],[Cotação]],100)),)</f>
        <v>6200</v>
      </c>
      <c r="AW453" s="7">
        <f>Tabela3[[#This Row],[Ativos]]*[Lucro]</f>
        <v>0</v>
      </c>
      <c r="AX453" s="7">
        <f>SUMPRODUCT(N(Tabela1[Código]=Tabela3[[#This Row],[PAPEL]]),Tabela1[Fechamento])</f>
        <v>0</v>
      </c>
      <c r="AY453" s="7">
        <f>SUMPRODUCT(N(Tabela17[Código]=Tabela3[[#This Row],[PAPEL]]),Tabela17[Fechamento])</f>
        <v>0</v>
      </c>
      <c r="AZ453" s="7">
        <f>SUMPRODUCT(N(Tabela176[Código]=Tabela3[[#This Row],[PAPEL]]),Tabela176[Fechamento])</f>
        <v>0</v>
      </c>
      <c r="BA453" s="7">
        <f>SUMPRODUCT(N(Tabela1768[Código]=Tabela3[[#This Row],[PAPEL]]),Tabela1768[Fechamento])</f>
        <v>0</v>
      </c>
      <c r="BB453" s="7">
        <f>SUMPRODUCT(N(Tabela17683[Código]=Tabela3[[#This Row],[PAPEL]]),Tabela17683[Fechamento])</f>
        <v>0.08</v>
      </c>
    </row>
    <row r="454" spans="1:54" hidden="1">
      <c r="A454" s="3" t="s">
        <v>1283</v>
      </c>
      <c r="B454" s="125" t="s">
        <v>1274</v>
      </c>
      <c r="C454" s="16" t="str">
        <f>LEFT([PAPEL],LEN([PAPEL])-(LEN([PAPEL])-4))</f>
        <v>TCNO</v>
      </c>
      <c r="D454" s="16">
        <v>3</v>
      </c>
      <c r="E454" s="5">
        <v>12971838.99</v>
      </c>
      <c r="F454" s="56">
        <v>64000000</v>
      </c>
      <c r="G454" s="81">
        <v>0.25</v>
      </c>
      <c r="H454" s="87"/>
      <c r="J454" s="18"/>
      <c r="K454" s="16"/>
      <c r="L454" s="87"/>
      <c r="M454" s="54"/>
      <c r="N454" s="54"/>
      <c r="O454" s="54"/>
      <c r="P454" s="91">
        <v>5301000</v>
      </c>
      <c r="Q454" s="73">
        <v>-67139000</v>
      </c>
      <c r="R454" s="73">
        <f>IF(Tabela3[[#This Row],[Ativo || Passivo]]&gt;0,Tabela3[[#This Row],[Ativo || Passivo]]-Tabela3[[#This Row],[Patrimônio Líquido]],0)</f>
        <v>0</v>
      </c>
      <c r="S454" s="73">
        <f>Tabela3[[#This Row],[Cotação]]*Tabela3[[#This Row],[Total Ações]]</f>
        <v>5958305.0999999996</v>
      </c>
      <c r="T454" s="37">
        <f>IF(Tabela3[[#This Row],[Passivo Circulante]]&gt;0,Tabela3[[#This Row],[Ativo Circulante]]/Tabela3[[#This Row],[Passivo Circulante]],0)</f>
        <v>0</v>
      </c>
      <c r="U454" s="37">
        <f>SUMPRODUCT(N([Liquidez Corrente]&gt;0),N(RIGHT([PAPEL],LEN([PAPEL])-(LEN([PAPEL])-1))="3"),[Liquidez Corrente])/SUMPRODUCT(N([Liquidez Corrente]&gt;0),N(RIGHT([PAPEL],LEN([PAPEL])-(LEN([PAPEL])-1))="3"))</f>
        <v>2.331224473064915</v>
      </c>
      <c r="V454" s="18">
        <f>IF(Tabela3[[#This Row],[Lucro Líquido]]&gt;0,Tabela3[[#This Row],[Lucro Líquido]]/Tabela3[[#This Row],[Patrimônio Líquido]],0)</f>
        <v>0</v>
      </c>
      <c r="W454" s="18">
        <f>SUMPRODUCT(N([Rentabilidade s/ PL]&gt;0),N(RIGHT([PAPEL],LEN([PAPEL])-(LEN([PAPEL])-1))="3"),[Rentabilidade s/ PL])/SUMPRODUCT(N([Rentabilidade s/ PL]&gt;0),N(RIGHT([PAPEL],LEN([PAPEL])-(LEN([PAPEL])-1))="3"))</f>
        <v>0.1261051308670782</v>
      </c>
      <c r="X454" s="18">
        <f>IF(Tabela3[[#This Row],[Dívida]]&gt;0,Tabela3[[#This Row],[Dívida]]/Tabela3[[#This Row],[Patrimônio Líquido]],0)</f>
        <v>0</v>
      </c>
      <c r="Y454" s="18">
        <f>SUMPRODUCT(N([Dívida / PL]&gt;0),N(RIGHT([PAPEL],LEN([PAPEL])-(LEN([PAPEL])-1))="3"),[Dívida / PL])/SUMPRODUCT(N([Dívida / PL]&gt;0),N(RIGHT([PAPEL],LEN([PAPEL])-(LEN([PAPEL])-1))="3"))</f>
        <v>2.1510410379481146</v>
      </c>
      <c r="Z454" s="7">
        <f>Tabela3[[#This Row],[Capital Social]]*20%</f>
        <v>2594367.7980000004</v>
      </c>
      <c r="AA454" s="47">
        <f>IF(([Lucro Líquido]*5%)&gt;[Teto R. Legal],[Teto R. Legal],[Lucro Líquido]*5%)</f>
        <v>-3356950</v>
      </c>
      <c r="AB454" s="47">
        <f>IF([Lucro Líquido]&lt;0,0,[Lucro Líquido]-[Reserva Legal])</f>
        <v>0</v>
      </c>
      <c r="AC454" s="47">
        <f>Tabela3[[#This Row],[Lucro Distribuir]]*[%Div]</f>
        <v>0</v>
      </c>
      <c r="AD454" s="56">
        <f>SUMPRODUCT(N([Nome]=Tabela3[[#This Row],[Nome]]),[Ações])</f>
        <v>99305085</v>
      </c>
      <c r="AE454" s="85">
        <f>[Capital Social]/[Total Ações]</f>
        <v>0.13062613047458749</v>
      </c>
      <c r="AF454" s="85">
        <f>Tabela3[[#This Row],[Lucro Líquido]]/Tabela3[[#This Row],[Total Ações]]</f>
        <v>-0.67608823858315015</v>
      </c>
      <c r="AG454" s="85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</v>
      </c>
      <c r="AH454" s="85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454" s="77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454" s="85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</v>
      </c>
      <c r="AK454" s="7">
        <f>[Div Base]*[Ações]</f>
        <v>0</v>
      </c>
      <c r="AL454" s="120">
        <f>SUMPRODUCT(N([Nome]=Tabela3[[#This Row],[Nome]]),[Div Base]*[Ações])</f>
        <v>0</v>
      </c>
      <c r="AM454" s="5">
        <f>[Patrimônio Líquido]/[Total Ações]</f>
        <v>5.3380952244288397E-2</v>
      </c>
      <c r="AN454" s="52">
        <f>MAX(Tabela3[[#This Row],[Cotação 1]:[Cotação 5]])</f>
        <v>0.06</v>
      </c>
      <c r="AO454" s="53">
        <f>[Cotação]/[VPA]</f>
        <v>1.1239964346349745</v>
      </c>
      <c r="AP454" s="37">
        <f>IF(Tabela3[[#This Row],[Lucro/Ação]]&gt;0,Tabela3[[#This Row],[Cotação]]/(Tabela3[[#This Row],[Lucro/Ação]]/[Ref]*4),0)</f>
        <v>0</v>
      </c>
      <c r="AQ454" s="85">
        <f>[Lucro Distribuir]/[Total Ações]</f>
        <v>0</v>
      </c>
      <c r="AR454" s="85">
        <f>IF([Unit ON]&gt;0,SUMPRODUCT(N([Nome]=Tabela3[[#This Row],[Nome]]),N(RIGHT([PAPEL],1)="3"),[Div Base])*[Unit ON]+SUMPRODUCT(N([Nome]=Tabela3[[#This Row],[Nome]]),N(RIGHT([PAPEL],1)="4"),[Div Base])*[Unit PN],[Div Base])</f>
        <v>0</v>
      </c>
      <c r="AS454" s="10" t="str">
        <f>IF(AND([% A.A.]&gt;=6%,SUMPRODUCT(N([Nome]=Tabela3[[#This Row],[Nome]]),[PL])&gt;0,[Rentabilidade s/ PL]&gt;=[Rentabilidade s/ PL Média]),"Sim","Não")</f>
        <v>Não</v>
      </c>
      <c r="AT454" s="22">
        <f>IF([Cotação]&gt;0,Tabela3[[#This Row],[Lucro]]/Tabela3[[#This Row],[Cotação]],0)</f>
        <v>0</v>
      </c>
      <c r="AU454" s="22">
        <f>((1+Tabela3[[#This Row],[% Yield]])^(1/(3*Tabela3[[#This Row],[Ref]])))^(12)-1</f>
        <v>0</v>
      </c>
      <c r="AV454" s="10">
        <f>IF([Cotação]&gt;0,($BH$1/Tabela3[[#This Row],[Cotação]]-MOD($BH$1/Tabela3[[#This Row],[Cotação]],100)),)</f>
        <v>8300</v>
      </c>
      <c r="AW454" s="7">
        <f>Tabela3[[#This Row],[Ativos]]*[Lucro]</f>
        <v>0</v>
      </c>
      <c r="AX454" s="7">
        <f>SUMPRODUCT(N(Tabela1[Código]=Tabela3[[#This Row],[PAPEL]]),Tabela1[Fechamento])</f>
        <v>0</v>
      </c>
      <c r="AY454" s="7">
        <f>SUMPRODUCT(N(Tabela17[Código]=Tabela3[[#This Row],[PAPEL]]),Tabela17[Fechamento])</f>
        <v>0</v>
      </c>
      <c r="AZ454" s="7">
        <f>SUMPRODUCT(N(Tabela176[Código]=Tabela3[[#This Row],[PAPEL]]),Tabela176[Fechamento])</f>
        <v>0</v>
      </c>
      <c r="BA454" s="7">
        <f>SUMPRODUCT(N(Tabela1768[Código]=Tabela3[[#This Row],[PAPEL]]),Tabela1768[Fechamento])</f>
        <v>0</v>
      </c>
      <c r="BB454" s="7">
        <f>SUMPRODUCT(N(Tabela17683[Código]=Tabela3[[#This Row],[PAPEL]]),Tabela17683[Fechamento])</f>
        <v>0.06</v>
      </c>
    </row>
    <row r="455" spans="1:54" hidden="1">
      <c r="A455" s="3" t="s">
        <v>343</v>
      </c>
      <c r="B455" s="57" t="s">
        <v>748</v>
      </c>
      <c r="C455" s="15" t="str">
        <f>LEFT([PAPEL],LEN([PAPEL])-(LEN([PAPEL])-4))</f>
        <v>GSHP</v>
      </c>
      <c r="D455" s="15">
        <v>3</v>
      </c>
      <c r="E455" s="6">
        <v>317813163</v>
      </c>
      <c r="F455" s="8">
        <v>50480600</v>
      </c>
      <c r="G455" s="81">
        <v>0.25</v>
      </c>
      <c r="H455" s="15"/>
      <c r="I455" s="19"/>
      <c r="J455" s="19"/>
      <c r="K455" s="88"/>
      <c r="L455" s="88"/>
      <c r="M455" s="55"/>
      <c r="N455" s="55"/>
      <c r="O455" s="55"/>
      <c r="P455" s="92">
        <v>172998000</v>
      </c>
      <c r="Q455" s="93">
        <v>-69875000</v>
      </c>
      <c r="R455" s="93">
        <f>IF(Tabela3[[#This Row],[Ativo || Passivo]]&gt;0,Tabela3[[#This Row],[Ativo || Passivo]]-Tabela3[[#This Row],[Patrimônio Líquido]],0)</f>
        <v>0</v>
      </c>
      <c r="S455" s="93">
        <f>Tabela3[[#This Row],[Cotação]]*Tabela3[[#This Row],[Total Ações]]</f>
        <v>351344976</v>
      </c>
      <c r="T455" s="40">
        <f>IF(Tabela3[[#This Row],[Passivo Circulante]]&gt;0,Tabela3[[#This Row],[Ativo Circulante]]/Tabela3[[#This Row],[Passivo Circulante]],0)</f>
        <v>0</v>
      </c>
      <c r="U455" s="40">
        <f>SUMPRODUCT(N([Liquidez Corrente]&gt;0),N(RIGHT([PAPEL],LEN([PAPEL])-(LEN([PAPEL])-1))="3"),[Liquidez Corrente])/SUMPRODUCT(N([Liquidez Corrente]&gt;0),N(RIGHT([PAPEL],LEN([PAPEL])-(LEN([PAPEL])-1))="3"))</f>
        <v>2.331224473064915</v>
      </c>
      <c r="V455" s="19">
        <f>IF(Tabela3[[#This Row],[Lucro Líquido]]&gt;0,Tabela3[[#This Row],[Lucro Líquido]]/Tabela3[[#This Row],[Patrimônio Líquido]],0)</f>
        <v>0</v>
      </c>
      <c r="W455" s="19">
        <f>SUMPRODUCT(N([Rentabilidade s/ PL]&gt;0),N(RIGHT([PAPEL],LEN([PAPEL])-(LEN([PAPEL])-1))="3"),[Rentabilidade s/ PL])/SUMPRODUCT(N([Rentabilidade s/ PL]&gt;0),N(RIGHT([PAPEL],LEN([PAPEL])-(LEN([PAPEL])-1))="3"))</f>
        <v>0.1261051308670782</v>
      </c>
      <c r="X455" s="19">
        <f>IF(Tabela3[[#This Row],[Dívida]]&gt;0,Tabela3[[#This Row],[Dívida]]/Tabela3[[#This Row],[Patrimônio Líquido]],0)</f>
        <v>0</v>
      </c>
      <c r="Y455" s="19">
        <f>SUMPRODUCT(N([Dívida / PL]&gt;0),N(RIGHT([PAPEL],LEN([PAPEL])-(LEN([PAPEL])-1))="3"),[Dívida / PL])/SUMPRODUCT(N([Dívida / PL]&gt;0),N(RIGHT([PAPEL],LEN([PAPEL])-(LEN([PAPEL])-1))="3"))</f>
        <v>2.1510410379481146</v>
      </c>
      <c r="Z455" s="13">
        <f>Tabela3[[#This Row],[Capital Social]]*20%</f>
        <v>63562632.600000001</v>
      </c>
      <c r="AA455" s="13">
        <f>IF(([Lucro Líquido]*5%)&gt;[Teto R. Legal],[Teto R. Legal],[Lucro Líquido]*5%)</f>
        <v>-3493750</v>
      </c>
      <c r="AB455" s="13">
        <f>IF([Lucro Líquido]&lt;0,0,[Lucro Líquido]-[Reserva Legal])</f>
        <v>0</v>
      </c>
      <c r="AC455" s="13">
        <f>Tabela3[[#This Row],[Lucro Distribuir]]*[%Div]</f>
        <v>0</v>
      </c>
      <c r="AD455" s="21">
        <f>SUMPRODUCT(N([Nome]=Tabela3[[#This Row],[Nome]]),[Ações])</f>
        <v>50480600</v>
      </c>
      <c r="AE455" s="6">
        <f>[Capital Social]/[Total Ações]</f>
        <v>6.2957485251760081</v>
      </c>
      <c r="AF455" s="78">
        <f>Tabela3[[#This Row],[Lucro Líquido]]/Tabela3[[#This Row],[Total Ações]]</f>
        <v>-1.3841951165398192</v>
      </c>
      <c r="AG455" s="78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</v>
      </c>
      <c r="AH455" s="78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455" s="78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455" s="78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</v>
      </c>
      <c r="AK455" s="13">
        <f>[Div Base]*[Ações]</f>
        <v>0</v>
      </c>
      <c r="AL455" s="13">
        <f>SUMPRODUCT(N([Nome]=Tabela3[[#This Row],[Nome]]),[Div Base]*[Ações])</f>
        <v>0</v>
      </c>
      <c r="AM455" s="6">
        <f>[Patrimônio Líquido]/[Total Ações]</f>
        <v>3.4270194886748571</v>
      </c>
      <c r="AN455" s="48">
        <f>MAX(Tabela3[[#This Row],[Cotação 1]:[Cotação 5]])</f>
        <v>6.96</v>
      </c>
      <c r="AO455" s="44">
        <f>[Cotação]/[VPA]</f>
        <v>2.030919293864669</v>
      </c>
      <c r="AP455" s="40">
        <f>IF(Tabela3[[#This Row],[Lucro/Ação]]&gt;0,Tabela3[[#This Row],[Cotação]]/(Tabela3[[#This Row],[Lucro/Ação]]/[Ref]*4),0)</f>
        <v>0</v>
      </c>
      <c r="AQ455" s="78">
        <f>[Lucro Distribuir]/[Total Ações]</f>
        <v>0</v>
      </c>
      <c r="AR455" s="78">
        <f>IF([Unit ON]&gt;0,SUMPRODUCT(N([Nome]=Tabela3[[#This Row],[Nome]]),N(RIGHT([PAPEL],1)="3"),[Div Base])*[Unit ON]+SUMPRODUCT(N([Nome]=Tabela3[[#This Row],[Nome]]),N(RIGHT([PAPEL],1)="4"),[Div Base])*[Unit PN],[Div Base])</f>
        <v>0</v>
      </c>
      <c r="AS455" s="14" t="str">
        <f>IF(AND([% A.A.]&gt;=6%,SUMPRODUCT(N([Nome]=Tabela3[[#This Row],[Nome]]),[PL])&gt;0,[Rentabilidade s/ PL]&gt;=[Rentabilidade s/ PL Média]),"Sim","Não")</f>
        <v>Não</v>
      </c>
      <c r="AT455" s="42">
        <f>IF([Cotação]&gt;0,Tabela3[[#This Row],[Lucro]]/Tabela3[[#This Row],[Cotação]],0)</f>
        <v>0</v>
      </c>
      <c r="AU455" s="42">
        <f>((1+Tabela3[[#This Row],[% Yield]])^(1/(3*Tabela3[[#This Row],[Ref]])))^(12)-1</f>
        <v>0</v>
      </c>
      <c r="AV455" s="14">
        <f>IF([Cotação]&gt;0,($BH$1/Tabela3[[#This Row],[Cotação]]-MOD($BH$1/Tabela3[[#This Row],[Cotação]],100)),)</f>
        <v>0</v>
      </c>
      <c r="AW455" s="17">
        <f>Tabela3[[#This Row],[Ativos]]*[Lucro]</f>
        <v>0</v>
      </c>
      <c r="AX455" s="17">
        <f>SUMPRODUCT(N(Tabela1[Código]=Tabela3[[#This Row],[PAPEL]]),Tabela1[Fechamento])</f>
        <v>0</v>
      </c>
      <c r="AY455" s="17">
        <f>SUMPRODUCT(N(Tabela17[Código]=Tabela3[[#This Row],[PAPEL]]),Tabela17[Fechamento])</f>
        <v>0</v>
      </c>
      <c r="AZ455" s="17">
        <f>SUMPRODUCT(N(Tabela176[Código]=Tabela3[[#This Row],[PAPEL]]),Tabela176[Fechamento])</f>
        <v>6.96</v>
      </c>
      <c r="BA455" s="17">
        <f>SUMPRODUCT(N(Tabela1768[Código]=Tabela3[[#This Row],[PAPEL]]),Tabela1768[Fechamento])</f>
        <v>0</v>
      </c>
      <c r="BB455" s="7">
        <f>SUMPRODUCT(N(Tabela17683[Código]=Tabela3[[#This Row],[PAPEL]]),Tabela17683[Fechamento])</f>
        <v>0</v>
      </c>
    </row>
    <row r="456" spans="1:54" hidden="1">
      <c r="A456" s="3" t="s">
        <v>1083</v>
      </c>
      <c r="B456" s="58" t="s">
        <v>1089</v>
      </c>
      <c r="C456" s="16" t="str">
        <f>LEFT([PAPEL],LEN([PAPEL])-(LEN([PAPEL])-4))</f>
        <v>VULC</v>
      </c>
      <c r="D456" s="16">
        <v>3</v>
      </c>
      <c r="E456" s="5">
        <v>565913332.5</v>
      </c>
      <c r="F456" s="56">
        <v>740921384</v>
      </c>
      <c r="G456" s="81">
        <v>0.25</v>
      </c>
      <c r="H456" s="87"/>
      <c r="J456" s="18"/>
      <c r="K456" s="16"/>
      <c r="L456" s="87"/>
      <c r="M456" s="54"/>
      <c r="N456" s="54"/>
      <c r="O456" s="54"/>
      <c r="P456" s="91">
        <v>-61175000</v>
      </c>
      <c r="Q456" s="73">
        <v>-71191000</v>
      </c>
      <c r="R456" s="73">
        <f>IF(Tabela3[[#This Row],[Ativo || Passivo]]&gt;0,Tabela3[[#This Row],[Ativo || Passivo]]-Tabela3[[#This Row],[Patrimônio Líquido]],0)</f>
        <v>0</v>
      </c>
      <c r="S456" s="73">
        <f>Tabela3[[#This Row],[Cotação]]*Tabela3[[#This Row],[Total Ações]]</f>
        <v>0</v>
      </c>
      <c r="T456" s="37">
        <f>IF(Tabela3[[#This Row],[Passivo Circulante]]&gt;0,Tabela3[[#This Row],[Ativo Circulante]]/Tabela3[[#This Row],[Passivo Circulante]],0)</f>
        <v>0</v>
      </c>
      <c r="U456" s="37">
        <f>SUMPRODUCT(N([Liquidez Corrente]&gt;0),N(RIGHT([PAPEL],LEN([PAPEL])-(LEN([PAPEL])-1))="3"),[Liquidez Corrente])/SUMPRODUCT(N([Liquidez Corrente]&gt;0),N(RIGHT([PAPEL],LEN([PAPEL])-(LEN([PAPEL])-1))="3"))</f>
        <v>2.331224473064915</v>
      </c>
      <c r="V456" s="18">
        <f>IF(Tabela3[[#This Row],[Lucro Líquido]]&gt;0,Tabela3[[#This Row],[Lucro Líquido]]/Tabela3[[#This Row],[Patrimônio Líquido]],0)</f>
        <v>0</v>
      </c>
      <c r="W456" s="18">
        <f>SUMPRODUCT(N([Rentabilidade s/ PL]&gt;0),N(RIGHT([PAPEL],LEN([PAPEL])-(LEN([PAPEL])-1))="3"),[Rentabilidade s/ PL])/SUMPRODUCT(N([Rentabilidade s/ PL]&gt;0),N(RIGHT([PAPEL],LEN([PAPEL])-(LEN([PAPEL])-1))="3"))</f>
        <v>0.1261051308670782</v>
      </c>
      <c r="X456" s="18">
        <f>IF(Tabela3[[#This Row],[Dívida]]&gt;0,Tabela3[[#This Row],[Dívida]]/Tabela3[[#This Row],[Patrimônio Líquido]],0)</f>
        <v>0</v>
      </c>
      <c r="Y456" s="18">
        <f>SUMPRODUCT(N([Dívida / PL]&gt;0),N(RIGHT([PAPEL],LEN([PAPEL])-(LEN([PAPEL])-1))="3"),[Dívida / PL])/SUMPRODUCT(N([Dívida / PL]&gt;0),N(RIGHT([PAPEL],LEN([PAPEL])-(LEN([PAPEL])-1))="3"))</f>
        <v>2.1510410379481146</v>
      </c>
      <c r="Z456" s="7">
        <f>Tabela3[[#This Row],[Capital Social]]*20%</f>
        <v>113182666.5</v>
      </c>
      <c r="AA456" s="47">
        <f>IF(([Lucro Líquido]*5%)&gt;[Teto R. Legal],[Teto R. Legal],[Lucro Líquido]*5%)</f>
        <v>-3559550</v>
      </c>
      <c r="AB456" s="47">
        <f>IF([Lucro Líquido]&lt;0,0,[Lucro Líquido]-[Reserva Legal])</f>
        <v>0</v>
      </c>
      <c r="AC456" s="47">
        <f>Tabela3[[#This Row],[Lucro Distribuir]]*[%Div]</f>
        <v>0</v>
      </c>
      <c r="AD456" s="56">
        <f>SUMPRODUCT(N([Nome]=Tabela3[[#This Row],[Nome]]),[Ações])</f>
        <v>740921384</v>
      </c>
      <c r="AE456" s="85">
        <f>[Capital Social]/[Total Ações]</f>
        <v>0.76379673298780104</v>
      </c>
      <c r="AF456" s="85">
        <f>Tabela3[[#This Row],[Lucro Líquido]]/Tabela3[[#This Row],[Total Ações]]</f>
        <v>-9.6084418046706019E-2</v>
      </c>
      <c r="AG456" s="85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</v>
      </c>
      <c r="AH456" s="85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456" s="77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456" s="85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</v>
      </c>
      <c r="AK456" s="7">
        <f>[Div Base]*[Ações]</f>
        <v>0</v>
      </c>
      <c r="AL456" s="7">
        <f>SUMPRODUCT(N([Nome]=Tabela3[[#This Row],[Nome]]),[Div Base]*[Ações])</f>
        <v>0</v>
      </c>
      <c r="AM456" s="5">
        <f>[Patrimônio Líquido]/[Total Ações]</f>
        <v>-8.2566114733705676E-2</v>
      </c>
      <c r="AN456" s="52">
        <f>MAX(Tabela3[[#This Row],[Cotação 1]:[Cotação 5]])</f>
        <v>0</v>
      </c>
      <c r="AO456" s="53">
        <f>[Cotação]/[VPA]</f>
        <v>0</v>
      </c>
      <c r="AP456" s="37">
        <f>IF(Tabela3[[#This Row],[Lucro/Ação]]&gt;0,Tabela3[[#This Row],[Cotação]]/(Tabela3[[#This Row],[Lucro/Ação]]/[Ref]*4),0)</f>
        <v>0</v>
      </c>
      <c r="AQ456" s="85">
        <f>[Lucro Distribuir]/[Total Ações]</f>
        <v>0</v>
      </c>
      <c r="AR456" s="85">
        <f>IF([Unit ON]&gt;0,SUMPRODUCT(N([Nome]=Tabela3[[#This Row],[Nome]]),N(RIGHT([PAPEL],1)="3"),[Div Base])*[Unit ON]+SUMPRODUCT(N([Nome]=Tabela3[[#This Row],[Nome]]),N(RIGHT([PAPEL],1)="4"),[Div Base])*[Unit PN],[Div Base])</f>
        <v>0</v>
      </c>
      <c r="AS456" s="10" t="str">
        <f>IF(AND([% A.A.]&gt;=6%,SUMPRODUCT(N([Nome]=Tabela3[[#This Row],[Nome]]),[PL])&gt;0,[Rentabilidade s/ PL]&gt;=[Rentabilidade s/ PL Média]),"Sim","Não")</f>
        <v>Não</v>
      </c>
      <c r="AT456" s="22">
        <f>IF([Cotação]&gt;0,Tabela3[[#This Row],[Lucro]]/Tabela3[[#This Row],[Cotação]],0)</f>
        <v>0</v>
      </c>
      <c r="AU456" s="22">
        <f>((1+Tabela3[[#This Row],[% Yield]])^(1/(3*Tabela3[[#This Row],[Ref]])))^(12)-1</f>
        <v>0</v>
      </c>
      <c r="AV456" s="10">
        <f>IF([Cotação]&gt;0,($BH$1/Tabela3[[#This Row],[Cotação]]-MOD($BH$1/Tabela3[[#This Row],[Cotação]],100)),)</f>
        <v>0</v>
      </c>
      <c r="AW456" s="7">
        <f>Tabela3[[#This Row],[Ativos]]*[Lucro]</f>
        <v>0</v>
      </c>
      <c r="AX456" s="7">
        <f>SUMPRODUCT(N(Tabela1[Código]=Tabela3[[#This Row],[PAPEL]]),Tabela1[Fechamento])</f>
        <v>0</v>
      </c>
      <c r="AY456" s="7">
        <f>SUMPRODUCT(N(Tabela17[Código]=Tabela3[[#This Row],[PAPEL]]),Tabela17[Fechamento])</f>
        <v>0</v>
      </c>
      <c r="AZ456" s="7">
        <f>SUMPRODUCT(N(Tabela176[Código]=Tabela3[[#This Row],[PAPEL]]),Tabela176[Fechamento])</f>
        <v>0</v>
      </c>
      <c r="BA456" s="7">
        <f>SUMPRODUCT(N(Tabela1768[Código]=Tabela3[[#This Row],[PAPEL]]),Tabela1768[Fechamento])</f>
        <v>0</v>
      </c>
      <c r="BB456" s="7">
        <f>SUMPRODUCT(N(Tabela17683[Código]=Tabela3[[#This Row],[PAPEL]]),Tabela17683[Fechamento])</f>
        <v>0</v>
      </c>
    </row>
    <row r="457" spans="1:54" hidden="1">
      <c r="A457" s="3" t="s">
        <v>1497</v>
      </c>
      <c r="B457" s="57" t="s">
        <v>1460</v>
      </c>
      <c r="C457" s="16" t="str">
        <f>LEFT([PAPEL],LEN([PAPEL])-(LEN([PAPEL])-4))</f>
        <v>DHBI</v>
      </c>
      <c r="D457" s="16">
        <v>3</v>
      </c>
      <c r="E457" s="5">
        <v>105487086</v>
      </c>
      <c r="F457" s="56">
        <v>1448007</v>
      </c>
      <c r="G457" s="81">
        <v>0.25</v>
      </c>
      <c r="H457" s="87"/>
      <c r="J457" s="18"/>
      <c r="K457" s="16"/>
      <c r="L457" s="87"/>
      <c r="M457" s="54"/>
      <c r="N457" s="54"/>
      <c r="O457" s="54"/>
      <c r="P457" s="91">
        <v>-388239000</v>
      </c>
      <c r="Q457" s="73">
        <v>-80146000</v>
      </c>
      <c r="R457" s="73">
        <f>IF(Tabela3[[#This Row],[Ativo || Passivo]]&gt;0,Tabela3[[#This Row],[Ativo || Passivo]]-Tabela3[[#This Row],[Patrimônio Líquido]],0)</f>
        <v>0</v>
      </c>
      <c r="S457" s="73">
        <f>Tabela3[[#This Row],[Cotação]]*Tabela3[[#This Row],[Total Ações]]</f>
        <v>211348481.07999998</v>
      </c>
      <c r="T457" s="37">
        <f>IF(Tabela3[[#This Row],[Passivo Circulante]]&gt;0,Tabela3[[#This Row],[Ativo Circulante]]/Tabela3[[#This Row],[Passivo Circulante]],0)</f>
        <v>0</v>
      </c>
      <c r="U457" s="37">
        <f>SUMPRODUCT(N([Liquidez Corrente]&gt;0),N(RIGHT([PAPEL],LEN([PAPEL])-(LEN([PAPEL])-1))="3"),[Liquidez Corrente])/SUMPRODUCT(N([Liquidez Corrente]&gt;0),N(RIGHT([PAPEL],LEN([PAPEL])-(LEN([PAPEL])-1))="3"))</f>
        <v>2.331224473064915</v>
      </c>
      <c r="V457" s="18">
        <f>IF(Tabela3[[#This Row],[Lucro Líquido]]&gt;0,Tabela3[[#This Row],[Lucro Líquido]]/Tabela3[[#This Row],[Patrimônio Líquido]],0)</f>
        <v>0</v>
      </c>
      <c r="W457" s="18">
        <f>SUMPRODUCT(N([Rentabilidade s/ PL]&gt;0),N(RIGHT([PAPEL],LEN([PAPEL])-(LEN([PAPEL])-1))="3"),[Rentabilidade s/ PL])/SUMPRODUCT(N([Rentabilidade s/ PL]&gt;0),N(RIGHT([PAPEL],LEN([PAPEL])-(LEN([PAPEL])-1))="3"))</f>
        <v>0.1261051308670782</v>
      </c>
      <c r="X457" s="18">
        <f>IF(Tabela3[[#This Row],[Dívida]]&gt;0,Tabela3[[#This Row],[Dívida]]/Tabela3[[#This Row],[Patrimônio Líquido]],0)</f>
        <v>0</v>
      </c>
      <c r="Y457" s="18">
        <f>SUMPRODUCT(N([Dívida / PL]&gt;0),N(RIGHT([PAPEL],LEN([PAPEL])-(LEN([PAPEL])-1))="3"),[Dívida / PL])/SUMPRODUCT(N([Dívida / PL]&gt;0),N(RIGHT([PAPEL],LEN([PAPEL])-(LEN([PAPEL])-1))="3"))</f>
        <v>2.1510410379481146</v>
      </c>
      <c r="Z457" s="7">
        <f>Tabela3[[#This Row],[Capital Social]]*20%</f>
        <v>21097417.200000003</v>
      </c>
      <c r="AA457" s="47">
        <f>IF(([Lucro Líquido]*5%)&gt;[Teto R. Legal],[Teto R. Legal],[Lucro Líquido]*5%)</f>
        <v>-4007300</v>
      </c>
      <c r="AB457" s="47">
        <f>IF([Lucro Líquido]&lt;0,0,[Lucro Líquido]-[Reserva Legal])</f>
        <v>0</v>
      </c>
      <c r="AC457" s="47">
        <f>Tabela3[[#This Row],[Lucro Distribuir]]*[%Div]</f>
        <v>0</v>
      </c>
      <c r="AD457" s="56">
        <f>SUMPRODUCT(N([Nome]=Tabela3[[#This Row],[Nome]]),[Ações])</f>
        <v>4196753</v>
      </c>
      <c r="AE457" s="85">
        <f>[Capital Social]/[Total Ações]</f>
        <v>25.135404918993327</v>
      </c>
      <c r="AF457" s="85">
        <f>Tabela3[[#This Row],[Lucro Líquido]]/Tabela3[[#This Row],[Total Ações]]</f>
        <v>-19.097144864136631</v>
      </c>
      <c r="AG457" s="85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</v>
      </c>
      <c r="AH457" s="85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457" s="77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457" s="85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</v>
      </c>
      <c r="AK457" s="7">
        <f>[Div Base]*[Ações]</f>
        <v>0</v>
      </c>
      <c r="AL457" s="120">
        <f>SUMPRODUCT(N([Nome]=Tabela3[[#This Row],[Nome]]),[Div Base]*[Ações])</f>
        <v>0</v>
      </c>
      <c r="AM457" s="5">
        <f>[Patrimônio Líquido]/[Total Ações]</f>
        <v>-92.509375700690512</v>
      </c>
      <c r="AN457" s="52">
        <f>MAX(Tabela3[[#This Row],[Cotação 1]:[Cotação 5]])</f>
        <v>50.36</v>
      </c>
      <c r="AO457" s="53">
        <f>[Cotação]/[VPA]</f>
        <v>-0.54437725493832401</v>
      </c>
      <c r="AP457" s="37">
        <f>IF(Tabela3[[#This Row],[Lucro/Ação]]&gt;0,Tabela3[[#This Row],[Cotação]]/(Tabela3[[#This Row],[Lucro/Ação]]/[Ref]*4),0)</f>
        <v>0</v>
      </c>
      <c r="AQ457" s="85">
        <f>[Lucro Distribuir]/[Total Ações]</f>
        <v>0</v>
      </c>
      <c r="AR457" s="85">
        <f>IF([Unit ON]&gt;0,SUMPRODUCT(N([Nome]=Tabela3[[#This Row],[Nome]]),N(RIGHT([PAPEL],1)="3"),[Div Base])*[Unit ON]+SUMPRODUCT(N([Nome]=Tabela3[[#This Row],[Nome]]),N(RIGHT([PAPEL],1)="4"),[Div Base])*[Unit PN],[Div Base])</f>
        <v>0</v>
      </c>
      <c r="AS457" s="10" t="str">
        <f>IF(AND([% A.A.]&gt;=6%,SUMPRODUCT(N([Nome]=Tabela3[[#This Row],[Nome]]),[PL])&gt;0,[Rentabilidade s/ PL]&gt;=[Rentabilidade s/ PL Média]),"Sim","Não")</f>
        <v>Não</v>
      </c>
      <c r="AT457" s="22">
        <f>IF([Cotação]&gt;0,Tabela3[[#This Row],[Lucro]]/Tabela3[[#This Row],[Cotação]],0)</f>
        <v>0</v>
      </c>
      <c r="AU457" s="22">
        <f>((1+Tabela3[[#This Row],[% Yield]])^(1/(3*Tabela3[[#This Row],[Ref]])))^(12)-1</f>
        <v>0</v>
      </c>
      <c r="AV457" s="10">
        <f>IF([Cotação]&gt;0,($BH$1/Tabela3[[#This Row],[Cotação]]-MOD($BH$1/Tabela3[[#This Row],[Cotação]],100)),)</f>
        <v>0</v>
      </c>
      <c r="AW457" s="7">
        <f>Tabela3[[#This Row],[Ativos]]*[Lucro]</f>
        <v>0</v>
      </c>
      <c r="AX457" s="7">
        <f>SUMPRODUCT(N(Tabela1[Código]=Tabela3[[#This Row],[PAPEL]]),Tabela1[Fechamento])</f>
        <v>0</v>
      </c>
      <c r="AY457" s="7">
        <f>SUMPRODUCT(N(Tabela17[Código]=Tabela3[[#This Row],[PAPEL]]),Tabela17[Fechamento])</f>
        <v>0</v>
      </c>
      <c r="AZ457" s="7">
        <f>SUMPRODUCT(N(Tabela176[Código]=Tabela3[[#This Row],[PAPEL]]),Tabela176[Fechamento])</f>
        <v>0</v>
      </c>
      <c r="BA457" s="7">
        <f>SUMPRODUCT(N(Tabela1768[Código]=Tabela3[[#This Row],[PAPEL]]),Tabela1768[Fechamento])</f>
        <v>0</v>
      </c>
      <c r="BB457" s="7">
        <f>SUMPRODUCT(N(Tabela17683[Código]=Tabela3[[#This Row],[PAPEL]]),Tabela17683[Fechamento])</f>
        <v>50.36</v>
      </c>
    </row>
    <row r="458" spans="1:54" hidden="1">
      <c r="A458" s="3" t="s">
        <v>1497</v>
      </c>
      <c r="B458" s="57" t="s">
        <v>1461</v>
      </c>
      <c r="C458" s="16" t="str">
        <f>LEFT([PAPEL],LEN([PAPEL])-(LEN([PAPEL])-4))</f>
        <v>DHBI</v>
      </c>
      <c r="D458" s="16">
        <v>3</v>
      </c>
      <c r="E458" s="5">
        <v>105487086</v>
      </c>
      <c r="F458" s="56">
        <v>2748746</v>
      </c>
      <c r="G458" s="81">
        <v>0.25</v>
      </c>
      <c r="H458" s="87"/>
      <c r="J458" s="18"/>
      <c r="K458" s="16"/>
      <c r="L458" s="87"/>
      <c r="M458" s="54"/>
      <c r="N458" s="54"/>
      <c r="O458" s="54"/>
      <c r="P458" s="91">
        <v>-388239000</v>
      </c>
      <c r="Q458" s="73">
        <v>-80146000</v>
      </c>
      <c r="R458" s="73">
        <f>IF(Tabela3[[#This Row],[Ativo || Passivo]]&gt;0,Tabela3[[#This Row],[Ativo || Passivo]]-Tabela3[[#This Row],[Patrimônio Líquido]],0)</f>
        <v>0</v>
      </c>
      <c r="S458" s="73">
        <f>Tabela3[[#This Row],[Cotação]]*Tabela3[[#This Row],[Total Ações]]</f>
        <v>34203536.950000003</v>
      </c>
      <c r="T458" s="37">
        <f>IF(Tabela3[[#This Row],[Passivo Circulante]]&gt;0,Tabela3[[#This Row],[Ativo Circulante]]/Tabela3[[#This Row],[Passivo Circulante]],0)</f>
        <v>0</v>
      </c>
      <c r="U458" s="37">
        <f>SUMPRODUCT(N([Liquidez Corrente]&gt;0),N(RIGHT([PAPEL],LEN([PAPEL])-(LEN([PAPEL])-1))="3"),[Liquidez Corrente])/SUMPRODUCT(N([Liquidez Corrente]&gt;0),N(RIGHT([PAPEL],LEN([PAPEL])-(LEN([PAPEL])-1))="3"))</f>
        <v>2.331224473064915</v>
      </c>
      <c r="V458" s="18">
        <f>IF(Tabela3[[#This Row],[Lucro Líquido]]&gt;0,Tabela3[[#This Row],[Lucro Líquido]]/Tabela3[[#This Row],[Patrimônio Líquido]],0)</f>
        <v>0</v>
      </c>
      <c r="W458" s="18">
        <f>SUMPRODUCT(N([Rentabilidade s/ PL]&gt;0),N(RIGHT([PAPEL],LEN([PAPEL])-(LEN([PAPEL])-1))="3"),[Rentabilidade s/ PL])/SUMPRODUCT(N([Rentabilidade s/ PL]&gt;0),N(RIGHT([PAPEL],LEN([PAPEL])-(LEN([PAPEL])-1))="3"))</f>
        <v>0.1261051308670782</v>
      </c>
      <c r="X458" s="18">
        <f>IF(Tabela3[[#This Row],[Dívida]]&gt;0,Tabela3[[#This Row],[Dívida]]/Tabela3[[#This Row],[Patrimônio Líquido]],0)</f>
        <v>0</v>
      </c>
      <c r="Y458" s="18">
        <f>SUMPRODUCT(N([Dívida / PL]&gt;0),N(RIGHT([PAPEL],LEN([PAPEL])-(LEN([PAPEL])-1))="3"),[Dívida / PL])/SUMPRODUCT(N([Dívida / PL]&gt;0),N(RIGHT([PAPEL],LEN([PAPEL])-(LEN([PAPEL])-1))="3"))</f>
        <v>2.1510410379481146</v>
      </c>
      <c r="Z458" s="7">
        <f>Tabela3[[#This Row],[Capital Social]]*20%</f>
        <v>21097417.200000003</v>
      </c>
      <c r="AA458" s="47">
        <f>IF(([Lucro Líquido]*5%)&gt;[Teto R. Legal],[Teto R. Legal],[Lucro Líquido]*5%)</f>
        <v>-4007300</v>
      </c>
      <c r="AB458" s="47">
        <f>IF([Lucro Líquido]&lt;0,0,[Lucro Líquido]-[Reserva Legal])</f>
        <v>0</v>
      </c>
      <c r="AC458" s="47">
        <f>Tabela3[[#This Row],[Lucro Distribuir]]*[%Div]</f>
        <v>0</v>
      </c>
      <c r="AD458" s="56">
        <f>SUMPRODUCT(N([Nome]=Tabela3[[#This Row],[Nome]]),[Ações])</f>
        <v>4196753</v>
      </c>
      <c r="AE458" s="85">
        <f>[Capital Social]/[Total Ações]</f>
        <v>25.135404918993327</v>
      </c>
      <c r="AF458" s="85">
        <f>Tabela3[[#This Row],[Lucro Líquido]]/Tabela3[[#This Row],[Total Ações]]</f>
        <v>-19.097144864136631</v>
      </c>
      <c r="AG458" s="85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</v>
      </c>
      <c r="AH458" s="85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458" s="77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458" s="85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</v>
      </c>
      <c r="AK458" s="7">
        <f>[Div Base]*[Ações]</f>
        <v>0</v>
      </c>
      <c r="AL458" s="120">
        <f>SUMPRODUCT(N([Nome]=Tabela3[[#This Row],[Nome]]),[Div Base]*[Ações])</f>
        <v>0</v>
      </c>
      <c r="AM458" s="5">
        <f>[Patrimônio Líquido]/[Total Ações]</f>
        <v>-92.509375700690512</v>
      </c>
      <c r="AN458" s="52">
        <f>MAX(Tabela3[[#This Row],[Cotação 1]:[Cotação 5]])</f>
        <v>8.15</v>
      </c>
      <c r="AO458" s="53">
        <f>[Cotação]/[VPA]</f>
        <v>-8.8099178469963096E-2</v>
      </c>
      <c r="AP458" s="37">
        <f>IF(Tabela3[[#This Row],[Lucro/Ação]]&gt;0,Tabela3[[#This Row],[Cotação]]/(Tabela3[[#This Row],[Lucro/Ação]]/[Ref]*4),0)</f>
        <v>0</v>
      </c>
      <c r="AQ458" s="85">
        <f>[Lucro Distribuir]/[Total Ações]</f>
        <v>0</v>
      </c>
      <c r="AR458" s="85">
        <f>IF([Unit ON]&gt;0,SUMPRODUCT(N([Nome]=Tabela3[[#This Row],[Nome]]),N(RIGHT([PAPEL],1)="3"),[Div Base])*[Unit ON]+SUMPRODUCT(N([Nome]=Tabela3[[#This Row],[Nome]]),N(RIGHT([PAPEL],1)="4"),[Div Base])*[Unit PN],[Div Base])</f>
        <v>0</v>
      </c>
      <c r="AS458" s="10" t="str">
        <f>IF(AND([% A.A.]&gt;=6%,SUMPRODUCT(N([Nome]=Tabela3[[#This Row],[Nome]]),[PL])&gt;0,[Rentabilidade s/ PL]&gt;=[Rentabilidade s/ PL Média]),"Sim","Não")</f>
        <v>Não</v>
      </c>
      <c r="AT458" s="22">
        <f>IF([Cotação]&gt;0,Tabela3[[#This Row],[Lucro]]/Tabela3[[#This Row],[Cotação]],0)</f>
        <v>0</v>
      </c>
      <c r="AU458" s="22">
        <f>((1+Tabela3[[#This Row],[% Yield]])^(1/(3*Tabela3[[#This Row],[Ref]])))^(12)-1</f>
        <v>0</v>
      </c>
      <c r="AV458" s="10">
        <f>IF([Cotação]&gt;0,($BH$1/Tabela3[[#This Row],[Cotação]]-MOD($BH$1/Tabela3[[#This Row],[Cotação]],100)),)</f>
        <v>0</v>
      </c>
      <c r="AW458" s="7">
        <f>Tabela3[[#This Row],[Ativos]]*[Lucro]</f>
        <v>0</v>
      </c>
      <c r="AX458" s="7">
        <f>SUMPRODUCT(N(Tabela1[Código]=Tabela3[[#This Row],[PAPEL]]),Tabela1[Fechamento])</f>
        <v>0</v>
      </c>
      <c r="AY458" s="7">
        <f>SUMPRODUCT(N(Tabela17[Código]=Tabela3[[#This Row],[PAPEL]]),Tabela17[Fechamento])</f>
        <v>0</v>
      </c>
      <c r="AZ458" s="7">
        <f>SUMPRODUCT(N(Tabela176[Código]=Tabela3[[#This Row],[PAPEL]]),Tabela176[Fechamento])</f>
        <v>0</v>
      </c>
      <c r="BA458" s="7">
        <f>SUMPRODUCT(N(Tabela1768[Código]=Tabela3[[#This Row],[PAPEL]]),Tabela1768[Fechamento])</f>
        <v>0</v>
      </c>
      <c r="BB458" s="7">
        <f>SUMPRODUCT(N(Tabela17683[Código]=Tabela3[[#This Row],[PAPEL]]),Tabela17683[Fechamento])</f>
        <v>8.15</v>
      </c>
    </row>
    <row r="459" spans="1:54" hidden="1">
      <c r="A459" s="3" t="s">
        <v>1379</v>
      </c>
      <c r="B459" s="58" t="s">
        <v>1380</v>
      </c>
      <c r="C459" s="16" t="str">
        <f>LEFT([PAPEL],LEN([PAPEL])-(LEN([PAPEL])-4))</f>
        <v>FJTA</v>
      </c>
      <c r="D459" s="16">
        <v>3</v>
      </c>
      <c r="E459" s="5">
        <v>257797469.78999999</v>
      </c>
      <c r="F459" s="56">
        <v>47137539</v>
      </c>
      <c r="G459" s="81">
        <v>0.35</v>
      </c>
      <c r="H459" s="87"/>
      <c r="J459" s="18"/>
      <c r="K459" s="16"/>
      <c r="L459" s="87"/>
      <c r="M459" s="54"/>
      <c r="N459" s="54"/>
      <c r="O459" s="54"/>
      <c r="P459" s="91">
        <v>291810000</v>
      </c>
      <c r="Q459" s="73">
        <v>-84282000</v>
      </c>
      <c r="R459" s="73">
        <f>IF(Tabela3[[#This Row],[Ativo || Passivo]]&gt;0,Tabela3[[#This Row],[Ativo || Passivo]]-Tabela3[[#This Row],[Patrimônio Líquido]],0)</f>
        <v>0</v>
      </c>
      <c r="S459" s="73">
        <f>Tabela3[[#This Row],[Cotação]]*Tabela3[[#This Row],[Total Ações]]</f>
        <v>292724117.19</v>
      </c>
      <c r="T459" s="37">
        <f>IF(Tabela3[[#This Row],[Passivo Circulante]]&gt;0,Tabela3[[#This Row],[Ativo Circulante]]/Tabela3[[#This Row],[Passivo Circulante]],0)</f>
        <v>0</v>
      </c>
      <c r="U459" s="37">
        <f>SUMPRODUCT(N([Liquidez Corrente]&gt;0),N(RIGHT([PAPEL],LEN([PAPEL])-(LEN([PAPEL])-1))="3"),[Liquidez Corrente])/SUMPRODUCT(N([Liquidez Corrente]&gt;0),N(RIGHT([PAPEL],LEN([PAPEL])-(LEN([PAPEL])-1))="3"))</f>
        <v>2.331224473064915</v>
      </c>
      <c r="V459" s="18">
        <f>IF(Tabela3[[#This Row],[Lucro Líquido]]&gt;0,Tabela3[[#This Row],[Lucro Líquido]]/Tabela3[[#This Row],[Patrimônio Líquido]],0)</f>
        <v>0</v>
      </c>
      <c r="W459" s="18">
        <f>SUMPRODUCT(N([Rentabilidade s/ PL]&gt;0),N(RIGHT([PAPEL],LEN([PAPEL])-(LEN([PAPEL])-1))="3"),[Rentabilidade s/ PL])/SUMPRODUCT(N([Rentabilidade s/ PL]&gt;0),N(RIGHT([PAPEL],LEN([PAPEL])-(LEN([PAPEL])-1))="3"))</f>
        <v>0.1261051308670782</v>
      </c>
      <c r="X459" s="18">
        <f>IF(Tabela3[[#This Row],[Dívida]]&gt;0,Tabela3[[#This Row],[Dívida]]/Tabela3[[#This Row],[Patrimônio Líquido]],0)</f>
        <v>0</v>
      </c>
      <c r="Y459" s="18">
        <f>SUMPRODUCT(N([Dívida / PL]&gt;0),N(RIGHT([PAPEL],LEN([PAPEL])-(LEN([PAPEL])-1))="3"),[Dívida / PL])/SUMPRODUCT(N([Dívida / PL]&gt;0),N(RIGHT([PAPEL],LEN([PAPEL])-(LEN([PAPEL])-1))="3"))</f>
        <v>2.1510410379481146</v>
      </c>
      <c r="Z459" s="7">
        <f>Tabela3[[#This Row],[Capital Social]]*20%</f>
        <v>51559493.958000004</v>
      </c>
      <c r="AA459" s="47">
        <f>IF(([Lucro Líquido]*5%)&gt;[Teto R. Legal],[Teto R. Legal],[Lucro Líquido]*5%)</f>
        <v>-4214100</v>
      </c>
      <c r="AB459" s="47">
        <f>IF([Lucro Líquido]&lt;0,0,[Lucro Líquido]-[Reserva Legal])</f>
        <v>0</v>
      </c>
      <c r="AC459" s="47">
        <f>Tabela3[[#This Row],[Lucro Distribuir]]*[%Div]</f>
        <v>0</v>
      </c>
      <c r="AD459" s="56">
        <f>SUMPRODUCT(N([Nome]=Tabela3[[#This Row],[Nome]]),[Ações])</f>
        <v>141412617</v>
      </c>
      <c r="AE459" s="85">
        <f>[Capital Social]/[Total Ações]</f>
        <v>1.8230160452373214</v>
      </c>
      <c r="AF459" s="85">
        <f>Tabela3[[#This Row],[Lucro Líquido]]/Tabela3[[#This Row],[Total Ações]]</f>
        <v>-0.59600056761554732</v>
      </c>
      <c r="AG459" s="85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</v>
      </c>
      <c r="AH459" s="85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459" s="77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459" s="85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</v>
      </c>
      <c r="AK459" s="7">
        <f>[Div Base]*[Ações]</f>
        <v>0</v>
      </c>
      <c r="AL459" s="120">
        <f>SUMPRODUCT(N([Nome]=Tabela3[[#This Row],[Nome]]),[Div Base]*[Ações])</f>
        <v>0</v>
      </c>
      <c r="AM459" s="5">
        <f>[Patrimônio Líquido]/[Total Ações]</f>
        <v>2.0635358159024806</v>
      </c>
      <c r="AN459" s="52">
        <f>MAX(Tabela3[[#This Row],[Cotação 1]:[Cotação 5]])</f>
        <v>2.0699999999999998</v>
      </c>
      <c r="AO459" s="53">
        <f>[Cotação]/[VPA]</f>
        <v>1.0031325766423358</v>
      </c>
      <c r="AP459" s="37">
        <f>IF(Tabela3[[#This Row],[Lucro/Ação]]&gt;0,Tabela3[[#This Row],[Cotação]]/(Tabela3[[#This Row],[Lucro/Ação]]/[Ref]*4),0)</f>
        <v>0</v>
      </c>
      <c r="AQ459" s="85">
        <f>[Lucro Distribuir]/[Total Ações]</f>
        <v>0</v>
      </c>
      <c r="AR459" s="85">
        <f>IF([Unit ON]&gt;0,SUMPRODUCT(N([Nome]=Tabela3[[#This Row],[Nome]]),N(RIGHT([PAPEL],1)="3"),[Div Base])*[Unit ON]+SUMPRODUCT(N([Nome]=Tabela3[[#This Row],[Nome]]),N(RIGHT([PAPEL],1)="4"),[Div Base])*[Unit PN],[Div Base])</f>
        <v>0</v>
      </c>
      <c r="AS459" s="10" t="str">
        <f>IF(AND([% A.A.]&gt;=6%,SUMPRODUCT(N([Nome]=Tabela3[[#This Row],[Nome]]),[PL])&gt;0,[Rentabilidade s/ PL]&gt;=[Rentabilidade s/ PL Média]),"Sim","Não")</f>
        <v>Não</v>
      </c>
      <c r="AT459" s="22">
        <f>IF([Cotação]&gt;0,Tabela3[[#This Row],[Lucro]]/Tabela3[[#This Row],[Cotação]],0)</f>
        <v>0</v>
      </c>
      <c r="AU459" s="22">
        <f>((1+Tabela3[[#This Row],[% Yield]])^(1/(3*Tabela3[[#This Row],[Ref]])))^(12)-1</f>
        <v>0</v>
      </c>
      <c r="AV459" s="10">
        <f>IF([Cotação]&gt;0,($BH$1/Tabela3[[#This Row],[Cotação]]-MOD($BH$1/Tabela3[[#This Row],[Cotação]],100)),)</f>
        <v>200</v>
      </c>
      <c r="AW459" s="7">
        <f>Tabela3[[#This Row],[Ativos]]*[Lucro]</f>
        <v>0</v>
      </c>
      <c r="AX459" s="7">
        <f>SUMPRODUCT(N(Tabela1[Código]=Tabela3[[#This Row],[PAPEL]]),Tabela1[Fechamento])</f>
        <v>0</v>
      </c>
      <c r="AY459" s="7">
        <f>SUMPRODUCT(N(Tabela17[Código]=Tabela3[[#This Row],[PAPEL]]),Tabela17[Fechamento])</f>
        <v>0</v>
      </c>
      <c r="AZ459" s="7">
        <f>SUMPRODUCT(N(Tabela176[Código]=Tabela3[[#This Row],[PAPEL]]),Tabela176[Fechamento])</f>
        <v>0</v>
      </c>
      <c r="BA459" s="7">
        <f>SUMPRODUCT(N(Tabela1768[Código]=Tabela3[[#This Row],[PAPEL]]),Tabela1768[Fechamento])</f>
        <v>0</v>
      </c>
      <c r="BB459" s="7">
        <f>SUMPRODUCT(N(Tabela17683[Código]=Tabela3[[#This Row],[PAPEL]]),Tabela17683[Fechamento])</f>
        <v>2.0699999999999998</v>
      </c>
    </row>
    <row r="460" spans="1:54" hidden="1">
      <c r="A460" s="3" t="s">
        <v>1379</v>
      </c>
      <c r="B460" s="58" t="s">
        <v>1381</v>
      </c>
      <c r="C460" s="16" t="str">
        <f>LEFT([PAPEL],LEN([PAPEL])-(LEN([PAPEL])-4))</f>
        <v>FJTA</v>
      </c>
      <c r="D460" s="16">
        <v>3</v>
      </c>
      <c r="E460" s="5">
        <v>257797469.78999999</v>
      </c>
      <c r="F460" s="56">
        <v>94275078</v>
      </c>
      <c r="G460" s="81">
        <v>0.35</v>
      </c>
      <c r="H460" s="87"/>
      <c r="J460" s="18"/>
      <c r="K460" s="16"/>
      <c r="L460" s="87"/>
      <c r="M460" s="54"/>
      <c r="N460" s="54"/>
      <c r="O460" s="54"/>
      <c r="P460" s="91">
        <v>291810000</v>
      </c>
      <c r="Q460" s="73">
        <v>-84282000</v>
      </c>
      <c r="R460" s="73">
        <f>IF(Tabela3[[#This Row],[Ativo || Passivo]]&gt;0,Tabela3[[#This Row],[Ativo || Passivo]]-Tabela3[[#This Row],[Patrimônio Líquido]],0)</f>
        <v>0</v>
      </c>
      <c r="S460" s="73">
        <f>Tabela3[[#This Row],[Cotação]]*Tabela3[[#This Row],[Total Ações]]</f>
        <v>248886205.91999999</v>
      </c>
      <c r="T460" s="37">
        <f>IF(Tabela3[[#This Row],[Passivo Circulante]]&gt;0,Tabela3[[#This Row],[Ativo Circulante]]/Tabela3[[#This Row],[Passivo Circulante]],0)</f>
        <v>0</v>
      </c>
      <c r="U460" s="37">
        <f>SUMPRODUCT(N([Liquidez Corrente]&gt;0),N(RIGHT([PAPEL],LEN([PAPEL])-(LEN([PAPEL])-1))="3"),[Liquidez Corrente])/SUMPRODUCT(N([Liquidez Corrente]&gt;0),N(RIGHT([PAPEL],LEN([PAPEL])-(LEN([PAPEL])-1))="3"))</f>
        <v>2.331224473064915</v>
      </c>
      <c r="V460" s="18">
        <f>IF(Tabela3[[#This Row],[Lucro Líquido]]&gt;0,Tabela3[[#This Row],[Lucro Líquido]]/Tabela3[[#This Row],[Patrimônio Líquido]],0)</f>
        <v>0</v>
      </c>
      <c r="W460" s="18">
        <f>SUMPRODUCT(N([Rentabilidade s/ PL]&gt;0),N(RIGHT([PAPEL],LEN([PAPEL])-(LEN([PAPEL])-1))="3"),[Rentabilidade s/ PL])/SUMPRODUCT(N([Rentabilidade s/ PL]&gt;0),N(RIGHT([PAPEL],LEN([PAPEL])-(LEN([PAPEL])-1))="3"))</f>
        <v>0.1261051308670782</v>
      </c>
      <c r="X460" s="18">
        <f>IF(Tabela3[[#This Row],[Dívida]]&gt;0,Tabela3[[#This Row],[Dívida]]/Tabela3[[#This Row],[Patrimônio Líquido]],0)</f>
        <v>0</v>
      </c>
      <c r="Y460" s="18">
        <f>SUMPRODUCT(N([Dívida / PL]&gt;0),N(RIGHT([PAPEL],LEN([PAPEL])-(LEN([PAPEL])-1))="3"),[Dívida / PL])/SUMPRODUCT(N([Dívida / PL]&gt;0),N(RIGHT([PAPEL],LEN([PAPEL])-(LEN([PAPEL])-1))="3"))</f>
        <v>2.1510410379481146</v>
      </c>
      <c r="Z460" s="7">
        <f>Tabela3[[#This Row],[Capital Social]]*20%</f>
        <v>51559493.958000004</v>
      </c>
      <c r="AA460" s="47">
        <f>IF(([Lucro Líquido]*5%)&gt;[Teto R. Legal],[Teto R. Legal],[Lucro Líquido]*5%)</f>
        <v>-4214100</v>
      </c>
      <c r="AB460" s="47">
        <f>IF([Lucro Líquido]&lt;0,0,[Lucro Líquido]-[Reserva Legal])</f>
        <v>0</v>
      </c>
      <c r="AC460" s="47">
        <f>Tabela3[[#This Row],[Lucro Distribuir]]*[%Div]</f>
        <v>0</v>
      </c>
      <c r="AD460" s="56">
        <f>SUMPRODUCT(N([Nome]=Tabela3[[#This Row],[Nome]]),[Ações])</f>
        <v>141412617</v>
      </c>
      <c r="AE460" s="85">
        <f>[Capital Social]/[Total Ações]</f>
        <v>1.8230160452373214</v>
      </c>
      <c r="AF460" s="85">
        <f>Tabela3[[#This Row],[Lucro Líquido]]/Tabela3[[#This Row],[Total Ações]]</f>
        <v>-0.59600056761554732</v>
      </c>
      <c r="AG460" s="85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</v>
      </c>
      <c r="AH460" s="85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460" s="77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460" s="85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</v>
      </c>
      <c r="AK460" s="7">
        <f>[Div Base]*[Ações]</f>
        <v>0</v>
      </c>
      <c r="AL460" s="120">
        <f>SUMPRODUCT(N([Nome]=Tabela3[[#This Row],[Nome]]),[Div Base]*[Ações])</f>
        <v>0</v>
      </c>
      <c r="AM460" s="5">
        <f>[Patrimônio Líquido]/[Total Ações]</f>
        <v>2.0635358159024806</v>
      </c>
      <c r="AN460" s="52">
        <f>MAX(Tabela3[[#This Row],[Cotação 1]:[Cotação 5]])</f>
        <v>1.76</v>
      </c>
      <c r="AO460" s="53">
        <f>[Cotação]/[VPA]</f>
        <v>0.85290499270072995</v>
      </c>
      <c r="AP460" s="37">
        <f>IF(Tabela3[[#This Row],[Lucro/Ação]]&gt;0,Tabela3[[#This Row],[Cotação]]/(Tabela3[[#This Row],[Lucro/Ação]]/[Ref]*4),0)</f>
        <v>0</v>
      </c>
      <c r="AQ460" s="85">
        <f>[Lucro Distribuir]/[Total Ações]</f>
        <v>0</v>
      </c>
      <c r="AR460" s="85">
        <f>IF([Unit ON]&gt;0,SUMPRODUCT(N([Nome]=Tabela3[[#This Row],[Nome]]),N(RIGHT([PAPEL],1)="3"),[Div Base])*[Unit ON]+SUMPRODUCT(N([Nome]=Tabela3[[#This Row],[Nome]]),N(RIGHT([PAPEL],1)="4"),[Div Base])*[Unit PN],[Div Base])</f>
        <v>0</v>
      </c>
      <c r="AS460" s="10" t="str">
        <f>IF(AND([% A.A.]&gt;=6%,SUMPRODUCT(N([Nome]=Tabela3[[#This Row],[Nome]]),[PL])&gt;0,[Rentabilidade s/ PL]&gt;=[Rentabilidade s/ PL Média]),"Sim","Não")</f>
        <v>Não</v>
      </c>
      <c r="AT460" s="22">
        <f>IF([Cotação]&gt;0,Tabela3[[#This Row],[Lucro]]/Tabela3[[#This Row],[Cotação]],0)</f>
        <v>0</v>
      </c>
      <c r="AU460" s="22">
        <f>((1+Tabela3[[#This Row],[% Yield]])^(1/(3*Tabela3[[#This Row],[Ref]])))^(12)-1</f>
        <v>0</v>
      </c>
      <c r="AV460" s="10">
        <f>IF([Cotação]&gt;0,($BH$1/Tabela3[[#This Row],[Cotação]]-MOD($BH$1/Tabela3[[#This Row],[Cotação]],100)),)</f>
        <v>200</v>
      </c>
      <c r="AW460" s="7">
        <f>Tabela3[[#This Row],[Ativos]]*[Lucro]</f>
        <v>0</v>
      </c>
      <c r="AX460" s="7">
        <f>SUMPRODUCT(N(Tabela1[Código]=Tabela3[[#This Row],[PAPEL]]),Tabela1[Fechamento])</f>
        <v>0</v>
      </c>
      <c r="AY460" s="7">
        <f>SUMPRODUCT(N(Tabela17[Código]=Tabela3[[#This Row],[PAPEL]]),Tabela17[Fechamento])</f>
        <v>0</v>
      </c>
      <c r="AZ460" s="7">
        <f>SUMPRODUCT(N(Tabela176[Código]=Tabela3[[#This Row],[PAPEL]]),Tabela176[Fechamento])</f>
        <v>0</v>
      </c>
      <c r="BA460" s="7">
        <f>SUMPRODUCT(N(Tabela1768[Código]=Tabela3[[#This Row],[PAPEL]]),Tabela1768[Fechamento])</f>
        <v>0</v>
      </c>
      <c r="BB460" s="7">
        <f>SUMPRODUCT(N(Tabela17683[Código]=Tabela3[[#This Row],[PAPEL]]),Tabela17683[Fechamento])</f>
        <v>1.76</v>
      </c>
    </row>
    <row r="461" spans="1:54" hidden="1">
      <c r="A461" s="3" t="s">
        <v>907</v>
      </c>
      <c r="B461" s="58" t="s">
        <v>925</v>
      </c>
      <c r="C461" s="16" t="str">
        <f>LEFT([PAPEL],LEN([PAPEL])-(LEN([PAPEL])-4))</f>
        <v>IGBR</v>
      </c>
      <c r="D461" s="16">
        <v>3</v>
      </c>
      <c r="E461" s="5">
        <v>41000000</v>
      </c>
      <c r="F461" s="56">
        <v>12504967</v>
      </c>
      <c r="G461" s="81">
        <v>0.25</v>
      </c>
      <c r="H461" s="87"/>
      <c r="J461" s="18"/>
      <c r="K461" s="16"/>
      <c r="L461" s="87"/>
      <c r="M461" s="54"/>
      <c r="N461" s="54"/>
      <c r="O461" s="54"/>
      <c r="P461" s="91">
        <v>-145474000</v>
      </c>
      <c r="Q461" s="73">
        <v>-89770000</v>
      </c>
      <c r="R461" s="73">
        <f>IF(Tabela3[[#This Row],[Ativo || Passivo]]&gt;0,Tabela3[[#This Row],[Ativo || Passivo]]-Tabela3[[#This Row],[Patrimônio Líquido]],0)</f>
        <v>0</v>
      </c>
      <c r="S461" s="73">
        <f>Tabela3[[#This Row],[Cotação]]*Tabela3[[#This Row],[Total Ações]]</f>
        <v>80031788.799999997</v>
      </c>
      <c r="T461" s="37">
        <f>IF(Tabela3[[#This Row],[Passivo Circulante]]&gt;0,Tabela3[[#This Row],[Ativo Circulante]]/Tabela3[[#This Row],[Passivo Circulante]],0)</f>
        <v>0</v>
      </c>
      <c r="U461" s="37">
        <f>SUMPRODUCT(N([Liquidez Corrente]&gt;0),N(RIGHT([PAPEL],LEN([PAPEL])-(LEN([PAPEL])-1))="3"),[Liquidez Corrente])/SUMPRODUCT(N([Liquidez Corrente]&gt;0),N(RIGHT([PAPEL],LEN([PAPEL])-(LEN([PAPEL])-1))="3"))</f>
        <v>2.331224473064915</v>
      </c>
      <c r="V461" s="18">
        <f>IF(Tabela3[[#This Row],[Lucro Líquido]]&gt;0,Tabela3[[#This Row],[Lucro Líquido]]/Tabela3[[#This Row],[Patrimônio Líquido]],0)</f>
        <v>0</v>
      </c>
      <c r="W461" s="18">
        <f>SUMPRODUCT(N([Rentabilidade s/ PL]&gt;0),N(RIGHT([PAPEL],LEN([PAPEL])-(LEN([PAPEL])-1))="3"),[Rentabilidade s/ PL])/SUMPRODUCT(N([Rentabilidade s/ PL]&gt;0),N(RIGHT([PAPEL],LEN([PAPEL])-(LEN([PAPEL])-1))="3"))</f>
        <v>0.1261051308670782</v>
      </c>
      <c r="X461" s="18">
        <f>IF(Tabela3[[#This Row],[Dívida]]&gt;0,Tabela3[[#This Row],[Dívida]]/Tabela3[[#This Row],[Patrimônio Líquido]],0)</f>
        <v>0</v>
      </c>
      <c r="Y461" s="18">
        <f>SUMPRODUCT(N([Dívida / PL]&gt;0),N(RIGHT([PAPEL],LEN([PAPEL])-(LEN([PAPEL])-1))="3"),[Dívida / PL])/SUMPRODUCT(N([Dívida / PL]&gt;0),N(RIGHT([PAPEL],LEN([PAPEL])-(LEN([PAPEL])-1))="3"))</f>
        <v>2.1510410379481146</v>
      </c>
      <c r="Z461" s="7">
        <f>Tabela3[[#This Row],[Capital Social]]*20%</f>
        <v>8200000</v>
      </c>
      <c r="AA461" s="47">
        <f>IF(([Lucro Líquido]*5%)&gt;[Teto R. Legal],[Teto R. Legal],[Lucro Líquido]*5%)</f>
        <v>-4488500</v>
      </c>
      <c r="AB461" s="47">
        <f>IF([Lucro Líquido]&lt;0,0,[Lucro Líquido]-[Reserva Legal])</f>
        <v>0</v>
      </c>
      <c r="AC461" s="47">
        <f>Tabela3[[#This Row],[Lucro Distribuir]]*[%Div]</f>
        <v>0</v>
      </c>
      <c r="AD461" s="56">
        <f>SUMPRODUCT(N([Nome]=Tabela3[[#This Row],[Nome]]),[Ações])</f>
        <v>12504967</v>
      </c>
      <c r="AE461" s="85">
        <f>[Capital Social]/[Total Ações]</f>
        <v>3.278697176889791</v>
      </c>
      <c r="AF461" s="85">
        <f>Tabela3[[#This Row],[Lucro Líquido]]/Tabela3[[#This Row],[Total Ações]]</f>
        <v>-7.1787474529121109</v>
      </c>
      <c r="AG461" s="85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</v>
      </c>
      <c r="AH461" s="85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461" s="77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461" s="85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</v>
      </c>
      <c r="AK461" s="7">
        <f>[Div Base]*[Ações]</f>
        <v>0</v>
      </c>
      <c r="AL461" s="7">
        <f>SUMPRODUCT(N([Nome]=Tabela3[[#This Row],[Nome]]),[Div Base]*[Ações])</f>
        <v>0</v>
      </c>
      <c r="AM461" s="5">
        <f>[Patrimônio Líquido]/[Total Ações]</f>
        <v>-11.633297392947938</v>
      </c>
      <c r="AN461" s="52">
        <f>MAX(Tabela3[[#This Row],[Cotação 1]:[Cotação 5]])</f>
        <v>6.4</v>
      </c>
      <c r="AO461" s="53">
        <f>[Cotação]/[VPA]</f>
        <v>-0.55014496611078267</v>
      </c>
      <c r="AP461" s="37">
        <f>IF(Tabela3[[#This Row],[Lucro/Ação]]&gt;0,Tabela3[[#This Row],[Cotação]]/(Tabela3[[#This Row],[Lucro/Ação]]/[Ref]*4),0)</f>
        <v>0</v>
      </c>
      <c r="AQ461" s="85">
        <f>[Lucro Distribuir]/[Total Ações]</f>
        <v>0</v>
      </c>
      <c r="AR461" s="85">
        <f>IF([Unit ON]&gt;0,SUMPRODUCT(N([Nome]=Tabela3[[#This Row],[Nome]]),N(RIGHT([PAPEL],1)="3"),[Div Base])*[Unit ON]+SUMPRODUCT(N([Nome]=Tabela3[[#This Row],[Nome]]),N(RIGHT([PAPEL],1)="4"),[Div Base])*[Unit PN],[Div Base])</f>
        <v>0</v>
      </c>
      <c r="AS461" s="10" t="str">
        <f>IF(AND([% A.A.]&gt;=6%,SUMPRODUCT(N([Nome]=Tabela3[[#This Row],[Nome]]),[PL])&gt;0,[Rentabilidade s/ PL]&gt;=[Rentabilidade s/ PL Média]),"Sim","Não")</f>
        <v>Não</v>
      </c>
      <c r="AT461" s="22">
        <f>IF([Cotação]&gt;0,Tabela3[[#This Row],[Lucro]]/Tabela3[[#This Row],[Cotação]],0)</f>
        <v>0</v>
      </c>
      <c r="AU461" s="22">
        <f>((1+Tabela3[[#This Row],[% Yield]])^(1/(3*Tabela3[[#This Row],[Ref]])))^(12)-1</f>
        <v>0</v>
      </c>
      <c r="AV461" s="10">
        <f>IF([Cotação]&gt;0,($BH$1/Tabela3[[#This Row],[Cotação]]-MOD($BH$1/Tabela3[[#This Row],[Cotação]],100)),)</f>
        <v>0</v>
      </c>
      <c r="AW461" s="7">
        <f>Tabela3[[#This Row],[Ativos]]*[Lucro]</f>
        <v>0</v>
      </c>
      <c r="AX461" s="7">
        <f>SUMPRODUCT(N(Tabela1[Código]=Tabela3[[#This Row],[PAPEL]]),Tabela1[Fechamento])</f>
        <v>0</v>
      </c>
      <c r="AY461" s="7">
        <f>SUMPRODUCT(N(Tabela17[Código]=Tabela3[[#This Row],[PAPEL]]),Tabela17[Fechamento])</f>
        <v>0</v>
      </c>
      <c r="AZ461" s="7">
        <f>SUMPRODUCT(N(Tabela176[Código]=Tabela3[[#This Row],[PAPEL]]),Tabela176[Fechamento])</f>
        <v>0</v>
      </c>
      <c r="BA461" s="7">
        <f>SUMPRODUCT(N(Tabela1768[Código]=Tabela3[[#This Row],[PAPEL]]),Tabela1768[Fechamento])</f>
        <v>6.4</v>
      </c>
      <c r="BB461" s="7">
        <f>SUMPRODUCT(N(Tabela17683[Código]=Tabela3[[#This Row],[PAPEL]]),Tabela17683[Fechamento])</f>
        <v>0</v>
      </c>
    </row>
    <row r="462" spans="1:54" hidden="1">
      <c r="A462" s="4" t="s">
        <v>291</v>
      </c>
      <c r="B462" s="57" t="s">
        <v>542</v>
      </c>
      <c r="C462" s="16" t="str">
        <f>LEFT([PAPEL],LEN([PAPEL])-(LEN([PAPEL])-4))</f>
        <v>LFFE</v>
      </c>
      <c r="D462" s="16">
        <v>3</v>
      </c>
      <c r="E462" s="5">
        <v>226047458.49000001</v>
      </c>
      <c r="F462" s="56">
        <v>336676262</v>
      </c>
      <c r="G462" s="81">
        <v>0.25</v>
      </c>
      <c r="H462" s="18"/>
      <c r="J462" s="18"/>
      <c r="K462" s="87"/>
      <c r="L462" s="87"/>
      <c r="M462" s="54"/>
      <c r="N462" s="54"/>
      <c r="O462" s="54"/>
      <c r="P462" s="91">
        <v>708697000</v>
      </c>
      <c r="Q462" s="73">
        <v>-95683000</v>
      </c>
      <c r="R462" s="73">
        <f>IF(Tabela3[[#This Row],[Ativo || Passivo]]&gt;0,Tabela3[[#This Row],[Ativo || Passivo]]-Tabela3[[#This Row],[Patrimônio Líquido]],0)</f>
        <v>0</v>
      </c>
      <c r="S462" s="73">
        <f>Tabela3[[#This Row],[Cotação]]*Tabela3[[#This Row],[Total Ações]]</f>
        <v>924462459.89999998</v>
      </c>
      <c r="T462" s="37">
        <f>IF(Tabela3[[#This Row],[Passivo Circulante]]&gt;0,Tabela3[[#This Row],[Ativo Circulante]]/Tabela3[[#This Row],[Passivo Circulante]],0)</f>
        <v>0</v>
      </c>
      <c r="U462" s="37">
        <f>SUMPRODUCT(N([Liquidez Corrente]&gt;0),N(RIGHT([PAPEL],LEN([PAPEL])-(LEN([PAPEL])-1))="3"),[Liquidez Corrente])/SUMPRODUCT(N([Liquidez Corrente]&gt;0),N(RIGHT([PAPEL],LEN([PAPEL])-(LEN([PAPEL])-1))="3"))</f>
        <v>2.331224473064915</v>
      </c>
      <c r="V462" s="18">
        <f>IF(Tabela3[[#This Row],[Lucro Líquido]]&gt;0,Tabela3[[#This Row],[Lucro Líquido]]/Tabela3[[#This Row],[Patrimônio Líquido]],0)</f>
        <v>0</v>
      </c>
      <c r="W462" s="18">
        <f>SUMPRODUCT(N([Rentabilidade s/ PL]&gt;0),N(RIGHT([PAPEL],LEN([PAPEL])-(LEN([PAPEL])-1))="3"),[Rentabilidade s/ PL])/SUMPRODUCT(N([Rentabilidade s/ PL]&gt;0),N(RIGHT([PAPEL],LEN([PAPEL])-(LEN([PAPEL])-1))="3"))</f>
        <v>0.1261051308670782</v>
      </c>
      <c r="X462" s="18">
        <f>IF(Tabela3[[#This Row],[Dívida]]&gt;0,Tabela3[[#This Row],[Dívida]]/Tabela3[[#This Row],[Patrimônio Líquido]],0)</f>
        <v>0</v>
      </c>
      <c r="Y462" s="18">
        <f>SUMPRODUCT(N([Dívida / PL]&gt;0),N(RIGHT([PAPEL],LEN([PAPEL])-(LEN([PAPEL])-1))="3"),[Dívida / PL])/SUMPRODUCT(N([Dívida / PL]&gt;0),N(RIGHT([PAPEL],LEN([PAPEL])-(LEN([PAPEL])-1))="3"))</f>
        <v>2.1510410379481146</v>
      </c>
      <c r="Z462" s="47">
        <f>Tabela3[[#This Row],[Capital Social]]*20%</f>
        <v>45209491.698000006</v>
      </c>
      <c r="AA462" s="47">
        <f>IF(([Lucro Líquido]*5%)&gt;[Teto R. Legal],[Teto R. Legal],[Lucro Líquido]*5%)</f>
        <v>-4784150</v>
      </c>
      <c r="AB462" s="47">
        <f>IF([Lucro Líquido]&lt;0,0,[Lucro Líquido]-[Reserva Legal])</f>
        <v>0</v>
      </c>
      <c r="AC462" s="47">
        <f>Tabela3[[#This Row],[Lucro Distribuir]]*[%Div]</f>
        <v>0</v>
      </c>
      <c r="AD462" s="56">
        <f>SUMPRODUCT(N([Nome]=Tabela3[[#This Row],[Nome]]),[Ações])</f>
        <v>543801447</v>
      </c>
      <c r="AE462" s="5">
        <f>[Capital Social]/[Total Ações]</f>
        <v>0.41568013424208489</v>
      </c>
      <c r="AF462" s="77">
        <f>Tabela3[[#This Row],[Lucro Líquido]]/Tabela3[[#This Row],[Total Ações]]</f>
        <v>-0.17595208789505115</v>
      </c>
      <c r="AG462" s="77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</v>
      </c>
      <c r="AH462" s="77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462" s="77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462" s="77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</v>
      </c>
      <c r="AK462" s="47">
        <f>[Div Base]*[Ações]</f>
        <v>0</v>
      </c>
      <c r="AL462" s="47">
        <f>SUMPRODUCT(N([Nome]=Tabela3[[#This Row],[Nome]]),[Div Base]*[Ações])</f>
        <v>0</v>
      </c>
      <c r="AM462" s="5">
        <f>[Patrimônio Líquido]/[Total Ações]</f>
        <v>1.3032274995031412</v>
      </c>
      <c r="AN462" s="52">
        <f>MAX(Tabela3[[#This Row],[Cotação 1]:[Cotação 5]])</f>
        <v>1.7</v>
      </c>
      <c r="AO462" s="53">
        <f>[Cotação]/[VPA]</f>
        <v>1.3044537508977745</v>
      </c>
      <c r="AP462" s="37">
        <f>IF(Tabela3[[#This Row],[Lucro/Ação]]&gt;0,Tabela3[[#This Row],[Cotação]]/(Tabela3[[#This Row],[Lucro/Ação]]/[Ref]*4),0)</f>
        <v>0</v>
      </c>
      <c r="AQ462" s="77">
        <f>[Lucro Distribuir]/[Total Ações]</f>
        <v>0</v>
      </c>
      <c r="AR462" s="77">
        <f>IF([Unit ON]&gt;0,SUMPRODUCT(N([Nome]=Tabela3[[#This Row],[Nome]]),N(RIGHT([PAPEL],1)="3"),[Div Base])*[Unit ON]+SUMPRODUCT(N([Nome]=Tabela3[[#This Row],[Nome]]),N(RIGHT([PAPEL],1)="4"),[Div Base])*[Unit PN],[Div Base])</f>
        <v>0</v>
      </c>
      <c r="AS462" s="10" t="str">
        <f>IF(AND([% A.A.]&gt;=6%,SUMPRODUCT(N([Nome]=Tabela3[[#This Row],[Nome]]),[PL])&gt;0,[Rentabilidade s/ PL]&gt;=[Rentabilidade s/ PL Média]),"Sim","Não")</f>
        <v>Não</v>
      </c>
      <c r="AT462" s="22">
        <f>IF([Cotação]&gt;0,Tabela3[[#This Row],[Lucro]]/Tabela3[[#This Row],[Cotação]],0)</f>
        <v>0</v>
      </c>
      <c r="AU462" s="22">
        <f>((1+Tabela3[[#This Row],[% Yield]])^(1/(3*Tabela3[[#This Row],[Ref]])))^(12)-1</f>
        <v>0</v>
      </c>
      <c r="AV462" s="10">
        <f>IF([Cotação]&gt;0,($BH$1/Tabela3[[#This Row],[Cotação]]-MOD($BH$1/Tabela3[[#This Row],[Cotação]],100)),)</f>
        <v>200</v>
      </c>
      <c r="AW462" s="7">
        <f>Tabela3[[#This Row],[Ativos]]*[Lucro]</f>
        <v>0</v>
      </c>
      <c r="AX462" s="7">
        <f>SUMPRODUCT(N(Tabela1[Código]=Tabela3[[#This Row],[PAPEL]]),Tabela1[Fechamento])</f>
        <v>0</v>
      </c>
      <c r="AY462" s="7">
        <f>SUMPRODUCT(N(Tabela17[Código]=Tabela3[[#This Row],[PAPEL]]),Tabela17[Fechamento])</f>
        <v>1.7</v>
      </c>
      <c r="AZ462" s="7">
        <f>SUMPRODUCT(N(Tabela176[Código]=Tabela3[[#This Row],[PAPEL]]),Tabela176[Fechamento])</f>
        <v>0</v>
      </c>
      <c r="BA462" s="7">
        <f>SUMPRODUCT(N(Tabela1768[Código]=Tabela3[[#This Row],[PAPEL]]),Tabela1768[Fechamento])</f>
        <v>0</v>
      </c>
      <c r="BB462" s="7">
        <f>SUMPRODUCT(N(Tabela17683[Código]=Tabela3[[#This Row],[PAPEL]]),Tabela17683[Fechamento])</f>
        <v>0</v>
      </c>
    </row>
    <row r="463" spans="1:54" hidden="1">
      <c r="A463" s="4" t="s">
        <v>291</v>
      </c>
      <c r="B463" s="57" t="s">
        <v>543</v>
      </c>
      <c r="C463" s="15" t="str">
        <f>LEFT([PAPEL],LEN([PAPEL])-(LEN([PAPEL])-4))</f>
        <v>LFFE</v>
      </c>
      <c r="D463" s="15">
        <v>3</v>
      </c>
      <c r="E463" s="5">
        <v>226047458.49000001</v>
      </c>
      <c r="F463" s="8">
        <v>207125185</v>
      </c>
      <c r="G463" s="86">
        <v>0.25</v>
      </c>
      <c r="H463" s="19"/>
      <c r="I463" s="19"/>
      <c r="J463" s="19">
        <v>0.1</v>
      </c>
      <c r="K463" s="88"/>
      <c r="L463" s="88"/>
      <c r="M463" s="55"/>
      <c r="N463" s="55"/>
      <c r="O463" s="55"/>
      <c r="P463" s="91">
        <v>708697000</v>
      </c>
      <c r="Q463" s="73">
        <v>-95683000</v>
      </c>
      <c r="R463" s="73">
        <f>IF(Tabela3[[#This Row],[Ativo || Passivo]]&gt;0,Tabela3[[#This Row],[Ativo || Passivo]]-Tabela3[[#This Row],[Patrimônio Líquido]],0)</f>
        <v>0</v>
      </c>
      <c r="S463" s="73">
        <f>Tabela3[[#This Row],[Cotação]]*Tabela3[[#This Row],[Total Ações]]</f>
        <v>2006627339.4300001</v>
      </c>
      <c r="T463" s="37">
        <f>IF(Tabela3[[#This Row],[Passivo Circulante]]&gt;0,Tabela3[[#This Row],[Ativo Circulante]]/Tabela3[[#This Row],[Passivo Circulante]],0)</f>
        <v>0</v>
      </c>
      <c r="U463" s="37">
        <f>SUMPRODUCT(N([Liquidez Corrente]&gt;0),N(RIGHT([PAPEL],LEN([PAPEL])-(LEN([PAPEL])-1))="3"),[Liquidez Corrente])/SUMPRODUCT(N([Liquidez Corrente]&gt;0),N(RIGHT([PAPEL],LEN([PAPEL])-(LEN([PAPEL])-1))="3"))</f>
        <v>2.331224473064915</v>
      </c>
      <c r="V463" s="18">
        <f>IF(Tabela3[[#This Row],[Lucro Líquido]]&gt;0,Tabela3[[#This Row],[Lucro Líquido]]/Tabela3[[#This Row],[Patrimônio Líquido]],0)</f>
        <v>0</v>
      </c>
      <c r="W463" s="18">
        <f>SUMPRODUCT(N([Rentabilidade s/ PL]&gt;0),N(RIGHT([PAPEL],LEN([PAPEL])-(LEN([PAPEL])-1))="3"),[Rentabilidade s/ PL])/SUMPRODUCT(N([Rentabilidade s/ PL]&gt;0),N(RIGHT([PAPEL],LEN([PAPEL])-(LEN([PAPEL])-1))="3"))</f>
        <v>0.1261051308670782</v>
      </c>
      <c r="X463" s="18">
        <f>IF(Tabela3[[#This Row],[Dívida]]&gt;0,Tabela3[[#This Row],[Dívida]]/Tabela3[[#This Row],[Patrimônio Líquido]],0)</f>
        <v>0</v>
      </c>
      <c r="Y463" s="18">
        <f>SUMPRODUCT(N([Dívida / PL]&gt;0),N(RIGHT([PAPEL],LEN([PAPEL])-(LEN([PAPEL])-1))="3"),[Dívida / PL])/SUMPRODUCT(N([Dívida / PL]&gt;0),N(RIGHT([PAPEL],LEN([PAPEL])-(LEN([PAPEL])-1))="3"))</f>
        <v>2.1510410379481146</v>
      </c>
      <c r="Z463" s="13">
        <f>Tabela3[[#This Row],[Capital Social]]*20%</f>
        <v>45209491.698000006</v>
      </c>
      <c r="AA463" s="13">
        <f>IF(([Lucro Líquido]*5%)&gt;[Teto R. Legal],[Teto R. Legal],[Lucro Líquido]*5%)</f>
        <v>-4784150</v>
      </c>
      <c r="AB463" s="13">
        <f>IF([Lucro Líquido]&lt;0,0,[Lucro Líquido]-[Reserva Legal])</f>
        <v>0</v>
      </c>
      <c r="AC463" s="13">
        <f>Tabela3[[#This Row],[Lucro Distribuir]]*[%Div]</f>
        <v>0</v>
      </c>
      <c r="AD463" s="56">
        <f>SUMPRODUCT(N([Nome]=Tabela3[[#This Row],[Nome]]),[Ações])</f>
        <v>543801447</v>
      </c>
      <c r="AE463" s="6">
        <f>[Capital Social]/[Total Ações]</f>
        <v>0.41568013424208489</v>
      </c>
      <c r="AF463" s="78">
        <f>Tabela3[[#This Row],[Lucro Líquido]]/Tabela3[[#This Row],[Total Ações]]</f>
        <v>-0.17595208789505115</v>
      </c>
      <c r="AG463" s="78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</v>
      </c>
      <c r="AH463" s="78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463" s="78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463" s="78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</v>
      </c>
      <c r="AK463" s="13">
        <f>[Div Base]*[Ações]</f>
        <v>0</v>
      </c>
      <c r="AL463" s="13">
        <f>SUMPRODUCT(N([Nome]=Tabela3[[#This Row],[Nome]]),[Div Base]*[Ações])</f>
        <v>0</v>
      </c>
      <c r="AM463" s="6">
        <f>[Patrimônio Líquido]/[Total Ações]</f>
        <v>1.3032274995031412</v>
      </c>
      <c r="AN463" s="48">
        <f>MAX(Tabela3[[#This Row],[Cotação 1]:[Cotação 5]])</f>
        <v>3.69</v>
      </c>
      <c r="AO463" s="44">
        <f>[Cotação]/[VPA]</f>
        <v>2.8314319651839925</v>
      </c>
      <c r="AP463" s="40">
        <f>IF(Tabela3[[#This Row],[Lucro/Ação]]&gt;0,Tabela3[[#This Row],[Cotação]]/(Tabela3[[#This Row],[Lucro/Ação]]/[Ref]*4),0)</f>
        <v>0</v>
      </c>
      <c r="AQ463" s="78">
        <f>[Lucro Distribuir]/[Total Ações]</f>
        <v>0</v>
      </c>
      <c r="AR463" s="78">
        <f>IF([Unit ON]&gt;0,SUMPRODUCT(N([Nome]=Tabela3[[#This Row],[Nome]]),N(RIGHT([PAPEL],1)="3"),[Div Base])*[Unit ON]+SUMPRODUCT(N([Nome]=Tabela3[[#This Row],[Nome]]),N(RIGHT([PAPEL],1)="4"),[Div Base])*[Unit PN],[Div Base])</f>
        <v>0</v>
      </c>
      <c r="AS463" s="14" t="str">
        <f>IF(AND([% A.A.]&gt;=6%,SUMPRODUCT(N([Nome]=Tabela3[[#This Row],[Nome]]),[PL])&gt;0,[Rentabilidade s/ PL]&gt;=[Rentabilidade s/ PL Média]),"Sim","Não")</f>
        <v>Não</v>
      </c>
      <c r="AT463" s="42">
        <f>IF([Cotação]&gt;0,Tabela3[[#This Row],[Lucro]]/Tabela3[[#This Row],[Cotação]],0)</f>
        <v>0</v>
      </c>
      <c r="AU463" s="42">
        <f>((1+Tabela3[[#This Row],[% Yield]])^(1/(3*Tabela3[[#This Row],[Ref]])))^(12)-1</f>
        <v>0</v>
      </c>
      <c r="AV463" s="14">
        <f>IF([Cotação]&gt;0,($BH$1/Tabela3[[#This Row],[Cotação]]-MOD($BH$1/Tabela3[[#This Row],[Cotação]],100)),)</f>
        <v>100</v>
      </c>
      <c r="AW463" s="17">
        <f>Tabela3[[#This Row],[Ativos]]*[Lucro]</f>
        <v>0</v>
      </c>
      <c r="AX463" s="17">
        <f>SUMPRODUCT(N(Tabela1[Código]=Tabela3[[#This Row],[PAPEL]]),Tabela1[Fechamento])</f>
        <v>0</v>
      </c>
      <c r="AY463" s="17">
        <f>SUMPRODUCT(N(Tabela17[Código]=Tabela3[[#This Row],[PAPEL]]),Tabela17[Fechamento])</f>
        <v>3.69</v>
      </c>
      <c r="AZ463" s="7">
        <f>SUMPRODUCT(N(Tabela176[Código]=Tabela3[[#This Row],[PAPEL]]),Tabela176[Fechamento])</f>
        <v>0</v>
      </c>
      <c r="BA463" s="7">
        <f>SUMPRODUCT(N(Tabela1768[Código]=Tabela3[[#This Row],[PAPEL]]),Tabela1768[Fechamento])</f>
        <v>0</v>
      </c>
      <c r="BB463" s="7">
        <f>SUMPRODUCT(N(Tabela17683[Código]=Tabela3[[#This Row],[PAPEL]]),Tabela17683[Fechamento])</f>
        <v>0</v>
      </c>
    </row>
    <row r="464" spans="1:54" hidden="1">
      <c r="A464" s="3" t="s">
        <v>1330</v>
      </c>
      <c r="B464" s="57" t="s">
        <v>1333</v>
      </c>
      <c r="C464" s="16" t="str">
        <f>LEFT([PAPEL],LEN([PAPEL])-(LEN([PAPEL])-4))</f>
        <v>LLXL</v>
      </c>
      <c r="D464" s="16">
        <v>3</v>
      </c>
      <c r="E464" s="5">
        <v>624239307.03999996</v>
      </c>
      <c r="F464" s="56">
        <v>1777474711</v>
      </c>
      <c r="G464" s="81">
        <v>0.25</v>
      </c>
      <c r="H464" s="87"/>
      <c r="J464" s="18"/>
      <c r="K464" s="16"/>
      <c r="L464" s="87"/>
      <c r="M464" s="54"/>
      <c r="N464" s="54"/>
      <c r="O464" s="54"/>
      <c r="P464" s="91">
        <v>773839000</v>
      </c>
      <c r="Q464" s="73">
        <v>-103906000</v>
      </c>
      <c r="R464" s="73">
        <f>IF(Tabela3[[#This Row],[Ativo || Passivo]]&gt;0,Tabela3[[#This Row],[Ativo || Passivo]]-Tabela3[[#This Row],[Patrimônio Líquido]],0)</f>
        <v>0</v>
      </c>
      <c r="S464" s="73">
        <f>Tabela3[[#This Row],[Cotação]]*Tabela3[[#This Row],[Total Ações]]</f>
        <v>1724150469.6699998</v>
      </c>
      <c r="T464" s="37">
        <f>IF(Tabela3[[#This Row],[Passivo Circulante]]&gt;0,Tabela3[[#This Row],[Ativo Circulante]]/Tabela3[[#This Row],[Passivo Circulante]],0)</f>
        <v>0</v>
      </c>
      <c r="U464" s="37">
        <f>SUMPRODUCT(N([Liquidez Corrente]&gt;0),N(RIGHT([PAPEL],LEN([PAPEL])-(LEN([PAPEL])-1))="3"),[Liquidez Corrente])/SUMPRODUCT(N([Liquidez Corrente]&gt;0),N(RIGHT([PAPEL],LEN([PAPEL])-(LEN([PAPEL])-1))="3"))</f>
        <v>2.331224473064915</v>
      </c>
      <c r="V464" s="18">
        <f>IF(Tabela3[[#This Row],[Lucro Líquido]]&gt;0,Tabela3[[#This Row],[Lucro Líquido]]/Tabela3[[#This Row],[Patrimônio Líquido]],0)</f>
        <v>0</v>
      </c>
      <c r="W464" s="18">
        <f>SUMPRODUCT(N([Rentabilidade s/ PL]&gt;0),N(RIGHT([PAPEL],LEN([PAPEL])-(LEN([PAPEL])-1))="3"),[Rentabilidade s/ PL])/SUMPRODUCT(N([Rentabilidade s/ PL]&gt;0),N(RIGHT([PAPEL],LEN([PAPEL])-(LEN([PAPEL])-1))="3"))</f>
        <v>0.1261051308670782</v>
      </c>
      <c r="X464" s="18">
        <f>IF(Tabela3[[#This Row],[Dívida]]&gt;0,Tabela3[[#This Row],[Dívida]]/Tabela3[[#This Row],[Patrimônio Líquido]],0)</f>
        <v>0</v>
      </c>
      <c r="Y464" s="18">
        <f>SUMPRODUCT(N([Dívida / PL]&gt;0),N(RIGHT([PAPEL],LEN([PAPEL])-(LEN([PAPEL])-1))="3"),[Dívida / PL])/SUMPRODUCT(N([Dívida / PL]&gt;0),N(RIGHT([PAPEL],LEN([PAPEL])-(LEN([PAPEL])-1))="3"))</f>
        <v>2.1510410379481146</v>
      </c>
      <c r="Z464" s="7">
        <f>Tabela3[[#This Row],[Capital Social]]*20%</f>
        <v>124847861.40799999</v>
      </c>
      <c r="AA464" s="47">
        <f>IF(([Lucro Líquido]*5%)&gt;[Teto R. Legal],[Teto R. Legal],[Lucro Líquido]*5%)</f>
        <v>-5195300</v>
      </c>
      <c r="AB464" s="47">
        <f>IF([Lucro Líquido]&lt;0,0,[Lucro Líquido]-[Reserva Legal])</f>
        <v>0</v>
      </c>
      <c r="AC464" s="47">
        <f>Tabela3[[#This Row],[Lucro Distribuir]]*[%Div]</f>
        <v>0</v>
      </c>
      <c r="AD464" s="56">
        <f>SUMPRODUCT(N([Nome]=Tabela3[[#This Row],[Nome]]),[Ações])</f>
        <v>1777474711</v>
      </c>
      <c r="AE464" s="85">
        <f>[Capital Social]/[Total Ações]</f>
        <v>0.35119448011094656</v>
      </c>
      <c r="AF464" s="85">
        <f>Tabela3[[#This Row],[Lucro Líquido]]/Tabela3[[#This Row],[Total Ações]]</f>
        <v>-5.8457090476152489E-2</v>
      </c>
      <c r="AG464" s="85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</v>
      </c>
      <c r="AH464" s="85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464" s="77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464" s="85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</v>
      </c>
      <c r="AK464" s="7">
        <f>[Div Base]*[Ações]</f>
        <v>0</v>
      </c>
      <c r="AL464" s="120">
        <f>SUMPRODUCT(N([Nome]=Tabela3[[#This Row],[Nome]]),[Div Base]*[Ações])</f>
        <v>0</v>
      </c>
      <c r="AM464" s="5">
        <f>[Patrimônio Líquido]/[Total Ações]</f>
        <v>0.43535865529397116</v>
      </c>
      <c r="AN464" s="52">
        <f>MAX(Tabela3[[#This Row],[Cotação 1]:[Cotação 5]])</f>
        <v>0.97</v>
      </c>
      <c r="AO464" s="53">
        <f>[Cotação]/[VPA]</f>
        <v>2.2280480431588483</v>
      </c>
      <c r="AP464" s="37">
        <f>IF(Tabela3[[#This Row],[Lucro/Ação]]&gt;0,Tabela3[[#This Row],[Cotação]]/(Tabela3[[#This Row],[Lucro/Ação]]/[Ref]*4),0)</f>
        <v>0</v>
      </c>
      <c r="AQ464" s="85">
        <f>[Lucro Distribuir]/[Total Ações]</f>
        <v>0</v>
      </c>
      <c r="AR464" s="85">
        <f>IF([Unit ON]&gt;0,SUMPRODUCT(N([Nome]=Tabela3[[#This Row],[Nome]]),N(RIGHT([PAPEL],1)="3"),[Div Base])*[Unit ON]+SUMPRODUCT(N([Nome]=Tabela3[[#This Row],[Nome]]),N(RIGHT([PAPEL],1)="4"),[Div Base])*[Unit PN],[Div Base])</f>
        <v>0</v>
      </c>
      <c r="AS464" s="10" t="str">
        <f>IF(AND([% A.A.]&gt;=6%,SUMPRODUCT(N([Nome]=Tabela3[[#This Row],[Nome]]),[PL])&gt;0,[Rentabilidade s/ PL]&gt;=[Rentabilidade s/ PL Média]),"Sim","Não")</f>
        <v>Não</v>
      </c>
      <c r="AT464" s="22">
        <f>IF([Cotação]&gt;0,Tabela3[[#This Row],[Lucro]]/Tabela3[[#This Row],[Cotação]],0)</f>
        <v>0</v>
      </c>
      <c r="AU464" s="22">
        <f>((1+Tabela3[[#This Row],[% Yield]])^(1/(3*Tabela3[[#This Row],[Ref]])))^(12)-1</f>
        <v>0</v>
      </c>
      <c r="AV464" s="10">
        <f>IF([Cotação]&gt;0,($BH$1/Tabela3[[#This Row],[Cotação]]-MOD($BH$1/Tabela3[[#This Row],[Cotação]],100)),)</f>
        <v>500</v>
      </c>
      <c r="AW464" s="7">
        <f>Tabela3[[#This Row],[Ativos]]*[Lucro]</f>
        <v>0</v>
      </c>
      <c r="AX464" s="7">
        <f>SUMPRODUCT(N(Tabela1[Código]=Tabela3[[#This Row],[PAPEL]]),Tabela1[Fechamento])</f>
        <v>0</v>
      </c>
      <c r="AY464" s="7">
        <f>SUMPRODUCT(N(Tabela17[Código]=Tabela3[[#This Row],[PAPEL]]),Tabela17[Fechamento])</f>
        <v>0</v>
      </c>
      <c r="AZ464" s="7">
        <f>SUMPRODUCT(N(Tabela176[Código]=Tabela3[[#This Row],[PAPEL]]),Tabela176[Fechamento])</f>
        <v>0</v>
      </c>
      <c r="BA464" s="7">
        <f>SUMPRODUCT(N(Tabela1768[Código]=Tabela3[[#This Row],[PAPEL]]),Tabela1768[Fechamento])</f>
        <v>0</v>
      </c>
      <c r="BB464" s="7">
        <f>SUMPRODUCT(N(Tabela17683[Código]=Tabela3[[#This Row],[PAPEL]]),Tabela17683[Fechamento])</f>
        <v>0.97</v>
      </c>
    </row>
    <row r="465" spans="1:54" hidden="1">
      <c r="A465" s="4" t="s">
        <v>14</v>
      </c>
      <c r="B465" s="57" t="s">
        <v>550</v>
      </c>
      <c r="C465" s="15" t="str">
        <f>LEFT([PAPEL],LEN([PAPEL])-(LEN([PAPEL])-4))</f>
        <v>IDVL</v>
      </c>
      <c r="D465" s="15">
        <v>3</v>
      </c>
      <c r="E465" s="6">
        <v>662383583.21000004</v>
      </c>
      <c r="F465" s="8">
        <v>44410897</v>
      </c>
      <c r="G465" s="86">
        <v>0.25</v>
      </c>
      <c r="H465" s="15"/>
      <c r="I465" s="19"/>
      <c r="J465" s="19"/>
      <c r="K465" s="88"/>
      <c r="L465" s="88"/>
      <c r="M465" s="55"/>
      <c r="N465" s="55"/>
      <c r="O465" s="55"/>
      <c r="P465" s="92">
        <v>573642000</v>
      </c>
      <c r="Q465" s="93">
        <v>-109956000</v>
      </c>
      <c r="R465" s="93">
        <f>IF(Tabela3[[#This Row],[Ativo || Passivo]]&gt;0,Tabela3[[#This Row],[Ativo || Passivo]]-Tabela3[[#This Row],[Patrimônio Líquido]],0)</f>
        <v>0</v>
      </c>
      <c r="S465" s="93">
        <f>Tabela3[[#This Row],[Cotação]]*Tabela3[[#This Row],[Total Ações]]</f>
        <v>471455025</v>
      </c>
      <c r="T465" s="40">
        <f>IF(Tabela3[[#This Row],[Passivo Circulante]]&gt;0,Tabela3[[#This Row],[Ativo Circulante]]/Tabela3[[#This Row],[Passivo Circulante]],0)</f>
        <v>0</v>
      </c>
      <c r="U465" s="40">
        <f>SUMPRODUCT(N([Liquidez Corrente]&gt;0),N(RIGHT([PAPEL],LEN([PAPEL])-(LEN([PAPEL])-1))="3"),[Liquidez Corrente])/SUMPRODUCT(N([Liquidez Corrente]&gt;0),N(RIGHT([PAPEL],LEN([PAPEL])-(LEN([PAPEL])-1))="3"))</f>
        <v>2.331224473064915</v>
      </c>
      <c r="V465" s="19">
        <f>IF(Tabela3[[#This Row],[Lucro Líquido]]&gt;0,Tabela3[[#This Row],[Lucro Líquido]]/Tabela3[[#This Row],[Patrimônio Líquido]],0)</f>
        <v>0</v>
      </c>
      <c r="W465" s="19">
        <f>SUMPRODUCT(N([Rentabilidade s/ PL]&gt;0),N(RIGHT([PAPEL],LEN([PAPEL])-(LEN([PAPEL])-1))="3"),[Rentabilidade s/ PL])/SUMPRODUCT(N([Rentabilidade s/ PL]&gt;0),N(RIGHT([PAPEL],LEN([PAPEL])-(LEN([PAPEL])-1))="3"))</f>
        <v>0.1261051308670782</v>
      </c>
      <c r="X465" s="19">
        <f>IF(Tabela3[[#This Row],[Dívida]]&gt;0,Tabela3[[#This Row],[Dívida]]/Tabela3[[#This Row],[Patrimônio Líquido]],0)</f>
        <v>0</v>
      </c>
      <c r="Y465" s="19">
        <f>SUMPRODUCT(N([Dívida / PL]&gt;0),N(RIGHT([PAPEL],LEN([PAPEL])-(LEN([PAPEL])-1))="3"),[Dívida / PL])/SUMPRODUCT(N([Dívida / PL]&gt;0),N(RIGHT([PAPEL],LEN([PAPEL])-(LEN([PAPEL])-1))="3"))</f>
        <v>2.1510410379481146</v>
      </c>
      <c r="Z465" s="13">
        <f>Tabela3[[#This Row],[Capital Social]]*20%</f>
        <v>132476716.64200002</v>
      </c>
      <c r="AA465" s="13">
        <f>IF(([Lucro Líquido]*5%)&gt;[Teto R. Legal],[Teto R. Legal],[Lucro Líquido]*5%)</f>
        <v>-5497800</v>
      </c>
      <c r="AB465" s="13">
        <f>IF([Lucro Líquido]&lt;0,0,[Lucro Líquido]-[Reserva Legal])</f>
        <v>0</v>
      </c>
      <c r="AC465" s="13">
        <f>Tabela3[[#This Row],[Lucro Distribuir]]*[%Div]</f>
        <v>0</v>
      </c>
      <c r="AD465" s="56">
        <f>SUMPRODUCT(N([Nome]=Tabela3[[#This Row],[Nome]]),[Ações])</f>
        <v>75432804</v>
      </c>
      <c r="AE465" s="6">
        <f>[Capital Social]/[Total Ações]</f>
        <v>8.7811077950913781</v>
      </c>
      <c r="AF465" s="78">
        <f>Tabela3[[#This Row],[Lucro Líquido]]/Tabela3[[#This Row],[Total Ações]]</f>
        <v>-1.4576682049364094</v>
      </c>
      <c r="AG465" s="78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</v>
      </c>
      <c r="AH465" s="78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465" s="78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465" s="78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</v>
      </c>
      <c r="AK465" s="13">
        <f>[Div Base]*[Ações]</f>
        <v>0</v>
      </c>
      <c r="AL465" s="13">
        <f>SUMPRODUCT(N([Nome]=Tabela3[[#This Row],[Nome]]),[Div Base]*[Ações])</f>
        <v>0</v>
      </c>
      <c r="AM465" s="6">
        <f>[Patrimônio Líquido]/[Total Ações]</f>
        <v>7.6046755467289797</v>
      </c>
      <c r="AN465" s="48">
        <f>MAX(Tabela3[[#This Row],[Cotação 1]:[Cotação 5]])</f>
        <v>6.25</v>
      </c>
      <c r="AO465" s="44">
        <f>[Cotação]/[VPA]</f>
        <v>0.82186280816258228</v>
      </c>
      <c r="AP465" s="40">
        <f>IF(Tabela3[[#This Row],[Lucro/Ação]]&gt;0,Tabela3[[#This Row],[Cotação]]/(Tabela3[[#This Row],[Lucro/Ação]]/[Ref]*4),0)</f>
        <v>0</v>
      </c>
      <c r="AQ465" s="78">
        <f>[Lucro Distribuir]/[Total Ações]</f>
        <v>0</v>
      </c>
      <c r="AR465" s="78">
        <f>IF([Unit ON]&gt;0,SUMPRODUCT(N([Nome]=Tabela3[[#This Row],[Nome]]),N(RIGHT([PAPEL],1)="3"),[Div Base])*[Unit ON]+SUMPRODUCT(N([Nome]=Tabela3[[#This Row],[Nome]]),N(RIGHT([PAPEL],1)="4"),[Div Base])*[Unit PN],[Div Base])</f>
        <v>0</v>
      </c>
      <c r="AS465" s="14" t="str">
        <f>IF(AND([% A.A.]&gt;=6%,SUMPRODUCT(N([Nome]=Tabela3[[#This Row],[Nome]]),[PL])&gt;0,[Rentabilidade s/ PL]&gt;=[Rentabilidade s/ PL Média]),"Sim","Não")</f>
        <v>Não</v>
      </c>
      <c r="AT465" s="42">
        <f>IF([Cotação]&gt;0,Tabela3[[#This Row],[Lucro]]/Tabela3[[#This Row],[Cotação]],0)</f>
        <v>0</v>
      </c>
      <c r="AU465" s="42">
        <f>((1+Tabela3[[#This Row],[% Yield]])^(1/(3*Tabela3[[#This Row],[Ref]])))^(12)-1</f>
        <v>0</v>
      </c>
      <c r="AV465" s="14">
        <f>IF([Cotação]&gt;0,($BH$1/Tabela3[[#This Row],[Cotação]]-MOD($BH$1/Tabela3[[#This Row],[Cotação]],100)),)</f>
        <v>0</v>
      </c>
      <c r="AW465" s="17">
        <f>Tabela3[[#This Row],[Ativos]]*[Lucro]</f>
        <v>0</v>
      </c>
      <c r="AX465" s="17">
        <f>SUMPRODUCT(N(Tabela1[Código]=Tabela3[[#This Row],[PAPEL]]),Tabela1[Fechamento])</f>
        <v>0</v>
      </c>
      <c r="AY465" s="17">
        <f>SUMPRODUCT(N(Tabela17[Código]=Tabela3[[#This Row],[PAPEL]]),Tabela17[Fechamento])</f>
        <v>0</v>
      </c>
      <c r="AZ465" s="17">
        <f>SUMPRODUCT(N(Tabela176[Código]=Tabela3[[#This Row],[PAPEL]]),Tabela176[Fechamento])</f>
        <v>6.25</v>
      </c>
      <c r="BA465" s="17">
        <f>SUMPRODUCT(N(Tabela1768[Código]=Tabela3[[#This Row],[PAPEL]]),Tabela1768[Fechamento])</f>
        <v>0</v>
      </c>
      <c r="BB465" s="7">
        <f>SUMPRODUCT(N(Tabela17683[Código]=Tabela3[[#This Row],[PAPEL]]),Tabela17683[Fechamento])</f>
        <v>0</v>
      </c>
    </row>
    <row r="466" spans="1:54" hidden="1">
      <c r="A466" s="4" t="s">
        <v>14</v>
      </c>
      <c r="B466" s="57" t="s">
        <v>551</v>
      </c>
      <c r="C466" s="15" t="str">
        <f>LEFT([PAPEL],LEN([PAPEL])-(LEN([PAPEL])-4))</f>
        <v>IDVL</v>
      </c>
      <c r="D466" s="15">
        <v>3</v>
      </c>
      <c r="E466" s="6">
        <v>662383583.21000004</v>
      </c>
      <c r="F466" s="8">
        <v>31021907</v>
      </c>
      <c r="G466" s="86">
        <v>0.25</v>
      </c>
      <c r="H466" s="15"/>
      <c r="I466" s="19"/>
      <c r="J466" s="19"/>
      <c r="K466" s="88"/>
      <c r="L466" s="88"/>
      <c r="M466" s="55"/>
      <c r="N466" s="55"/>
      <c r="O466" s="55"/>
      <c r="P466" s="92">
        <v>573642000</v>
      </c>
      <c r="Q466" s="93">
        <v>-109956000</v>
      </c>
      <c r="R466" s="93">
        <f>IF(Tabela3[[#This Row],[Ativo || Passivo]]&gt;0,Tabela3[[#This Row],[Ativo || Passivo]]-Tabela3[[#This Row],[Patrimônio Líquido]],0)</f>
        <v>0</v>
      </c>
      <c r="S466" s="93">
        <f>Tabela3[[#This Row],[Cotação]]*Tabela3[[#This Row],[Total Ações]]</f>
        <v>378672676.07999998</v>
      </c>
      <c r="T466" s="40">
        <f>IF(Tabela3[[#This Row],[Passivo Circulante]]&gt;0,Tabela3[[#This Row],[Ativo Circulante]]/Tabela3[[#This Row],[Passivo Circulante]],0)</f>
        <v>0</v>
      </c>
      <c r="U466" s="40">
        <f>SUMPRODUCT(N([Liquidez Corrente]&gt;0),N(RIGHT([PAPEL],LEN([PAPEL])-(LEN([PAPEL])-1))="3"),[Liquidez Corrente])/SUMPRODUCT(N([Liquidez Corrente]&gt;0),N(RIGHT([PAPEL],LEN([PAPEL])-(LEN([PAPEL])-1))="3"))</f>
        <v>2.331224473064915</v>
      </c>
      <c r="V466" s="19">
        <f>IF(Tabela3[[#This Row],[Lucro Líquido]]&gt;0,Tabela3[[#This Row],[Lucro Líquido]]/Tabela3[[#This Row],[Patrimônio Líquido]],0)</f>
        <v>0</v>
      </c>
      <c r="W466" s="19">
        <f>SUMPRODUCT(N([Rentabilidade s/ PL]&gt;0),N(RIGHT([PAPEL],LEN([PAPEL])-(LEN([PAPEL])-1))="3"),[Rentabilidade s/ PL])/SUMPRODUCT(N([Rentabilidade s/ PL]&gt;0),N(RIGHT([PAPEL],LEN([PAPEL])-(LEN([PAPEL])-1))="3"))</f>
        <v>0.1261051308670782</v>
      </c>
      <c r="X466" s="19">
        <f>IF(Tabela3[[#This Row],[Dívida]]&gt;0,Tabela3[[#This Row],[Dívida]]/Tabela3[[#This Row],[Patrimônio Líquido]],0)</f>
        <v>0</v>
      </c>
      <c r="Y466" s="19">
        <f>SUMPRODUCT(N([Dívida / PL]&gt;0),N(RIGHT([PAPEL],LEN([PAPEL])-(LEN([PAPEL])-1))="3"),[Dívida / PL])/SUMPRODUCT(N([Dívida / PL]&gt;0),N(RIGHT([PAPEL],LEN([PAPEL])-(LEN([PAPEL])-1))="3"))</f>
        <v>2.1510410379481146</v>
      </c>
      <c r="Z466" s="13">
        <f>Tabela3[[#This Row],[Capital Social]]*20%</f>
        <v>132476716.64200002</v>
      </c>
      <c r="AA466" s="13">
        <f>IF(([Lucro Líquido]*5%)&gt;[Teto R. Legal],[Teto R. Legal],[Lucro Líquido]*5%)</f>
        <v>-5497800</v>
      </c>
      <c r="AB466" s="13">
        <f>IF([Lucro Líquido]&lt;0,0,[Lucro Líquido]-[Reserva Legal])</f>
        <v>0</v>
      </c>
      <c r="AC466" s="13">
        <f>Tabela3[[#This Row],[Lucro Distribuir]]*[%Div]</f>
        <v>0</v>
      </c>
      <c r="AD466" s="56">
        <f>SUMPRODUCT(N([Nome]=Tabela3[[#This Row],[Nome]]),[Ações])</f>
        <v>75432804</v>
      </c>
      <c r="AE466" s="6">
        <f>[Capital Social]/[Total Ações]</f>
        <v>8.7811077950913781</v>
      </c>
      <c r="AF466" s="78">
        <f>Tabela3[[#This Row],[Lucro Líquido]]/Tabela3[[#This Row],[Total Ações]]</f>
        <v>-1.4576682049364094</v>
      </c>
      <c r="AG466" s="78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</v>
      </c>
      <c r="AH466" s="78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466" s="78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466" s="78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</v>
      </c>
      <c r="AK466" s="13">
        <f>[Div Base]*[Ações]</f>
        <v>0</v>
      </c>
      <c r="AL466" s="13">
        <f>SUMPRODUCT(N([Nome]=Tabela3[[#This Row],[Nome]]),[Div Base]*[Ações])</f>
        <v>0</v>
      </c>
      <c r="AM466" s="6">
        <f>[Patrimônio Líquido]/[Total Ações]</f>
        <v>7.6046755467289797</v>
      </c>
      <c r="AN466" s="48">
        <f>MAX(Tabela3[[#This Row],[Cotação 1]:[Cotação 5]])</f>
        <v>5.0199999999999996</v>
      </c>
      <c r="AO466" s="44">
        <f>[Cotação]/[VPA]</f>
        <v>0.66012020751618605</v>
      </c>
      <c r="AP466" s="40">
        <f>IF(Tabela3[[#This Row],[Lucro/Ação]]&gt;0,Tabela3[[#This Row],[Cotação]]/(Tabela3[[#This Row],[Lucro/Ação]]/[Ref]*4),0)</f>
        <v>0</v>
      </c>
      <c r="AQ466" s="78">
        <f>[Lucro Distribuir]/[Total Ações]</f>
        <v>0</v>
      </c>
      <c r="AR466" s="78">
        <f>IF([Unit ON]&gt;0,SUMPRODUCT(N([Nome]=Tabela3[[#This Row],[Nome]]),N(RIGHT([PAPEL],1)="3"),[Div Base])*[Unit ON]+SUMPRODUCT(N([Nome]=Tabela3[[#This Row],[Nome]]),N(RIGHT([PAPEL],1)="4"),[Div Base])*[Unit PN],[Div Base])</f>
        <v>0</v>
      </c>
      <c r="AS466" s="14" t="str">
        <f>IF(AND([% A.A.]&gt;=6%,SUMPRODUCT(N([Nome]=Tabela3[[#This Row],[Nome]]),[PL])&gt;0,[Rentabilidade s/ PL]&gt;=[Rentabilidade s/ PL Média]),"Sim","Não")</f>
        <v>Não</v>
      </c>
      <c r="AT466" s="42">
        <f>IF([Cotação]&gt;0,Tabela3[[#This Row],[Lucro]]/Tabela3[[#This Row],[Cotação]],0)</f>
        <v>0</v>
      </c>
      <c r="AU466" s="42">
        <f>((1+Tabela3[[#This Row],[% Yield]])^(1/(3*Tabela3[[#This Row],[Ref]])))^(12)-1</f>
        <v>0</v>
      </c>
      <c r="AV466" s="14">
        <f>IF([Cotação]&gt;0,($BH$1/Tabela3[[#This Row],[Cotação]]-MOD($BH$1/Tabela3[[#This Row],[Cotação]],100)),)</f>
        <v>0</v>
      </c>
      <c r="AW466" s="17">
        <f>Tabela3[[#This Row],[Ativos]]*[Lucro]</f>
        <v>0</v>
      </c>
      <c r="AX466" s="17">
        <f>SUMPRODUCT(N(Tabela1[Código]=Tabela3[[#This Row],[PAPEL]]),Tabela1[Fechamento])</f>
        <v>0</v>
      </c>
      <c r="AY466" s="17">
        <f>SUMPRODUCT(N(Tabela17[Código]=Tabela3[[#This Row],[PAPEL]]),Tabela17[Fechamento])</f>
        <v>0</v>
      </c>
      <c r="AZ466" s="17">
        <f>SUMPRODUCT(N(Tabela176[Código]=Tabela3[[#This Row],[PAPEL]]),Tabela176[Fechamento])</f>
        <v>5.0199999999999996</v>
      </c>
      <c r="BA466" s="17">
        <f>SUMPRODUCT(N(Tabela1768[Código]=Tabela3[[#This Row],[PAPEL]]),Tabela1768[Fechamento])</f>
        <v>0</v>
      </c>
      <c r="BB466" s="7">
        <f>SUMPRODUCT(N(Tabela17683[Código]=Tabela3[[#This Row],[PAPEL]]),Tabela17683[Fechamento])</f>
        <v>0</v>
      </c>
    </row>
    <row r="467" spans="1:54" hidden="1">
      <c r="A467" s="4" t="s">
        <v>12</v>
      </c>
      <c r="B467" s="126" t="s">
        <v>472</v>
      </c>
      <c r="C467" s="15" t="str">
        <f>LEFT([PAPEL],LEN([PAPEL])-(LEN([PAPEL])-4))</f>
        <v>CELP</v>
      </c>
      <c r="D467" s="15">
        <v>3</v>
      </c>
      <c r="E467" s="6">
        <v>924523856.14999998</v>
      </c>
      <c r="F467" s="8">
        <v>1902996369</v>
      </c>
      <c r="G467" s="81">
        <v>0.25</v>
      </c>
      <c r="H467" s="15"/>
      <c r="I467" s="19"/>
      <c r="J467" s="19"/>
      <c r="K467" s="88"/>
      <c r="L467" s="88"/>
      <c r="M467" s="55"/>
      <c r="N467" s="55"/>
      <c r="O467" s="55"/>
      <c r="P467" s="92">
        <v>474823000</v>
      </c>
      <c r="Q467" s="93">
        <v>-117999000</v>
      </c>
      <c r="R467" s="93">
        <f>IF(Tabela3[[#This Row],[Ativo || Passivo]]&gt;0,Tabela3[[#This Row],[Ativo || Passivo]]-Tabela3[[#This Row],[Patrimônio Líquido]],0)</f>
        <v>0</v>
      </c>
      <c r="S467" s="93">
        <f>Tabela3[[#This Row],[Cotação]]*Tabela3[[#This Row],[Total Ações]]</f>
        <v>2384312258.75</v>
      </c>
      <c r="T467" s="40">
        <f>IF(Tabela3[[#This Row],[Passivo Circulante]]&gt;0,Tabela3[[#This Row],[Ativo Circulante]]/Tabela3[[#This Row],[Passivo Circulante]],0)</f>
        <v>0</v>
      </c>
      <c r="U467" s="40">
        <f>SUMPRODUCT(N([Liquidez Corrente]&gt;0),N(RIGHT([PAPEL],LEN([PAPEL])-(LEN([PAPEL])-1))="3"),[Liquidez Corrente])/SUMPRODUCT(N([Liquidez Corrente]&gt;0),N(RIGHT([PAPEL],LEN([PAPEL])-(LEN([PAPEL])-1))="3"))</f>
        <v>2.331224473064915</v>
      </c>
      <c r="V467" s="19">
        <f>IF(Tabela3[[#This Row],[Lucro Líquido]]&gt;0,Tabela3[[#This Row],[Lucro Líquido]]/Tabela3[[#This Row],[Patrimônio Líquido]],0)</f>
        <v>0</v>
      </c>
      <c r="W467" s="19">
        <f>SUMPRODUCT(N([Rentabilidade s/ PL]&gt;0),N(RIGHT([PAPEL],LEN([PAPEL])-(LEN([PAPEL])-1))="3"),[Rentabilidade s/ PL])/SUMPRODUCT(N([Rentabilidade s/ PL]&gt;0),N(RIGHT([PAPEL],LEN([PAPEL])-(LEN([PAPEL])-1))="3"))</f>
        <v>0.1261051308670782</v>
      </c>
      <c r="X467" s="19">
        <f>IF(Tabela3[[#This Row],[Dívida]]&gt;0,Tabela3[[#This Row],[Dívida]]/Tabela3[[#This Row],[Patrimônio Líquido]],0)</f>
        <v>0</v>
      </c>
      <c r="Y467" s="19">
        <f>SUMPRODUCT(N([Dívida / PL]&gt;0),N(RIGHT([PAPEL],LEN([PAPEL])-(LEN([PAPEL])-1))="3"),[Dívida / PL])/SUMPRODUCT(N([Dívida / PL]&gt;0),N(RIGHT([PAPEL],LEN([PAPEL])-(LEN([PAPEL])-1))="3"))</f>
        <v>2.1510410379481146</v>
      </c>
      <c r="Z467" s="13">
        <f>Tabela3[[#This Row],[Capital Social]]*20%</f>
        <v>184904771.23000002</v>
      </c>
      <c r="AA467" s="13">
        <f>IF(([Lucro Líquido]*5%)&gt;[Teto R. Legal],[Teto R. Legal],[Lucro Líquido]*5%)</f>
        <v>-5899950</v>
      </c>
      <c r="AB467" s="13">
        <f>IF([Lucro Líquido]&lt;0,0,[Lucro Líquido]-[Reserva Legal])</f>
        <v>0</v>
      </c>
      <c r="AC467" s="13">
        <f>Tabela3[[#This Row],[Lucro Distribuir]]*[%Div]</f>
        <v>0</v>
      </c>
      <c r="AD467" s="56">
        <f>SUMPRODUCT(N([Nome]=Tabela3[[#This Row],[Nome]]),[Ações])</f>
        <v>1907449807</v>
      </c>
      <c r="AE467" s="6">
        <f>[Capital Social]/[Total Ações]</f>
        <v>0.4846910533410434</v>
      </c>
      <c r="AF467" s="78">
        <f>Tabela3[[#This Row],[Lucro Líquido]]/Tabela3[[#This Row],[Total Ações]]</f>
        <v>-6.1862178269102938E-2</v>
      </c>
      <c r="AG467" s="78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</v>
      </c>
      <c r="AH467" s="78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467" s="78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467" s="78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</v>
      </c>
      <c r="AK467" s="13">
        <f>[Div Base]*[Ações]</f>
        <v>0</v>
      </c>
      <c r="AL467" s="13">
        <f>SUMPRODUCT(N([Nome]=Tabela3[[#This Row],[Nome]]),[Div Base]*[Ações])</f>
        <v>0</v>
      </c>
      <c r="AM467" s="6">
        <f>[Patrimônio Líquido]/[Total Ações]</f>
        <v>0.24893079663616019</v>
      </c>
      <c r="AN467" s="48">
        <f>MAX(Tabela3[[#This Row],[Cotação 1]:[Cotação 5]])</f>
        <v>1.25</v>
      </c>
      <c r="AO467" s="44">
        <f>[Cotação]/[VPA]</f>
        <v>5.0214759157622941</v>
      </c>
      <c r="AP467" s="40">
        <f>IF(Tabela3[[#This Row],[Lucro/Ação]]&gt;0,Tabela3[[#This Row],[Cotação]]/(Tabela3[[#This Row],[Lucro/Ação]]/[Ref]*4),0)</f>
        <v>0</v>
      </c>
      <c r="AQ467" s="78">
        <f>[Lucro Distribuir]/[Total Ações]</f>
        <v>0</v>
      </c>
      <c r="AR467" s="78">
        <f>IF([Unit ON]&gt;0,SUMPRODUCT(N([Nome]=Tabela3[[#This Row],[Nome]]),N(RIGHT([PAPEL],1)="3"),[Div Base])*[Unit ON]+SUMPRODUCT(N([Nome]=Tabela3[[#This Row],[Nome]]),N(RIGHT([PAPEL],1)="4"),[Div Base])*[Unit PN],[Div Base])</f>
        <v>0</v>
      </c>
      <c r="AS467" s="14" t="str">
        <f>IF(AND([% A.A.]&gt;=6%,SUMPRODUCT(N([Nome]=Tabela3[[#This Row],[Nome]]),[PL])&gt;0,[Rentabilidade s/ PL]&gt;=[Rentabilidade s/ PL Média]),"Sim","Não")</f>
        <v>Não</v>
      </c>
      <c r="AT467" s="42">
        <f>IF([Cotação]&gt;0,Tabela3[[#This Row],[Lucro]]/Tabela3[[#This Row],[Cotação]],0)</f>
        <v>0</v>
      </c>
      <c r="AU467" s="42">
        <f>((1+Tabela3[[#This Row],[% Yield]])^(1/(3*Tabela3[[#This Row],[Ref]])))^(12)-1</f>
        <v>0</v>
      </c>
      <c r="AV467" s="14">
        <f>IF([Cotação]&gt;0,($BH$1/Tabela3[[#This Row],[Cotação]]-MOD($BH$1/Tabela3[[#This Row],[Cotação]],100)),)</f>
        <v>400</v>
      </c>
      <c r="AW467" s="17">
        <f>Tabela3[[#This Row],[Ativos]]*[Lucro]</f>
        <v>0</v>
      </c>
      <c r="AX467" s="17">
        <f>SUMPRODUCT(N(Tabela1[Código]=Tabela3[[#This Row],[PAPEL]]),Tabela1[Fechamento])</f>
        <v>0</v>
      </c>
      <c r="AY467" s="17">
        <f>SUMPRODUCT(N(Tabela17[Código]=Tabela3[[#This Row],[PAPEL]]),Tabela17[Fechamento])</f>
        <v>1.25</v>
      </c>
      <c r="AZ467" s="7">
        <f>SUMPRODUCT(N(Tabela176[Código]=Tabela3[[#This Row],[PAPEL]]),Tabela176[Fechamento])</f>
        <v>0</v>
      </c>
      <c r="BA467" s="7">
        <f>SUMPRODUCT(N(Tabela1768[Código]=Tabela3[[#This Row],[PAPEL]]),Tabela1768[Fechamento])</f>
        <v>0</v>
      </c>
      <c r="BB467" s="7">
        <f>SUMPRODUCT(N(Tabela17683[Código]=Tabela3[[#This Row],[PAPEL]]),Tabela17683[Fechamento])</f>
        <v>0</v>
      </c>
    </row>
    <row r="468" spans="1:54" hidden="1">
      <c r="A468" s="4" t="s">
        <v>12</v>
      </c>
      <c r="B468" s="126" t="s">
        <v>473</v>
      </c>
      <c r="C468" s="15" t="str">
        <f>LEFT([PAPEL],LEN([PAPEL])-(LEN([PAPEL])-4))</f>
        <v>CELP</v>
      </c>
      <c r="D468" s="15">
        <v>3</v>
      </c>
      <c r="E468" s="6">
        <v>924523856.14999998</v>
      </c>
      <c r="F468" s="8">
        <v>2166816</v>
      </c>
      <c r="G468" s="81">
        <v>0.25</v>
      </c>
      <c r="H468" s="15"/>
      <c r="I468" s="19">
        <v>0.06</v>
      </c>
      <c r="J468" s="19"/>
      <c r="K468" s="88"/>
      <c r="L468" s="88"/>
      <c r="M468" s="55"/>
      <c r="N468" s="55"/>
      <c r="O468" s="55"/>
      <c r="P468" s="92">
        <v>474823000</v>
      </c>
      <c r="Q468" s="93">
        <v>-117999000</v>
      </c>
      <c r="R468" s="93">
        <f>IF(Tabela3[[#This Row],[Ativo || Passivo]]&gt;0,Tabela3[[#This Row],[Ativo || Passivo]]-Tabela3[[#This Row],[Patrimônio Líquido]],0)</f>
        <v>0</v>
      </c>
      <c r="S468" s="93">
        <f>Tabela3[[#This Row],[Cotação]]*Tabela3[[#This Row],[Total Ações]]</f>
        <v>1907449807</v>
      </c>
      <c r="T468" s="40">
        <f>IF(Tabela3[[#This Row],[Passivo Circulante]]&gt;0,Tabela3[[#This Row],[Ativo Circulante]]/Tabela3[[#This Row],[Passivo Circulante]],0)</f>
        <v>0</v>
      </c>
      <c r="U468" s="40">
        <f>SUMPRODUCT(N([Liquidez Corrente]&gt;0),N(RIGHT([PAPEL],LEN([PAPEL])-(LEN([PAPEL])-1))="3"),[Liquidez Corrente])/SUMPRODUCT(N([Liquidez Corrente]&gt;0),N(RIGHT([PAPEL],LEN([PAPEL])-(LEN([PAPEL])-1))="3"))</f>
        <v>2.331224473064915</v>
      </c>
      <c r="V468" s="19">
        <f>IF(Tabela3[[#This Row],[Lucro Líquido]]&gt;0,Tabela3[[#This Row],[Lucro Líquido]]/Tabela3[[#This Row],[Patrimônio Líquido]],0)</f>
        <v>0</v>
      </c>
      <c r="W468" s="19">
        <f>SUMPRODUCT(N([Rentabilidade s/ PL]&gt;0),N(RIGHT([PAPEL],LEN([PAPEL])-(LEN([PAPEL])-1))="3"),[Rentabilidade s/ PL])/SUMPRODUCT(N([Rentabilidade s/ PL]&gt;0),N(RIGHT([PAPEL],LEN([PAPEL])-(LEN([PAPEL])-1))="3"))</f>
        <v>0.1261051308670782</v>
      </c>
      <c r="X468" s="19">
        <f>IF(Tabela3[[#This Row],[Dívida]]&gt;0,Tabela3[[#This Row],[Dívida]]/Tabela3[[#This Row],[Patrimônio Líquido]],0)</f>
        <v>0</v>
      </c>
      <c r="Y468" s="19">
        <f>SUMPRODUCT(N([Dívida / PL]&gt;0),N(RIGHT([PAPEL],LEN([PAPEL])-(LEN([PAPEL])-1))="3"),[Dívida / PL])/SUMPRODUCT(N([Dívida / PL]&gt;0),N(RIGHT([PAPEL],LEN([PAPEL])-(LEN([PAPEL])-1))="3"))</f>
        <v>2.1510410379481146</v>
      </c>
      <c r="Z468" s="13">
        <f>Tabela3[[#This Row],[Capital Social]]*20%</f>
        <v>184904771.23000002</v>
      </c>
      <c r="AA468" s="13">
        <f>IF(([Lucro Líquido]*5%)&gt;[Teto R. Legal],[Teto R. Legal],[Lucro Líquido]*5%)</f>
        <v>-5899950</v>
      </c>
      <c r="AB468" s="13">
        <f>IF([Lucro Líquido]&lt;0,0,[Lucro Líquido]-[Reserva Legal])</f>
        <v>0</v>
      </c>
      <c r="AC468" s="13">
        <f>Tabela3[[#This Row],[Lucro Distribuir]]*[%Div]</f>
        <v>0</v>
      </c>
      <c r="AD468" s="56">
        <f>SUMPRODUCT(N([Nome]=Tabela3[[#This Row],[Nome]]),[Ações])</f>
        <v>1907449807</v>
      </c>
      <c r="AE468" s="6">
        <f>[Capital Social]/[Total Ações]</f>
        <v>0.4846910533410434</v>
      </c>
      <c r="AF468" s="78">
        <f>Tabela3[[#This Row],[Lucro Líquido]]/Tabela3[[#This Row],[Total Ações]]</f>
        <v>-6.1862178269102938E-2</v>
      </c>
      <c r="AG468" s="78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</v>
      </c>
      <c r="AH468" s="78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468" s="78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468" s="78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</v>
      </c>
      <c r="AK468" s="13">
        <f>[Div Base]*[Ações]</f>
        <v>0</v>
      </c>
      <c r="AL468" s="13">
        <f>SUMPRODUCT(N([Nome]=Tabela3[[#This Row],[Nome]]),[Div Base]*[Ações])</f>
        <v>0</v>
      </c>
      <c r="AM468" s="6">
        <f>[Patrimônio Líquido]/[Total Ações]</f>
        <v>0.24893079663616019</v>
      </c>
      <c r="AN468" s="48">
        <f>MAX(Tabela3[[#This Row],[Cotação 1]:[Cotação 5]])</f>
        <v>1</v>
      </c>
      <c r="AO468" s="44">
        <f>[Cotação]/[VPA]</f>
        <v>4.0171807326098357</v>
      </c>
      <c r="AP468" s="40">
        <f>IF(Tabela3[[#This Row],[Lucro/Ação]]&gt;0,Tabela3[[#This Row],[Cotação]]/(Tabela3[[#This Row],[Lucro/Ação]]/[Ref]*4),0)</f>
        <v>0</v>
      </c>
      <c r="AQ468" s="78">
        <f>[Lucro Distribuir]/[Total Ações]</f>
        <v>0</v>
      </c>
      <c r="AR468" s="78">
        <f>IF([Unit ON]&gt;0,SUMPRODUCT(N([Nome]=Tabela3[[#This Row],[Nome]]),N(RIGHT([PAPEL],1)="3"),[Div Base])*[Unit ON]+SUMPRODUCT(N([Nome]=Tabela3[[#This Row],[Nome]]),N(RIGHT([PAPEL],1)="4"),[Div Base])*[Unit PN],[Div Base])</f>
        <v>0</v>
      </c>
      <c r="AS468" s="14" t="str">
        <f>IF(AND([% A.A.]&gt;=6%,SUMPRODUCT(N([Nome]=Tabela3[[#This Row],[Nome]]),[PL])&gt;0,[Rentabilidade s/ PL]&gt;=[Rentabilidade s/ PL Média]),"Sim","Não")</f>
        <v>Não</v>
      </c>
      <c r="AT468" s="42">
        <f>IF([Cotação]&gt;0,Tabela3[[#This Row],[Lucro]]/Tabela3[[#This Row],[Cotação]],0)</f>
        <v>0</v>
      </c>
      <c r="AU468" s="42">
        <f>((1+Tabela3[[#This Row],[% Yield]])^(1/(3*Tabela3[[#This Row],[Ref]])))^(12)-1</f>
        <v>0</v>
      </c>
      <c r="AV468" s="14">
        <f>IF([Cotação]&gt;0,($BH$1/Tabela3[[#This Row],[Cotação]]-MOD($BH$1/Tabela3[[#This Row],[Cotação]],100)),)</f>
        <v>500</v>
      </c>
      <c r="AW468" s="17">
        <f>Tabela3[[#This Row],[Ativos]]*[Lucro]</f>
        <v>0</v>
      </c>
      <c r="AX468" s="17">
        <f>SUMPRODUCT(N(Tabela1[Código]=Tabela3[[#This Row],[PAPEL]]),Tabela1[Fechamento])</f>
        <v>0</v>
      </c>
      <c r="AY468" s="17">
        <f>SUMPRODUCT(N(Tabela17[Código]=Tabela3[[#This Row],[PAPEL]]),Tabela17[Fechamento])</f>
        <v>1</v>
      </c>
      <c r="AZ468" s="7">
        <f>SUMPRODUCT(N(Tabela176[Código]=Tabela3[[#This Row],[PAPEL]]),Tabela176[Fechamento])</f>
        <v>0</v>
      </c>
      <c r="BA468" s="7">
        <f>SUMPRODUCT(N(Tabela1768[Código]=Tabela3[[#This Row],[PAPEL]]),Tabela1768[Fechamento])</f>
        <v>0</v>
      </c>
      <c r="BB468" s="7">
        <f>SUMPRODUCT(N(Tabela17683[Código]=Tabela3[[#This Row],[PAPEL]]),Tabela17683[Fechamento])</f>
        <v>0</v>
      </c>
    </row>
    <row r="469" spans="1:54" hidden="1">
      <c r="A469" s="4" t="s">
        <v>12</v>
      </c>
      <c r="B469" s="126" t="s">
        <v>474</v>
      </c>
      <c r="C469" s="15" t="str">
        <f>LEFT([PAPEL],LEN([PAPEL])-(LEN([PAPEL])-4))</f>
        <v>CELP</v>
      </c>
      <c r="D469" s="15">
        <v>3</v>
      </c>
      <c r="E469" s="6">
        <v>924523856.14999998</v>
      </c>
      <c r="F469" s="8">
        <v>1085373</v>
      </c>
      <c r="G469" s="81">
        <v>0.25</v>
      </c>
      <c r="H469" s="15"/>
      <c r="I469" s="19">
        <v>0.1</v>
      </c>
      <c r="J469" s="19"/>
      <c r="K469" s="88"/>
      <c r="L469" s="88"/>
      <c r="M469" s="55"/>
      <c r="N469" s="55"/>
      <c r="O469" s="55"/>
      <c r="P469" s="92">
        <v>474823000</v>
      </c>
      <c r="Q469" s="93">
        <v>-117999000</v>
      </c>
      <c r="R469" s="93">
        <f>IF(Tabela3[[#This Row],[Ativo || Passivo]]&gt;0,Tabela3[[#This Row],[Ativo || Passivo]]-Tabela3[[#This Row],[Patrimônio Líquido]],0)</f>
        <v>0</v>
      </c>
      <c r="S469" s="93">
        <f>Tabela3[[#This Row],[Cotação]]*Tabela3[[#This Row],[Total Ações]]</f>
        <v>1430587355.25</v>
      </c>
      <c r="T469" s="40">
        <f>IF(Tabela3[[#This Row],[Passivo Circulante]]&gt;0,Tabela3[[#This Row],[Ativo Circulante]]/Tabela3[[#This Row],[Passivo Circulante]],0)</f>
        <v>0</v>
      </c>
      <c r="U469" s="40">
        <f>SUMPRODUCT(N([Liquidez Corrente]&gt;0),N(RIGHT([PAPEL],LEN([PAPEL])-(LEN([PAPEL])-1))="3"),[Liquidez Corrente])/SUMPRODUCT(N([Liquidez Corrente]&gt;0),N(RIGHT([PAPEL],LEN([PAPEL])-(LEN([PAPEL])-1))="3"))</f>
        <v>2.331224473064915</v>
      </c>
      <c r="V469" s="19">
        <f>IF(Tabela3[[#This Row],[Lucro Líquido]]&gt;0,Tabela3[[#This Row],[Lucro Líquido]]/Tabela3[[#This Row],[Patrimônio Líquido]],0)</f>
        <v>0</v>
      </c>
      <c r="W469" s="19">
        <f>SUMPRODUCT(N([Rentabilidade s/ PL]&gt;0),N(RIGHT([PAPEL],LEN([PAPEL])-(LEN([PAPEL])-1))="3"),[Rentabilidade s/ PL])/SUMPRODUCT(N([Rentabilidade s/ PL]&gt;0),N(RIGHT([PAPEL],LEN([PAPEL])-(LEN([PAPEL])-1))="3"))</f>
        <v>0.1261051308670782</v>
      </c>
      <c r="X469" s="19">
        <f>IF(Tabela3[[#This Row],[Dívida]]&gt;0,Tabela3[[#This Row],[Dívida]]/Tabela3[[#This Row],[Patrimônio Líquido]],0)</f>
        <v>0</v>
      </c>
      <c r="Y469" s="19">
        <f>SUMPRODUCT(N([Dívida / PL]&gt;0),N(RIGHT([PAPEL],LEN([PAPEL])-(LEN([PAPEL])-1))="3"),[Dívida / PL])/SUMPRODUCT(N([Dívida / PL]&gt;0),N(RIGHT([PAPEL],LEN([PAPEL])-(LEN([PAPEL])-1))="3"))</f>
        <v>2.1510410379481146</v>
      </c>
      <c r="Z469" s="13">
        <f>Tabela3[[#This Row],[Capital Social]]*20%</f>
        <v>184904771.23000002</v>
      </c>
      <c r="AA469" s="13">
        <f>IF(([Lucro Líquido]*5%)&gt;[Teto R. Legal],[Teto R. Legal],[Lucro Líquido]*5%)</f>
        <v>-5899950</v>
      </c>
      <c r="AB469" s="13">
        <f>IF([Lucro Líquido]&lt;0,0,[Lucro Líquido]-[Reserva Legal])</f>
        <v>0</v>
      </c>
      <c r="AC469" s="13">
        <f>Tabela3[[#This Row],[Lucro Distribuir]]*[%Div]</f>
        <v>0</v>
      </c>
      <c r="AD469" s="56">
        <f>SUMPRODUCT(N([Nome]=Tabela3[[#This Row],[Nome]]),[Ações])</f>
        <v>1907449807</v>
      </c>
      <c r="AE469" s="6">
        <f>[Capital Social]/[Total Ações]</f>
        <v>0.4846910533410434</v>
      </c>
      <c r="AF469" s="78">
        <f>Tabela3[[#This Row],[Lucro Líquido]]/Tabela3[[#This Row],[Total Ações]]</f>
        <v>-6.1862178269102938E-2</v>
      </c>
      <c r="AG469" s="78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</v>
      </c>
      <c r="AH469" s="78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469" s="78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469" s="78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</v>
      </c>
      <c r="AK469" s="13">
        <f>[Div Base]*[Ações]</f>
        <v>0</v>
      </c>
      <c r="AL469" s="13">
        <f>SUMPRODUCT(N([Nome]=Tabela3[[#This Row],[Nome]]),[Div Base]*[Ações])</f>
        <v>0</v>
      </c>
      <c r="AM469" s="6">
        <f>[Patrimônio Líquido]/[Total Ações]</f>
        <v>0.24893079663616019</v>
      </c>
      <c r="AN469" s="48">
        <f>MAX(Tabela3[[#This Row],[Cotação 1]:[Cotação 5]])</f>
        <v>0.75</v>
      </c>
      <c r="AO469" s="44">
        <f>[Cotação]/[VPA]</f>
        <v>3.0128855494573767</v>
      </c>
      <c r="AP469" s="40">
        <f>IF(Tabela3[[#This Row],[Lucro/Ação]]&gt;0,Tabela3[[#This Row],[Cotação]]/(Tabela3[[#This Row],[Lucro/Ação]]/[Ref]*4),0)</f>
        <v>0</v>
      </c>
      <c r="AQ469" s="78">
        <f>[Lucro Distribuir]/[Total Ações]</f>
        <v>0</v>
      </c>
      <c r="AR469" s="78">
        <f>IF([Unit ON]&gt;0,SUMPRODUCT(N([Nome]=Tabela3[[#This Row],[Nome]]),N(RIGHT([PAPEL],1)="3"),[Div Base])*[Unit ON]+SUMPRODUCT(N([Nome]=Tabela3[[#This Row],[Nome]]),N(RIGHT([PAPEL],1)="4"),[Div Base])*[Unit PN],[Div Base])</f>
        <v>0</v>
      </c>
      <c r="AS469" s="14" t="str">
        <f>IF(AND([% A.A.]&gt;=6%,SUMPRODUCT(N([Nome]=Tabela3[[#This Row],[Nome]]),[PL])&gt;0,[Rentabilidade s/ PL]&gt;=[Rentabilidade s/ PL Média]),"Sim","Não")</f>
        <v>Não</v>
      </c>
      <c r="AT469" s="42">
        <f>IF([Cotação]&gt;0,Tabela3[[#This Row],[Lucro]]/Tabela3[[#This Row],[Cotação]],0)</f>
        <v>0</v>
      </c>
      <c r="AU469" s="42">
        <f>((1+Tabela3[[#This Row],[% Yield]])^(1/(3*Tabela3[[#This Row],[Ref]])))^(12)-1</f>
        <v>0</v>
      </c>
      <c r="AV469" s="14">
        <f>IF([Cotação]&gt;0,($BH$1/Tabela3[[#This Row],[Cotação]]-MOD($BH$1/Tabela3[[#This Row],[Cotação]],100)),)</f>
        <v>600</v>
      </c>
      <c r="AW469" s="17">
        <f>Tabela3[[#This Row],[Ativos]]*[Lucro]</f>
        <v>0</v>
      </c>
      <c r="AX469" s="17">
        <f>SUMPRODUCT(N(Tabela1[Código]=Tabela3[[#This Row],[PAPEL]]),Tabela1[Fechamento])</f>
        <v>0</v>
      </c>
      <c r="AY469" s="17">
        <f>SUMPRODUCT(N(Tabela17[Código]=Tabela3[[#This Row],[PAPEL]]),Tabela17[Fechamento])</f>
        <v>0.75</v>
      </c>
      <c r="AZ469" s="7">
        <f>SUMPRODUCT(N(Tabela176[Código]=Tabela3[[#This Row],[PAPEL]]),Tabela176[Fechamento])</f>
        <v>0</v>
      </c>
      <c r="BA469" s="7">
        <f>SUMPRODUCT(N(Tabela1768[Código]=Tabela3[[#This Row],[PAPEL]]),Tabela1768[Fechamento])</f>
        <v>0</v>
      </c>
      <c r="BB469" s="7">
        <f>SUMPRODUCT(N(Tabela17683[Código]=Tabela3[[#This Row],[PAPEL]]),Tabela17683[Fechamento])</f>
        <v>0</v>
      </c>
    </row>
    <row r="470" spans="1:54" hidden="1">
      <c r="A470" s="4" t="s">
        <v>12</v>
      </c>
      <c r="B470" s="126" t="s">
        <v>475</v>
      </c>
      <c r="C470" s="15" t="str">
        <f>LEFT([PAPEL],LEN([PAPEL])-(LEN([PAPEL])-4))</f>
        <v>CELP</v>
      </c>
      <c r="D470" s="15">
        <v>3</v>
      </c>
      <c r="E470" s="6">
        <v>924523856.14999998</v>
      </c>
      <c r="F470" s="8">
        <v>1201249</v>
      </c>
      <c r="G470" s="81">
        <v>0.25</v>
      </c>
      <c r="H470" s="15"/>
      <c r="I470" s="19">
        <v>0.03</v>
      </c>
      <c r="J470" s="19"/>
      <c r="K470" s="88"/>
      <c r="L470" s="88"/>
      <c r="M470" s="55"/>
      <c r="N470" s="55"/>
      <c r="O470" s="55"/>
      <c r="P470" s="92">
        <v>474823000</v>
      </c>
      <c r="Q470" s="93">
        <v>-117999000</v>
      </c>
      <c r="R470" s="93">
        <f>IF(Tabela3[[#This Row],[Ativo || Passivo]]&gt;0,Tabela3[[#This Row],[Ativo || Passivo]]-Tabela3[[#This Row],[Patrimônio Líquido]],0)</f>
        <v>0</v>
      </c>
      <c r="S470" s="93">
        <f>Tabela3[[#This Row],[Cotação]]*Tabela3[[#This Row],[Total Ações]]</f>
        <v>1144469884.2</v>
      </c>
      <c r="T470" s="40">
        <f>IF(Tabela3[[#This Row],[Passivo Circulante]]&gt;0,Tabela3[[#This Row],[Ativo Circulante]]/Tabela3[[#This Row],[Passivo Circulante]],0)</f>
        <v>0</v>
      </c>
      <c r="U470" s="40">
        <f>SUMPRODUCT(N([Liquidez Corrente]&gt;0),N(RIGHT([PAPEL],LEN([PAPEL])-(LEN([PAPEL])-1))="3"),[Liquidez Corrente])/SUMPRODUCT(N([Liquidez Corrente]&gt;0),N(RIGHT([PAPEL],LEN([PAPEL])-(LEN([PAPEL])-1))="3"))</f>
        <v>2.331224473064915</v>
      </c>
      <c r="V470" s="19">
        <f>IF(Tabela3[[#This Row],[Lucro Líquido]]&gt;0,Tabela3[[#This Row],[Lucro Líquido]]/Tabela3[[#This Row],[Patrimônio Líquido]],0)</f>
        <v>0</v>
      </c>
      <c r="W470" s="19">
        <f>SUMPRODUCT(N([Rentabilidade s/ PL]&gt;0),N(RIGHT([PAPEL],LEN([PAPEL])-(LEN([PAPEL])-1))="3"),[Rentabilidade s/ PL])/SUMPRODUCT(N([Rentabilidade s/ PL]&gt;0),N(RIGHT([PAPEL],LEN([PAPEL])-(LEN([PAPEL])-1))="3"))</f>
        <v>0.1261051308670782</v>
      </c>
      <c r="X470" s="19">
        <f>IF(Tabela3[[#This Row],[Dívida]]&gt;0,Tabela3[[#This Row],[Dívida]]/Tabela3[[#This Row],[Patrimônio Líquido]],0)</f>
        <v>0</v>
      </c>
      <c r="Y470" s="19">
        <f>SUMPRODUCT(N([Dívida / PL]&gt;0),N(RIGHT([PAPEL],LEN([PAPEL])-(LEN([PAPEL])-1))="3"),[Dívida / PL])/SUMPRODUCT(N([Dívida / PL]&gt;0),N(RIGHT([PAPEL],LEN([PAPEL])-(LEN([PAPEL])-1))="3"))</f>
        <v>2.1510410379481146</v>
      </c>
      <c r="Z470" s="13">
        <f>Tabela3[[#This Row],[Capital Social]]*20%</f>
        <v>184904771.23000002</v>
      </c>
      <c r="AA470" s="13">
        <f>IF(([Lucro Líquido]*5%)&gt;[Teto R. Legal],[Teto R. Legal],[Lucro Líquido]*5%)</f>
        <v>-5899950</v>
      </c>
      <c r="AB470" s="13">
        <f>IF([Lucro Líquido]&lt;0,0,[Lucro Líquido]-[Reserva Legal])</f>
        <v>0</v>
      </c>
      <c r="AC470" s="13">
        <f>Tabela3[[#This Row],[Lucro Distribuir]]*[%Div]</f>
        <v>0</v>
      </c>
      <c r="AD470" s="56">
        <f>SUMPRODUCT(N([Nome]=Tabela3[[#This Row],[Nome]]),[Ações])</f>
        <v>1907449807</v>
      </c>
      <c r="AE470" s="6">
        <f>[Capital Social]/[Total Ações]</f>
        <v>0.4846910533410434</v>
      </c>
      <c r="AF470" s="78">
        <f>Tabela3[[#This Row],[Lucro Líquido]]/Tabela3[[#This Row],[Total Ações]]</f>
        <v>-6.1862178269102938E-2</v>
      </c>
      <c r="AG470" s="78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</v>
      </c>
      <c r="AH470" s="78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470" s="78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470" s="78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</v>
      </c>
      <c r="AK470" s="13">
        <f>[Div Base]*[Ações]</f>
        <v>0</v>
      </c>
      <c r="AL470" s="13">
        <f>SUMPRODUCT(N([Nome]=Tabela3[[#This Row],[Nome]]),[Div Base]*[Ações])</f>
        <v>0</v>
      </c>
      <c r="AM470" s="6">
        <f>[Patrimônio Líquido]/[Total Ações]</f>
        <v>0.24893079663616019</v>
      </c>
      <c r="AN470" s="48">
        <f>MAX(Tabela3[[#This Row],[Cotação 1]:[Cotação 5]])</f>
        <v>0.6</v>
      </c>
      <c r="AO470" s="44">
        <f>[Cotação]/[VPA]</f>
        <v>2.4103084395659011</v>
      </c>
      <c r="AP470" s="40">
        <f>IF(Tabela3[[#This Row],[Lucro/Ação]]&gt;0,Tabela3[[#This Row],[Cotação]]/(Tabela3[[#This Row],[Lucro/Ação]]/[Ref]*4),0)</f>
        <v>0</v>
      </c>
      <c r="AQ470" s="78">
        <f>[Lucro Distribuir]/[Total Ações]</f>
        <v>0</v>
      </c>
      <c r="AR470" s="78">
        <f>IF([Unit ON]&gt;0,SUMPRODUCT(N([Nome]=Tabela3[[#This Row],[Nome]]),N(RIGHT([PAPEL],1)="3"),[Div Base])*[Unit ON]+SUMPRODUCT(N([Nome]=Tabela3[[#This Row],[Nome]]),N(RIGHT([PAPEL],1)="4"),[Div Base])*[Unit PN],[Div Base])</f>
        <v>0</v>
      </c>
      <c r="AS470" s="14" t="str">
        <f>IF(AND([% A.A.]&gt;=6%,SUMPRODUCT(N([Nome]=Tabela3[[#This Row],[Nome]]),[PL])&gt;0,[Rentabilidade s/ PL]&gt;=[Rentabilidade s/ PL Média]),"Sim","Não")</f>
        <v>Não</v>
      </c>
      <c r="AT470" s="42">
        <f>IF([Cotação]&gt;0,Tabela3[[#This Row],[Lucro]]/Tabela3[[#This Row],[Cotação]],0)</f>
        <v>0</v>
      </c>
      <c r="AU470" s="42">
        <f>((1+Tabela3[[#This Row],[% Yield]])^(1/(3*Tabela3[[#This Row],[Ref]])))^(12)-1</f>
        <v>0</v>
      </c>
      <c r="AV470" s="14">
        <f>IF([Cotação]&gt;0,($BH$1/Tabela3[[#This Row],[Cotação]]-MOD($BH$1/Tabela3[[#This Row],[Cotação]],100)),)</f>
        <v>800</v>
      </c>
      <c r="AW470" s="17">
        <f>Tabela3[[#This Row],[Ativos]]*[Lucro]</f>
        <v>0</v>
      </c>
      <c r="AX470" s="17">
        <f>SUMPRODUCT(N(Tabela1[Código]=Tabela3[[#This Row],[PAPEL]]),Tabela1[Fechamento])</f>
        <v>0</v>
      </c>
      <c r="AY470" s="17">
        <f>SUMPRODUCT(N(Tabela17[Código]=Tabela3[[#This Row],[PAPEL]]),Tabela17[Fechamento])</f>
        <v>0.6</v>
      </c>
      <c r="AZ470" s="7">
        <f>SUMPRODUCT(N(Tabela176[Código]=Tabela3[[#This Row],[PAPEL]]),Tabela176[Fechamento])</f>
        <v>0</v>
      </c>
      <c r="BA470" s="7">
        <f>SUMPRODUCT(N(Tabela1768[Código]=Tabela3[[#This Row],[PAPEL]]),Tabela1768[Fechamento])</f>
        <v>0</v>
      </c>
      <c r="BB470" s="7">
        <f>SUMPRODUCT(N(Tabela17683[Código]=Tabela3[[#This Row],[PAPEL]]),Tabela17683[Fechamento])</f>
        <v>0</v>
      </c>
    </row>
    <row r="471" spans="1:54" hidden="1">
      <c r="A471" s="4" t="s">
        <v>12</v>
      </c>
      <c r="B471" s="126" t="s">
        <v>507</v>
      </c>
      <c r="C471" s="15" t="str">
        <f>LEFT([PAPEL],LEN([PAPEL])-(LEN([PAPEL])-4))</f>
        <v>REDE</v>
      </c>
      <c r="D471" s="15">
        <v>3</v>
      </c>
      <c r="E471" s="6">
        <v>1343973941.3399999</v>
      </c>
      <c r="F471" s="8">
        <v>294109630</v>
      </c>
      <c r="G471" s="86">
        <v>0.25</v>
      </c>
      <c r="H471" s="15"/>
      <c r="I471" s="19"/>
      <c r="J471" s="19"/>
      <c r="K471" s="88"/>
      <c r="L471" s="88"/>
      <c r="M471" s="55"/>
      <c r="N471" s="55"/>
      <c r="O471" s="55"/>
      <c r="P471" s="92">
        <v>-169584000</v>
      </c>
      <c r="Q471" s="93">
        <v>-121954000</v>
      </c>
      <c r="R471" s="93">
        <f>IF(Tabela3[[#This Row],[Ativo || Passivo]]&gt;0,Tabela3[[#This Row],[Ativo || Passivo]]-Tabela3[[#This Row],[Patrimônio Líquido]],0)</f>
        <v>0</v>
      </c>
      <c r="S471" s="93">
        <f>Tabela3[[#This Row],[Cotação]]*Tabela3[[#This Row],[Total Ações]]</f>
        <v>422325767.15999997</v>
      </c>
      <c r="T471" s="40">
        <f>IF(Tabela3[[#This Row],[Passivo Circulante]]&gt;0,Tabela3[[#This Row],[Ativo Circulante]]/Tabela3[[#This Row],[Passivo Circulante]],0)</f>
        <v>0</v>
      </c>
      <c r="U471" s="40">
        <f>SUMPRODUCT(N([Liquidez Corrente]&gt;0),N(RIGHT([PAPEL],LEN([PAPEL])-(LEN([PAPEL])-1))="3"),[Liquidez Corrente])/SUMPRODUCT(N([Liquidez Corrente]&gt;0),N(RIGHT([PAPEL],LEN([PAPEL])-(LEN([PAPEL])-1))="3"))</f>
        <v>2.331224473064915</v>
      </c>
      <c r="V471" s="19">
        <f>IF(Tabela3[[#This Row],[Lucro Líquido]]&gt;0,Tabela3[[#This Row],[Lucro Líquido]]/Tabela3[[#This Row],[Patrimônio Líquido]],0)</f>
        <v>0</v>
      </c>
      <c r="W471" s="19">
        <f>SUMPRODUCT(N([Rentabilidade s/ PL]&gt;0),N(RIGHT([PAPEL],LEN([PAPEL])-(LEN([PAPEL])-1))="3"),[Rentabilidade s/ PL])/SUMPRODUCT(N([Rentabilidade s/ PL]&gt;0),N(RIGHT([PAPEL],LEN([PAPEL])-(LEN([PAPEL])-1))="3"))</f>
        <v>0.1261051308670782</v>
      </c>
      <c r="X471" s="19">
        <f>IF(Tabela3[[#This Row],[Dívida]]&gt;0,Tabela3[[#This Row],[Dívida]]/Tabela3[[#This Row],[Patrimônio Líquido]],0)</f>
        <v>0</v>
      </c>
      <c r="Y471" s="19">
        <f>SUMPRODUCT(N([Dívida / PL]&gt;0),N(RIGHT([PAPEL],LEN([PAPEL])-(LEN([PAPEL])-1))="3"),[Dívida / PL])/SUMPRODUCT(N([Dívida / PL]&gt;0),N(RIGHT([PAPEL],LEN([PAPEL])-(LEN([PAPEL])-1))="3"))</f>
        <v>2.1510410379481146</v>
      </c>
      <c r="Z471" s="13">
        <f>Tabela3[[#This Row],[Capital Social]]*20%</f>
        <v>268794788.26800001</v>
      </c>
      <c r="AA471" s="13">
        <f>IF(([Lucro Líquido]*5%)&gt;[Teto R. Legal],[Teto R. Legal],[Lucro Líquido]*5%)</f>
        <v>-6097700</v>
      </c>
      <c r="AB471" s="13">
        <f>IF([Lucro Líquido]&lt;0,0,[Lucro Líquido]-[Reserva Legal])</f>
        <v>0</v>
      </c>
      <c r="AC471" s="13">
        <f>Tabela3[[#This Row],[Lucro Distribuir]]*[%Div]</f>
        <v>0</v>
      </c>
      <c r="AD471" s="56">
        <f>SUMPRODUCT(N([Nome]=Tabela3[[#This Row],[Nome]]),[Ações])</f>
        <v>426591684</v>
      </c>
      <c r="AE471" s="6">
        <f>[Capital Social]/[Total Ações]</f>
        <v>3.1504925945532496</v>
      </c>
      <c r="AF471" s="78">
        <f>Tabela3[[#This Row],[Lucro Líquido]]/Tabela3[[#This Row],[Total Ações]]</f>
        <v>-0.28587992821725988</v>
      </c>
      <c r="AG471" s="78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</v>
      </c>
      <c r="AH471" s="78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471" s="78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471" s="78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</v>
      </c>
      <c r="AK471" s="13">
        <f>[Div Base]*[Ações]</f>
        <v>0</v>
      </c>
      <c r="AL471" s="13">
        <f>SUMPRODUCT(N([Nome]=Tabela3[[#This Row],[Nome]]),[Div Base]*[Ações])</f>
        <v>0</v>
      </c>
      <c r="AM471" s="6">
        <f>[Patrimônio Líquido]/[Total Ações]</f>
        <v>-0.39753236258585856</v>
      </c>
      <c r="AN471" s="48">
        <f>MAX(Tabela3[[#This Row],[Cotação 1]:[Cotação 5]])</f>
        <v>0.99</v>
      </c>
      <c r="AO471" s="44">
        <f>[Cotação]/[VPA]</f>
        <v>-2.49036328403623</v>
      </c>
      <c r="AP471" s="40">
        <f>IF(Tabela3[[#This Row],[Lucro/Ação]]&gt;0,Tabela3[[#This Row],[Cotação]]/(Tabela3[[#This Row],[Lucro/Ação]]/[Ref]*4),0)</f>
        <v>0</v>
      </c>
      <c r="AQ471" s="78">
        <f>[Lucro Distribuir]/[Total Ações]</f>
        <v>0</v>
      </c>
      <c r="AR471" s="78">
        <f>IF([Unit ON]&gt;0,SUMPRODUCT(N([Nome]=Tabela3[[#This Row],[Nome]]),N(RIGHT([PAPEL],1)="3"),[Div Base])*[Unit ON]+SUMPRODUCT(N([Nome]=Tabela3[[#This Row],[Nome]]),N(RIGHT([PAPEL],1)="4"),[Div Base])*[Unit PN],[Div Base])</f>
        <v>0</v>
      </c>
      <c r="AS471" s="14" t="str">
        <f>IF(AND([% A.A.]&gt;=6%,SUMPRODUCT(N([Nome]=Tabela3[[#This Row],[Nome]]),[PL])&gt;0,[Rentabilidade s/ PL]&gt;=[Rentabilidade s/ PL Média]),"Sim","Não")</f>
        <v>Não</v>
      </c>
      <c r="AT471" s="42">
        <f>IF([Cotação]&gt;0,Tabela3[[#This Row],[Lucro]]/Tabela3[[#This Row],[Cotação]],0)</f>
        <v>0</v>
      </c>
      <c r="AU471" s="42">
        <f>((1+Tabela3[[#This Row],[% Yield]])^(1/(3*Tabela3[[#This Row],[Ref]])))^(12)-1</f>
        <v>0</v>
      </c>
      <c r="AV471" s="14">
        <f>IF([Cotação]&gt;0,($BH$1/Tabela3[[#This Row],[Cotação]]-MOD($BH$1/Tabela3[[#This Row],[Cotação]],100)),)</f>
        <v>500</v>
      </c>
      <c r="AW471" s="17">
        <f>Tabela3[[#This Row],[Ativos]]*[Lucro]</f>
        <v>0</v>
      </c>
      <c r="AX471" s="17">
        <f>SUMPRODUCT(N(Tabela1[Código]=Tabela3[[#This Row],[PAPEL]]),Tabela1[Fechamento])</f>
        <v>0</v>
      </c>
      <c r="AY471" s="17">
        <f>SUMPRODUCT(N(Tabela17[Código]=Tabela3[[#This Row],[PAPEL]]),Tabela17[Fechamento])</f>
        <v>0.99</v>
      </c>
      <c r="AZ471" s="7">
        <f>SUMPRODUCT(N(Tabela176[Código]=Tabela3[[#This Row],[PAPEL]]),Tabela176[Fechamento])</f>
        <v>0</v>
      </c>
      <c r="BA471" s="7">
        <f>SUMPRODUCT(N(Tabela1768[Código]=Tabela3[[#This Row],[PAPEL]]),Tabela1768[Fechamento])</f>
        <v>0</v>
      </c>
      <c r="BB471" s="7">
        <f>SUMPRODUCT(N(Tabela17683[Código]=Tabela3[[#This Row],[PAPEL]]),Tabela17683[Fechamento])</f>
        <v>0</v>
      </c>
    </row>
    <row r="472" spans="1:54" hidden="1">
      <c r="A472" s="4" t="s">
        <v>12</v>
      </c>
      <c r="B472" s="126" t="s">
        <v>508</v>
      </c>
      <c r="C472" s="15" t="str">
        <f>LEFT([PAPEL],LEN([PAPEL])-(LEN([PAPEL])-4))</f>
        <v>REDE</v>
      </c>
      <c r="D472" s="15">
        <v>3</v>
      </c>
      <c r="E472" s="6">
        <v>1343973941.3399999</v>
      </c>
      <c r="F472" s="8">
        <v>132482054</v>
      </c>
      <c r="G472" s="86">
        <v>0.25</v>
      </c>
      <c r="H472" s="15"/>
      <c r="I472" s="19"/>
      <c r="J472" s="19">
        <v>0.1</v>
      </c>
      <c r="K472" s="88"/>
      <c r="L472" s="88"/>
      <c r="M472" s="55"/>
      <c r="N472" s="55"/>
      <c r="O472" s="55"/>
      <c r="P472" s="92">
        <v>-169584000</v>
      </c>
      <c r="Q472" s="93">
        <v>-121954000</v>
      </c>
      <c r="R472" s="93">
        <f>IF(Tabela3[[#This Row],[Ativo || Passivo]]&gt;0,Tabela3[[#This Row],[Ativo || Passivo]]-Tabela3[[#This Row],[Patrimônio Líquido]],0)</f>
        <v>0</v>
      </c>
      <c r="S472" s="93">
        <f>Tabela3[[#This Row],[Cotação]]*Tabela3[[#This Row],[Total Ações]]</f>
        <v>341273347.20000005</v>
      </c>
      <c r="T472" s="40">
        <f>IF(Tabela3[[#This Row],[Passivo Circulante]]&gt;0,Tabela3[[#This Row],[Ativo Circulante]]/Tabela3[[#This Row],[Passivo Circulante]],0)</f>
        <v>0</v>
      </c>
      <c r="U472" s="40">
        <f>SUMPRODUCT(N([Liquidez Corrente]&gt;0),N(RIGHT([PAPEL],LEN([PAPEL])-(LEN([PAPEL])-1))="3"),[Liquidez Corrente])/SUMPRODUCT(N([Liquidez Corrente]&gt;0),N(RIGHT([PAPEL],LEN([PAPEL])-(LEN([PAPEL])-1))="3"))</f>
        <v>2.331224473064915</v>
      </c>
      <c r="V472" s="19">
        <f>IF(Tabela3[[#This Row],[Lucro Líquido]]&gt;0,Tabela3[[#This Row],[Lucro Líquido]]/Tabela3[[#This Row],[Patrimônio Líquido]],0)</f>
        <v>0</v>
      </c>
      <c r="W472" s="19">
        <f>SUMPRODUCT(N([Rentabilidade s/ PL]&gt;0),N(RIGHT([PAPEL],LEN([PAPEL])-(LEN([PAPEL])-1))="3"),[Rentabilidade s/ PL])/SUMPRODUCT(N([Rentabilidade s/ PL]&gt;0),N(RIGHT([PAPEL],LEN([PAPEL])-(LEN([PAPEL])-1))="3"))</f>
        <v>0.1261051308670782</v>
      </c>
      <c r="X472" s="19">
        <f>IF(Tabela3[[#This Row],[Dívida]]&gt;0,Tabela3[[#This Row],[Dívida]]/Tabela3[[#This Row],[Patrimônio Líquido]],0)</f>
        <v>0</v>
      </c>
      <c r="Y472" s="19">
        <f>SUMPRODUCT(N([Dívida / PL]&gt;0),N(RIGHT([PAPEL],LEN([PAPEL])-(LEN([PAPEL])-1))="3"),[Dívida / PL])/SUMPRODUCT(N([Dívida / PL]&gt;0),N(RIGHT([PAPEL],LEN([PAPEL])-(LEN([PAPEL])-1))="3"))</f>
        <v>2.1510410379481146</v>
      </c>
      <c r="Z472" s="13">
        <f>Tabela3[[#This Row],[Capital Social]]*20%</f>
        <v>268794788.26800001</v>
      </c>
      <c r="AA472" s="13">
        <f>IF(([Lucro Líquido]*5%)&gt;[Teto R. Legal],[Teto R. Legal],[Lucro Líquido]*5%)</f>
        <v>-6097700</v>
      </c>
      <c r="AB472" s="13">
        <f>IF([Lucro Líquido]&lt;0,0,[Lucro Líquido]-[Reserva Legal])</f>
        <v>0</v>
      </c>
      <c r="AC472" s="13">
        <f>Tabela3[[#This Row],[Lucro Distribuir]]*[%Div]</f>
        <v>0</v>
      </c>
      <c r="AD472" s="56">
        <f>SUMPRODUCT(N([Nome]=Tabela3[[#This Row],[Nome]]),[Ações])</f>
        <v>426591684</v>
      </c>
      <c r="AE472" s="6">
        <f>[Capital Social]/[Total Ações]</f>
        <v>3.1504925945532496</v>
      </c>
      <c r="AF472" s="78">
        <f>Tabela3[[#This Row],[Lucro Líquido]]/Tabela3[[#This Row],[Total Ações]]</f>
        <v>-0.28587992821725988</v>
      </c>
      <c r="AG472" s="78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</v>
      </c>
      <c r="AH472" s="78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472" s="78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472" s="78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</v>
      </c>
      <c r="AK472" s="13">
        <f>[Div Base]*[Ações]</f>
        <v>0</v>
      </c>
      <c r="AL472" s="13">
        <f>SUMPRODUCT(N([Nome]=Tabela3[[#This Row],[Nome]]),[Div Base]*[Ações])</f>
        <v>0</v>
      </c>
      <c r="AM472" s="6">
        <f>[Patrimônio Líquido]/[Total Ações]</f>
        <v>-0.39753236258585856</v>
      </c>
      <c r="AN472" s="48">
        <f>MAX(Tabela3[[#This Row],[Cotação 1]:[Cotação 5]])</f>
        <v>0.8</v>
      </c>
      <c r="AO472" s="44">
        <f>[Cotação]/[VPA]</f>
        <v>-2.0124147749787715</v>
      </c>
      <c r="AP472" s="40">
        <f>IF(Tabela3[[#This Row],[Lucro/Ação]]&gt;0,Tabela3[[#This Row],[Cotação]]/(Tabela3[[#This Row],[Lucro/Ação]]/[Ref]*4),0)</f>
        <v>0</v>
      </c>
      <c r="AQ472" s="78">
        <f>[Lucro Distribuir]/[Total Ações]</f>
        <v>0</v>
      </c>
      <c r="AR472" s="78">
        <f>IF([Unit ON]&gt;0,SUMPRODUCT(N([Nome]=Tabela3[[#This Row],[Nome]]),N(RIGHT([PAPEL],1)="3"),[Div Base])*[Unit ON]+SUMPRODUCT(N([Nome]=Tabela3[[#This Row],[Nome]]),N(RIGHT([PAPEL],1)="4"),[Div Base])*[Unit PN],[Div Base])</f>
        <v>0</v>
      </c>
      <c r="AS472" s="14" t="str">
        <f>IF(AND([% A.A.]&gt;=6%,SUMPRODUCT(N([Nome]=Tabela3[[#This Row],[Nome]]),[PL])&gt;0,[Rentabilidade s/ PL]&gt;=[Rentabilidade s/ PL Média]),"Sim","Não")</f>
        <v>Não</v>
      </c>
      <c r="AT472" s="42">
        <f>IF([Cotação]&gt;0,Tabela3[[#This Row],[Lucro]]/Tabela3[[#This Row],[Cotação]],0)</f>
        <v>0</v>
      </c>
      <c r="AU472" s="42">
        <f>((1+Tabela3[[#This Row],[% Yield]])^(1/(3*Tabela3[[#This Row],[Ref]])))^(12)-1</f>
        <v>0</v>
      </c>
      <c r="AV472" s="14">
        <f>IF([Cotação]&gt;0,($BH$1/Tabela3[[#This Row],[Cotação]]-MOD($BH$1/Tabela3[[#This Row],[Cotação]],100)),)</f>
        <v>600</v>
      </c>
      <c r="AW472" s="17">
        <f>Tabela3[[#This Row],[Ativos]]*[Lucro]</f>
        <v>0</v>
      </c>
      <c r="AX472" s="17">
        <f>SUMPRODUCT(N(Tabela1[Código]=Tabela3[[#This Row],[PAPEL]]),Tabela1[Fechamento])</f>
        <v>0</v>
      </c>
      <c r="AY472" s="17">
        <f>SUMPRODUCT(N(Tabela17[Código]=Tabela3[[#This Row],[PAPEL]]),Tabela17[Fechamento])</f>
        <v>0.8</v>
      </c>
      <c r="AZ472" s="7">
        <f>SUMPRODUCT(N(Tabela176[Código]=Tabela3[[#This Row],[PAPEL]]),Tabela176[Fechamento])</f>
        <v>0</v>
      </c>
      <c r="BA472" s="7">
        <f>SUMPRODUCT(N(Tabela1768[Código]=Tabela3[[#This Row],[PAPEL]]),Tabela1768[Fechamento])</f>
        <v>0</v>
      </c>
      <c r="BB472" s="7">
        <f>SUMPRODUCT(N(Tabela17683[Código]=Tabela3[[#This Row],[PAPEL]]),Tabela17683[Fechamento])</f>
        <v>0</v>
      </c>
    </row>
    <row r="473" spans="1:54" hidden="1">
      <c r="A473" s="4" t="s">
        <v>12</v>
      </c>
      <c r="B473" s="60" t="s">
        <v>157</v>
      </c>
      <c r="C473" s="14" t="str">
        <f>LEFT([PAPEL],LEN([PAPEL])-(LEN([PAPEL])-4))</f>
        <v>TRPL</v>
      </c>
      <c r="D473" s="15">
        <v>3</v>
      </c>
      <c r="E473" s="6">
        <v>2000000000</v>
      </c>
      <c r="F473" s="8">
        <v>64484433</v>
      </c>
      <c r="G473" s="86">
        <v>0.25</v>
      </c>
      <c r="H473" s="15"/>
      <c r="I473" s="19"/>
      <c r="J473" s="19"/>
      <c r="K473" s="88"/>
      <c r="L473" s="88"/>
      <c r="M473" s="55"/>
      <c r="N473" s="55"/>
      <c r="O473" s="55"/>
      <c r="P473" s="89">
        <v>4953037000</v>
      </c>
      <c r="Q473" s="89">
        <v>-126863000</v>
      </c>
      <c r="R473" s="89">
        <f>IF(Tabela3[[#This Row],[Ativo || Passivo]]&gt;0,Tabela3[[#This Row],[Ativo || Passivo]]-Tabela3[[#This Row],[Patrimônio Líquido]],0)</f>
        <v>0</v>
      </c>
      <c r="S473" s="89">
        <f>Tabela3[[#This Row],[Cotação]]*Tabela3[[#This Row],[Total Ações]]</f>
        <v>6991899677</v>
      </c>
      <c r="T473" s="132">
        <f>IF(Tabela3[[#This Row],[Passivo Circulante]]&gt;0,Tabela3[[#This Row],[Ativo Circulante]]/Tabela3[[#This Row],[Passivo Circulante]],0)</f>
        <v>0</v>
      </c>
      <c r="U473" s="132">
        <f>SUMPRODUCT(N([Liquidez Corrente]&gt;0),N(RIGHT([PAPEL],LEN([PAPEL])-(LEN([PAPEL])-1))="3"),[Liquidez Corrente])/SUMPRODUCT(N([Liquidez Corrente]&gt;0),N(RIGHT([PAPEL],LEN([PAPEL])-(LEN([PAPEL])-1))="3"))</f>
        <v>2.331224473064915</v>
      </c>
      <c r="V473" s="19">
        <f>IF(Tabela3[[#This Row],[Lucro Líquido]]&gt;0,Tabela3[[#This Row],[Lucro Líquido]]/Tabela3[[#This Row],[Patrimônio Líquido]],0)</f>
        <v>0</v>
      </c>
      <c r="W473" s="19">
        <f>SUMPRODUCT(N([Rentabilidade s/ PL]&gt;0),N(RIGHT([PAPEL],LEN([PAPEL])-(LEN([PAPEL])-1))="3"),[Rentabilidade s/ PL])/SUMPRODUCT(N([Rentabilidade s/ PL]&gt;0),N(RIGHT([PAPEL],LEN([PAPEL])-(LEN([PAPEL])-1))="3"))</f>
        <v>0.1261051308670782</v>
      </c>
      <c r="X473" s="19">
        <f>IF(Tabela3[[#This Row],[Dívida]]&gt;0,Tabela3[[#This Row],[Dívida]]/Tabela3[[#This Row],[Patrimônio Líquido]],0)</f>
        <v>0</v>
      </c>
      <c r="Y473" s="19">
        <f>SUMPRODUCT(N([Dívida / PL]&gt;0),N(RIGHT([PAPEL],LEN([PAPEL])-(LEN([PAPEL])-1))="3"),[Dívida / PL])/SUMPRODUCT(N([Dívida / PL]&gt;0),N(RIGHT([PAPEL],LEN([PAPEL])-(LEN([PAPEL])-1))="3"))</f>
        <v>2.1510410379481146</v>
      </c>
      <c r="Z473" s="6">
        <f>Tabela3[[#This Row],[Capital Social]]*20%</f>
        <v>400000000</v>
      </c>
      <c r="AA473" s="6">
        <f>IF(([Lucro Líquido]*5%)&gt;[Teto R. Legal],[Teto R. Legal],[Lucro Líquido]*5%)</f>
        <v>-6343150</v>
      </c>
      <c r="AB473" s="89">
        <f>IF([Lucro Líquido]&lt;0,0,[Lucro Líquido]-[Reserva Legal])</f>
        <v>0</v>
      </c>
      <c r="AC473" s="89">
        <f>Tabela3[[#This Row],[Lucro Distribuir]]*[%Div]</f>
        <v>0</v>
      </c>
      <c r="AD473" s="56">
        <f>SUMPRODUCT(N([Nome]=Tabela3[[#This Row],[Nome]]),[Ações])</f>
        <v>152661565</v>
      </c>
      <c r="AE473" s="6">
        <f>[Capital Social]/[Total Ações]</f>
        <v>13.100874473545453</v>
      </c>
      <c r="AF473" s="78">
        <f>Tabela3[[#This Row],[Lucro Líquido]]/Tabela3[[#This Row],[Total Ações]]</f>
        <v>-0.83100811916869843</v>
      </c>
      <c r="AG473" s="78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</v>
      </c>
      <c r="AH473" s="78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473" s="78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473" s="78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</v>
      </c>
      <c r="AK473" s="6">
        <f>[Div Base]*[Ações]</f>
        <v>0</v>
      </c>
      <c r="AL473" s="6">
        <f>SUMPRODUCT(N([Nome]=Tabela3[[#This Row],[Nome]]),[Div Base]*[Ações])</f>
        <v>0</v>
      </c>
      <c r="AM473" s="6">
        <f>[Patrimônio Líquido]/[Total Ações]</f>
        <v>32.444557999913073</v>
      </c>
      <c r="AN473" s="48">
        <f>MAX(Tabela3[[#This Row],[Cotação 1]:[Cotação 5]])</f>
        <v>45.8</v>
      </c>
      <c r="AO473" s="44">
        <f>[Cotação]/[VPA]</f>
        <v>1.4116388948840883</v>
      </c>
      <c r="AP473" s="40">
        <f>IF(Tabela3[[#This Row],[Lucro/Ação]]&gt;0,Tabela3[[#This Row],[Cotação]]/(Tabela3[[#This Row],[Lucro/Ação]]/[Ref]*4),0)</f>
        <v>0</v>
      </c>
      <c r="AQ473" s="78">
        <f>[Lucro Distribuir]/[Total Ações]</f>
        <v>0</v>
      </c>
      <c r="AR473" s="78">
        <f>IF([Unit ON]&gt;0,SUMPRODUCT(N([Nome]=Tabela3[[#This Row],[Nome]]),N(RIGHT([PAPEL],1)="3"),[Div Base])*[Unit ON]+SUMPRODUCT(N([Nome]=Tabela3[[#This Row],[Nome]]),N(RIGHT([PAPEL],1)="4"),[Div Base])*[Unit PN],[Div Base])</f>
        <v>0</v>
      </c>
      <c r="AS473" s="15" t="str">
        <f>IF(AND([% A.A.]&gt;=6%,SUMPRODUCT(N([Nome]=Tabela3[[#This Row],[Nome]]),[PL])&gt;0,[Rentabilidade s/ PL]&gt;=[Rentabilidade s/ PL Média]),"Sim","Não")</f>
        <v>Não</v>
      </c>
      <c r="AT473" s="42">
        <f>IF([Cotação]&gt;0,Tabela3[[#This Row],[Lucro]]/Tabela3[[#This Row],[Cotação]],0)</f>
        <v>0</v>
      </c>
      <c r="AU473" s="19">
        <f>((1+Tabela3[[#This Row],[% Yield]])^(1/(3*Tabela3[[#This Row],[Ref]])))^(12)-1</f>
        <v>0</v>
      </c>
      <c r="AV473" s="14">
        <f>IF([Cotação]&gt;0,($BH$1/Tabela3[[#This Row],[Cotação]]-MOD($BH$1/Tabela3[[#This Row],[Cotação]],100)),)</f>
        <v>0</v>
      </c>
      <c r="AW473" s="17">
        <f>Tabela3[[#This Row],[Ativos]]*[Lucro]</f>
        <v>0</v>
      </c>
      <c r="AX473" s="5">
        <f>SUMPRODUCT(N(Tabela1[Código]=Tabela3[[#This Row],[PAPEL]]),Tabela1[Fechamento])</f>
        <v>45.8</v>
      </c>
      <c r="AY473" s="5">
        <f>SUMPRODUCT(N(Tabela17[Código]=Tabela3[[#This Row],[PAPEL]]),Tabela17[Fechamento])</f>
        <v>0</v>
      </c>
      <c r="AZ473" s="7">
        <f>SUMPRODUCT(N(Tabela176[Código]=Tabela3[[#This Row],[PAPEL]]),Tabela176[Fechamento])</f>
        <v>0</v>
      </c>
      <c r="BA473" s="7">
        <f>SUMPRODUCT(N(Tabela1768[Código]=Tabela3[[#This Row],[PAPEL]]),Tabela1768[Fechamento])</f>
        <v>0</v>
      </c>
      <c r="BB473" s="7">
        <f>SUMPRODUCT(N(Tabela17683[Código]=Tabela3[[#This Row],[PAPEL]]),Tabela17683[Fechamento])</f>
        <v>0</v>
      </c>
    </row>
    <row r="474" spans="1:54" hidden="1">
      <c r="A474" s="4" t="s">
        <v>12</v>
      </c>
      <c r="B474" s="60" t="s">
        <v>158</v>
      </c>
      <c r="C474" s="14" t="str">
        <f>LEFT([PAPEL],LEN([PAPEL])-(LEN([PAPEL])-4))</f>
        <v>TRPL</v>
      </c>
      <c r="D474" s="15">
        <v>3</v>
      </c>
      <c r="E474" s="6">
        <v>2000000000</v>
      </c>
      <c r="F474" s="8">
        <v>88177132</v>
      </c>
      <c r="G474" s="81">
        <v>0.25</v>
      </c>
      <c r="H474" s="15"/>
      <c r="I474" s="19">
        <v>0.1</v>
      </c>
      <c r="J474" s="19"/>
      <c r="K474" s="88"/>
      <c r="L474" s="88"/>
      <c r="M474" s="55"/>
      <c r="N474" s="55"/>
      <c r="O474" s="55"/>
      <c r="P474" s="89">
        <v>4953037000</v>
      </c>
      <c r="Q474" s="89">
        <v>-126863000</v>
      </c>
      <c r="R474" s="89">
        <f>IF(Tabela3[[#This Row],[Ativo || Passivo]]&gt;0,Tabela3[[#This Row],[Ativo || Passivo]]-Tabela3[[#This Row],[Patrimônio Líquido]],0)</f>
        <v>0</v>
      </c>
      <c r="S474" s="89">
        <f>Tabela3[[#This Row],[Cotação]]*Tabela3[[#This Row],[Total Ações]]</f>
        <v>3836385128.4499998</v>
      </c>
      <c r="T474" s="132">
        <f>IF(Tabela3[[#This Row],[Passivo Circulante]]&gt;0,Tabela3[[#This Row],[Ativo Circulante]]/Tabela3[[#This Row],[Passivo Circulante]],0)</f>
        <v>0</v>
      </c>
      <c r="U474" s="132">
        <f>SUMPRODUCT(N([Liquidez Corrente]&gt;0),N(RIGHT([PAPEL],LEN([PAPEL])-(LEN([PAPEL])-1))="3"),[Liquidez Corrente])/SUMPRODUCT(N([Liquidez Corrente]&gt;0),N(RIGHT([PAPEL],LEN([PAPEL])-(LEN([PAPEL])-1))="3"))</f>
        <v>2.331224473064915</v>
      </c>
      <c r="V474" s="19">
        <f>IF(Tabela3[[#This Row],[Lucro Líquido]]&gt;0,Tabela3[[#This Row],[Lucro Líquido]]/Tabela3[[#This Row],[Patrimônio Líquido]],0)</f>
        <v>0</v>
      </c>
      <c r="W474" s="19">
        <f>SUMPRODUCT(N([Rentabilidade s/ PL]&gt;0),N(RIGHT([PAPEL],LEN([PAPEL])-(LEN([PAPEL])-1))="3"),[Rentabilidade s/ PL])/SUMPRODUCT(N([Rentabilidade s/ PL]&gt;0),N(RIGHT([PAPEL],LEN([PAPEL])-(LEN([PAPEL])-1))="3"))</f>
        <v>0.1261051308670782</v>
      </c>
      <c r="X474" s="19">
        <f>IF(Tabela3[[#This Row],[Dívida]]&gt;0,Tabela3[[#This Row],[Dívida]]/Tabela3[[#This Row],[Patrimônio Líquido]],0)</f>
        <v>0</v>
      </c>
      <c r="Y474" s="19">
        <f>SUMPRODUCT(N([Dívida / PL]&gt;0),N(RIGHT([PAPEL],LEN([PAPEL])-(LEN([PAPEL])-1))="3"),[Dívida / PL])/SUMPRODUCT(N([Dívida / PL]&gt;0),N(RIGHT([PAPEL],LEN([PAPEL])-(LEN([PAPEL])-1))="3"))</f>
        <v>2.1510410379481146</v>
      </c>
      <c r="Z474" s="6">
        <f>Tabela3[[#This Row],[Capital Social]]*20%</f>
        <v>400000000</v>
      </c>
      <c r="AA474" s="6">
        <f>IF(([Lucro Líquido]*5%)&gt;[Teto R. Legal],[Teto R. Legal],[Lucro Líquido]*5%)</f>
        <v>-6343150</v>
      </c>
      <c r="AB474" s="89">
        <f>IF([Lucro Líquido]&lt;0,0,[Lucro Líquido]-[Reserva Legal])</f>
        <v>0</v>
      </c>
      <c r="AC474" s="89">
        <f>Tabela3[[#This Row],[Lucro Distribuir]]*[%Div]</f>
        <v>0</v>
      </c>
      <c r="AD474" s="56">
        <f>SUMPRODUCT(N([Nome]=Tabela3[[#This Row],[Nome]]),[Ações])</f>
        <v>152661565</v>
      </c>
      <c r="AE474" s="6">
        <f>[Capital Social]/[Total Ações]</f>
        <v>13.100874473545453</v>
      </c>
      <c r="AF474" s="78">
        <f>Tabela3[[#This Row],[Lucro Líquido]]/Tabela3[[#This Row],[Total Ações]]</f>
        <v>-0.83100811916869843</v>
      </c>
      <c r="AG474" s="78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</v>
      </c>
      <c r="AH474" s="78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474" s="78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474" s="78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</v>
      </c>
      <c r="AK474" s="6">
        <f>[Div Base]*[Ações]</f>
        <v>0</v>
      </c>
      <c r="AL474" s="6">
        <f>SUMPRODUCT(N([Nome]=Tabela3[[#This Row],[Nome]]),[Div Base]*[Ações])</f>
        <v>0</v>
      </c>
      <c r="AM474" s="6">
        <f>[Patrimônio Líquido]/[Total Ações]</f>
        <v>32.444557999913073</v>
      </c>
      <c r="AN474" s="48">
        <f>MAX(Tabela3[[#This Row],[Cotação 1]:[Cotação 5]])</f>
        <v>25.13</v>
      </c>
      <c r="AO474" s="44">
        <f>[Cotação]/[VPA]</f>
        <v>0.77455208359033056</v>
      </c>
      <c r="AP474" s="40">
        <f>IF(Tabela3[[#This Row],[Lucro/Ação]]&gt;0,Tabela3[[#This Row],[Cotação]]/(Tabela3[[#This Row],[Lucro/Ação]]/[Ref]*4),0)</f>
        <v>0</v>
      </c>
      <c r="AQ474" s="78">
        <f>[Lucro Distribuir]/[Total Ações]</f>
        <v>0</v>
      </c>
      <c r="AR474" s="78">
        <f>IF([Unit ON]&gt;0,SUMPRODUCT(N([Nome]=Tabela3[[#This Row],[Nome]]),N(RIGHT([PAPEL],1)="3"),[Div Base])*[Unit ON]+SUMPRODUCT(N([Nome]=Tabela3[[#This Row],[Nome]]),N(RIGHT([PAPEL],1)="4"),[Div Base])*[Unit PN],[Div Base])</f>
        <v>0</v>
      </c>
      <c r="AS474" s="15" t="str">
        <f>IF(AND([% A.A.]&gt;=6%,SUMPRODUCT(N([Nome]=Tabela3[[#This Row],[Nome]]),[PL])&gt;0,[Rentabilidade s/ PL]&gt;=[Rentabilidade s/ PL Média]),"Sim","Não")</f>
        <v>Não</v>
      </c>
      <c r="AT474" s="42">
        <f>IF([Cotação]&gt;0,Tabela3[[#This Row],[Lucro]]/Tabela3[[#This Row],[Cotação]],0)</f>
        <v>0</v>
      </c>
      <c r="AU474" s="19">
        <f>((1+Tabela3[[#This Row],[% Yield]])^(1/(3*Tabela3[[#This Row],[Ref]])))^(12)-1</f>
        <v>0</v>
      </c>
      <c r="AV474" s="14">
        <f>IF([Cotação]&gt;0,($BH$1/Tabela3[[#This Row],[Cotação]]-MOD($BH$1/Tabela3[[#This Row],[Cotação]],100)),)</f>
        <v>0</v>
      </c>
      <c r="AW474" s="17">
        <f>Tabela3[[#This Row],[Ativos]]*[Lucro]</f>
        <v>0</v>
      </c>
      <c r="AX474" s="5">
        <f>SUMPRODUCT(N(Tabela1[Código]=Tabela3[[#This Row],[PAPEL]]),Tabela1[Fechamento])</f>
        <v>25.13</v>
      </c>
      <c r="AY474" s="5">
        <f>SUMPRODUCT(N(Tabela17[Código]=Tabela3[[#This Row],[PAPEL]]),Tabela17[Fechamento])</f>
        <v>0</v>
      </c>
      <c r="AZ474" s="7">
        <f>SUMPRODUCT(N(Tabela176[Código]=Tabela3[[#This Row],[PAPEL]]),Tabela176[Fechamento])</f>
        <v>0</v>
      </c>
      <c r="BA474" s="7">
        <f>SUMPRODUCT(N(Tabela1768[Código]=Tabela3[[#This Row],[PAPEL]]),Tabela1768[Fechamento])</f>
        <v>0</v>
      </c>
      <c r="BB474" s="7">
        <f>SUMPRODUCT(N(Tabela17683[Código]=Tabela3[[#This Row],[PAPEL]]),Tabela17683[Fechamento])</f>
        <v>0</v>
      </c>
    </row>
    <row r="475" spans="1:54" hidden="1">
      <c r="A475" s="4" t="s">
        <v>579</v>
      </c>
      <c r="B475" s="57" t="s">
        <v>581</v>
      </c>
      <c r="C475" s="15" t="str">
        <f>LEFT([PAPEL],LEN([PAPEL])-(LEN([PAPEL])-4))</f>
        <v>TELB</v>
      </c>
      <c r="D475" s="15">
        <v>3</v>
      </c>
      <c r="E475" s="6">
        <v>263145011.81999999</v>
      </c>
      <c r="F475" s="8">
        <v>97439719</v>
      </c>
      <c r="G475" s="86">
        <v>0.25</v>
      </c>
      <c r="H475" s="15"/>
      <c r="I475" s="19"/>
      <c r="J475" s="19"/>
      <c r="K475" s="88"/>
      <c r="L475" s="88"/>
      <c r="M475" s="55"/>
      <c r="N475" s="55"/>
      <c r="O475" s="55"/>
      <c r="P475" s="92">
        <v>133454000</v>
      </c>
      <c r="Q475" s="93">
        <v>-128852000</v>
      </c>
      <c r="R475" s="93">
        <f>IF(Tabela3[[#This Row],[Ativo || Passivo]]&gt;0,Tabela3[[#This Row],[Ativo || Passivo]]-Tabela3[[#This Row],[Patrimônio Líquido]],0)</f>
        <v>0</v>
      </c>
      <c r="S475" s="93">
        <f>Tabela3[[#This Row],[Cotação]]*Tabela3[[#This Row],[Total Ações]]</f>
        <v>509303687.39999998</v>
      </c>
      <c r="T475" s="40">
        <f>IF(Tabela3[[#This Row],[Passivo Circulante]]&gt;0,Tabela3[[#This Row],[Ativo Circulante]]/Tabela3[[#This Row],[Passivo Circulante]],0)</f>
        <v>0</v>
      </c>
      <c r="U475" s="40">
        <f>SUMPRODUCT(N([Liquidez Corrente]&gt;0),N(RIGHT([PAPEL],LEN([PAPEL])-(LEN([PAPEL])-1))="3"),[Liquidez Corrente])/SUMPRODUCT(N([Liquidez Corrente]&gt;0),N(RIGHT([PAPEL],LEN([PAPEL])-(LEN([PAPEL])-1))="3"))</f>
        <v>2.331224473064915</v>
      </c>
      <c r="V475" s="19">
        <f>IF(Tabela3[[#This Row],[Lucro Líquido]]&gt;0,Tabela3[[#This Row],[Lucro Líquido]]/Tabela3[[#This Row],[Patrimônio Líquido]],0)</f>
        <v>0</v>
      </c>
      <c r="W475" s="19">
        <f>SUMPRODUCT(N([Rentabilidade s/ PL]&gt;0),N(RIGHT([PAPEL],LEN([PAPEL])-(LEN([PAPEL])-1))="3"),[Rentabilidade s/ PL])/SUMPRODUCT(N([Rentabilidade s/ PL]&gt;0),N(RIGHT([PAPEL],LEN([PAPEL])-(LEN([PAPEL])-1))="3"))</f>
        <v>0.1261051308670782</v>
      </c>
      <c r="X475" s="19">
        <f>IF(Tabela3[[#This Row],[Dívida]]&gt;0,Tabela3[[#This Row],[Dívida]]/Tabela3[[#This Row],[Patrimônio Líquido]],0)</f>
        <v>0</v>
      </c>
      <c r="Y475" s="19">
        <f>SUMPRODUCT(N([Dívida / PL]&gt;0),N(RIGHT([PAPEL],LEN([PAPEL])-(LEN([PAPEL])-1))="3"),[Dívida / PL])/SUMPRODUCT(N([Dívida / PL]&gt;0),N(RIGHT([PAPEL],LEN([PAPEL])-(LEN([PAPEL])-1))="3"))</f>
        <v>2.1510410379481146</v>
      </c>
      <c r="Z475" s="13">
        <f>Tabela3[[#This Row],[Capital Social]]*20%</f>
        <v>52629002.364</v>
      </c>
      <c r="AA475" s="13">
        <f>IF(([Lucro Líquido]*5%)&gt;[Teto R. Legal],[Teto R. Legal],[Lucro Líquido]*5%)</f>
        <v>-6442600</v>
      </c>
      <c r="AB475" s="13">
        <f>IF([Lucro Líquido]&lt;0,0,[Lucro Líquido]-[Reserva Legal])</f>
        <v>0</v>
      </c>
      <c r="AC475" s="13">
        <f>Tabela3[[#This Row],[Lucro Distribuir]]*[%Div]</f>
        <v>0</v>
      </c>
      <c r="AD475" s="56">
        <f>SUMPRODUCT(N([Nome]=Tabela3[[#This Row],[Nome]]),[Ações])</f>
        <v>118442718</v>
      </c>
      <c r="AE475" s="6">
        <f>[Capital Social]/[Total Ações]</f>
        <v>2.2217069674135645</v>
      </c>
      <c r="AF475" s="78">
        <f>Tabela3[[#This Row],[Lucro Líquido]]/Tabela3[[#This Row],[Total Ações]]</f>
        <v>-1.087884524905955</v>
      </c>
      <c r="AG475" s="78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</v>
      </c>
      <c r="AH475" s="78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475" s="78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475" s="78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</v>
      </c>
      <c r="AK475" s="13">
        <f>[Div Base]*[Ações]</f>
        <v>0</v>
      </c>
      <c r="AL475" s="13">
        <f>SUMPRODUCT(N([Nome]=Tabela3[[#This Row],[Nome]]),[Div Base]*[Ações])</f>
        <v>0</v>
      </c>
      <c r="AM475" s="6">
        <f>[Patrimônio Líquido]/[Total Ações]</f>
        <v>1.126738749781139</v>
      </c>
      <c r="AN475" s="48">
        <f>MAX(Tabela3[[#This Row],[Cotação 1]:[Cotação 5]])</f>
        <v>4.3</v>
      </c>
      <c r="AO475" s="44">
        <f>[Cotação]/[VPA]</f>
        <v>3.81632388238644</v>
      </c>
      <c r="AP475" s="40">
        <f>IF(Tabela3[[#This Row],[Lucro/Ação]]&gt;0,Tabela3[[#This Row],[Cotação]]/(Tabela3[[#This Row],[Lucro/Ação]]/[Ref]*4),0)</f>
        <v>0</v>
      </c>
      <c r="AQ475" s="78">
        <f>[Lucro Distribuir]/[Total Ações]</f>
        <v>0</v>
      </c>
      <c r="AR475" s="78">
        <f>IF([Unit ON]&gt;0,SUMPRODUCT(N([Nome]=Tabela3[[#This Row],[Nome]]),N(RIGHT([PAPEL],1)="3"),[Div Base])*[Unit ON]+SUMPRODUCT(N([Nome]=Tabela3[[#This Row],[Nome]]),N(RIGHT([PAPEL],1)="4"),[Div Base])*[Unit PN],[Div Base])</f>
        <v>0</v>
      </c>
      <c r="AS475" s="14" t="str">
        <f>IF(AND([% A.A.]&gt;=6%,SUMPRODUCT(N([Nome]=Tabela3[[#This Row],[Nome]]),[PL])&gt;0,[Rentabilidade s/ PL]&gt;=[Rentabilidade s/ PL Média]),"Sim","Não")</f>
        <v>Não</v>
      </c>
      <c r="AT475" s="42">
        <f>IF([Cotação]&gt;0,Tabela3[[#This Row],[Lucro]]/Tabela3[[#This Row],[Cotação]],0)</f>
        <v>0</v>
      </c>
      <c r="AU475" s="42">
        <f>((1+Tabela3[[#This Row],[% Yield]])^(1/(3*Tabela3[[#This Row],[Ref]])))^(12)-1</f>
        <v>0</v>
      </c>
      <c r="AV475" s="14">
        <f>IF([Cotação]&gt;0,($BH$1/Tabela3[[#This Row],[Cotação]]-MOD($BH$1/Tabela3[[#This Row],[Cotação]],100)),)</f>
        <v>100</v>
      </c>
      <c r="AW475" s="17">
        <f>Tabela3[[#This Row],[Ativos]]*[Lucro]</f>
        <v>0</v>
      </c>
      <c r="AX475" s="17">
        <f>SUMPRODUCT(N(Tabela1[Código]=Tabela3[[#This Row],[PAPEL]]),Tabela1[Fechamento])</f>
        <v>0</v>
      </c>
      <c r="AY475" s="17">
        <f>SUMPRODUCT(N(Tabela17[Código]=Tabela3[[#This Row],[PAPEL]]),Tabela17[Fechamento])</f>
        <v>0</v>
      </c>
      <c r="AZ475" s="17">
        <f>SUMPRODUCT(N(Tabela176[Código]=Tabela3[[#This Row],[PAPEL]]),Tabela176[Fechamento])</f>
        <v>4.3</v>
      </c>
      <c r="BA475" s="17">
        <f>SUMPRODUCT(N(Tabela1768[Código]=Tabela3[[#This Row],[PAPEL]]),Tabela1768[Fechamento])</f>
        <v>0</v>
      </c>
      <c r="BB475" s="7">
        <f>SUMPRODUCT(N(Tabela17683[Código]=Tabela3[[#This Row],[PAPEL]]),Tabela17683[Fechamento])</f>
        <v>0</v>
      </c>
    </row>
    <row r="476" spans="1:54" hidden="1">
      <c r="A476" s="4" t="s">
        <v>579</v>
      </c>
      <c r="B476" s="57" t="s">
        <v>582</v>
      </c>
      <c r="C476" s="15" t="str">
        <f>LEFT([PAPEL],LEN([PAPEL])-(LEN([PAPEL])-4))</f>
        <v>TELB</v>
      </c>
      <c r="D476" s="15">
        <v>3</v>
      </c>
      <c r="E476" s="6">
        <v>263145011.81999999</v>
      </c>
      <c r="F476" s="8">
        <v>21002999</v>
      </c>
      <c r="G476" s="86">
        <v>0.25</v>
      </c>
      <c r="H476" s="15"/>
      <c r="I476" s="19">
        <v>0.06</v>
      </c>
      <c r="J476" s="19"/>
      <c r="K476" s="88"/>
      <c r="L476" s="88"/>
      <c r="M476" s="55"/>
      <c r="N476" s="55"/>
      <c r="O476" s="55"/>
      <c r="P476" s="92">
        <v>133454000</v>
      </c>
      <c r="Q476" s="93">
        <v>-128852000</v>
      </c>
      <c r="R476" s="93">
        <f>IF(Tabela3[[#This Row],[Ativo || Passivo]]&gt;0,Tabela3[[#This Row],[Ativo || Passivo]]-Tabela3[[#This Row],[Patrimônio Líquido]],0)</f>
        <v>0</v>
      </c>
      <c r="S476" s="93">
        <f>Tabela3[[#This Row],[Cotação]]*Tabela3[[#This Row],[Total Ações]]</f>
        <v>302028930.89999998</v>
      </c>
      <c r="T476" s="40">
        <f>IF(Tabela3[[#This Row],[Passivo Circulante]]&gt;0,Tabela3[[#This Row],[Ativo Circulante]]/Tabela3[[#This Row],[Passivo Circulante]],0)</f>
        <v>0</v>
      </c>
      <c r="U476" s="40">
        <f>SUMPRODUCT(N([Liquidez Corrente]&gt;0),N(RIGHT([PAPEL],LEN([PAPEL])-(LEN([PAPEL])-1))="3"),[Liquidez Corrente])/SUMPRODUCT(N([Liquidez Corrente]&gt;0),N(RIGHT([PAPEL],LEN([PAPEL])-(LEN([PAPEL])-1))="3"))</f>
        <v>2.331224473064915</v>
      </c>
      <c r="V476" s="19">
        <f>IF(Tabela3[[#This Row],[Lucro Líquido]]&gt;0,Tabela3[[#This Row],[Lucro Líquido]]/Tabela3[[#This Row],[Patrimônio Líquido]],0)</f>
        <v>0</v>
      </c>
      <c r="W476" s="19">
        <f>SUMPRODUCT(N([Rentabilidade s/ PL]&gt;0),N(RIGHT([PAPEL],LEN([PAPEL])-(LEN([PAPEL])-1))="3"),[Rentabilidade s/ PL])/SUMPRODUCT(N([Rentabilidade s/ PL]&gt;0),N(RIGHT([PAPEL],LEN([PAPEL])-(LEN([PAPEL])-1))="3"))</f>
        <v>0.1261051308670782</v>
      </c>
      <c r="X476" s="19">
        <f>IF(Tabela3[[#This Row],[Dívida]]&gt;0,Tabela3[[#This Row],[Dívida]]/Tabela3[[#This Row],[Patrimônio Líquido]],0)</f>
        <v>0</v>
      </c>
      <c r="Y476" s="19">
        <f>SUMPRODUCT(N([Dívida / PL]&gt;0),N(RIGHT([PAPEL],LEN([PAPEL])-(LEN([PAPEL])-1))="3"),[Dívida / PL])/SUMPRODUCT(N([Dívida / PL]&gt;0),N(RIGHT([PAPEL],LEN([PAPEL])-(LEN([PAPEL])-1))="3"))</f>
        <v>2.1510410379481146</v>
      </c>
      <c r="Z476" s="13">
        <f>Tabela3[[#This Row],[Capital Social]]*20%</f>
        <v>52629002.364</v>
      </c>
      <c r="AA476" s="13">
        <f>IF(([Lucro Líquido]*5%)&gt;[Teto R. Legal],[Teto R. Legal],[Lucro Líquido]*5%)</f>
        <v>-6442600</v>
      </c>
      <c r="AB476" s="13">
        <f>IF([Lucro Líquido]&lt;0,0,[Lucro Líquido]-[Reserva Legal])</f>
        <v>0</v>
      </c>
      <c r="AC476" s="13">
        <f>Tabela3[[#This Row],[Lucro Distribuir]]*[%Div]</f>
        <v>0</v>
      </c>
      <c r="AD476" s="56">
        <f>SUMPRODUCT(N([Nome]=Tabela3[[#This Row],[Nome]]),[Ações])</f>
        <v>118442718</v>
      </c>
      <c r="AE476" s="6">
        <f>[Capital Social]/[Total Ações]</f>
        <v>2.2217069674135645</v>
      </c>
      <c r="AF476" s="78">
        <f>Tabela3[[#This Row],[Lucro Líquido]]/Tabela3[[#This Row],[Total Ações]]</f>
        <v>-1.087884524905955</v>
      </c>
      <c r="AG476" s="78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</v>
      </c>
      <c r="AH476" s="78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476" s="78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476" s="78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</v>
      </c>
      <c r="AK476" s="13">
        <f>[Div Base]*[Ações]</f>
        <v>0</v>
      </c>
      <c r="AL476" s="13">
        <f>SUMPRODUCT(N([Nome]=Tabela3[[#This Row],[Nome]]),[Div Base]*[Ações])</f>
        <v>0</v>
      </c>
      <c r="AM476" s="6">
        <f>[Patrimônio Líquido]/[Total Ações]</f>
        <v>1.126738749781139</v>
      </c>
      <c r="AN476" s="48">
        <f>MAX(Tabela3[[#This Row],[Cotação 1]:[Cotação 5]])</f>
        <v>2.5499999999999998</v>
      </c>
      <c r="AO476" s="44">
        <f>[Cotação]/[VPA]</f>
        <v>2.2631688139733539</v>
      </c>
      <c r="AP476" s="40">
        <f>IF(Tabela3[[#This Row],[Lucro/Ação]]&gt;0,Tabela3[[#This Row],[Cotação]]/(Tabela3[[#This Row],[Lucro/Ação]]/[Ref]*4),0)</f>
        <v>0</v>
      </c>
      <c r="AQ476" s="78">
        <f>[Lucro Distribuir]/[Total Ações]</f>
        <v>0</v>
      </c>
      <c r="AR476" s="78">
        <f>IF([Unit ON]&gt;0,SUMPRODUCT(N([Nome]=Tabela3[[#This Row],[Nome]]),N(RIGHT([PAPEL],1)="3"),[Div Base])*[Unit ON]+SUMPRODUCT(N([Nome]=Tabela3[[#This Row],[Nome]]),N(RIGHT([PAPEL],1)="4"),[Div Base])*[Unit PN],[Div Base])</f>
        <v>0</v>
      </c>
      <c r="AS476" s="14" t="str">
        <f>IF(AND([% A.A.]&gt;=6%,SUMPRODUCT(N([Nome]=Tabela3[[#This Row],[Nome]]),[PL])&gt;0,[Rentabilidade s/ PL]&gt;=[Rentabilidade s/ PL Média]),"Sim","Não")</f>
        <v>Não</v>
      </c>
      <c r="AT476" s="42">
        <f>IF([Cotação]&gt;0,Tabela3[[#This Row],[Lucro]]/Tabela3[[#This Row],[Cotação]],0)</f>
        <v>0</v>
      </c>
      <c r="AU476" s="42">
        <f>((1+Tabela3[[#This Row],[% Yield]])^(1/(3*Tabela3[[#This Row],[Ref]])))^(12)-1</f>
        <v>0</v>
      </c>
      <c r="AV476" s="14">
        <f>IF([Cotação]&gt;0,($BH$1/Tabela3[[#This Row],[Cotação]]-MOD($BH$1/Tabela3[[#This Row],[Cotação]],100)),)</f>
        <v>100</v>
      </c>
      <c r="AW476" s="17">
        <f>Tabela3[[#This Row],[Ativos]]*[Lucro]</f>
        <v>0</v>
      </c>
      <c r="AX476" s="17">
        <f>SUMPRODUCT(N(Tabela1[Código]=Tabela3[[#This Row],[PAPEL]]),Tabela1[Fechamento])</f>
        <v>0</v>
      </c>
      <c r="AY476" s="17">
        <f>SUMPRODUCT(N(Tabela17[Código]=Tabela3[[#This Row],[PAPEL]]),Tabela17[Fechamento])</f>
        <v>0</v>
      </c>
      <c r="AZ476" s="17">
        <f>SUMPRODUCT(N(Tabela176[Código]=Tabela3[[#This Row],[PAPEL]]),Tabela176[Fechamento])</f>
        <v>2.5499999999999998</v>
      </c>
      <c r="BA476" s="17">
        <f>SUMPRODUCT(N(Tabela1768[Código]=Tabela3[[#This Row],[PAPEL]]),Tabela1768[Fechamento])</f>
        <v>0</v>
      </c>
      <c r="BB476" s="7">
        <f>SUMPRODUCT(N(Tabela17683[Código]=Tabela3[[#This Row],[PAPEL]]),Tabela17683[Fechamento])</f>
        <v>0</v>
      </c>
    </row>
    <row r="477" spans="1:54" hidden="1">
      <c r="A477" s="3" t="s">
        <v>1349</v>
      </c>
      <c r="B477" s="57" t="s">
        <v>1351</v>
      </c>
      <c r="C477" s="16" t="str">
        <f>LEFT([PAPEL],LEN([PAPEL])-(LEN([PAPEL])-4))</f>
        <v>VSPT</v>
      </c>
      <c r="D477" s="16">
        <v>3</v>
      </c>
      <c r="E477" s="5">
        <v>1722965684.3399999</v>
      </c>
      <c r="F477" s="56">
        <v>210197577031248</v>
      </c>
      <c r="G477" s="81">
        <v>0.25</v>
      </c>
      <c r="H477" s="87"/>
      <c r="J477" s="18"/>
      <c r="K477" s="16"/>
      <c r="L477" s="87"/>
      <c r="M477" s="54"/>
      <c r="N477" s="54"/>
      <c r="O477" s="54"/>
      <c r="P477" s="91">
        <v>1228711000</v>
      </c>
      <c r="Q477" s="73">
        <v>-140764000</v>
      </c>
      <c r="R477" s="73">
        <f>IF(Tabela3[[#This Row],[Ativo || Passivo]]&gt;0,Tabela3[[#This Row],[Ativo || Passivo]]-Tabela3[[#This Row],[Patrimônio Líquido]],0)</f>
        <v>0</v>
      </c>
      <c r="S477" s="73">
        <f>Tabela3[[#This Row],[Cotação]]*Tabela3[[#This Row],[Total Ações]]</f>
        <v>630592931088780</v>
      </c>
      <c r="T477" s="37">
        <f>IF(Tabela3[[#This Row],[Passivo Circulante]]&gt;0,Tabela3[[#This Row],[Ativo Circulante]]/Tabela3[[#This Row],[Passivo Circulante]],0)</f>
        <v>0</v>
      </c>
      <c r="U477" s="37">
        <f>SUMPRODUCT(N([Liquidez Corrente]&gt;0),N(RIGHT([PAPEL],LEN([PAPEL])-(LEN([PAPEL])-1))="3"),[Liquidez Corrente])/SUMPRODUCT(N([Liquidez Corrente]&gt;0),N(RIGHT([PAPEL],LEN([PAPEL])-(LEN([PAPEL])-1))="3"))</f>
        <v>2.331224473064915</v>
      </c>
      <c r="V477" s="18">
        <f>IF(Tabela3[[#This Row],[Lucro Líquido]]&gt;0,Tabela3[[#This Row],[Lucro Líquido]]/Tabela3[[#This Row],[Patrimônio Líquido]],0)</f>
        <v>0</v>
      </c>
      <c r="W477" s="18">
        <f>SUMPRODUCT(N([Rentabilidade s/ PL]&gt;0),N(RIGHT([PAPEL],LEN([PAPEL])-(LEN([PAPEL])-1))="3"),[Rentabilidade s/ PL])/SUMPRODUCT(N([Rentabilidade s/ PL]&gt;0),N(RIGHT([PAPEL],LEN([PAPEL])-(LEN([PAPEL])-1))="3"))</f>
        <v>0.1261051308670782</v>
      </c>
      <c r="X477" s="18">
        <f>IF(Tabela3[[#This Row],[Dívida]]&gt;0,Tabela3[[#This Row],[Dívida]]/Tabela3[[#This Row],[Patrimônio Líquido]],0)</f>
        <v>0</v>
      </c>
      <c r="Y477" s="18">
        <f>SUMPRODUCT(N([Dívida / PL]&gt;0),N(RIGHT([PAPEL],LEN([PAPEL])-(LEN([PAPEL])-1))="3"),[Dívida / PL])/SUMPRODUCT(N([Dívida / PL]&gt;0),N(RIGHT([PAPEL],LEN([PAPEL])-(LEN([PAPEL])-1))="3"))</f>
        <v>2.1510410379481146</v>
      </c>
      <c r="Z477" s="7">
        <f>Tabela3[[#This Row],[Capital Social]]*20%</f>
        <v>344593136.86800003</v>
      </c>
      <c r="AA477" s="47">
        <f>IF(([Lucro Líquido]*5%)&gt;[Teto R. Legal],[Teto R. Legal],[Lucro Líquido]*5%)</f>
        <v>-7038200</v>
      </c>
      <c r="AB477" s="47">
        <f>IF([Lucro Líquido]&lt;0,0,[Lucro Líquido]-[Reserva Legal])</f>
        <v>0</v>
      </c>
      <c r="AC477" s="47">
        <f>Tabela3[[#This Row],[Lucro Distribuir]]*[%Div]</f>
        <v>0</v>
      </c>
      <c r="AD477" s="56">
        <f>SUMPRODUCT(N([Nome]=Tabela3[[#This Row],[Nome]]),[Ações])</f>
        <v>210197643696260</v>
      </c>
      <c r="AE477" s="85">
        <f>[Capital Social]/[Total Ações]</f>
        <v>8.1968839138355012E-6</v>
      </c>
      <c r="AF477" s="85">
        <f>Tabela3[[#This Row],[Lucro Líquido]]/Tabela3[[#This Row],[Total Ações]]</f>
        <v>-6.6967449075407777E-7</v>
      </c>
      <c r="AG477" s="85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</v>
      </c>
      <c r="AH477" s="85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477" s="77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477" s="85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</v>
      </c>
      <c r="AK477" s="7">
        <f>[Div Base]*[Ações]</f>
        <v>0</v>
      </c>
      <c r="AL477" s="120">
        <f>SUMPRODUCT(N([Nome]=Tabela3[[#This Row],[Nome]]),[Div Base]*[Ações])</f>
        <v>11.690716240077828</v>
      </c>
      <c r="AM477" s="5">
        <f>[Patrimônio Líquido]/[Total Ações]</f>
        <v>5.8455032054284732E-6</v>
      </c>
      <c r="AN477" s="52">
        <f>MAX(Tabela3[[#This Row],[Cotação 1]:[Cotação 5]])</f>
        <v>3</v>
      </c>
      <c r="AO477" s="53">
        <f>[Cotação]/[VPA]</f>
        <v>513215.01239004132</v>
      </c>
      <c r="AP477" s="37">
        <f>IF(Tabela3[[#This Row],[Lucro/Ação]]&gt;0,Tabela3[[#This Row],[Cotação]]/(Tabela3[[#This Row],[Lucro/Ação]]/[Ref]*4),0)</f>
        <v>0</v>
      </c>
      <c r="AQ477" s="85">
        <f>[Lucro Distribuir]/[Total Ações]</f>
        <v>0</v>
      </c>
      <c r="AR477" s="85">
        <f>IF([Unit ON]&gt;0,SUMPRODUCT(N([Nome]=Tabela3[[#This Row],[Nome]]),N(RIGHT([PAPEL],1)="3"),[Div Base])*[Unit ON]+SUMPRODUCT(N([Nome]=Tabela3[[#This Row],[Nome]]),N(RIGHT([PAPEL],1)="4"),[Div Base])*[Unit PN],[Div Base])</f>
        <v>0</v>
      </c>
      <c r="AS477" s="10" t="str">
        <f>IF(AND([% A.A.]&gt;=6%,SUMPRODUCT(N([Nome]=Tabela3[[#This Row],[Nome]]),[PL])&gt;0,[Rentabilidade s/ PL]&gt;=[Rentabilidade s/ PL Média]),"Sim","Não")</f>
        <v>Não</v>
      </c>
      <c r="AT477" s="22">
        <f>IF([Cotação]&gt;0,Tabela3[[#This Row],[Lucro]]/Tabela3[[#This Row],[Cotação]],0)</f>
        <v>0</v>
      </c>
      <c r="AU477" s="22">
        <f>((1+Tabela3[[#This Row],[% Yield]])^(1/(3*Tabela3[[#This Row],[Ref]])))^(12)-1</f>
        <v>0</v>
      </c>
      <c r="AV477" s="10">
        <f>IF([Cotação]&gt;0,($BH$1/Tabela3[[#This Row],[Cotação]]-MOD($BH$1/Tabela3[[#This Row],[Cotação]],100)),)</f>
        <v>100</v>
      </c>
      <c r="AW477" s="7">
        <f>Tabela3[[#This Row],[Ativos]]*[Lucro]</f>
        <v>0</v>
      </c>
      <c r="AX477" s="7">
        <f>SUMPRODUCT(N(Tabela1[Código]=Tabela3[[#This Row],[PAPEL]]),Tabela1[Fechamento])</f>
        <v>0</v>
      </c>
      <c r="AY477" s="7">
        <f>SUMPRODUCT(N(Tabela17[Código]=Tabela3[[#This Row],[PAPEL]]),Tabela17[Fechamento])</f>
        <v>0</v>
      </c>
      <c r="AZ477" s="7">
        <f>SUMPRODUCT(N(Tabela176[Código]=Tabela3[[#This Row],[PAPEL]]),Tabela176[Fechamento])</f>
        <v>0</v>
      </c>
      <c r="BA477" s="7">
        <f>SUMPRODUCT(N(Tabela1768[Código]=Tabela3[[#This Row],[PAPEL]]),Tabela1768[Fechamento])</f>
        <v>0</v>
      </c>
      <c r="BB477" s="7">
        <f>SUMPRODUCT(N(Tabela17683[Código]=Tabela3[[#This Row],[PAPEL]]),Tabela17683[Fechamento])</f>
        <v>3</v>
      </c>
    </row>
    <row r="478" spans="1:54" hidden="1">
      <c r="A478" s="3" t="s">
        <v>1349</v>
      </c>
      <c r="B478" s="57" t="s">
        <v>1352</v>
      </c>
      <c r="C478" s="16" t="str">
        <f>LEFT([PAPEL],LEN([PAPEL])-(LEN([PAPEL])-4))</f>
        <v>VSPT</v>
      </c>
      <c r="D478" s="16">
        <v>3</v>
      </c>
      <c r="E478" s="5">
        <v>1722965684.3399999</v>
      </c>
      <c r="F478" s="56">
        <v>66665012</v>
      </c>
      <c r="G478" s="81">
        <v>0.25</v>
      </c>
      <c r="H478" s="81">
        <v>0.03</v>
      </c>
      <c r="J478" s="18"/>
      <c r="K478" s="16"/>
      <c r="L478" s="87"/>
      <c r="M478" s="54"/>
      <c r="N478" s="54"/>
      <c r="O478" s="54"/>
      <c r="P478" s="91">
        <v>1228711000</v>
      </c>
      <c r="Q478" s="73">
        <v>-140764000</v>
      </c>
      <c r="R478" s="73">
        <f>IF(Tabela3[[#This Row],[Ativo || Passivo]]&gt;0,Tabela3[[#This Row],[Ativo || Passivo]]-Tabela3[[#This Row],[Patrimônio Líquido]],0)</f>
        <v>0</v>
      </c>
      <c r="S478" s="73">
        <f>Tabela3[[#This Row],[Cotação]]*Tabela3[[#This Row],[Total Ações]]</f>
        <v>0</v>
      </c>
      <c r="T478" s="37">
        <f>IF(Tabela3[[#This Row],[Passivo Circulante]]&gt;0,Tabela3[[#This Row],[Ativo Circulante]]/Tabela3[[#This Row],[Passivo Circulante]],0)</f>
        <v>0</v>
      </c>
      <c r="U478" s="37">
        <f>SUMPRODUCT(N([Liquidez Corrente]&gt;0),N(RIGHT([PAPEL],LEN([PAPEL])-(LEN([PAPEL])-1))="3"),[Liquidez Corrente])/SUMPRODUCT(N([Liquidez Corrente]&gt;0),N(RIGHT([PAPEL],LEN([PAPEL])-(LEN([PAPEL])-1))="3"))</f>
        <v>2.331224473064915</v>
      </c>
      <c r="V478" s="18">
        <f>IF(Tabela3[[#This Row],[Lucro Líquido]]&gt;0,Tabela3[[#This Row],[Lucro Líquido]]/Tabela3[[#This Row],[Patrimônio Líquido]],0)</f>
        <v>0</v>
      </c>
      <c r="W478" s="18">
        <f>SUMPRODUCT(N([Rentabilidade s/ PL]&gt;0),N(RIGHT([PAPEL],LEN([PAPEL])-(LEN([PAPEL])-1))="3"),[Rentabilidade s/ PL])/SUMPRODUCT(N([Rentabilidade s/ PL]&gt;0),N(RIGHT([PAPEL],LEN([PAPEL])-(LEN([PAPEL])-1))="3"))</f>
        <v>0.1261051308670782</v>
      </c>
      <c r="X478" s="18">
        <f>IF(Tabela3[[#This Row],[Dívida]]&gt;0,Tabela3[[#This Row],[Dívida]]/Tabela3[[#This Row],[Patrimônio Líquido]],0)</f>
        <v>0</v>
      </c>
      <c r="Y478" s="18">
        <f>SUMPRODUCT(N([Dívida / PL]&gt;0),N(RIGHT([PAPEL],LEN([PAPEL])-(LEN([PAPEL])-1))="3"),[Dívida / PL])/SUMPRODUCT(N([Dívida / PL]&gt;0),N(RIGHT([PAPEL],LEN([PAPEL])-(LEN([PAPEL])-1))="3"))</f>
        <v>2.1510410379481146</v>
      </c>
      <c r="Z478" s="7">
        <f>Tabela3[[#This Row],[Capital Social]]*20%</f>
        <v>344593136.86800003</v>
      </c>
      <c r="AA478" s="47">
        <f>IF(([Lucro Líquido]*5%)&gt;[Teto R. Legal],[Teto R. Legal],[Lucro Líquido]*5%)</f>
        <v>-7038200</v>
      </c>
      <c r="AB478" s="47">
        <f>IF([Lucro Líquido]&lt;0,0,[Lucro Líquido]-[Reserva Legal])</f>
        <v>0</v>
      </c>
      <c r="AC478" s="47">
        <f>Tabela3[[#This Row],[Lucro Distribuir]]*[%Div]</f>
        <v>0</v>
      </c>
      <c r="AD478" s="56">
        <f>SUMPRODUCT(N([Nome]=Tabela3[[#This Row],[Nome]]),[Ações])</f>
        <v>210197643696260</v>
      </c>
      <c r="AE478" s="85">
        <f>[Capital Social]/[Total Ações]</f>
        <v>8.1968839138355012E-6</v>
      </c>
      <c r="AF478" s="85">
        <f>Tabela3[[#This Row],[Lucro Líquido]]/Tabela3[[#This Row],[Total Ações]]</f>
        <v>-6.6967449075407777E-7</v>
      </c>
      <c r="AG478" s="85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</v>
      </c>
      <c r="AH478" s="85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1.7536509616285419E-7</v>
      </c>
      <c r="AI478" s="77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478" s="85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1.7536509616285419E-7</v>
      </c>
      <c r="AK478" s="7">
        <f>[Div Base]*[Ações]</f>
        <v>11.690716240077828</v>
      </c>
      <c r="AL478" s="120">
        <f>SUMPRODUCT(N([Nome]=Tabela3[[#This Row],[Nome]]),[Div Base]*[Ações])</f>
        <v>11.690716240077828</v>
      </c>
      <c r="AM478" s="5">
        <f>[Patrimônio Líquido]/[Total Ações]</f>
        <v>5.8455032054284732E-6</v>
      </c>
      <c r="AN478" s="52">
        <f>MAX(Tabela3[[#This Row],[Cotação 1]:[Cotação 5]])</f>
        <v>0</v>
      </c>
      <c r="AO478" s="53">
        <f>[Cotação]/[VPA]</f>
        <v>0</v>
      </c>
      <c r="AP478" s="37">
        <f>IF(Tabela3[[#This Row],[Lucro/Ação]]&gt;0,Tabela3[[#This Row],[Cotação]]/(Tabela3[[#This Row],[Lucro/Ação]]/[Ref]*4),0)</f>
        <v>0</v>
      </c>
      <c r="AQ478" s="85">
        <f>[Lucro Distribuir]/[Total Ações]</f>
        <v>0</v>
      </c>
      <c r="AR478" s="85">
        <f>IF([Unit ON]&gt;0,SUMPRODUCT(N([Nome]=Tabela3[[#This Row],[Nome]]),N(RIGHT([PAPEL],1)="3"),[Div Base])*[Unit ON]+SUMPRODUCT(N([Nome]=Tabela3[[#This Row],[Nome]]),N(RIGHT([PAPEL],1)="4"),[Div Base])*[Unit PN],[Div Base])</f>
        <v>1.7536509616285419E-7</v>
      </c>
      <c r="AS478" s="10" t="str">
        <f>IF(AND([% A.A.]&gt;=6%,SUMPRODUCT(N([Nome]=Tabela3[[#This Row],[Nome]]),[PL])&gt;0,[Rentabilidade s/ PL]&gt;=[Rentabilidade s/ PL Média]),"Sim","Não")</f>
        <v>Não</v>
      </c>
      <c r="AT478" s="22">
        <f>IF([Cotação]&gt;0,Tabela3[[#This Row],[Lucro]]/Tabela3[[#This Row],[Cotação]],0)</f>
        <v>0</v>
      </c>
      <c r="AU478" s="22">
        <f>((1+Tabela3[[#This Row],[% Yield]])^(1/(3*Tabela3[[#This Row],[Ref]])))^(12)-1</f>
        <v>0</v>
      </c>
      <c r="AV478" s="10">
        <f>IF([Cotação]&gt;0,($BH$1/Tabela3[[#This Row],[Cotação]]-MOD($BH$1/Tabela3[[#This Row],[Cotação]],100)),)</f>
        <v>0</v>
      </c>
      <c r="AW478" s="7">
        <f>Tabela3[[#This Row],[Ativos]]*[Lucro]</f>
        <v>0</v>
      </c>
      <c r="AX478" s="7">
        <f>SUMPRODUCT(N(Tabela1[Código]=Tabela3[[#This Row],[PAPEL]]),Tabela1[Fechamento])</f>
        <v>0</v>
      </c>
      <c r="AY478" s="7">
        <f>SUMPRODUCT(N(Tabela17[Código]=Tabela3[[#This Row],[PAPEL]]),Tabela17[Fechamento])</f>
        <v>0</v>
      </c>
      <c r="AZ478" s="7">
        <f>SUMPRODUCT(N(Tabela176[Código]=Tabela3[[#This Row],[PAPEL]]),Tabela176[Fechamento])</f>
        <v>0</v>
      </c>
      <c r="BA478" s="7">
        <f>SUMPRODUCT(N(Tabela1768[Código]=Tabela3[[#This Row],[PAPEL]]),Tabela1768[Fechamento])</f>
        <v>0</v>
      </c>
      <c r="BB478" s="7">
        <f>SUMPRODUCT(N(Tabela17683[Código]=Tabela3[[#This Row],[PAPEL]]),Tabela17683[Fechamento])</f>
        <v>0</v>
      </c>
    </row>
    <row r="479" spans="1:54" hidden="1">
      <c r="A479" s="3" t="s">
        <v>1440</v>
      </c>
      <c r="B479" s="57" t="s">
        <v>1420</v>
      </c>
      <c r="C479" s="16" t="str">
        <f>LEFT([PAPEL],LEN([PAPEL])-(LEN([PAPEL])-4))</f>
        <v>INEP</v>
      </c>
      <c r="D479" s="16">
        <v>3</v>
      </c>
      <c r="E479" s="5">
        <v>398977131.06</v>
      </c>
      <c r="F479" s="56">
        <v>39892065</v>
      </c>
      <c r="G479" s="81">
        <v>0.25</v>
      </c>
      <c r="H479" s="87"/>
      <c r="J479" s="18"/>
      <c r="K479" s="16"/>
      <c r="L479" s="87"/>
      <c r="M479" s="54"/>
      <c r="N479" s="54"/>
      <c r="O479" s="54"/>
      <c r="P479" s="91">
        <v>401785000</v>
      </c>
      <c r="Q479" s="73">
        <v>-141541000</v>
      </c>
      <c r="R479" s="73">
        <f>IF(Tabela3[[#This Row],[Ativo || Passivo]]&gt;0,Tabela3[[#This Row],[Ativo || Passivo]]-Tabela3[[#This Row],[Patrimônio Líquido]],0)</f>
        <v>0</v>
      </c>
      <c r="S479" s="73">
        <f>Tabela3[[#This Row],[Cotação]]*Tabela3[[#This Row],[Total Ações]]</f>
        <v>101997941.76000001</v>
      </c>
      <c r="T479" s="37">
        <f>IF(Tabela3[[#This Row],[Passivo Circulante]]&gt;0,Tabela3[[#This Row],[Ativo Circulante]]/Tabela3[[#This Row],[Passivo Circulante]],0)</f>
        <v>0</v>
      </c>
      <c r="U479" s="37">
        <f>SUMPRODUCT(N([Liquidez Corrente]&gt;0),N(RIGHT([PAPEL],LEN([PAPEL])-(LEN([PAPEL])-1))="3"),[Liquidez Corrente])/SUMPRODUCT(N([Liquidez Corrente]&gt;0),N(RIGHT([PAPEL],LEN([PAPEL])-(LEN([PAPEL])-1))="3"))</f>
        <v>2.331224473064915</v>
      </c>
      <c r="V479" s="18">
        <f>IF(Tabela3[[#This Row],[Lucro Líquido]]&gt;0,Tabela3[[#This Row],[Lucro Líquido]]/Tabela3[[#This Row],[Patrimônio Líquido]],0)</f>
        <v>0</v>
      </c>
      <c r="W479" s="18">
        <f>SUMPRODUCT(N([Rentabilidade s/ PL]&gt;0),N(RIGHT([PAPEL],LEN([PAPEL])-(LEN([PAPEL])-1))="3"),[Rentabilidade s/ PL])/SUMPRODUCT(N([Rentabilidade s/ PL]&gt;0),N(RIGHT([PAPEL],LEN([PAPEL])-(LEN([PAPEL])-1))="3"))</f>
        <v>0.1261051308670782</v>
      </c>
      <c r="X479" s="18">
        <f>IF(Tabela3[[#This Row],[Dívida]]&gt;0,Tabela3[[#This Row],[Dívida]]/Tabela3[[#This Row],[Patrimônio Líquido]],0)</f>
        <v>0</v>
      </c>
      <c r="Y479" s="18">
        <f>SUMPRODUCT(N([Dívida / PL]&gt;0),N(RIGHT([PAPEL],LEN([PAPEL])-(LEN([PAPEL])-1))="3"),[Dívida / PL])/SUMPRODUCT(N([Dívida / PL]&gt;0),N(RIGHT([PAPEL],LEN([PAPEL])-(LEN([PAPEL])-1))="3"))</f>
        <v>2.1510410379481146</v>
      </c>
      <c r="Z479" s="7">
        <f>Tabela3[[#This Row],[Capital Social]]*20%</f>
        <v>79795426.211999997</v>
      </c>
      <c r="AA479" s="47">
        <f>IF(([Lucro Líquido]*5%)&gt;[Teto R. Legal],[Teto R. Legal],[Lucro Líquido]*5%)</f>
        <v>-7077050</v>
      </c>
      <c r="AB479" s="47">
        <f>IF([Lucro Líquido]&lt;0,0,[Lucro Líquido]-[Reserva Legal])</f>
        <v>0</v>
      </c>
      <c r="AC479" s="47">
        <f>Tabela3[[#This Row],[Lucro Distribuir]]*[%Div]</f>
        <v>0</v>
      </c>
      <c r="AD479" s="56">
        <f>SUMPRODUCT(N([Nome]=Tabela3[[#This Row],[Nome]]),[Ações])</f>
        <v>103028224</v>
      </c>
      <c r="AE479" s="85">
        <f>[Capital Social]/[Total Ações]</f>
        <v>3.8725032381418125</v>
      </c>
      <c r="AF479" s="85">
        <f>Tabela3[[#This Row],[Lucro Líquido]]/Tabela3[[#This Row],[Total Ações]]</f>
        <v>-1.3738080159471642</v>
      </c>
      <c r="AG479" s="85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</v>
      </c>
      <c r="AH479" s="85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479" s="77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479" s="85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</v>
      </c>
      <c r="AK479" s="7">
        <f>[Div Base]*[Ações]</f>
        <v>0</v>
      </c>
      <c r="AL479" s="120">
        <f>SUMPRODUCT(N([Nome]=Tabela3[[#This Row],[Nome]]),[Div Base]*[Ações])</f>
        <v>0</v>
      </c>
      <c r="AM479" s="5">
        <f>[Patrimônio Líquido]/[Total Ações]</f>
        <v>3.8997566336773892</v>
      </c>
      <c r="AN479" s="52">
        <f>MAX(Tabela3[[#This Row],[Cotação 1]:[Cotação 5]])</f>
        <v>0.99</v>
      </c>
      <c r="AO479" s="53">
        <f>[Cotação]/[VPA]</f>
        <v>0.25386199524621378</v>
      </c>
      <c r="AP479" s="37">
        <f>IF(Tabela3[[#This Row],[Lucro/Ação]]&gt;0,Tabela3[[#This Row],[Cotação]]/(Tabela3[[#This Row],[Lucro/Ação]]/[Ref]*4),0)</f>
        <v>0</v>
      </c>
      <c r="AQ479" s="85">
        <f>[Lucro Distribuir]/[Total Ações]</f>
        <v>0</v>
      </c>
      <c r="AR479" s="85">
        <f>IF([Unit ON]&gt;0,SUMPRODUCT(N([Nome]=Tabela3[[#This Row],[Nome]]),N(RIGHT([PAPEL],1)="3"),[Div Base])*[Unit ON]+SUMPRODUCT(N([Nome]=Tabela3[[#This Row],[Nome]]),N(RIGHT([PAPEL],1)="4"),[Div Base])*[Unit PN],[Div Base])</f>
        <v>0</v>
      </c>
      <c r="AS479" s="10" t="str">
        <f>IF(AND([% A.A.]&gt;=6%,SUMPRODUCT(N([Nome]=Tabela3[[#This Row],[Nome]]),[PL])&gt;0,[Rentabilidade s/ PL]&gt;=[Rentabilidade s/ PL Média]),"Sim","Não")</f>
        <v>Não</v>
      </c>
      <c r="AT479" s="22">
        <f>IF([Cotação]&gt;0,Tabela3[[#This Row],[Lucro]]/Tabela3[[#This Row],[Cotação]],0)</f>
        <v>0</v>
      </c>
      <c r="AU479" s="22">
        <f>((1+Tabela3[[#This Row],[% Yield]])^(1/(3*Tabela3[[#This Row],[Ref]])))^(12)-1</f>
        <v>0</v>
      </c>
      <c r="AV479" s="10">
        <f>IF([Cotação]&gt;0,($BH$1/Tabela3[[#This Row],[Cotação]]-MOD($BH$1/Tabela3[[#This Row],[Cotação]],100)),)</f>
        <v>500</v>
      </c>
      <c r="AW479" s="7">
        <f>Tabela3[[#This Row],[Ativos]]*[Lucro]</f>
        <v>0</v>
      </c>
      <c r="AX479" s="7">
        <f>SUMPRODUCT(N(Tabela1[Código]=Tabela3[[#This Row],[PAPEL]]),Tabela1[Fechamento])</f>
        <v>0</v>
      </c>
      <c r="AY479" s="7">
        <f>SUMPRODUCT(N(Tabela17[Código]=Tabela3[[#This Row],[PAPEL]]),Tabela17[Fechamento])</f>
        <v>0</v>
      </c>
      <c r="AZ479" s="7">
        <f>SUMPRODUCT(N(Tabela176[Código]=Tabela3[[#This Row],[PAPEL]]),Tabela176[Fechamento])</f>
        <v>0</v>
      </c>
      <c r="BA479" s="7">
        <f>SUMPRODUCT(N(Tabela1768[Código]=Tabela3[[#This Row],[PAPEL]]),Tabela1768[Fechamento])</f>
        <v>0</v>
      </c>
      <c r="BB479" s="7">
        <f>SUMPRODUCT(N(Tabela17683[Código]=Tabela3[[#This Row],[PAPEL]]),Tabela17683[Fechamento])</f>
        <v>0.99</v>
      </c>
    </row>
    <row r="480" spans="1:54" hidden="1">
      <c r="A480" s="3" t="s">
        <v>1440</v>
      </c>
      <c r="B480" s="57" t="s">
        <v>1421</v>
      </c>
      <c r="C480" s="16" t="str">
        <f>LEFT([PAPEL],LEN([PAPEL])-(LEN([PAPEL])-4))</f>
        <v>INEP</v>
      </c>
      <c r="D480" s="16">
        <v>3</v>
      </c>
      <c r="E480" s="5">
        <v>398977131.06</v>
      </c>
      <c r="F480" s="56">
        <v>63136159</v>
      </c>
      <c r="G480" s="81">
        <v>0.25</v>
      </c>
      <c r="H480" s="87"/>
      <c r="J480" s="18">
        <v>0.1</v>
      </c>
      <c r="K480" s="16"/>
      <c r="L480" s="87"/>
      <c r="M480" s="54"/>
      <c r="N480" s="54"/>
      <c r="O480" s="54"/>
      <c r="P480" s="91">
        <v>401785000</v>
      </c>
      <c r="Q480" s="73">
        <v>-141541000</v>
      </c>
      <c r="R480" s="73">
        <f>IF(Tabela3[[#This Row],[Ativo || Passivo]]&gt;0,Tabela3[[#This Row],[Ativo || Passivo]]-Tabela3[[#This Row],[Patrimônio Líquido]],0)</f>
        <v>0</v>
      </c>
      <c r="S480" s="73">
        <f>Tabela3[[#This Row],[Cotação]]*Tabela3[[#This Row],[Total Ações]]</f>
        <v>91695119.359999999</v>
      </c>
      <c r="T480" s="37">
        <f>IF(Tabela3[[#This Row],[Passivo Circulante]]&gt;0,Tabela3[[#This Row],[Ativo Circulante]]/Tabela3[[#This Row],[Passivo Circulante]],0)</f>
        <v>0</v>
      </c>
      <c r="U480" s="37">
        <f>SUMPRODUCT(N([Liquidez Corrente]&gt;0),N(RIGHT([PAPEL],LEN([PAPEL])-(LEN([PAPEL])-1))="3"),[Liquidez Corrente])/SUMPRODUCT(N([Liquidez Corrente]&gt;0),N(RIGHT([PAPEL],LEN([PAPEL])-(LEN([PAPEL])-1))="3"))</f>
        <v>2.331224473064915</v>
      </c>
      <c r="V480" s="18">
        <f>IF(Tabela3[[#This Row],[Lucro Líquido]]&gt;0,Tabela3[[#This Row],[Lucro Líquido]]/Tabela3[[#This Row],[Patrimônio Líquido]],0)</f>
        <v>0</v>
      </c>
      <c r="W480" s="18">
        <f>SUMPRODUCT(N([Rentabilidade s/ PL]&gt;0),N(RIGHT([PAPEL],LEN([PAPEL])-(LEN([PAPEL])-1))="3"),[Rentabilidade s/ PL])/SUMPRODUCT(N([Rentabilidade s/ PL]&gt;0),N(RIGHT([PAPEL],LEN([PAPEL])-(LEN([PAPEL])-1))="3"))</f>
        <v>0.1261051308670782</v>
      </c>
      <c r="X480" s="18">
        <f>IF(Tabela3[[#This Row],[Dívida]]&gt;0,Tabela3[[#This Row],[Dívida]]/Tabela3[[#This Row],[Patrimônio Líquido]],0)</f>
        <v>0</v>
      </c>
      <c r="Y480" s="18">
        <f>SUMPRODUCT(N([Dívida / PL]&gt;0),N(RIGHT([PAPEL],LEN([PAPEL])-(LEN([PAPEL])-1))="3"),[Dívida / PL])/SUMPRODUCT(N([Dívida / PL]&gt;0),N(RIGHT([PAPEL],LEN([PAPEL])-(LEN([PAPEL])-1))="3"))</f>
        <v>2.1510410379481146</v>
      </c>
      <c r="Z480" s="7">
        <f>Tabela3[[#This Row],[Capital Social]]*20%</f>
        <v>79795426.211999997</v>
      </c>
      <c r="AA480" s="47">
        <f>IF(([Lucro Líquido]*5%)&gt;[Teto R. Legal],[Teto R. Legal],[Lucro Líquido]*5%)</f>
        <v>-7077050</v>
      </c>
      <c r="AB480" s="47">
        <f>IF([Lucro Líquido]&lt;0,0,[Lucro Líquido]-[Reserva Legal])</f>
        <v>0</v>
      </c>
      <c r="AC480" s="47">
        <f>Tabela3[[#This Row],[Lucro Distribuir]]*[%Div]</f>
        <v>0</v>
      </c>
      <c r="AD480" s="56">
        <f>SUMPRODUCT(N([Nome]=Tabela3[[#This Row],[Nome]]),[Ações])</f>
        <v>103028224</v>
      </c>
      <c r="AE480" s="85">
        <f>[Capital Social]/[Total Ações]</f>
        <v>3.8725032381418125</v>
      </c>
      <c r="AF480" s="85">
        <f>Tabela3[[#This Row],[Lucro Líquido]]/Tabela3[[#This Row],[Total Ações]]</f>
        <v>-1.3738080159471642</v>
      </c>
      <c r="AG480" s="85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</v>
      </c>
      <c r="AH480" s="85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480" s="77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480" s="85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</v>
      </c>
      <c r="AK480" s="7">
        <f>[Div Base]*[Ações]</f>
        <v>0</v>
      </c>
      <c r="AL480" s="120">
        <f>SUMPRODUCT(N([Nome]=Tabela3[[#This Row],[Nome]]),[Div Base]*[Ações])</f>
        <v>0</v>
      </c>
      <c r="AM480" s="5">
        <f>[Patrimônio Líquido]/[Total Ações]</f>
        <v>3.8997566336773892</v>
      </c>
      <c r="AN480" s="52">
        <f>MAX(Tabela3[[#This Row],[Cotação 1]:[Cotação 5]])</f>
        <v>0.89</v>
      </c>
      <c r="AO480" s="53">
        <f>[Cotação]/[VPA]</f>
        <v>0.22821936946376795</v>
      </c>
      <c r="AP480" s="37">
        <f>IF(Tabela3[[#This Row],[Lucro/Ação]]&gt;0,Tabela3[[#This Row],[Cotação]]/(Tabela3[[#This Row],[Lucro/Ação]]/[Ref]*4),0)</f>
        <v>0</v>
      </c>
      <c r="AQ480" s="85">
        <f>[Lucro Distribuir]/[Total Ações]</f>
        <v>0</v>
      </c>
      <c r="AR480" s="85">
        <f>IF([Unit ON]&gt;0,SUMPRODUCT(N([Nome]=Tabela3[[#This Row],[Nome]]),N(RIGHT([PAPEL],1)="3"),[Div Base])*[Unit ON]+SUMPRODUCT(N([Nome]=Tabela3[[#This Row],[Nome]]),N(RIGHT([PAPEL],1)="4"),[Div Base])*[Unit PN],[Div Base])</f>
        <v>0</v>
      </c>
      <c r="AS480" s="10" t="str">
        <f>IF(AND([% A.A.]&gt;=6%,SUMPRODUCT(N([Nome]=Tabela3[[#This Row],[Nome]]),[PL])&gt;0,[Rentabilidade s/ PL]&gt;=[Rentabilidade s/ PL Média]),"Sim","Não")</f>
        <v>Não</v>
      </c>
      <c r="AT480" s="22">
        <f>IF([Cotação]&gt;0,Tabela3[[#This Row],[Lucro]]/Tabela3[[#This Row],[Cotação]],0)</f>
        <v>0</v>
      </c>
      <c r="AU480" s="22">
        <f>((1+Tabela3[[#This Row],[% Yield]])^(1/(3*Tabela3[[#This Row],[Ref]])))^(12)-1</f>
        <v>0</v>
      </c>
      <c r="AV480" s="10">
        <f>IF([Cotação]&gt;0,($BH$1/Tabela3[[#This Row],[Cotação]]-MOD($BH$1/Tabela3[[#This Row],[Cotação]],100)),)</f>
        <v>500</v>
      </c>
      <c r="AW480" s="7">
        <f>Tabela3[[#This Row],[Ativos]]*[Lucro]</f>
        <v>0</v>
      </c>
      <c r="AX480" s="7">
        <f>SUMPRODUCT(N(Tabela1[Código]=Tabela3[[#This Row],[PAPEL]]),Tabela1[Fechamento])</f>
        <v>0</v>
      </c>
      <c r="AY480" s="7">
        <f>SUMPRODUCT(N(Tabela17[Código]=Tabela3[[#This Row],[PAPEL]]),Tabela17[Fechamento])</f>
        <v>0</v>
      </c>
      <c r="AZ480" s="7">
        <f>SUMPRODUCT(N(Tabela176[Código]=Tabela3[[#This Row],[PAPEL]]),Tabela176[Fechamento])</f>
        <v>0</v>
      </c>
      <c r="BA480" s="7">
        <f>SUMPRODUCT(N(Tabela1768[Código]=Tabela3[[#This Row],[PAPEL]]),Tabela1768[Fechamento])</f>
        <v>0</v>
      </c>
      <c r="BB480" s="7">
        <f>SUMPRODUCT(N(Tabela17683[Código]=Tabela3[[#This Row],[PAPEL]]),Tabela17683[Fechamento])</f>
        <v>0.89</v>
      </c>
    </row>
    <row r="481" spans="1:54">
      <c r="A481" s="4" t="s">
        <v>238</v>
      </c>
      <c r="B481" s="57" t="s">
        <v>606</v>
      </c>
      <c r="C481" s="15" t="str">
        <f>LEFT([PAPEL],LEN([PAPEL])-(LEN([PAPEL])-4))</f>
        <v>USIM</v>
      </c>
      <c r="D481" s="15">
        <v>4</v>
      </c>
      <c r="E481" s="6">
        <v>12150000000</v>
      </c>
      <c r="F481" s="8">
        <v>505786684</v>
      </c>
      <c r="G481" s="86">
        <v>0.25</v>
      </c>
      <c r="H481" s="15"/>
      <c r="I481" s="19"/>
      <c r="J481" s="19"/>
      <c r="K481" s="88"/>
      <c r="L481" s="88"/>
      <c r="M481" s="55"/>
      <c r="N481" s="55"/>
      <c r="O481" s="55"/>
      <c r="P481" s="92">
        <v>16711908000</v>
      </c>
      <c r="Q481" s="93">
        <v>-141678000</v>
      </c>
      <c r="R481" s="93">
        <f>IF(Tabela3[[#This Row],[Ativo || Passivo]]&gt;0,Tabela3[[#This Row],[Ativo || Passivo]]-Tabela3[[#This Row],[Patrimônio Líquido]],0)</f>
        <v>0</v>
      </c>
      <c r="S481" s="93">
        <f>Tabela3[[#This Row],[Cotação]]*Tabela3[[#This Row],[Total Ações]]</f>
        <v>9869257608.7000008</v>
      </c>
      <c r="T481" s="40">
        <f>IF(Tabela3[[#This Row],[Passivo Circulante]]&gt;0,Tabela3[[#This Row],[Ativo Circulante]]/Tabela3[[#This Row],[Passivo Circulante]],0)</f>
        <v>0</v>
      </c>
      <c r="U481" s="40">
        <f>SUMPRODUCT(N([Liquidez Corrente]&gt;0),N(RIGHT([PAPEL],LEN([PAPEL])-(LEN([PAPEL])-1))="3"),[Liquidez Corrente])/SUMPRODUCT(N([Liquidez Corrente]&gt;0),N(RIGHT([PAPEL],LEN([PAPEL])-(LEN([PAPEL])-1))="3"))</f>
        <v>2.331224473064915</v>
      </c>
      <c r="V481" s="19">
        <f>IF(Tabela3[[#This Row],[Lucro Líquido]]&gt;0,Tabela3[[#This Row],[Lucro Líquido]]/Tabela3[[#This Row],[Patrimônio Líquido]],0)</f>
        <v>0</v>
      </c>
      <c r="W481" s="19">
        <f>SUMPRODUCT(N([Rentabilidade s/ PL]&gt;0),N(RIGHT([PAPEL],LEN([PAPEL])-(LEN([PAPEL])-1))="3"),[Rentabilidade s/ PL])/SUMPRODUCT(N([Rentabilidade s/ PL]&gt;0),N(RIGHT([PAPEL],LEN([PAPEL])-(LEN([PAPEL])-1))="3"))</f>
        <v>0.1261051308670782</v>
      </c>
      <c r="X481" s="19">
        <f>IF(Tabela3[[#This Row],[Dívida]]&gt;0,Tabela3[[#This Row],[Dívida]]/Tabela3[[#This Row],[Patrimônio Líquido]],0)</f>
        <v>0</v>
      </c>
      <c r="Y481" s="19">
        <f>SUMPRODUCT(N([Dívida / PL]&gt;0),N(RIGHT([PAPEL],LEN([PAPEL])-(LEN([PAPEL])-1))="3"),[Dívida / PL])/SUMPRODUCT(N([Dívida / PL]&gt;0),N(RIGHT([PAPEL],LEN([PAPEL])-(LEN([PAPEL])-1))="3"))</f>
        <v>2.1510410379481146</v>
      </c>
      <c r="Z481" s="13">
        <f>Tabela3[[#This Row],[Capital Social]]*20%</f>
        <v>2430000000</v>
      </c>
      <c r="AA481" s="13">
        <f>IF(([Lucro Líquido]*5%)&gt;[Teto R. Legal],[Teto R. Legal],[Lucro Líquido]*5%)</f>
        <v>-7083900</v>
      </c>
      <c r="AB481" s="13">
        <f>IF([Lucro Líquido]&lt;0,0,[Lucro Líquido]-[Reserva Legal])</f>
        <v>0</v>
      </c>
      <c r="AC481" s="13">
        <f>Tabela3[[#This Row],[Lucro Distribuir]]*[%Div]</f>
        <v>0</v>
      </c>
      <c r="AD481" s="56">
        <f>SUMPRODUCT(N([Nome]=Tabela3[[#This Row],[Nome]]),[Ações])</f>
        <v>1014312190</v>
      </c>
      <c r="AE481" s="6">
        <f>[Capital Social]/[Total Ações]</f>
        <v>11.978560565263443</v>
      </c>
      <c r="AF481" s="78">
        <f>Tabela3[[#This Row],[Lucro Líquido]]/Tabela3[[#This Row],[Total Ações]]</f>
        <v>-0.13967888919879787</v>
      </c>
      <c r="AG481" s="78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</v>
      </c>
      <c r="AH481" s="78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481" s="78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481" s="78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</v>
      </c>
      <c r="AK481" s="13">
        <f>[Div Base]*[Ações]</f>
        <v>0</v>
      </c>
      <c r="AL481" s="13">
        <f>SUMPRODUCT(N([Nome]=Tabela3[[#This Row],[Nome]]),[Div Base]*[Ações])</f>
        <v>0</v>
      </c>
      <c r="AM481" s="6">
        <f>[Patrimônio Líquido]/[Total Ações]</f>
        <v>16.476098941490587</v>
      </c>
      <c r="AN481" s="48">
        <f>MAX(Tabela3[[#This Row],[Cotação 1]:[Cotação 5]])</f>
        <v>9.73</v>
      </c>
      <c r="AO481" s="44">
        <f>[Cotação]/[VPA]</f>
        <v>0.5905524138057725</v>
      </c>
      <c r="AP481" s="40">
        <f>IF(Tabela3[[#This Row],[Lucro/Ação]]&gt;0,Tabela3[[#This Row],[Cotação]]/(Tabela3[[#This Row],[Lucro/Ação]]/[Ref]*4),0)</f>
        <v>0</v>
      </c>
      <c r="AQ481" s="78">
        <f>[Lucro Distribuir]/[Total Ações]</f>
        <v>0</v>
      </c>
      <c r="AR481" s="78">
        <f>IF([Unit ON]&gt;0,SUMPRODUCT(N([Nome]=Tabela3[[#This Row],[Nome]]),N(RIGHT([PAPEL],1)="3"),[Div Base])*[Unit ON]+SUMPRODUCT(N([Nome]=Tabela3[[#This Row],[Nome]]),N(RIGHT([PAPEL],1)="4"),[Div Base])*[Unit PN],[Div Base])</f>
        <v>0</v>
      </c>
      <c r="AS481" s="14" t="str">
        <f>IF(AND([% A.A.]&gt;=6%,SUMPRODUCT(N([Nome]=Tabela3[[#This Row],[Nome]]),[PL])&gt;0,[Rentabilidade s/ PL]&gt;=[Rentabilidade s/ PL Média]),"Sim","Não")</f>
        <v>Não</v>
      </c>
      <c r="AT481" s="42">
        <f>IF([Cotação]&gt;0,Tabela3[[#This Row],[Lucro]]/Tabela3[[#This Row],[Cotação]],0)</f>
        <v>0</v>
      </c>
      <c r="AU481" s="42">
        <f>((1+Tabela3[[#This Row],[% Yield]])^(1/(3*Tabela3[[#This Row],[Ref]])))^(12)-1</f>
        <v>0</v>
      </c>
      <c r="AV481" s="14">
        <f>IF([Cotação]&gt;0,($BH$1/Tabela3[[#This Row],[Cotação]]-MOD($BH$1/Tabela3[[#This Row],[Cotação]],100)),)</f>
        <v>0</v>
      </c>
      <c r="AW481" s="17">
        <f>Tabela3[[#This Row],[Ativos]]*[Lucro]</f>
        <v>0</v>
      </c>
      <c r="AX481" s="17">
        <f>SUMPRODUCT(N(Tabela1[Código]=Tabela3[[#This Row],[PAPEL]]),Tabela1[Fechamento])</f>
        <v>0</v>
      </c>
      <c r="AY481" s="17">
        <f>SUMPRODUCT(N(Tabela17[Código]=Tabela3[[#This Row],[PAPEL]]),Tabela17[Fechamento])</f>
        <v>0</v>
      </c>
      <c r="AZ481" s="17">
        <f>SUMPRODUCT(N(Tabela176[Código]=Tabela3[[#This Row],[PAPEL]]),Tabela176[Fechamento])</f>
        <v>9.73</v>
      </c>
      <c r="BA481" s="17">
        <f>SUMPRODUCT(N(Tabela1768[Código]=Tabela3[[#This Row],[PAPEL]]),Tabela1768[Fechamento])</f>
        <v>0</v>
      </c>
      <c r="BB481" s="7">
        <f>SUMPRODUCT(N(Tabela17683[Código]=Tabela3[[#This Row],[PAPEL]]),Tabela17683[Fechamento])</f>
        <v>0</v>
      </c>
    </row>
    <row r="482" spans="1:54">
      <c r="A482" s="4" t="s">
        <v>238</v>
      </c>
      <c r="B482" s="57" t="s">
        <v>607</v>
      </c>
      <c r="C482" s="15" t="str">
        <f>LEFT([PAPEL],LEN([PAPEL])-(LEN([PAPEL])-4))</f>
        <v>USIM</v>
      </c>
      <c r="D482" s="15">
        <v>4</v>
      </c>
      <c r="E482" s="6">
        <v>12150000000</v>
      </c>
      <c r="F482" s="8">
        <v>508438474</v>
      </c>
      <c r="G482" s="86">
        <v>0.25</v>
      </c>
      <c r="H482" s="15"/>
      <c r="I482" s="19"/>
      <c r="J482" s="19">
        <v>0.1</v>
      </c>
      <c r="K482" s="88"/>
      <c r="L482" s="88"/>
      <c r="M482" s="55"/>
      <c r="N482" s="55"/>
      <c r="O482" s="55"/>
      <c r="P482" s="92">
        <v>16711908000</v>
      </c>
      <c r="Q482" s="93">
        <v>-141678000</v>
      </c>
      <c r="R482" s="93">
        <f>IF(Tabela3[[#This Row],[Ativo || Passivo]]&gt;0,Tabela3[[#This Row],[Ativo || Passivo]]-Tabela3[[#This Row],[Patrimônio Líquido]],0)</f>
        <v>0</v>
      </c>
      <c r="S482" s="93">
        <f>Tabela3[[#This Row],[Cotação]]*Tabela3[[#This Row],[Total Ações]]</f>
        <v>10700993604.5</v>
      </c>
      <c r="T482" s="40">
        <f>IF(Tabela3[[#This Row],[Passivo Circulante]]&gt;0,Tabela3[[#This Row],[Ativo Circulante]]/Tabela3[[#This Row],[Passivo Circulante]],0)</f>
        <v>0</v>
      </c>
      <c r="U482" s="40">
        <f>SUMPRODUCT(N([Liquidez Corrente]&gt;0),N(RIGHT([PAPEL],LEN([PAPEL])-(LEN([PAPEL])-1))="3"),[Liquidez Corrente])/SUMPRODUCT(N([Liquidez Corrente]&gt;0),N(RIGHT([PAPEL],LEN([PAPEL])-(LEN([PAPEL])-1))="3"))</f>
        <v>2.331224473064915</v>
      </c>
      <c r="V482" s="19">
        <f>IF(Tabela3[[#This Row],[Lucro Líquido]]&gt;0,Tabela3[[#This Row],[Lucro Líquido]]/Tabela3[[#This Row],[Patrimônio Líquido]],0)</f>
        <v>0</v>
      </c>
      <c r="W482" s="19">
        <f>SUMPRODUCT(N([Rentabilidade s/ PL]&gt;0),N(RIGHT([PAPEL],LEN([PAPEL])-(LEN([PAPEL])-1))="3"),[Rentabilidade s/ PL])/SUMPRODUCT(N([Rentabilidade s/ PL]&gt;0),N(RIGHT([PAPEL],LEN([PAPEL])-(LEN([PAPEL])-1))="3"))</f>
        <v>0.1261051308670782</v>
      </c>
      <c r="X482" s="19">
        <f>IF(Tabela3[[#This Row],[Dívida]]&gt;0,Tabela3[[#This Row],[Dívida]]/Tabela3[[#This Row],[Patrimônio Líquido]],0)</f>
        <v>0</v>
      </c>
      <c r="Y482" s="19">
        <f>SUMPRODUCT(N([Dívida / PL]&gt;0),N(RIGHT([PAPEL],LEN([PAPEL])-(LEN([PAPEL])-1))="3"),[Dívida / PL])/SUMPRODUCT(N([Dívida / PL]&gt;0),N(RIGHT([PAPEL],LEN([PAPEL])-(LEN([PAPEL])-1))="3"))</f>
        <v>2.1510410379481146</v>
      </c>
      <c r="Z482" s="13">
        <f>Tabela3[[#This Row],[Capital Social]]*20%</f>
        <v>2430000000</v>
      </c>
      <c r="AA482" s="13">
        <f>IF(([Lucro Líquido]*5%)&gt;[Teto R. Legal],[Teto R. Legal],[Lucro Líquido]*5%)</f>
        <v>-7083900</v>
      </c>
      <c r="AB482" s="13">
        <f>IF([Lucro Líquido]&lt;0,0,[Lucro Líquido]-[Reserva Legal])</f>
        <v>0</v>
      </c>
      <c r="AC482" s="13">
        <f>Tabela3[[#This Row],[Lucro Distribuir]]*[%Div]</f>
        <v>0</v>
      </c>
      <c r="AD482" s="56">
        <f>SUMPRODUCT(N([Nome]=Tabela3[[#This Row],[Nome]]),[Ações])</f>
        <v>1014312190</v>
      </c>
      <c r="AE482" s="6">
        <f>[Capital Social]/[Total Ações]</f>
        <v>11.978560565263443</v>
      </c>
      <c r="AF482" s="78">
        <f>Tabela3[[#This Row],[Lucro Líquido]]/Tabela3[[#This Row],[Total Ações]]</f>
        <v>-0.13967888919879787</v>
      </c>
      <c r="AG482" s="78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</v>
      </c>
      <c r="AH482" s="78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482" s="78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482" s="78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</v>
      </c>
      <c r="AK482" s="13">
        <f>[Div Base]*[Ações]</f>
        <v>0</v>
      </c>
      <c r="AL482" s="13">
        <f>SUMPRODUCT(N([Nome]=Tabela3[[#This Row],[Nome]]),[Div Base]*[Ações])</f>
        <v>0</v>
      </c>
      <c r="AM482" s="6">
        <f>[Patrimônio Líquido]/[Total Ações]</f>
        <v>16.476098941490587</v>
      </c>
      <c r="AN482" s="48">
        <f>MAX(Tabela3[[#This Row],[Cotação 1]:[Cotação 5]])</f>
        <v>10.55</v>
      </c>
      <c r="AO482" s="44">
        <f>[Cotação]/[VPA]</f>
        <v>0.64032147642866399</v>
      </c>
      <c r="AP482" s="40">
        <f>IF(Tabela3[[#This Row],[Lucro/Ação]]&gt;0,Tabela3[[#This Row],[Cotação]]/(Tabela3[[#This Row],[Lucro/Ação]]/[Ref]*4),0)</f>
        <v>0</v>
      </c>
      <c r="AQ482" s="78">
        <f>[Lucro Distribuir]/[Total Ações]</f>
        <v>0</v>
      </c>
      <c r="AR482" s="78">
        <f>IF([Unit ON]&gt;0,SUMPRODUCT(N([Nome]=Tabela3[[#This Row],[Nome]]),N(RIGHT([PAPEL],1)="3"),[Div Base])*[Unit ON]+SUMPRODUCT(N([Nome]=Tabela3[[#This Row],[Nome]]),N(RIGHT([PAPEL],1)="4"),[Div Base])*[Unit PN],[Div Base])</f>
        <v>0</v>
      </c>
      <c r="AS482" s="14" t="str">
        <f>IF(AND([% A.A.]&gt;=6%,SUMPRODUCT(N([Nome]=Tabela3[[#This Row],[Nome]]),[PL])&gt;0,[Rentabilidade s/ PL]&gt;=[Rentabilidade s/ PL Média]),"Sim","Não")</f>
        <v>Não</v>
      </c>
      <c r="AT482" s="42">
        <f>IF([Cotação]&gt;0,Tabela3[[#This Row],[Lucro]]/Tabela3[[#This Row],[Cotação]],0)</f>
        <v>0</v>
      </c>
      <c r="AU482" s="42">
        <f>((1+Tabela3[[#This Row],[% Yield]])^(1/(3*Tabela3[[#This Row],[Ref]])))^(12)-1</f>
        <v>0</v>
      </c>
      <c r="AV482" s="14">
        <f>IF([Cotação]&gt;0,($BH$1/Tabela3[[#This Row],[Cotação]]-MOD($BH$1/Tabela3[[#This Row],[Cotação]],100)),)</f>
        <v>0</v>
      </c>
      <c r="AW482" s="17">
        <f>Tabela3[[#This Row],[Ativos]]*[Lucro]</f>
        <v>0</v>
      </c>
      <c r="AX482" s="17">
        <f>SUMPRODUCT(N(Tabela1[Código]=Tabela3[[#This Row],[PAPEL]]),Tabela1[Fechamento])</f>
        <v>0</v>
      </c>
      <c r="AY482" s="17">
        <f>SUMPRODUCT(N(Tabela17[Código]=Tabela3[[#This Row],[PAPEL]]),Tabela17[Fechamento])</f>
        <v>0</v>
      </c>
      <c r="AZ482" s="17">
        <f>SUMPRODUCT(N(Tabela176[Código]=Tabela3[[#This Row],[PAPEL]]),Tabela176[Fechamento])</f>
        <v>10.55</v>
      </c>
      <c r="BA482" s="17">
        <f>SUMPRODUCT(N(Tabela1768[Código]=Tabela3[[#This Row],[PAPEL]]),Tabela1768[Fechamento])</f>
        <v>0</v>
      </c>
      <c r="BB482" s="7">
        <f>SUMPRODUCT(N(Tabela17683[Código]=Tabela3[[#This Row],[PAPEL]]),Tabela17683[Fechamento])</f>
        <v>0</v>
      </c>
    </row>
    <row r="483" spans="1:54">
      <c r="A483" s="4" t="s">
        <v>238</v>
      </c>
      <c r="B483" s="57" t="s">
        <v>608</v>
      </c>
      <c r="C483" s="15" t="str">
        <f>LEFT([PAPEL],LEN([PAPEL])-(LEN([PAPEL])-4))</f>
        <v>USIM</v>
      </c>
      <c r="D483" s="15">
        <v>4</v>
      </c>
      <c r="E483" s="6">
        <v>12150000000</v>
      </c>
      <c r="F483" s="8">
        <v>87032</v>
      </c>
      <c r="G483" s="86">
        <v>0.25</v>
      </c>
      <c r="H483" s="15"/>
      <c r="I483" s="19"/>
      <c r="J483" s="19">
        <v>0.1</v>
      </c>
      <c r="K483" s="88"/>
      <c r="L483" s="88"/>
      <c r="M483" s="55"/>
      <c r="N483" s="55"/>
      <c r="O483" s="55"/>
      <c r="P483" s="92">
        <v>16711908000</v>
      </c>
      <c r="Q483" s="93">
        <v>-141678000</v>
      </c>
      <c r="R483" s="93">
        <f>IF(Tabela3[[#This Row],[Ativo || Passivo]]&gt;0,Tabela3[[#This Row],[Ativo || Passivo]]-Tabela3[[#This Row],[Patrimônio Líquido]],0)</f>
        <v>0</v>
      </c>
      <c r="S483" s="93">
        <f>Tabela3[[#This Row],[Cotação]]*Tabela3[[#This Row],[Total Ações]]</f>
        <v>11289294674.700001</v>
      </c>
      <c r="T483" s="40">
        <f>IF(Tabela3[[#This Row],[Passivo Circulante]]&gt;0,Tabela3[[#This Row],[Ativo Circulante]]/Tabela3[[#This Row],[Passivo Circulante]],0)</f>
        <v>0</v>
      </c>
      <c r="U483" s="40">
        <f>SUMPRODUCT(N([Liquidez Corrente]&gt;0),N(RIGHT([PAPEL],LEN([PAPEL])-(LEN([PAPEL])-1))="3"),[Liquidez Corrente])/SUMPRODUCT(N([Liquidez Corrente]&gt;0),N(RIGHT([PAPEL],LEN([PAPEL])-(LEN([PAPEL])-1))="3"))</f>
        <v>2.331224473064915</v>
      </c>
      <c r="V483" s="19">
        <f>IF(Tabela3[[#This Row],[Lucro Líquido]]&gt;0,Tabela3[[#This Row],[Lucro Líquido]]/Tabela3[[#This Row],[Patrimônio Líquido]],0)</f>
        <v>0</v>
      </c>
      <c r="W483" s="19">
        <f>SUMPRODUCT(N([Rentabilidade s/ PL]&gt;0),N(RIGHT([PAPEL],LEN([PAPEL])-(LEN([PAPEL])-1))="3"),[Rentabilidade s/ PL])/SUMPRODUCT(N([Rentabilidade s/ PL]&gt;0),N(RIGHT([PAPEL],LEN([PAPEL])-(LEN([PAPEL])-1))="3"))</f>
        <v>0.1261051308670782</v>
      </c>
      <c r="X483" s="19">
        <f>IF(Tabela3[[#This Row],[Dívida]]&gt;0,Tabela3[[#This Row],[Dívida]]/Tabela3[[#This Row],[Patrimônio Líquido]],0)</f>
        <v>0</v>
      </c>
      <c r="Y483" s="19">
        <f>SUMPRODUCT(N([Dívida / PL]&gt;0),N(RIGHT([PAPEL],LEN([PAPEL])-(LEN([PAPEL])-1))="3"),[Dívida / PL])/SUMPRODUCT(N([Dívida / PL]&gt;0),N(RIGHT([PAPEL],LEN([PAPEL])-(LEN([PAPEL])-1))="3"))</f>
        <v>2.1510410379481146</v>
      </c>
      <c r="Z483" s="13">
        <f>Tabela3[[#This Row],[Capital Social]]*20%</f>
        <v>2430000000</v>
      </c>
      <c r="AA483" s="13">
        <f>IF(([Lucro Líquido]*5%)&gt;[Teto R. Legal],[Teto R. Legal],[Lucro Líquido]*5%)</f>
        <v>-7083900</v>
      </c>
      <c r="AB483" s="13">
        <f>IF([Lucro Líquido]&lt;0,0,[Lucro Líquido]-[Reserva Legal])</f>
        <v>0</v>
      </c>
      <c r="AC483" s="13">
        <f>Tabela3[[#This Row],[Lucro Distribuir]]*[%Div]</f>
        <v>0</v>
      </c>
      <c r="AD483" s="56">
        <f>SUMPRODUCT(N([Nome]=Tabela3[[#This Row],[Nome]]),[Ações])</f>
        <v>1014312190</v>
      </c>
      <c r="AE483" s="6">
        <f>[Capital Social]/[Total Ações]</f>
        <v>11.978560565263443</v>
      </c>
      <c r="AF483" s="78">
        <f>Tabela3[[#This Row],[Lucro Líquido]]/Tabela3[[#This Row],[Total Ações]]</f>
        <v>-0.13967888919879787</v>
      </c>
      <c r="AG483" s="78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</v>
      </c>
      <c r="AH483" s="78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483" s="78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483" s="78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</v>
      </c>
      <c r="AK483" s="13">
        <f>[Div Base]*[Ações]</f>
        <v>0</v>
      </c>
      <c r="AL483" s="13">
        <f>SUMPRODUCT(N([Nome]=Tabela3[[#This Row],[Nome]]),[Div Base]*[Ações])</f>
        <v>0</v>
      </c>
      <c r="AM483" s="6">
        <f>[Patrimônio Líquido]/[Total Ações]</f>
        <v>16.476098941490587</v>
      </c>
      <c r="AN483" s="48">
        <f>MAX(Tabela3[[#This Row],[Cotação 1]:[Cotação 5]])</f>
        <v>11.13</v>
      </c>
      <c r="AO483" s="44">
        <f>[Cotação]/[VPA]</f>
        <v>0.67552398413753845</v>
      </c>
      <c r="AP483" s="40">
        <f>IF(Tabela3[[#This Row],[Lucro/Ação]]&gt;0,Tabela3[[#This Row],[Cotação]]/(Tabela3[[#This Row],[Lucro/Ação]]/[Ref]*4),0)</f>
        <v>0</v>
      </c>
      <c r="AQ483" s="78">
        <f>[Lucro Distribuir]/[Total Ações]</f>
        <v>0</v>
      </c>
      <c r="AR483" s="78">
        <f>IF([Unit ON]&gt;0,SUMPRODUCT(N([Nome]=Tabela3[[#This Row],[Nome]]),N(RIGHT([PAPEL],1)="3"),[Div Base])*[Unit ON]+SUMPRODUCT(N([Nome]=Tabela3[[#This Row],[Nome]]),N(RIGHT([PAPEL],1)="4"),[Div Base])*[Unit PN],[Div Base])</f>
        <v>0</v>
      </c>
      <c r="AS483" s="14" t="str">
        <f>IF(AND([% A.A.]&gt;=6%,SUMPRODUCT(N([Nome]=Tabela3[[#This Row],[Nome]]),[PL])&gt;0,[Rentabilidade s/ PL]&gt;=[Rentabilidade s/ PL Média]),"Sim","Não")</f>
        <v>Não</v>
      </c>
      <c r="AT483" s="42">
        <f>IF([Cotação]&gt;0,Tabela3[[#This Row],[Lucro]]/Tabela3[[#This Row],[Cotação]],0)</f>
        <v>0</v>
      </c>
      <c r="AU483" s="42">
        <f>((1+Tabela3[[#This Row],[% Yield]])^(1/(3*Tabela3[[#This Row],[Ref]])))^(12)-1</f>
        <v>0</v>
      </c>
      <c r="AV483" s="14">
        <f>IF([Cotação]&gt;0,($BH$1/Tabela3[[#This Row],[Cotação]]-MOD($BH$1/Tabela3[[#This Row],[Cotação]],100)),)</f>
        <v>0</v>
      </c>
      <c r="AW483" s="17">
        <f>Tabela3[[#This Row],[Ativos]]*[Lucro]</f>
        <v>0</v>
      </c>
      <c r="AX483" s="17">
        <f>SUMPRODUCT(N(Tabela1[Código]=Tabela3[[#This Row],[PAPEL]]),Tabela1[Fechamento])</f>
        <v>0</v>
      </c>
      <c r="AY483" s="17">
        <f>SUMPRODUCT(N(Tabela17[Código]=Tabela3[[#This Row],[PAPEL]]),Tabela17[Fechamento])</f>
        <v>0</v>
      </c>
      <c r="AZ483" s="17">
        <f>SUMPRODUCT(N(Tabela176[Código]=Tabela3[[#This Row],[PAPEL]]),Tabela176[Fechamento])</f>
        <v>11.13</v>
      </c>
      <c r="BA483" s="17">
        <f>SUMPRODUCT(N(Tabela1768[Código]=Tabela3[[#This Row],[PAPEL]]),Tabela1768[Fechamento])</f>
        <v>0</v>
      </c>
      <c r="BB483" s="7">
        <f>SUMPRODUCT(N(Tabela17683[Código]=Tabela3[[#This Row],[PAPEL]]),Tabela17683[Fechamento])</f>
        <v>0</v>
      </c>
    </row>
    <row r="484" spans="1:54" hidden="1">
      <c r="A484" s="3" t="s">
        <v>818</v>
      </c>
      <c r="B484" s="58" t="s">
        <v>823</v>
      </c>
      <c r="C484" s="16" t="str">
        <f>LEFT([PAPEL],LEN([PAPEL])-(LEN([PAPEL])-4))</f>
        <v>BTOW</v>
      </c>
      <c r="D484" s="16">
        <v>3</v>
      </c>
      <c r="E484" s="5">
        <v>1198991738.6400001</v>
      </c>
      <c r="F484" s="56">
        <v>158999202</v>
      </c>
      <c r="G484" s="81">
        <v>0.25</v>
      </c>
      <c r="H484" s="87"/>
      <c r="J484" s="18"/>
      <c r="K484" s="16"/>
      <c r="L484" s="87"/>
      <c r="M484" s="54"/>
      <c r="N484" s="54"/>
      <c r="O484" s="54"/>
      <c r="P484" s="91">
        <v>832936000</v>
      </c>
      <c r="Q484" s="73">
        <v>-149050000</v>
      </c>
      <c r="R484" s="73">
        <f>IF(Tabela3[[#This Row],[Ativo || Passivo]]&gt;0,Tabela3[[#This Row],[Ativo || Passivo]]-Tabela3[[#This Row],[Patrimônio Líquido]],0)</f>
        <v>0</v>
      </c>
      <c r="S484" s="73">
        <f>Tabela3[[#This Row],[Cotação]]*Tabela3[[#This Row],[Total Ações]]</f>
        <v>3607691893.3800001</v>
      </c>
      <c r="T484" s="37">
        <f>IF(Tabela3[[#This Row],[Passivo Circulante]]&gt;0,Tabela3[[#This Row],[Ativo Circulante]]/Tabela3[[#This Row],[Passivo Circulante]],0)</f>
        <v>0</v>
      </c>
      <c r="U484" s="37">
        <f>SUMPRODUCT(N([Liquidez Corrente]&gt;0),N(RIGHT([PAPEL],LEN([PAPEL])-(LEN([PAPEL])-1))="3"),[Liquidez Corrente])/SUMPRODUCT(N([Liquidez Corrente]&gt;0),N(RIGHT([PAPEL],LEN([PAPEL])-(LEN([PAPEL])-1))="3"))</f>
        <v>2.331224473064915</v>
      </c>
      <c r="V484" s="18">
        <f>IF(Tabela3[[#This Row],[Lucro Líquido]]&gt;0,Tabela3[[#This Row],[Lucro Líquido]]/Tabela3[[#This Row],[Patrimônio Líquido]],0)</f>
        <v>0</v>
      </c>
      <c r="W484" s="18">
        <f>SUMPRODUCT(N([Rentabilidade s/ PL]&gt;0),N(RIGHT([PAPEL],LEN([PAPEL])-(LEN([PAPEL])-1))="3"),[Rentabilidade s/ PL])/SUMPRODUCT(N([Rentabilidade s/ PL]&gt;0),N(RIGHT([PAPEL],LEN([PAPEL])-(LEN([PAPEL])-1))="3"))</f>
        <v>0.1261051308670782</v>
      </c>
      <c r="X484" s="18">
        <f>IF(Tabela3[[#This Row],[Dívida]]&gt;0,Tabela3[[#This Row],[Dívida]]/Tabela3[[#This Row],[Patrimônio Líquido]],0)</f>
        <v>0</v>
      </c>
      <c r="Y484" s="18">
        <f>SUMPRODUCT(N([Dívida / PL]&gt;0),N(RIGHT([PAPEL],LEN([PAPEL])-(LEN([PAPEL])-1))="3"),[Dívida / PL])/SUMPRODUCT(N([Dívida / PL]&gt;0),N(RIGHT([PAPEL],LEN([PAPEL])-(LEN([PAPEL])-1))="3"))</f>
        <v>2.1510410379481146</v>
      </c>
      <c r="Z484" s="7">
        <f>Tabela3[[#This Row],[Capital Social]]*20%</f>
        <v>239798347.72800004</v>
      </c>
      <c r="AA484" s="47">
        <f>IF(([Lucro Líquido]*5%)&gt;[Teto R. Legal],[Teto R. Legal],[Lucro Líquido]*5%)</f>
        <v>-7452500</v>
      </c>
      <c r="AB484" s="47">
        <f>IF([Lucro Líquido]&lt;0,0,[Lucro Líquido]-[Reserva Legal])</f>
        <v>0</v>
      </c>
      <c r="AC484" s="47">
        <f>Tabela3[[#This Row],[Lucro Distribuir]]*[%Div]</f>
        <v>0</v>
      </c>
      <c r="AD484" s="56">
        <f>SUMPRODUCT(N([Nome]=Tabela3[[#This Row],[Nome]]),[Ações])</f>
        <v>158999202</v>
      </c>
      <c r="AE484" s="85">
        <f>[Capital Social]/[Total Ações]</f>
        <v>7.5408663915181169</v>
      </c>
      <c r="AF484" s="85">
        <f>Tabela3[[#This Row],[Lucro Líquido]]/Tabela3[[#This Row],[Total Ações]]</f>
        <v>-0.93742608846552578</v>
      </c>
      <c r="AG484" s="85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</v>
      </c>
      <c r="AH484" s="85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484" s="77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484" s="85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</v>
      </c>
      <c r="AK484" s="7">
        <f>[Div Base]*[Ações]</f>
        <v>0</v>
      </c>
      <c r="AL484" s="7">
        <f>SUMPRODUCT(N([Nome]=Tabela3[[#This Row],[Nome]]),[Div Base]*[Ações])</f>
        <v>0</v>
      </c>
      <c r="AM484" s="5">
        <f>[Patrimônio Líquido]/[Total Ações]</f>
        <v>5.2386174868978275</v>
      </c>
      <c r="AN484" s="52">
        <f>MAX(Tabela3[[#This Row],[Cotação 1]:[Cotação 5]])</f>
        <v>22.69</v>
      </c>
      <c r="AO484" s="53">
        <f>[Cotação]/[VPA]</f>
        <v>4.3312954337187977</v>
      </c>
      <c r="AP484" s="37">
        <f>IF(Tabela3[[#This Row],[Lucro/Ação]]&gt;0,Tabela3[[#This Row],[Cotação]]/(Tabela3[[#This Row],[Lucro/Ação]]/[Ref]*4),0)</f>
        <v>0</v>
      </c>
      <c r="AQ484" s="85">
        <f>[Lucro Distribuir]/[Total Ações]</f>
        <v>0</v>
      </c>
      <c r="AR484" s="85">
        <f>IF([Unit ON]&gt;0,SUMPRODUCT(N([Nome]=Tabela3[[#This Row],[Nome]]),N(RIGHT([PAPEL],1)="3"),[Div Base])*[Unit ON]+SUMPRODUCT(N([Nome]=Tabela3[[#This Row],[Nome]]),N(RIGHT([PAPEL],1)="4"),[Div Base])*[Unit PN],[Div Base])</f>
        <v>0</v>
      </c>
      <c r="AS484" s="10" t="str">
        <f>IF(AND([% A.A.]&gt;=6%,SUMPRODUCT(N([Nome]=Tabela3[[#This Row],[Nome]]),[PL])&gt;0,[Rentabilidade s/ PL]&gt;=[Rentabilidade s/ PL Média]),"Sim","Não")</f>
        <v>Não</v>
      </c>
      <c r="AT484" s="22">
        <f>IF([Cotação]&gt;0,Tabela3[[#This Row],[Lucro]]/Tabela3[[#This Row],[Cotação]],0)</f>
        <v>0</v>
      </c>
      <c r="AU484" s="22">
        <f>((1+Tabela3[[#This Row],[% Yield]])^(1/(3*Tabela3[[#This Row],[Ref]])))^(12)-1</f>
        <v>0</v>
      </c>
      <c r="AV484" s="10">
        <f>IF([Cotação]&gt;0,($BH$1/Tabela3[[#This Row],[Cotação]]-MOD($BH$1/Tabela3[[#This Row],[Cotação]],100)),)</f>
        <v>0</v>
      </c>
      <c r="AW484" s="7">
        <f>Tabela3[[#This Row],[Ativos]]*[Lucro]</f>
        <v>0</v>
      </c>
      <c r="AX484" s="7">
        <f>SUMPRODUCT(N(Tabela1[Código]=Tabela3[[#This Row],[PAPEL]]),Tabela1[Fechamento])</f>
        <v>0</v>
      </c>
      <c r="AY484" s="7">
        <f>SUMPRODUCT(N(Tabela17[Código]=Tabela3[[#This Row],[PAPEL]]),Tabela17[Fechamento])</f>
        <v>0</v>
      </c>
      <c r="AZ484" s="7">
        <f>SUMPRODUCT(N(Tabela176[Código]=Tabela3[[#This Row],[PAPEL]]),Tabela176[Fechamento])</f>
        <v>22.69</v>
      </c>
      <c r="BA484" s="7">
        <f>SUMPRODUCT(N(Tabela1768[Código]=Tabela3[[#This Row],[PAPEL]]),Tabela1768[Fechamento])</f>
        <v>0</v>
      </c>
      <c r="BB484" s="7">
        <f>SUMPRODUCT(N(Tabela17683[Código]=Tabela3[[#This Row],[PAPEL]]),Tabela17683[Fechamento])</f>
        <v>0</v>
      </c>
    </row>
    <row r="485" spans="1:54" hidden="1">
      <c r="A485" s="3" t="s">
        <v>1196</v>
      </c>
      <c r="B485" s="57" t="s">
        <v>1232</v>
      </c>
      <c r="C485" s="16" t="str">
        <f>LEFT([PAPEL],LEN([PAPEL])-(LEN([PAPEL])-4))</f>
        <v>VIVR</v>
      </c>
      <c r="D485" s="16">
        <v>3</v>
      </c>
      <c r="E485" s="5">
        <v>1295915254.25</v>
      </c>
      <c r="F485" s="56">
        <v>335309452</v>
      </c>
      <c r="G485" s="81">
        <v>0.25</v>
      </c>
      <c r="H485" s="87"/>
      <c r="J485" s="18"/>
      <c r="K485" s="16"/>
      <c r="L485" s="87"/>
      <c r="M485" s="54"/>
      <c r="N485" s="54"/>
      <c r="O485" s="54"/>
      <c r="P485" s="91">
        <v>430386000</v>
      </c>
      <c r="Q485" s="73">
        <v>-158978000</v>
      </c>
      <c r="R485" s="73">
        <f>IF(Tabela3[[#This Row],[Ativo || Passivo]]&gt;0,Tabela3[[#This Row],[Ativo || Passivo]]-Tabela3[[#This Row],[Patrimônio Líquido]],0)</f>
        <v>0</v>
      </c>
      <c r="S485" s="73">
        <f>Tabela3[[#This Row],[Cotação]]*Tabela3[[#This Row],[Total Ações]]</f>
        <v>57002606.840000004</v>
      </c>
      <c r="T485" s="37">
        <f>IF(Tabela3[[#This Row],[Passivo Circulante]]&gt;0,Tabela3[[#This Row],[Ativo Circulante]]/Tabela3[[#This Row],[Passivo Circulante]],0)</f>
        <v>0</v>
      </c>
      <c r="U485" s="37">
        <f>SUMPRODUCT(N([Liquidez Corrente]&gt;0),N(RIGHT([PAPEL],LEN([PAPEL])-(LEN([PAPEL])-1))="3"),[Liquidez Corrente])/SUMPRODUCT(N([Liquidez Corrente]&gt;0),N(RIGHT([PAPEL],LEN([PAPEL])-(LEN([PAPEL])-1))="3"))</f>
        <v>2.331224473064915</v>
      </c>
      <c r="V485" s="18">
        <f>IF(Tabela3[[#This Row],[Lucro Líquido]]&gt;0,Tabela3[[#This Row],[Lucro Líquido]]/Tabela3[[#This Row],[Patrimônio Líquido]],0)</f>
        <v>0</v>
      </c>
      <c r="W485" s="18">
        <f>SUMPRODUCT(N([Rentabilidade s/ PL]&gt;0),N(RIGHT([PAPEL],LEN([PAPEL])-(LEN([PAPEL])-1))="3"),[Rentabilidade s/ PL])/SUMPRODUCT(N([Rentabilidade s/ PL]&gt;0),N(RIGHT([PAPEL],LEN([PAPEL])-(LEN([PAPEL])-1))="3"))</f>
        <v>0.1261051308670782</v>
      </c>
      <c r="X485" s="18">
        <f>IF(Tabela3[[#This Row],[Dívida]]&gt;0,Tabela3[[#This Row],[Dívida]]/Tabela3[[#This Row],[Patrimônio Líquido]],0)</f>
        <v>0</v>
      </c>
      <c r="Y485" s="18">
        <f>SUMPRODUCT(N([Dívida / PL]&gt;0),N(RIGHT([PAPEL],LEN([PAPEL])-(LEN([PAPEL])-1))="3"),[Dívida / PL])/SUMPRODUCT(N([Dívida / PL]&gt;0),N(RIGHT([PAPEL],LEN([PAPEL])-(LEN([PAPEL])-1))="3"))</f>
        <v>2.1510410379481146</v>
      </c>
      <c r="Z485" s="7">
        <f>Tabela3[[#This Row],[Capital Social]]*20%</f>
        <v>259183050.85000002</v>
      </c>
      <c r="AA485" s="47">
        <f>IF(([Lucro Líquido]*5%)&gt;[Teto R. Legal],[Teto R. Legal],[Lucro Líquido]*5%)</f>
        <v>-7948900</v>
      </c>
      <c r="AB485" s="47">
        <f>IF([Lucro Líquido]&lt;0,0,[Lucro Líquido]-[Reserva Legal])</f>
        <v>0</v>
      </c>
      <c r="AC485" s="47">
        <f>Tabela3[[#This Row],[Lucro Distribuir]]*[%Div]</f>
        <v>0</v>
      </c>
      <c r="AD485" s="56">
        <f>SUMPRODUCT(N([Nome]=Tabela3[[#This Row],[Nome]]),[Ações])</f>
        <v>335309452</v>
      </c>
      <c r="AE485" s="85">
        <f>[Capital Social]/[Total Ações]</f>
        <v>3.8648336529743874</v>
      </c>
      <c r="AF485" s="85">
        <f>Tabela3[[#This Row],[Lucro Líquido]]/Tabela3[[#This Row],[Total Ações]]</f>
        <v>-0.47412322871232393</v>
      </c>
      <c r="AG485" s="85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</v>
      </c>
      <c r="AH485" s="85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485" s="77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485" s="85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</v>
      </c>
      <c r="AK485" s="7">
        <f>[Div Base]*[Ações]</f>
        <v>0</v>
      </c>
      <c r="AL485" s="120">
        <f>SUMPRODUCT(N([Nome]=Tabela3[[#This Row],[Nome]]),[Div Base]*[Ações])</f>
        <v>0</v>
      </c>
      <c r="AM485" s="5">
        <f>[Patrimônio Líquido]/[Total Ações]</f>
        <v>1.2835486665612994</v>
      </c>
      <c r="AN485" s="52">
        <f>MAX(Tabela3[[#This Row],[Cotação 1]:[Cotação 5]])</f>
        <v>0.17</v>
      </c>
      <c r="AO485" s="53">
        <f>[Cotação]/[VPA]</f>
        <v>0.1324453091875665</v>
      </c>
      <c r="AP485" s="37">
        <f>IF(Tabela3[[#This Row],[Lucro/Ação]]&gt;0,Tabela3[[#This Row],[Cotação]]/(Tabela3[[#This Row],[Lucro/Ação]]/[Ref]*4),0)</f>
        <v>0</v>
      </c>
      <c r="AQ485" s="85">
        <f>[Lucro Distribuir]/[Total Ações]</f>
        <v>0</v>
      </c>
      <c r="AR485" s="85">
        <f>IF([Unit ON]&gt;0,SUMPRODUCT(N([Nome]=Tabela3[[#This Row],[Nome]]),N(RIGHT([PAPEL],1)="3"),[Div Base])*[Unit ON]+SUMPRODUCT(N([Nome]=Tabela3[[#This Row],[Nome]]),N(RIGHT([PAPEL],1)="4"),[Div Base])*[Unit PN],[Div Base])</f>
        <v>0</v>
      </c>
      <c r="AS485" s="10" t="str">
        <f>IF(AND([% A.A.]&gt;=6%,SUMPRODUCT(N([Nome]=Tabela3[[#This Row],[Nome]]),[PL])&gt;0,[Rentabilidade s/ PL]&gt;=[Rentabilidade s/ PL Média]),"Sim","Não")</f>
        <v>Não</v>
      </c>
      <c r="AT485" s="22">
        <f>IF([Cotação]&gt;0,Tabela3[[#This Row],[Lucro]]/Tabela3[[#This Row],[Cotação]],0)</f>
        <v>0</v>
      </c>
      <c r="AU485" s="22">
        <f>((1+Tabela3[[#This Row],[% Yield]])^(1/(3*Tabela3[[#This Row],[Ref]])))^(12)-1</f>
        <v>0</v>
      </c>
      <c r="AV485" s="10">
        <f>IF([Cotação]&gt;0,($BH$1/Tabela3[[#This Row],[Cotação]]-MOD($BH$1/Tabela3[[#This Row],[Cotação]],100)),)</f>
        <v>2900</v>
      </c>
      <c r="AW485" s="7">
        <f>Tabela3[[#This Row],[Ativos]]*[Lucro]</f>
        <v>0</v>
      </c>
      <c r="AX485" s="7">
        <f>SUMPRODUCT(N(Tabela1[Código]=Tabela3[[#This Row],[PAPEL]]),Tabela1[Fechamento])</f>
        <v>0</v>
      </c>
      <c r="AY485" s="7">
        <f>SUMPRODUCT(N(Tabela17[Código]=Tabela3[[#This Row],[PAPEL]]),Tabela17[Fechamento])</f>
        <v>0</v>
      </c>
      <c r="AZ485" s="7">
        <f>SUMPRODUCT(N(Tabela176[Código]=Tabela3[[#This Row],[PAPEL]]),Tabela176[Fechamento])</f>
        <v>0</v>
      </c>
      <c r="BA485" s="7">
        <f>SUMPRODUCT(N(Tabela1768[Código]=Tabela3[[#This Row],[PAPEL]]),Tabela1768[Fechamento])</f>
        <v>0.17</v>
      </c>
      <c r="BB485" s="7">
        <f>SUMPRODUCT(N(Tabela17683[Código]=Tabela3[[#This Row],[PAPEL]]),Tabela17683[Fechamento])</f>
        <v>0</v>
      </c>
    </row>
    <row r="486" spans="1:54" hidden="1">
      <c r="A486" s="4" t="s">
        <v>19</v>
      </c>
      <c r="B486" s="57" t="s">
        <v>694</v>
      </c>
      <c r="C486" s="82" t="str">
        <f>LEFT([PAPEL],LEN([PAPEL])-(LEN([PAPEL])-4))</f>
        <v>SUZB</v>
      </c>
      <c r="D486" s="15">
        <v>3</v>
      </c>
      <c r="E486" s="6">
        <v>6241753032.1599998</v>
      </c>
      <c r="F486" s="8">
        <v>371148532</v>
      </c>
      <c r="G486" s="81">
        <v>0.25</v>
      </c>
      <c r="H486" s="15"/>
      <c r="I486" s="19"/>
      <c r="J486" s="19"/>
      <c r="K486" s="88"/>
      <c r="L486" s="88"/>
      <c r="M486" s="55"/>
      <c r="N486" s="55"/>
      <c r="O486" s="55"/>
      <c r="P486" s="6">
        <v>10702169000</v>
      </c>
      <c r="Q486" s="6">
        <v>-162427000</v>
      </c>
      <c r="R486" s="6">
        <f>IF(Tabela3[[#This Row],[Ativo || Passivo]]&gt;0,Tabela3[[#This Row],[Ativo || Passivo]]-Tabela3[[#This Row],[Patrimônio Líquido]],0)</f>
        <v>0</v>
      </c>
      <c r="S486" s="6">
        <f>Tabela3[[#This Row],[Cotação]]*Tabela3[[#This Row],[Total Ações]]</f>
        <v>4430954708</v>
      </c>
      <c r="T486" s="132">
        <f>IF(Tabela3[[#This Row],[Passivo Circulante]]&gt;0,Tabela3[[#This Row],[Ativo Circulante]]/Tabela3[[#This Row],[Passivo Circulante]],0)</f>
        <v>0</v>
      </c>
      <c r="U486" s="132">
        <f>SUMPRODUCT(N([Liquidez Corrente]&gt;0),N(RIGHT([PAPEL],LEN([PAPEL])-(LEN([PAPEL])-1))="3"),[Liquidez Corrente])/SUMPRODUCT(N([Liquidez Corrente]&gt;0),N(RIGHT([PAPEL],LEN([PAPEL])-(LEN([PAPEL])-1))="3"))</f>
        <v>2.331224473064915</v>
      </c>
      <c r="V486" s="19">
        <f>IF(Tabela3[[#This Row],[Lucro Líquido]]&gt;0,Tabela3[[#This Row],[Lucro Líquido]]/Tabela3[[#This Row],[Patrimônio Líquido]],0)</f>
        <v>0</v>
      </c>
      <c r="W486" s="19">
        <f>SUMPRODUCT(N([Rentabilidade s/ PL]&gt;0),N(RIGHT([PAPEL],LEN([PAPEL])-(LEN([PAPEL])-1))="3"),[Rentabilidade s/ PL])/SUMPRODUCT(N([Rentabilidade s/ PL]&gt;0),N(RIGHT([PAPEL],LEN([PAPEL])-(LEN([PAPEL])-1))="3"))</f>
        <v>0.1261051308670782</v>
      </c>
      <c r="X486" s="19">
        <f>IF(Tabela3[[#This Row],[Dívida]]&gt;0,Tabela3[[#This Row],[Dívida]]/Tabela3[[#This Row],[Patrimônio Líquido]],0)</f>
        <v>0</v>
      </c>
      <c r="Y486" s="19">
        <f>SUMPRODUCT(N([Dívida / PL]&gt;0),N(RIGHT([PAPEL],LEN([PAPEL])-(LEN([PAPEL])-1))="3"),[Dívida / PL])/SUMPRODUCT(N([Dívida / PL]&gt;0),N(RIGHT([PAPEL],LEN([PAPEL])-(LEN([PAPEL])-1))="3"))</f>
        <v>2.1510410379481146</v>
      </c>
      <c r="Z486" s="6">
        <f>Tabela3[[#This Row],[Capital Social]]*20%</f>
        <v>1248350606.4319999</v>
      </c>
      <c r="AA486" s="6">
        <f>IF(([Lucro Líquido]*5%)&gt;[Teto R. Legal],[Teto R. Legal],[Lucro Líquido]*5%)</f>
        <v>-8121350</v>
      </c>
      <c r="AB486" s="6">
        <f>IF([Lucro Líquido]&lt;0,0,[Lucro Líquido]-[Reserva Legal])</f>
        <v>0</v>
      </c>
      <c r="AC486" s="6">
        <f>Tabela3[[#This Row],[Lucro Distribuir]]*[%Div]</f>
        <v>0</v>
      </c>
      <c r="AD486" s="56">
        <f>SUMPRODUCT(N([Nome]=Tabela3[[#This Row],[Nome]]),[Ações])</f>
        <v>1107738677</v>
      </c>
      <c r="AE486" s="6">
        <f>[Capital Social]/[Total Ações]</f>
        <v>5.6346800574518534</v>
      </c>
      <c r="AF486" s="78">
        <f>Tabela3[[#This Row],[Lucro Líquido]]/Tabela3[[#This Row],[Total Ações]]</f>
        <v>-0.14662934803349834</v>
      </c>
      <c r="AG486" s="78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</v>
      </c>
      <c r="AH486" s="78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486" s="78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486" s="78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</v>
      </c>
      <c r="AK486" s="6">
        <f>[Div Base]*[Ações]</f>
        <v>0</v>
      </c>
      <c r="AL486" s="6">
        <f>SUMPRODUCT(N([Nome]=Tabela3[[#This Row],[Nome]]),[Div Base]*[Ações])</f>
        <v>0</v>
      </c>
      <c r="AM486" s="6">
        <f>[Patrimônio Líquido]/[Total Ações]</f>
        <v>9.6612759148067546</v>
      </c>
      <c r="AN486" s="48">
        <f>MAX(Tabela3[[#This Row],[Cotação 1]:[Cotação 5]])</f>
        <v>4</v>
      </c>
      <c r="AO486" s="44">
        <f>[Cotação]/[VPA]</f>
        <v>0.41402398971647714</v>
      </c>
      <c r="AP486" s="40">
        <f>IF(Tabela3[[#This Row],[Lucro/Ação]]&gt;0,Tabela3[[#This Row],[Cotação]]/(Tabela3[[#This Row],[Lucro/Ação]]/[Ref]*4),0)</f>
        <v>0</v>
      </c>
      <c r="AQ486" s="78">
        <f>[Lucro Distribuir]/[Total Ações]</f>
        <v>0</v>
      </c>
      <c r="AR486" s="78">
        <f>IF([Unit ON]&gt;0,SUMPRODUCT(N([Nome]=Tabela3[[#This Row],[Nome]]),N(RIGHT([PAPEL],1)="3"),[Div Base])*[Unit ON]+SUMPRODUCT(N([Nome]=Tabela3[[#This Row],[Nome]]),N(RIGHT([PAPEL],1)="4"),[Div Base])*[Unit PN],[Div Base])</f>
        <v>0</v>
      </c>
      <c r="AS486" s="15" t="str">
        <f>IF(AND([% A.A.]&gt;=6%,SUMPRODUCT(N([Nome]=Tabela3[[#This Row],[Nome]]),[PL])&gt;0,[Rentabilidade s/ PL]&gt;=[Rentabilidade s/ PL Média]),"Sim","Não")</f>
        <v>Não</v>
      </c>
      <c r="AT486" s="42">
        <f>IF([Cotação]&gt;0,Tabela3[[#This Row],[Lucro]]/Tabela3[[#This Row],[Cotação]],0)</f>
        <v>0</v>
      </c>
      <c r="AU486" s="19">
        <f>((1+Tabela3[[#This Row],[% Yield]])^(1/(3*Tabela3[[#This Row],[Ref]])))^(12)-1</f>
        <v>0</v>
      </c>
      <c r="AV486" s="14">
        <f>IF([Cotação]&gt;0,($BH$1/Tabela3[[#This Row],[Cotação]]-MOD($BH$1/Tabela3[[#This Row],[Cotação]],100)),)</f>
        <v>100</v>
      </c>
      <c r="AW486" s="17">
        <f>Tabela3[[#This Row],[Ativos]]*[Lucro]</f>
        <v>0</v>
      </c>
      <c r="AX486" s="13">
        <f>SUMPRODUCT(N(Tabela1[Código]=Tabela3[[#This Row],[PAPEL]]),Tabela1[Fechamento])</f>
        <v>0</v>
      </c>
      <c r="AY486" s="13">
        <f>SUMPRODUCT(N(Tabela17[Código]=Tabela3[[#This Row],[PAPEL]]),Tabela17[Fechamento])</f>
        <v>0</v>
      </c>
      <c r="AZ486" s="7">
        <f>SUMPRODUCT(N(Tabela176[Código]=Tabela3[[#This Row],[PAPEL]]),Tabela176[Fechamento])</f>
        <v>4</v>
      </c>
      <c r="BA486" s="7">
        <f>SUMPRODUCT(N(Tabela1768[Código]=Tabela3[[#This Row],[PAPEL]]),Tabela1768[Fechamento])</f>
        <v>0</v>
      </c>
      <c r="BB486" s="7">
        <f>SUMPRODUCT(N(Tabela17683[Código]=Tabela3[[#This Row],[PAPEL]]),Tabela17683[Fechamento])</f>
        <v>0</v>
      </c>
    </row>
    <row r="487" spans="1:54" hidden="1">
      <c r="A487" s="4" t="s">
        <v>19</v>
      </c>
      <c r="B487" s="57" t="s">
        <v>18</v>
      </c>
      <c r="C487" s="14" t="str">
        <f>LEFT([PAPEL],LEN([PAPEL])-(LEN([PAPEL])-4))</f>
        <v>SUZB</v>
      </c>
      <c r="D487" s="15">
        <v>3</v>
      </c>
      <c r="E487" s="6">
        <v>6241753032.1599998</v>
      </c>
      <c r="F487" s="8">
        <v>734649326</v>
      </c>
      <c r="G487" s="81">
        <v>0.25</v>
      </c>
      <c r="H487" s="15"/>
      <c r="I487" s="19"/>
      <c r="J487" s="19"/>
      <c r="K487" s="88"/>
      <c r="L487" s="88"/>
      <c r="M487" s="55"/>
      <c r="N487" s="55"/>
      <c r="O487" s="55"/>
      <c r="P487" s="6">
        <v>10702169000</v>
      </c>
      <c r="Q487" s="6">
        <v>-162427000</v>
      </c>
      <c r="R487" s="6">
        <f>IF(Tabela3[[#This Row],[Ativo || Passivo]]&gt;0,Tabela3[[#This Row],[Ativo || Passivo]]-Tabela3[[#This Row],[Patrimônio Líquido]],0)</f>
        <v>0</v>
      </c>
      <c r="S487" s="6">
        <f>Tabela3[[#This Row],[Cotação]]*Tabela3[[#This Row],[Total Ações]]</f>
        <v>10013957640.08</v>
      </c>
      <c r="T487" s="132">
        <f>IF(Tabela3[[#This Row],[Passivo Circulante]]&gt;0,Tabela3[[#This Row],[Ativo Circulante]]/Tabela3[[#This Row],[Passivo Circulante]],0)</f>
        <v>0</v>
      </c>
      <c r="U487" s="132">
        <f>SUMPRODUCT(N([Liquidez Corrente]&gt;0),N(RIGHT([PAPEL],LEN([PAPEL])-(LEN([PAPEL])-1))="3"),[Liquidez Corrente])/SUMPRODUCT(N([Liquidez Corrente]&gt;0),N(RIGHT([PAPEL],LEN([PAPEL])-(LEN([PAPEL])-1))="3"))</f>
        <v>2.331224473064915</v>
      </c>
      <c r="V487" s="19">
        <f>IF(Tabela3[[#This Row],[Lucro Líquido]]&gt;0,Tabela3[[#This Row],[Lucro Líquido]]/Tabela3[[#This Row],[Patrimônio Líquido]],0)</f>
        <v>0</v>
      </c>
      <c r="W487" s="19">
        <f>SUMPRODUCT(N([Rentabilidade s/ PL]&gt;0),N(RIGHT([PAPEL],LEN([PAPEL])-(LEN([PAPEL])-1))="3"),[Rentabilidade s/ PL])/SUMPRODUCT(N([Rentabilidade s/ PL]&gt;0),N(RIGHT([PAPEL],LEN([PAPEL])-(LEN([PAPEL])-1))="3"))</f>
        <v>0.1261051308670782</v>
      </c>
      <c r="X487" s="19">
        <f>IF(Tabela3[[#This Row],[Dívida]]&gt;0,Tabela3[[#This Row],[Dívida]]/Tabela3[[#This Row],[Patrimônio Líquido]],0)</f>
        <v>0</v>
      </c>
      <c r="Y487" s="19">
        <f>SUMPRODUCT(N([Dívida / PL]&gt;0),N(RIGHT([PAPEL],LEN([PAPEL])-(LEN([PAPEL])-1))="3"),[Dívida / PL])/SUMPRODUCT(N([Dívida / PL]&gt;0),N(RIGHT([PAPEL],LEN([PAPEL])-(LEN([PAPEL])-1))="3"))</f>
        <v>2.1510410379481146</v>
      </c>
      <c r="Z487" s="6">
        <f>Tabela3[[#This Row],[Capital Social]]*20%</f>
        <v>1248350606.4319999</v>
      </c>
      <c r="AA487" s="6">
        <f>IF(([Lucro Líquido]*5%)&gt;[Teto R. Legal],[Teto R. Legal],[Lucro Líquido]*5%)</f>
        <v>-8121350</v>
      </c>
      <c r="AB487" s="6">
        <f>IF([Lucro Líquido]&lt;0,0,[Lucro Líquido]-[Reserva Legal])</f>
        <v>0</v>
      </c>
      <c r="AC487" s="6">
        <f>Tabela3[[#This Row],[Lucro Distribuir]]*[%Div]</f>
        <v>0</v>
      </c>
      <c r="AD487" s="56">
        <f>SUMPRODUCT(N([Nome]=Tabela3[[#This Row],[Nome]]),[Ações])</f>
        <v>1107738677</v>
      </c>
      <c r="AE487" s="6">
        <f>[Capital Social]/[Total Ações]</f>
        <v>5.6346800574518534</v>
      </c>
      <c r="AF487" s="78">
        <f>Tabela3[[#This Row],[Lucro Líquido]]/Tabela3[[#This Row],[Total Ações]]</f>
        <v>-0.14662934803349834</v>
      </c>
      <c r="AG487" s="78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</v>
      </c>
      <c r="AH487" s="78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487" s="78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487" s="78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</v>
      </c>
      <c r="AK487" s="6">
        <f>[Div Base]*[Ações]</f>
        <v>0</v>
      </c>
      <c r="AL487" s="6">
        <f>SUMPRODUCT(N([Nome]=Tabela3[[#This Row],[Nome]]),[Div Base]*[Ações])</f>
        <v>0</v>
      </c>
      <c r="AM487" s="6">
        <f>[Patrimônio Líquido]/[Total Ações]</f>
        <v>9.6612759148067546</v>
      </c>
      <c r="AN487" s="48">
        <f>MAX(Tabela3[[#This Row],[Cotação 1]:[Cotação 5]])</f>
        <v>9.0399999999999991</v>
      </c>
      <c r="AO487" s="44">
        <f>[Cotação]/[VPA]</f>
        <v>0.93569421675923825</v>
      </c>
      <c r="AP487" s="40">
        <f>IF(Tabela3[[#This Row],[Lucro/Ação]]&gt;0,Tabela3[[#This Row],[Cotação]]/(Tabela3[[#This Row],[Lucro/Ação]]/[Ref]*4),0)</f>
        <v>0</v>
      </c>
      <c r="AQ487" s="78">
        <f>[Lucro Distribuir]/[Total Ações]</f>
        <v>0</v>
      </c>
      <c r="AR487" s="78">
        <f>IF([Unit ON]&gt;0,SUMPRODUCT(N([Nome]=Tabela3[[#This Row],[Nome]]),N(RIGHT([PAPEL],1)="3"),[Div Base])*[Unit ON]+SUMPRODUCT(N([Nome]=Tabela3[[#This Row],[Nome]]),N(RIGHT([PAPEL],1)="4"),[Div Base])*[Unit PN],[Div Base])</f>
        <v>0</v>
      </c>
      <c r="AS487" s="15" t="str">
        <f>IF(AND([% A.A.]&gt;=6%,SUMPRODUCT(N([Nome]=Tabela3[[#This Row],[Nome]]),[PL])&gt;0,[Rentabilidade s/ PL]&gt;=[Rentabilidade s/ PL Média]),"Sim","Não")</f>
        <v>Não</v>
      </c>
      <c r="AT487" s="42">
        <f>IF([Cotação]&gt;0,Tabela3[[#This Row],[Lucro]]/Tabela3[[#This Row],[Cotação]],0)</f>
        <v>0</v>
      </c>
      <c r="AU487" s="19">
        <f>((1+Tabela3[[#This Row],[% Yield]])^(1/(3*Tabela3[[#This Row],[Ref]])))^(12)-1</f>
        <v>0</v>
      </c>
      <c r="AV487" s="14">
        <f>IF([Cotação]&gt;0,($BH$1/Tabela3[[#This Row],[Cotação]]-MOD($BH$1/Tabela3[[#This Row],[Cotação]],100)),)</f>
        <v>0</v>
      </c>
      <c r="AW487" s="17">
        <f>Tabela3[[#This Row],[Ativos]]*[Lucro]</f>
        <v>0</v>
      </c>
      <c r="AX487" s="5">
        <f>SUMPRODUCT(N(Tabela1[Código]=Tabela3[[#This Row],[PAPEL]]),Tabela1[Fechamento])</f>
        <v>9.0399999999999991</v>
      </c>
      <c r="AY487" s="5">
        <f>SUMPRODUCT(N(Tabela17[Código]=Tabela3[[#This Row],[PAPEL]]),Tabela17[Fechamento])</f>
        <v>0</v>
      </c>
      <c r="AZ487" s="7">
        <f>SUMPRODUCT(N(Tabela176[Código]=Tabela3[[#This Row],[PAPEL]]),Tabela176[Fechamento])</f>
        <v>0</v>
      </c>
      <c r="BA487" s="7">
        <f>SUMPRODUCT(N(Tabela1768[Código]=Tabela3[[#This Row],[PAPEL]]),Tabela1768[Fechamento])</f>
        <v>0</v>
      </c>
      <c r="BB487" s="7">
        <f>SUMPRODUCT(N(Tabela17683[Código]=Tabela3[[#This Row],[PAPEL]]),Tabela17683[Fechamento])</f>
        <v>0</v>
      </c>
    </row>
    <row r="488" spans="1:54" hidden="1">
      <c r="A488" s="4" t="s">
        <v>19</v>
      </c>
      <c r="B488" s="57" t="s">
        <v>188</v>
      </c>
      <c r="C488" s="14" t="str">
        <f>LEFT([PAPEL],LEN([PAPEL])-(LEN([PAPEL])-4))</f>
        <v>SUZB</v>
      </c>
      <c r="D488" s="15">
        <v>3</v>
      </c>
      <c r="E488" s="6">
        <v>6241753032.1599998</v>
      </c>
      <c r="F488" s="8">
        <v>1940819</v>
      </c>
      <c r="G488" s="86">
        <v>0.25</v>
      </c>
      <c r="H488" s="15"/>
      <c r="I488" s="19"/>
      <c r="J488" s="19"/>
      <c r="K488" s="88"/>
      <c r="L488" s="88"/>
      <c r="M488" s="55"/>
      <c r="N488" s="55"/>
      <c r="O488" s="55"/>
      <c r="P488" s="6">
        <v>10702169000</v>
      </c>
      <c r="Q488" s="6">
        <v>-162427000</v>
      </c>
      <c r="R488" s="6">
        <f>IF(Tabela3[[#This Row],[Ativo || Passivo]]&gt;0,Tabela3[[#This Row],[Ativo || Passivo]]-Tabela3[[#This Row],[Patrimônio Líquido]],0)</f>
        <v>0</v>
      </c>
      <c r="S488" s="6">
        <f>Tabela3[[#This Row],[Cotação]]*Tabela3[[#This Row],[Total Ações]]</f>
        <v>8640361680.6000004</v>
      </c>
      <c r="T488" s="132">
        <f>IF(Tabela3[[#This Row],[Passivo Circulante]]&gt;0,Tabela3[[#This Row],[Ativo Circulante]]/Tabela3[[#This Row],[Passivo Circulante]],0)</f>
        <v>0</v>
      </c>
      <c r="U488" s="132">
        <f>SUMPRODUCT(N([Liquidez Corrente]&gt;0),N(RIGHT([PAPEL],LEN([PAPEL])-(LEN([PAPEL])-1))="3"),[Liquidez Corrente])/SUMPRODUCT(N([Liquidez Corrente]&gt;0),N(RIGHT([PAPEL],LEN([PAPEL])-(LEN([PAPEL])-1))="3"))</f>
        <v>2.331224473064915</v>
      </c>
      <c r="V488" s="19">
        <f>IF(Tabela3[[#This Row],[Lucro Líquido]]&gt;0,Tabela3[[#This Row],[Lucro Líquido]]/Tabela3[[#This Row],[Patrimônio Líquido]],0)</f>
        <v>0</v>
      </c>
      <c r="W488" s="19">
        <f>SUMPRODUCT(N([Rentabilidade s/ PL]&gt;0),N(RIGHT([PAPEL],LEN([PAPEL])-(LEN([PAPEL])-1))="3"),[Rentabilidade s/ PL])/SUMPRODUCT(N([Rentabilidade s/ PL]&gt;0),N(RIGHT([PAPEL],LEN([PAPEL])-(LEN([PAPEL])-1))="3"))</f>
        <v>0.1261051308670782</v>
      </c>
      <c r="X488" s="19">
        <f>IF(Tabela3[[#This Row],[Dívida]]&gt;0,Tabela3[[#This Row],[Dívida]]/Tabela3[[#This Row],[Patrimônio Líquido]],0)</f>
        <v>0</v>
      </c>
      <c r="Y488" s="19">
        <f>SUMPRODUCT(N([Dívida / PL]&gt;0),N(RIGHT([PAPEL],LEN([PAPEL])-(LEN([PAPEL])-1))="3"),[Dívida / PL])/SUMPRODUCT(N([Dívida / PL]&gt;0),N(RIGHT([PAPEL],LEN([PAPEL])-(LEN([PAPEL])-1))="3"))</f>
        <v>2.1510410379481146</v>
      </c>
      <c r="Z488" s="6">
        <f>Tabela3[[#This Row],[Capital Social]]*20%</f>
        <v>1248350606.4319999</v>
      </c>
      <c r="AA488" s="6">
        <f>IF(([Lucro Líquido]*5%)&gt;[Teto R. Legal],[Teto R. Legal],[Lucro Líquido]*5%)</f>
        <v>-8121350</v>
      </c>
      <c r="AB488" s="6">
        <f>IF([Lucro Líquido]&lt;0,0,[Lucro Líquido]-[Reserva Legal])</f>
        <v>0</v>
      </c>
      <c r="AC488" s="6">
        <f>Tabela3[[#This Row],[Lucro Distribuir]]*[%Div]</f>
        <v>0</v>
      </c>
      <c r="AD488" s="56">
        <f>SUMPRODUCT(N([Nome]=Tabela3[[#This Row],[Nome]]),[Ações])</f>
        <v>1107738677</v>
      </c>
      <c r="AE488" s="6">
        <f>[Capital Social]/[Total Ações]</f>
        <v>5.6346800574518534</v>
      </c>
      <c r="AF488" s="78">
        <f>Tabela3[[#This Row],[Lucro Líquido]]/Tabela3[[#This Row],[Total Ações]]</f>
        <v>-0.14662934803349834</v>
      </c>
      <c r="AG488" s="78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</v>
      </c>
      <c r="AH488" s="78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488" s="78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488" s="78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</v>
      </c>
      <c r="AK488" s="6">
        <f>[Div Base]*[Ações]</f>
        <v>0</v>
      </c>
      <c r="AL488" s="6">
        <f>SUMPRODUCT(N([Nome]=Tabela3[[#This Row],[Nome]]),[Div Base]*[Ações])</f>
        <v>0</v>
      </c>
      <c r="AM488" s="6">
        <f>[Patrimônio Líquido]/[Total Ações]</f>
        <v>9.6612759148067546</v>
      </c>
      <c r="AN488" s="48">
        <f>MAX(Tabela3[[#This Row],[Cotação 1]:[Cotação 5]])</f>
        <v>7.8</v>
      </c>
      <c r="AO488" s="44">
        <f>[Cotação]/[VPA]</f>
        <v>0.80734677994713044</v>
      </c>
      <c r="AP488" s="40">
        <f>IF(Tabela3[[#This Row],[Lucro/Ação]]&gt;0,Tabela3[[#This Row],[Cotação]]/(Tabela3[[#This Row],[Lucro/Ação]]/[Ref]*4),0)</f>
        <v>0</v>
      </c>
      <c r="AQ488" s="78">
        <f>[Lucro Distribuir]/[Total Ações]</f>
        <v>0</v>
      </c>
      <c r="AR488" s="78">
        <f>IF([Unit ON]&gt;0,SUMPRODUCT(N([Nome]=Tabela3[[#This Row],[Nome]]),N(RIGHT([PAPEL],1)="3"),[Div Base])*[Unit ON]+SUMPRODUCT(N([Nome]=Tabela3[[#This Row],[Nome]]),N(RIGHT([PAPEL],1)="4"),[Div Base])*[Unit PN],[Div Base])</f>
        <v>0</v>
      </c>
      <c r="AS488" s="15" t="str">
        <f>IF(AND([% A.A.]&gt;=6%,SUMPRODUCT(N([Nome]=Tabela3[[#This Row],[Nome]]),[PL])&gt;0,[Rentabilidade s/ PL]&gt;=[Rentabilidade s/ PL Média]),"Sim","Não")</f>
        <v>Não</v>
      </c>
      <c r="AT488" s="42">
        <f>IF([Cotação]&gt;0,Tabela3[[#This Row],[Lucro]]/Tabela3[[#This Row],[Cotação]],0)</f>
        <v>0</v>
      </c>
      <c r="AU488" s="19">
        <f>((1+Tabela3[[#This Row],[% Yield]])^(1/(3*Tabela3[[#This Row],[Ref]])))^(12)-1</f>
        <v>0</v>
      </c>
      <c r="AV488" s="14">
        <f>IF([Cotação]&gt;0,($BH$1/Tabela3[[#This Row],[Cotação]]-MOD($BH$1/Tabela3[[#This Row],[Cotação]],100)),)</f>
        <v>0</v>
      </c>
      <c r="AW488" s="17">
        <f>Tabela3[[#This Row],[Ativos]]*[Lucro]</f>
        <v>0</v>
      </c>
      <c r="AX488" s="5">
        <f>SUMPRODUCT(N(Tabela1[Código]=Tabela3[[#This Row],[PAPEL]]),Tabela1[Fechamento])</f>
        <v>7.8</v>
      </c>
      <c r="AY488" s="5">
        <f>SUMPRODUCT(N(Tabela17[Código]=Tabela3[[#This Row],[PAPEL]]),Tabela17[Fechamento])</f>
        <v>0</v>
      </c>
      <c r="AZ488" s="7">
        <f>SUMPRODUCT(N(Tabela176[Código]=Tabela3[[#This Row],[PAPEL]]),Tabela176[Fechamento])</f>
        <v>0</v>
      </c>
      <c r="BA488" s="7">
        <f>SUMPRODUCT(N(Tabela1768[Código]=Tabela3[[#This Row],[PAPEL]]),Tabela1768[Fechamento])</f>
        <v>0</v>
      </c>
      <c r="BB488" s="7">
        <f>SUMPRODUCT(N(Tabela17683[Código]=Tabela3[[#This Row],[PAPEL]]),Tabela17683[Fechamento])</f>
        <v>0</v>
      </c>
    </row>
    <row r="489" spans="1:54" hidden="1">
      <c r="A489" s="3" t="s">
        <v>881</v>
      </c>
      <c r="B489" s="58" t="s">
        <v>880</v>
      </c>
      <c r="C489" s="16" t="str">
        <f>LEFT([PAPEL],LEN([PAPEL])-(LEN([PAPEL])-4))</f>
        <v>VAGR</v>
      </c>
      <c r="D489" s="16">
        <v>3</v>
      </c>
      <c r="E489" s="5">
        <v>2578353582.6799998</v>
      </c>
      <c r="F489" s="56">
        <v>387423556</v>
      </c>
      <c r="G489" s="81">
        <v>0.25</v>
      </c>
      <c r="H489" s="87"/>
      <c r="J489" s="18"/>
      <c r="K489" s="16"/>
      <c r="L489" s="87"/>
      <c r="M489" s="54"/>
      <c r="N489" s="54"/>
      <c r="O489" s="54"/>
      <c r="P489" s="91">
        <v>1338545000</v>
      </c>
      <c r="Q489" s="73">
        <v>-179052000</v>
      </c>
      <c r="R489" s="73">
        <f>IF(Tabela3[[#This Row],[Ativo || Passivo]]&gt;0,Tabela3[[#This Row],[Ativo || Passivo]]-Tabela3[[#This Row],[Patrimônio Líquido]],0)</f>
        <v>0</v>
      </c>
      <c r="S489" s="73">
        <f>Tabela3[[#This Row],[Cotação]]*Tabela3[[#This Row],[Total Ações]]</f>
        <v>1197138788.04</v>
      </c>
      <c r="T489" s="37">
        <f>IF(Tabela3[[#This Row],[Passivo Circulante]]&gt;0,Tabela3[[#This Row],[Ativo Circulante]]/Tabela3[[#This Row],[Passivo Circulante]],0)</f>
        <v>0</v>
      </c>
      <c r="U489" s="37">
        <f>SUMPRODUCT(N([Liquidez Corrente]&gt;0),N(RIGHT([PAPEL],LEN([PAPEL])-(LEN([PAPEL])-1))="3"),[Liquidez Corrente])/SUMPRODUCT(N([Liquidez Corrente]&gt;0),N(RIGHT([PAPEL],LEN([PAPEL])-(LEN([PAPEL])-1))="3"))</f>
        <v>2.331224473064915</v>
      </c>
      <c r="V489" s="18">
        <f>IF(Tabela3[[#This Row],[Lucro Líquido]]&gt;0,Tabela3[[#This Row],[Lucro Líquido]]/Tabela3[[#This Row],[Patrimônio Líquido]],0)</f>
        <v>0</v>
      </c>
      <c r="W489" s="18">
        <f>SUMPRODUCT(N([Rentabilidade s/ PL]&gt;0),N(RIGHT([PAPEL],LEN([PAPEL])-(LEN([PAPEL])-1))="3"),[Rentabilidade s/ PL])/SUMPRODUCT(N([Rentabilidade s/ PL]&gt;0),N(RIGHT([PAPEL],LEN([PAPEL])-(LEN([PAPEL])-1))="3"))</f>
        <v>0.1261051308670782</v>
      </c>
      <c r="X489" s="18">
        <f>IF(Tabela3[[#This Row],[Dívida]]&gt;0,Tabela3[[#This Row],[Dívida]]/Tabela3[[#This Row],[Patrimônio Líquido]],0)</f>
        <v>0</v>
      </c>
      <c r="Y489" s="18">
        <f>SUMPRODUCT(N([Dívida / PL]&gt;0),N(RIGHT([PAPEL],LEN([PAPEL])-(LEN([PAPEL])-1))="3"),[Dívida / PL])/SUMPRODUCT(N([Dívida / PL]&gt;0),N(RIGHT([PAPEL],LEN([PAPEL])-(LEN([PAPEL])-1))="3"))</f>
        <v>2.1510410379481146</v>
      </c>
      <c r="Z489" s="7">
        <f>Tabela3[[#This Row],[Capital Social]]*20%</f>
        <v>515670716.53600001</v>
      </c>
      <c r="AA489" s="47">
        <f>IF(([Lucro Líquido]*5%)&gt;[Teto R. Legal],[Teto R. Legal],[Lucro Líquido]*5%)</f>
        <v>-8952600</v>
      </c>
      <c r="AB489" s="47">
        <f>IF([Lucro Líquido]&lt;0,0,[Lucro Líquido]-[Reserva Legal])</f>
        <v>0</v>
      </c>
      <c r="AC489" s="47">
        <f>Tabela3[[#This Row],[Lucro Distribuir]]*[%Div]</f>
        <v>0</v>
      </c>
      <c r="AD489" s="56">
        <f>SUMPRODUCT(N([Nome]=Tabela3[[#This Row],[Nome]]),[Ações])</f>
        <v>387423556</v>
      </c>
      <c r="AE489" s="85">
        <f>[Capital Social]/[Total Ações]</f>
        <v>6.6551285866572343</v>
      </c>
      <c r="AF489" s="85">
        <f>Tabela3[[#This Row],[Lucro Líquido]]/Tabela3[[#This Row],[Total Ações]]</f>
        <v>-0.46216085012652147</v>
      </c>
      <c r="AG489" s="85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</v>
      </c>
      <c r="AH489" s="85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489" s="77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489" s="85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</v>
      </c>
      <c r="AK489" s="7">
        <f>[Div Base]*[Ações]</f>
        <v>0</v>
      </c>
      <c r="AL489" s="7">
        <f>SUMPRODUCT(N([Nome]=Tabela3[[#This Row],[Nome]]),[Div Base]*[Ações])</f>
        <v>0</v>
      </c>
      <c r="AM489" s="5">
        <f>[Patrimônio Líquido]/[Total Ações]</f>
        <v>3.4549912602629664</v>
      </c>
      <c r="AN489" s="52">
        <f>MAX(Tabela3[[#This Row],[Cotação 1]:[Cotação 5]])</f>
        <v>3.09</v>
      </c>
      <c r="AO489" s="53">
        <f>[Cotação]/[VPA]</f>
        <v>0.89435826814937114</v>
      </c>
      <c r="AP489" s="37">
        <f>IF(Tabela3[[#This Row],[Lucro/Ação]]&gt;0,Tabela3[[#This Row],[Cotação]]/(Tabela3[[#This Row],[Lucro/Ação]]/[Ref]*4),0)</f>
        <v>0</v>
      </c>
      <c r="AQ489" s="85">
        <f>[Lucro Distribuir]/[Total Ações]</f>
        <v>0</v>
      </c>
      <c r="AR489" s="85">
        <f>IF([Unit ON]&gt;0,SUMPRODUCT(N([Nome]=Tabela3[[#This Row],[Nome]]),N(RIGHT([PAPEL],1)="3"),[Div Base])*[Unit ON]+SUMPRODUCT(N([Nome]=Tabela3[[#This Row],[Nome]]),N(RIGHT([PAPEL],1)="4"),[Div Base])*[Unit PN],[Div Base])</f>
        <v>0</v>
      </c>
      <c r="AS489" s="10" t="str">
        <f>IF(AND([% A.A.]&gt;=6%,SUMPRODUCT(N([Nome]=Tabela3[[#This Row],[Nome]]),[PL])&gt;0,[Rentabilidade s/ PL]&gt;=[Rentabilidade s/ PL Média]),"Sim","Não")</f>
        <v>Não</v>
      </c>
      <c r="AT489" s="22">
        <f>IF([Cotação]&gt;0,Tabela3[[#This Row],[Lucro]]/Tabela3[[#This Row],[Cotação]],0)</f>
        <v>0</v>
      </c>
      <c r="AU489" s="22">
        <f>((1+Tabela3[[#This Row],[% Yield]])^(1/(3*Tabela3[[#This Row],[Ref]])))^(12)-1</f>
        <v>0</v>
      </c>
      <c r="AV489" s="10">
        <f>IF([Cotação]&gt;0,($BH$1/Tabela3[[#This Row],[Cotação]]-MOD($BH$1/Tabela3[[#This Row],[Cotação]],100)),)</f>
        <v>100</v>
      </c>
      <c r="AW489" s="7">
        <f>Tabela3[[#This Row],[Ativos]]*[Lucro]</f>
        <v>0</v>
      </c>
      <c r="AX489" s="7">
        <f>SUMPRODUCT(N(Tabela1[Código]=Tabela3[[#This Row],[PAPEL]]),Tabela1[Fechamento])</f>
        <v>0</v>
      </c>
      <c r="AY489" s="7">
        <f>SUMPRODUCT(N(Tabela17[Código]=Tabela3[[#This Row],[PAPEL]]),Tabela17[Fechamento])</f>
        <v>0</v>
      </c>
      <c r="AZ489" s="7">
        <f>SUMPRODUCT(N(Tabela176[Código]=Tabela3[[#This Row],[PAPEL]]),Tabela176[Fechamento])</f>
        <v>0</v>
      </c>
      <c r="BA489" s="7">
        <f>SUMPRODUCT(N(Tabela1768[Código]=Tabela3[[#This Row],[PAPEL]]),Tabela1768[Fechamento])</f>
        <v>3.09</v>
      </c>
      <c r="BB489" s="7">
        <f>SUMPRODUCT(N(Tabela17683[Código]=Tabela3[[#This Row],[PAPEL]]),Tabela17683[Fechamento])</f>
        <v>0</v>
      </c>
    </row>
    <row r="490" spans="1:54" hidden="1">
      <c r="A490" s="3" t="s">
        <v>277</v>
      </c>
      <c r="B490" s="58" t="s">
        <v>861</v>
      </c>
      <c r="C490" s="16" t="str">
        <f>LEFT([PAPEL],LEN([PAPEL])-(LEN([PAPEL])-4))</f>
        <v>BEEF</v>
      </c>
      <c r="D490" s="16">
        <v>3</v>
      </c>
      <c r="E490" s="5">
        <v>744141845.75</v>
      </c>
      <c r="F490" s="56">
        <v>145056023</v>
      </c>
      <c r="G490" s="81">
        <v>0.25</v>
      </c>
      <c r="H490" s="87"/>
      <c r="J490" s="18"/>
      <c r="K490" s="16"/>
      <c r="L490" s="87"/>
      <c r="M490" s="54"/>
      <c r="N490" s="54"/>
      <c r="O490" s="54"/>
      <c r="P490" s="91">
        <v>536987000</v>
      </c>
      <c r="Q490" s="73">
        <v>-189214000</v>
      </c>
      <c r="R490" s="73">
        <f>IF(Tabela3[[#This Row],[Ativo || Passivo]]&gt;0,Tabela3[[#This Row],[Ativo || Passivo]]-Tabela3[[#This Row],[Patrimônio Líquido]],0)</f>
        <v>0</v>
      </c>
      <c r="S490" s="73">
        <f>Tabela3[[#This Row],[Cotação]]*Tabela3[[#This Row],[Total Ações]]</f>
        <v>1504230958.51</v>
      </c>
      <c r="T490" s="37">
        <f>IF(Tabela3[[#This Row],[Passivo Circulante]]&gt;0,Tabela3[[#This Row],[Ativo Circulante]]/Tabela3[[#This Row],[Passivo Circulante]],0)</f>
        <v>0</v>
      </c>
      <c r="U490" s="37">
        <f>SUMPRODUCT(N([Liquidez Corrente]&gt;0),N(RIGHT([PAPEL],LEN([PAPEL])-(LEN([PAPEL])-1))="3"),[Liquidez Corrente])/SUMPRODUCT(N([Liquidez Corrente]&gt;0),N(RIGHT([PAPEL],LEN([PAPEL])-(LEN([PAPEL])-1))="3"))</f>
        <v>2.331224473064915</v>
      </c>
      <c r="V490" s="18">
        <f>IF(Tabela3[[#This Row],[Lucro Líquido]]&gt;0,Tabela3[[#This Row],[Lucro Líquido]]/Tabela3[[#This Row],[Patrimônio Líquido]],0)</f>
        <v>0</v>
      </c>
      <c r="W490" s="18">
        <f>SUMPRODUCT(N([Rentabilidade s/ PL]&gt;0),N(RIGHT([PAPEL],LEN([PAPEL])-(LEN([PAPEL])-1))="3"),[Rentabilidade s/ PL])/SUMPRODUCT(N([Rentabilidade s/ PL]&gt;0),N(RIGHT([PAPEL],LEN([PAPEL])-(LEN([PAPEL])-1))="3"))</f>
        <v>0.1261051308670782</v>
      </c>
      <c r="X490" s="18">
        <f>IF(Tabela3[[#This Row],[Dívida]]&gt;0,Tabela3[[#This Row],[Dívida]]/Tabela3[[#This Row],[Patrimônio Líquido]],0)</f>
        <v>0</v>
      </c>
      <c r="Y490" s="18">
        <f>SUMPRODUCT(N([Dívida / PL]&gt;0),N(RIGHT([PAPEL],LEN([PAPEL])-(LEN([PAPEL])-1))="3"),[Dívida / PL])/SUMPRODUCT(N([Dívida / PL]&gt;0),N(RIGHT([PAPEL],LEN([PAPEL])-(LEN([PAPEL])-1))="3"))</f>
        <v>2.1510410379481146</v>
      </c>
      <c r="Z490" s="7">
        <f>Tabela3[[#This Row],[Capital Social]]*20%</f>
        <v>148828369.15000001</v>
      </c>
      <c r="AA490" s="47">
        <f>IF(([Lucro Líquido]*5%)&gt;[Teto R. Legal],[Teto R. Legal],[Lucro Líquido]*5%)</f>
        <v>-9460700</v>
      </c>
      <c r="AB490" s="47">
        <f>IF([Lucro Líquido]&lt;0,0,[Lucro Líquido]-[Reserva Legal])</f>
        <v>0</v>
      </c>
      <c r="AC490" s="47">
        <f>Tabela3[[#This Row],[Lucro Distribuir]]*[%Div]</f>
        <v>0</v>
      </c>
      <c r="AD490" s="56">
        <f>SUMPRODUCT(N([Nome]=Tabela3[[#This Row],[Nome]]),[Ações])</f>
        <v>145056023</v>
      </c>
      <c r="AE490" s="85">
        <f>[Capital Social]/[Total Ações]</f>
        <v>5.130030662360018</v>
      </c>
      <c r="AF490" s="85">
        <f>Tabela3[[#This Row],[Lucro Líquido]]/Tabela3[[#This Row],[Total Ações]]</f>
        <v>-1.304420154963162</v>
      </c>
      <c r="AG490" s="85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</v>
      </c>
      <c r="AH490" s="85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490" s="77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490" s="85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</v>
      </c>
      <c r="AK490" s="7">
        <f>[Div Base]*[Ações]</f>
        <v>0</v>
      </c>
      <c r="AL490" s="7">
        <f>SUMPRODUCT(N([Nome]=Tabela3[[#This Row],[Nome]]),[Div Base]*[Ações])</f>
        <v>0</v>
      </c>
      <c r="AM490" s="5">
        <f>[Patrimônio Líquido]/[Total Ações]</f>
        <v>3.7019283232382567</v>
      </c>
      <c r="AN490" s="52">
        <f>MAX(Tabela3[[#This Row],[Cotação 1]:[Cotação 5]])</f>
        <v>10.37</v>
      </c>
      <c r="AO490" s="53">
        <f>[Cotação]/[VPA]</f>
        <v>2.8012427833634703</v>
      </c>
      <c r="AP490" s="37">
        <f>IF(Tabela3[[#This Row],[Lucro/Ação]]&gt;0,Tabela3[[#This Row],[Cotação]]/(Tabela3[[#This Row],[Lucro/Ação]]/[Ref]*4),0)</f>
        <v>0</v>
      </c>
      <c r="AQ490" s="85">
        <f>[Lucro Distribuir]/[Total Ações]</f>
        <v>0</v>
      </c>
      <c r="AR490" s="85">
        <f>IF([Unit ON]&gt;0,SUMPRODUCT(N([Nome]=Tabela3[[#This Row],[Nome]]),N(RIGHT([PAPEL],1)="3"),[Div Base])*[Unit ON]+SUMPRODUCT(N([Nome]=Tabela3[[#This Row],[Nome]]),N(RIGHT([PAPEL],1)="4"),[Div Base])*[Unit PN],[Div Base])</f>
        <v>0</v>
      </c>
      <c r="AS490" s="10" t="str">
        <f>IF(AND([% A.A.]&gt;=6%,SUMPRODUCT(N([Nome]=Tabela3[[#This Row],[Nome]]),[PL])&gt;0,[Rentabilidade s/ PL]&gt;=[Rentabilidade s/ PL Média]),"Sim","Não")</f>
        <v>Não</v>
      </c>
      <c r="AT490" s="22">
        <f>IF([Cotação]&gt;0,Tabela3[[#This Row],[Lucro]]/Tabela3[[#This Row],[Cotação]],0)</f>
        <v>0</v>
      </c>
      <c r="AU490" s="22">
        <f>((1+Tabela3[[#This Row],[% Yield]])^(1/(3*Tabela3[[#This Row],[Ref]])))^(12)-1</f>
        <v>0</v>
      </c>
      <c r="AV490" s="10">
        <f>IF([Cotação]&gt;0,($BH$1/Tabela3[[#This Row],[Cotação]]-MOD($BH$1/Tabela3[[#This Row],[Cotação]],100)),)</f>
        <v>0</v>
      </c>
      <c r="AW490" s="7">
        <f>Tabela3[[#This Row],[Ativos]]*[Lucro]</f>
        <v>0</v>
      </c>
      <c r="AX490" s="7">
        <f>SUMPRODUCT(N(Tabela1[Código]=Tabela3[[#This Row],[PAPEL]]),Tabela1[Fechamento])</f>
        <v>0</v>
      </c>
      <c r="AY490" s="7">
        <f>SUMPRODUCT(N(Tabela17[Código]=Tabela3[[#This Row],[PAPEL]]),Tabela17[Fechamento])</f>
        <v>0</v>
      </c>
      <c r="AZ490" s="7">
        <f>SUMPRODUCT(N(Tabela176[Código]=Tabela3[[#This Row],[PAPEL]]),Tabela176[Fechamento])</f>
        <v>10.37</v>
      </c>
      <c r="BA490" s="7">
        <f>SUMPRODUCT(N(Tabela1768[Código]=Tabela3[[#This Row],[PAPEL]]),Tabela1768[Fechamento])</f>
        <v>0</v>
      </c>
      <c r="BB490" s="7">
        <f>SUMPRODUCT(N(Tabela17683[Código]=Tabela3[[#This Row],[PAPEL]]),Tabela17683[Fechamento])</f>
        <v>0</v>
      </c>
    </row>
    <row r="491" spans="1:54" hidden="1">
      <c r="A491" s="4" t="s">
        <v>12</v>
      </c>
      <c r="B491" s="57" t="s">
        <v>495</v>
      </c>
      <c r="C491" s="15" t="str">
        <f>LEFT([PAPEL],LEN([PAPEL])-(LEN([PAPEL])-4))</f>
        <v>CEED</v>
      </c>
      <c r="D491" s="15">
        <v>3</v>
      </c>
      <c r="E491" s="6">
        <v>23702962.149999999</v>
      </c>
      <c r="F491" s="8">
        <v>380669270</v>
      </c>
      <c r="G491" s="86">
        <v>0.5</v>
      </c>
      <c r="H491" s="15"/>
      <c r="I491" s="19"/>
      <c r="J491" s="19"/>
      <c r="K491" s="88"/>
      <c r="L491" s="88"/>
      <c r="M491" s="55"/>
      <c r="N491" s="55"/>
      <c r="O491" s="55"/>
      <c r="P491" s="92">
        <v>435830000</v>
      </c>
      <c r="Q491" s="93">
        <v>-212063000</v>
      </c>
      <c r="R491" s="93">
        <f>IF(Tabela3[[#This Row],[Ativo || Passivo]]&gt;0,Tabela3[[#This Row],[Ativo || Passivo]]-Tabela3[[#This Row],[Patrimônio Líquido]],0)</f>
        <v>0</v>
      </c>
      <c r="S491" s="93">
        <f>Tabela3[[#This Row],[Cotação]]*Tabela3[[#This Row],[Total Ações]]</f>
        <v>387229828</v>
      </c>
      <c r="T491" s="40">
        <f>IF(Tabela3[[#This Row],[Passivo Circulante]]&gt;0,Tabela3[[#This Row],[Ativo Circulante]]/Tabela3[[#This Row],[Passivo Circulante]],0)</f>
        <v>0</v>
      </c>
      <c r="U491" s="40">
        <f>SUMPRODUCT(N([Liquidez Corrente]&gt;0),N(RIGHT([PAPEL],LEN([PAPEL])-(LEN([PAPEL])-1))="3"),[Liquidez Corrente])/SUMPRODUCT(N([Liquidez Corrente]&gt;0),N(RIGHT([PAPEL],LEN([PAPEL])-(LEN([PAPEL])-1))="3"))</f>
        <v>2.331224473064915</v>
      </c>
      <c r="V491" s="19">
        <f>IF(Tabela3[[#This Row],[Lucro Líquido]]&gt;0,Tabela3[[#This Row],[Lucro Líquido]]/Tabela3[[#This Row],[Patrimônio Líquido]],0)</f>
        <v>0</v>
      </c>
      <c r="W491" s="19">
        <f>SUMPRODUCT(N([Rentabilidade s/ PL]&gt;0),N(RIGHT([PAPEL],LEN([PAPEL])-(LEN([PAPEL])-1))="3"),[Rentabilidade s/ PL])/SUMPRODUCT(N([Rentabilidade s/ PL]&gt;0),N(RIGHT([PAPEL],LEN([PAPEL])-(LEN([PAPEL])-1))="3"))</f>
        <v>0.1261051308670782</v>
      </c>
      <c r="X491" s="19">
        <f>IF(Tabela3[[#This Row],[Dívida]]&gt;0,Tabela3[[#This Row],[Dívida]]/Tabela3[[#This Row],[Patrimônio Líquido]],0)</f>
        <v>0</v>
      </c>
      <c r="Y491" s="19">
        <f>SUMPRODUCT(N([Dívida / PL]&gt;0),N(RIGHT([PAPEL],LEN([PAPEL])-(LEN([PAPEL])-1))="3"),[Dívida / PL])/SUMPRODUCT(N([Dívida / PL]&gt;0),N(RIGHT([PAPEL],LEN([PAPEL])-(LEN([PAPEL])-1))="3"))</f>
        <v>2.1510410379481146</v>
      </c>
      <c r="Z491" s="13">
        <f>Tabela3[[#This Row],[Capital Social]]*20%</f>
        <v>4740592.43</v>
      </c>
      <c r="AA491" s="13">
        <f>IF(([Lucro Líquido]*5%)&gt;[Teto R. Legal],[Teto R. Legal],[Lucro Líquido]*5%)</f>
        <v>-10603150</v>
      </c>
      <c r="AB491" s="13">
        <f>IF([Lucro Líquido]&lt;0,0,[Lucro Líquido]-[Reserva Legal])</f>
        <v>0</v>
      </c>
      <c r="AC491" s="13">
        <f>Tabela3[[#This Row],[Lucro Distribuir]]*[%Div]</f>
        <v>0</v>
      </c>
      <c r="AD491" s="56">
        <f>SUMPRODUCT(N([Nome]=Tabela3[[#This Row],[Nome]]),[Ações])</f>
        <v>387229828</v>
      </c>
      <c r="AE491" s="6">
        <f>[Capital Social]/[Total Ações]</f>
        <v>6.1211612422584341E-2</v>
      </c>
      <c r="AF491" s="78">
        <f>Tabela3[[#This Row],[Lucro Líquido]]/Tabela3[[#This Row],[Total Ações]]</f>
        <v>-0.54764118016239183</v>
      </c>
      <c r="AG491" s="78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</v>
      </c>
      <c r="AH491" s="78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491" s="78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491" s="78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</v>
      </c>
      <c r="AK491" s="13">
        <f>[Div Base]*[Ações]</f>
        <v>0</v>
      </c>
      <c r="AL491" s="13">
        <f>SUMPRODUCT(N([Nome]=Tabela3[[#This Row],[Nome]]),[Div Base]*[Ações])</f>
        <v>0</v>
      </c>
      <c r="AM491" s="6">
        <f>[Patrimônio Líquido]/[Total Ações]</f>
        <v>1.1255073046697219</v>
      </c>
      <c r="AN491" s="48">
        <f>MAX(Tabela3[[#This Row],[Cotação 1]:[Cotação 5]])</f>
        <v>1</v>
      </c>
      <c r="AO491" s="44">
        <f>[Cotação]/[VPA]</f>
        <v>0.8884882362389005</v>
      </c>
      <c r="AP491" s="40">
        <f>IF(Tabela3[[#This Row],[Lucro/Ação]]&gt;0,Tabela3[[#This Row],[Cotação]]/(Tabela3[[#This Row],[Lucro/Ação]]/[Ref]*4),0)</f>
        <v>0</v>
      </c>
      <c r="AQ491" s="78">
        <f>[Lucro Distribuir]/[Total Ações]</f>
        <v>0</v>
      </c>
      <c r="AR491" s="78">
        <f>IF([Unit ON]&gt;0,SUMPRODUCT(N([Nome]=Tabela3[[#This Row],[Nome]]),N(RIGHT([PAPEL],1)="3"),[Div Base])*[Unit ON]+SUMPRODUCT(N([Nome]=Tabela3[[#This Row],[Nome]]),N(RIGHT([PAPEL],1)="4"),[Div Base])*[Unit PN],[Div Base])</f>
        <v>0</v>
      </c>
      <c r="AS491" s="14" t="str">
        <f>IF(AND([% A.A.]&gt;=6%,SUMPRODUCT(N([Nome]=Tabela3[[#This Row],[Nome]]),[PL])&gt;0,[Rentabilidade s/ PL]&gt;=[Rentabilidade s/ PL Média]),"Sim","Não")</f>
        <v>Não</v>
      </c>
      <c r="AT491" s="42">
        <f>IF([Cotação]&gt;0,Tabela3[[#This Row],[Lucro]]/Tabela3[[#This Row],[Cotação]],0)</f>
        <v>0</v>
      </c>
      <c r="AU491" s="42">
        <f>((1+Tabela3[[#This Row],[% Yield]])^(1/(3*Tabela3[[#This Row],[Ref]])))^(12)-1</f>
        <v>0</v>
      </c>
      <c r="AV491" s="14">
        <f>IF([Cotação]&gt;0,($BH$1/Tabela3[[#This Row],[Cotação]]-MOD($BH$1/Tabela3[[#This Row],[Cotação]],100)),)</f>
        <v>500</v>
      </c>
      <c r="AW491" s="17">
        <f>Tabela3[[#This Row],[Ativos]]*[Lucro]</f>
        <v>0</v>
      </c>
      <c r="AX491" s="17">
        <f>SUMPRODUCT(N(Tabela1[Código]=Tabela3[[#This Row],[PAPEL]]),Tabela1[Fechamento])</f>
        <v>0</v>
      </c>
      <c r="AY491" s="17">
        <f>SUMPRODUCT(N(Tabela17[Código]=Tabela3[[#This Row],[PAPEL]]),Tabela17[Fechamento])</f>
        <v>1</v>
      </c>
      <c r="AZ491" s="7">
        <f>SUMPRODUCT(N(Tabela176[Código]=Tabela3[[#This Row],[PAPEL]]),Tabela176[Fechamento])</f>
        <v>0</v>
      </c>
      <c r="BA491" s="7">
        <f>SUMPRODUCT(N(Tabela1768[Código]=Tabela3[[#This Row],[PAPEL]]),Tabela1768[Fechamento])</f>
        <v>0</v>
      </c>
      <c r="BB491" s="7">
        <f>SUMPRODUCT(N(Tabela17683[Código]=Tabela3[[#This Row],[PAPEL]]),Tabela17683[Fechamento])</f>
        <v>0</v>
      </c>
    </row>
    <row r="492" spans="1:54" hidden="1">
      <c r="A492" s="4" t="s">
        <v>12</v>
      </c>
      <c r="B492" s="57" t="s">
        <v>496</v>
      </c>
      <c r="C492" s="15" t="str">
        <f>LEFT([PAPEL],LEN([PAPEL])-(LEN([PAPEL])-4))</f>
        <v>CEED</v>
      </c>
      <c r="D492" s="15">
        <v>3</v>
      </c>
      <c r="E492" s="6">
        <v>23702962.149999999</v>
      </c>
      <c r="F492" s="8">
        <v>6560558</v>
      </c>
      <c r="G492" s="86">
        <v>0.5</v>
      </c>
      <c r="H492" s="15"/>
      <c r="I492" s="19">
        <v>0.1</v>
      </c>
      <c r="J492" s="19"/>
      <c r="K492" s="88"/>
      <c r="L492" s="88"/>
      <c r="M492" s="55"/>
      <c r="N492" s="55"/>
      <c r="O492" s="55"/>
      <c r="P492" s="92">
        <v>435830000</v>
      </c>
      <c r="Q492" s="93">
        <v>-212063000</v>
      </c>
      <c r="R492" s="93">
        <f>IF(Tabela3[[#This Row],[Ativo || Passivo]]&gt;0,Tabela3[[#This Row],[Ativo || Passivo]]-Tabela3[[#This Row],[Patrimônio Líquido]],0)</f>
        <v>0</v>
      </c>
      <c r="S492" s="93">
        <f>Tabela3[[#This Row],[Cotação]]*Tabela3[[#This Row],[Total Ações]]</f>
        <v>619567724.80000007</v>
      </c>
      <c r="T492" s="40">
        <f>IF(Tabela3[[#This Row],[Passivo Circulante]]&gt;0,Tabela3[[#This Row],[Ativo Circulante]]/Tabela3[[#This Row],[Passivo Circulante]],0)</f>
        <v>0</v>
      </c>
      <c r="U492" s="40">
        <f>SUMPRODUCT(N([Liquidez Corrente]&gt;0),N(RIGHT([PAPEL],LEN([PAPEL])-(LEN([PAPEL])-1))="3"),[Liquidez Corrente])/SUMPRODUCT(N([Liquidez Corrente]&gt;0),N(RIGHT([PAPEL],LEN([PAPEL])-(LEN([PAPEL])-1))="3"))</f>
        <v>2.331224473064915</v>
      </c>
      <c r="V492" s="19">
        <f>IF(Tabela3[[#This Row],[Lucro Líquido]]&gt;0,Tabela3[[#This Row],[Lucro Líquido]]/Tabela3[[#This Row],[Patrimônio Líquido]],0)</f>
        <v>0</v>
      </c>
      <c r="W492" s="19">
        <f>SUMPRODUCT(N([Rentabilidade s/ PL]&gt;0),N(RIGHT([PAPEL],LEN([PAPEL])-(LEN([PAPEL])-1))="3"),[Rentabilidade s/ PL])/SUMPRODUCT(N([Rentabilidade s/ PL]&gt;0),N(RIGHT([PAPEL],LEN([PAPEL])-(LEN([PAPEL])-1))="3"))</f>
        <v>0.1261051308670782</v>
      </c>
      <c r="X492" s="19">
        <f>IF(Tabela3[[#This Row],[Dívida]]&gt;0,Tabela3[[#This Row],[Dívida]]/Tabela3[[#This Row],[Patrimônio Líquido]],0)</f>
        <v>0</v>
      </c>
      <c r="Y492" s="19">
        <f>SUMPRODUCT(N([Dívida / PL]&gt;0),N(RIGHT([PAPEL],LEN([PAPEL])-(LEN([PAPEL])-1))="3"),[Dívida / PL])/SUMPRODUCT(N([Dívida / PL]&gt;0),N(RIGHT([PAPEL],LEN([PAPEL])-(LEN([PAPEL])-1))="3"))</f>
        <v>2.1510410379481146</v>
      </c>
      <c r="Z492" s="13">
        <f>Tabela3[[#This Row],[Capital Social]]*20%</f>
        <v>4740592.43</v>
      </c>
      <c r="AA492" s="13">
        <f>IF(([Lucro Líquido]*5%)&gt;[Teto R. Legal],[Teto R. Legal],[Lucro Líquido]*5%)</f>
        <v>-10603150</v>
      </c>
      <c r="AB492" s="13">
        <f>IF([Lucro Líquido]&lt;0,0,[Lucro Líquido]-[Reserva Legal])</f>
        <v>0</v>
      </c>
      <c r="AC492" s="13">
        <f>Tabela3[[#This Row],[Lucro Distribuir]]*[%Div]</f>
        <v>0</v>
      </c>
      <c r="AD492" s="56">
        <f>SUMPRODUCT(N([Nome]=Tabela3[[#This Row],[Nome]]),[Ações])</f>
        <v>387229828</v>
      </c>
      <c r="AE492" s="6">
        <f>[Capital Social]/[Total Ações]</f>
        <v>6.1211612422584341E-2</v>
      </c>
      <c r="AF492" s="78">
        <f>Tabela3[[#This Row],[Lucro Líquido]]/Tabela3[[#This Row],[Total Ações]]</f>
        <v>-0.54764118016239183</v>
      </c>
      <c r="AG492" s="78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</v>
      </c>
      <c r="AH492" s="78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492" s="78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492" s="78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</v>
      </c>
      <c r="AK492" s="13">
        <f>[Div Base]*[Ações]</f>
        <v>0</v>
      </c>
      <c r="AL492" s="13">
        <f>SUMPRODUCT(N([Nome]=Tabela3[[#This Row],[Nome]]),[Div Base]*[Ações])</f>
        <v>0</v>
      </c>
      <c r="AM492" s="6">
        <f>[Patrimônio Líquido]/[Total Ações]</f>
        <v>1.1255073046697219</v>
      </c>
      <c r="AN492" s="48">
        <f>MAX(Tabela3[[#This Row],[Cotação 1]:[Cotação 5]])</f>
        <v>1.6</v>
      </c>
      <c r="AO492" s="44">
        <f>[Cotação]/[VPA]</f>
        <v>1.4215811779822407</v>
      </c>
      <c r="AP492" s="40">
        <f>IF(Tabela3[[#This Row],[Lucro/Ação]]&gt;0,Tabela3[[#This Row],[Cotação]]/(Tabela3[[#This Row],[Lucro/Ação]]/[Ref]*4),0)</f>
        <v>0</v>
      </c>
      <c r="AQ492" s="78">
        <f>[Lucro Distribuir]/[Total Ações]</f>
        <v>0</v>
      </c>
      <c r="AR492" s="78">
        <f>IF([Unit ON]&gt;0,SUMPRODUCT(N([Nome]=Tabela3[[#This Row],[Nome]]),N(RIGHT([PAPEL],1)="3"),[Div Base])*[Unit ON]+SUMPRODUCT(N([Nome]=Tabela3[[#This Row],[Nome]]),N(RIGHT([PAPEL],1)="4"),[Div Base])*[Unit PN],[Div Base])</f>
        <v>0</v>
      </c>
      <c r="AS492" s="14" t="str">
        <f>IF(AND([% A.A.]&gt;=6%,SUMPRODUCT(N([Nome]=Tabela3[[#This Row],[Nome]]),[PL])&gt;0,[Rentabilidade s/ PL]&gt;=[Rentabilidade s/ PL Média]),"Sim","Não")</f>
        <v>Não</v>
      </c>
      <c r="AT492" s="42">
        <f>IF([Cotação]&gt;0,Tabela3[[#This Row],[Lucro]]/Tabela3[[#This Row],[Cotação]],0)</f>
        <v>0</v>
      </c>
      <c r="AU492" s="42">
        <f>((1+Tabela3[[#This Row],[% Yield]])^(1/(3*Tabela3[[#This Row],[Ref]])))^(12)-1</f>
        <v>0</v>
      </c>
      <c r="AV492" s="14">
        <f>IF([Cotação]&gt;0,($BH$1/Tabela3[[#This Row],[Cotação]]-MOD($BH$1/Tabela3[[#This Row],[Cotação]],100)),)</f>
        <v>300</v>
      </c>
      <c r="AW492" s="17">
        <f>Tabela3[[#This Row],[Ativos]]*[Lucro]</f>
        <v>0</v>
      </c>
      <c r="AX492" s="17">
        <f>SUMPRODUCT(N(Tabela1[Código]=Tabela3[[#This Row],[PAPEL]]),Tabela1[Fechamento])</f>
        <v>0</v>
      </c>
      <c r="AY492" s="17">
        <f>SUMPRODUCT(N(Tabela17[Código]=Tabela3[[#This Row],[PAPEL]]),Tabela17[Fechamento])</f>
        <v>1.6</v>
      </c>
      <c r="AZ492" s="7">
        <f>SUMPRODUCT(N(Tabela176[Código]=Tabela3[[#This Row],[PAPEL]]),Tabela176[Fechamento])</f>
        <v>0</v>
      </c>
      <c r="BA492" s="7">
        <f>SUMPRODUCT(N(Tabela1768[Código]=Tabela3[[#This Row],[PAPEL]]),Tabela1768[Fechamento])</f>
        <v>0</v>
      </c>
      <c r="BB492" s="7">
        <f>SUMPRODUCT(N(Tabela17683[Código]=Tabela3[[#This Row],[PAPEL]]),Tabela17683[Fechamento])</f>
        <v>0</v>
      </c>
    </row>
    <row r="493" spans="1:54">
      <c r="A493" s="4" t="s">
        <v>14</v>
      </c>
      <c r="B493" s="57" t="s">
        <v>563</v>
      </c>
      <c r="C493" s="15" t="str">
        <f>LEFT([PAPEL],LEN([PAPEL])-(LEN([PAPEL])-4))</f>
        <v>BPMN</v>
      </c>
      <c r="D493" s="15">
        <v>4</v>
      </c>
      <c r="E493" s="6">
        <v>2867020093.0500002</v>
      </c>
      <c r="F493" s="8">
        <v>292463400</v>
      </c>
      <c r="G493" s="86">
        <v>0.25</v>
      </c>
      <c r="H493" s="15"/>
      <c r="I493" s="19"/>
      <c r="J493" s="19"/>
      <c r="K493" s="88"/>
      <c r="L493" s="88"/>
      <c r="M493" s="55"/>
      <c r="N493" s="55"/>
      <c r="O493" s="55"/>
      <c r="P493" s="92">
        <v>2308053000</v>
      </c>
      <c r="Q493" s="93">
        <v>-229048000</v>
      </c>
      <c r="R493" s="93">
        <f>IF(Tabela3[[#This Row],[Ativo || Passivo]]&gt;0,Tabela3[[#This Row],[Ativo || Passivo]]-Tabela3[[#This Row],[Patrimônio Líquido]],0)</f>
        <v>0</v>
      </c>
      <c r="S493" s="93">
        <f>Tabela3[[#This Row],[Cotação]]*Tabela3[[#This Row],[Total Ações]]</f>
        <v>0</v>
      </c>
      <c r="T493" s="40">
        <f>IF(Tabela3[[#This Row],[Passivo Circulante]]&gt;0,Tabela3[[#This Row],[Ativo Circulante]]/Tabela3[[#This Row],[Passivo Circulante]],0)</f>
        <v>0</v>
      </c>
      <c r="U493" s="40">
        <f>SUMPRODUCT(N([Liquidez Corrente]&gt;0),N(RIGHT([PAPEL],LEN([PAPEL])-(LEN([PAPEL])-1))="3"),[Liquidez Corrente])/SUMPRODUCT(N([Liquidez Corrente]&gt;0),N(RIGHT([PAPEL],LEN([PAPEL])-(LEN([PAPEL])-1))="3"))</f>
        <v>2.331224473064915</v>
      </c>
      <c r="V493" s="19">
        <f>IF(Tabela3[[#This Row],[Lucro Líquido]]&gt;0,Tabela3[[#This Row],[Lucro Líquido]]/Tabela3[[#This Row],[Patrimônio Líquido]],0)</f>
        <v>0</v>
      </c>
      <c r="W493" s="19">
        <f>SUMPRODUCT(N([Rentabilidade s/ PL]&gt;0),N(RIGHT([PAPEL],LEN([PAPEL])-(LEN([PAPEL])-1))="3"),[Rentabilidade s/ PL])/SUMPRODUCT(N([Rentabilidade s/ PL]&gt;0),N(RIGHT([PAPEL],LEN([PAPEL])-(LEN([PAPEL])-1))="3"))</f>
        <v>0.1261051308670782</v>
      </c>
      <c r="X493" s="19">
        <f>IF(Tabela3[[#This Row],[Dívida]]&gt;0,Tabela3[[#This Row],[Dívida]]/Tabela3[[#This Row],[Patrimônio Líquido]],0)</f>
        <v>0</v>
      </c>
      <c r="Y493" s="19">
        <f>SUMPRODUCT(N([Dívida / PL]&gt;0),N(RIGHT([PAPEL],LEN([PAPEL])-(LEN([PAPEL])-1))="3"),[Dívida / PL])/SUMPRODUCT(N([Dívida / PL]&gt;0),N(RIGHT([PAPEL],LEN([PAPEL])-(LEN([PAPEL])-1))="3"))</f>
        <v>2.1510410379481146</v>
      </c>
      <c r="Z493" s="13">
        <f>Tabela3[[#This Row],[Capital Social]]*20%</f>
        <v>573404018.61000001</v>
      </c>
      <c r="AA493" s="13">
        <f>IF(([Lucro Líquido]*5%)&gt;[Teto R. Legal],[Teto R. Legal],[Lucro Líquido]*5%)</f>
        <v>-11452400</v>
      </c>
      <c r="AB493" s="13">
        <f>IF([Lucro Líquido]&lt;0,0,[Lucro Líquido]-[Reserva Legal])</f>
        <v>0</v>
      </c>
      <c r="AC493" s="13">
        <f>Tabela3[[#This Row],[Lucro Distribuir]]*[%Div]</f>
        <v>0</v>
      </c>
      <c r="AD493" s="56">
        <f>SUMPRODUCT(N([Nome]=Tabela3[[#This Row],[Nome]]),[Ações])</f>
        <v>535076075</v>
      </c>
      <c r="AE493" s="6">
        <f>[Capital Social]/[Total Ações]</f>
        <v>5.3581541522857288</v>
      </c>
      <c r="AF493" s="78">
        <f>Tabela3[[#This Row],[Lucro Líquido]]/Tabela3[[#This Row],[Total Ações]]</f>
        <v>-0.42806623338559846</v>
      </c>
      <c r="AG493" s="78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</v>
      </c>
      <c r="AH493" s="78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493" s="78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493" s="78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</v>
      </c>
      <c r="AK493" s="13">
        <f>[Div Base]*[Ações]</f>
        <v>0</v>
      </c>
      <c r="AL493" s="13">
        <f>SUMPRODUCT(N([Nome]=Tabela3[[#This Row],[Nome]]),[Div Base]*[Ações])</f>
        <v>0</v>
      </c>
      <c r="AM493" s="6">
        <f>[Patrimônio Líquido]/[Total Ações]</f>
        <v>4.3135043928099384</v>
      </c>
      <c r="AN493" s="48">
        <f>MAX(Tabela3[[#This Row],[Cotação 1]:[Cotação 5]])</f>
        <v>0</v>
      </c>
      <c r="AO493" s="44">
        <f>[Cotação]/[VPA]</f>
        <v>0</v>
      </c>
      <c r="AP493" s="40">
        <f>IF(Tabela3[[#This Row],[Lucro/Ação]]&gt;0,Tabela3[[#This Row],[Cotação]]/(Tabela3[[#This Row],[Lucro/Ação]]/[Ref]*4),0)</f>
        <v>0</v>
      </c>
      <c r="AQ493" s="78">
        <f>[Lucro Distribuir]/[Total Ações]</f>
        <v>0</v>
      </c>
      <c r="AR493" s="78">
        <f>IF([Unit ON]&gt;0,SUMPRODUCT(N([Nome]=Tabela3[[#This Row],[Nome]]),N(RIGHT([PAPEL],1)="3"),[Div Base])*[Unit ON]+SUMPRODUCT(N([Nome]=Tabela3[[#This Row],[Nome]]),N(RIGHT([PAPEL],1)="4"),[Div Base])*[Unit PN],[Div Base])</f>
        <v>0</v>
      </c>
      <c r="AS493" s="14" t="str">
        <f>IF(AND([% A.A.]&gt;=6%,SUMPRODUCT(N([Nome]=Tabela3[[#This Row],[Nome]]),[PL])&gt;0,[Rentabilidade s/ PL]&gt;=[Rentabilidade s/ PL Média]),"Sim","Não")</f>
        <v>Não</v>
      </c>
      <c r="AT493" s="42">
        <f>IF([Cotação]&gt;0,Tabela3[[#This Row],[Lucro]]/Tabela3[[#This Row],[Cotação]],0)</f>
        <v>0</v>
      </c>
      <c r="AU493" s="42">
        <f>((1+Tabela3[[#This Row],[% Yield]])^(1/(3*Tabela3[[#This Row],[Ref]])))^(12)-1</f>
        <v>0</v>
      </c>
      <c r="AV493" s="14">
        <f>IF([Cotação]&gt;0,($BH$1/Tabela3[[#This Row],[Cotação]]-MOD($BH$1/Tabela3[[#This Row],[Cotação]],100)),)</f>
        <v>0</v>
      </c>
      <c r="AW493" s="17">
        <f>Tabela3[[#This Row],[Ativos]]*[Lucro]</f>
        <v>0</v>
      </c>
      <c r="AX493" s="17">
        <f>SUMPRODUCT(N(Tabela1[Código]=Tabela3[[#This Row],[PAPEL]]),Tabela1[Fechamento])</f>
        <v>0</v>
      </c>
      <c r="AY493" s="17">
        <f>SUMPRODUCT(N(Tabela17[Código]=Tabela3[[#This Row],[PAPEL]]),Tabela17[Fechamento])</f>
        <v>0</v>
      </c>
      <c r="AZ493" s="17">
        <f>SUMPRODUCT(N(Tabela176[Código]=Tabela3[[#This Row],[PAPEL]]),Tabela176[Fechamento])</f>
        <v>0</v>
      </c>
      <c r="BA493" s="17">
        <f>SUMPRODUCT(N(Tabela1768[Código]=Tabela3[[#This Row],[PAPEL]]),Tabela1768[Fechamento])</f>
        <v>0</v>
      </c>
      <c r="BB493" s="7">
        <f>SUMPRODUCT(N(Tabela17683[Código]=Tabela3[[#This Row],[PAPEL]]),Tabela17683[Fechamento])</f>
        <v>0</v>
      </c>
    </row>
    <row r="494" spans="1:54">
      <c r="A494" s="4" t="s">
        <v>14</v>
      </c>
      <c r="B494" s="57" t="s">
        <v>564</v>
      </c>
      <c r="C494" s="15" t="str">
        <f>LEFT([PAPEL],LEN([PAPEL])-(LEN([PAPEL])-4))</f>
        <v>BPMN</v>
      </c>
      <c r="D494" s="15">
        <v>4</v>
      </c>
      <c r="E494" s="6">
        <v>2867020093.0500002</v>
      </c>
      <c r="F494" s="8">
        <v>242612675</v>
      </c>
      <c r="G494" s="86">
        <v>0.25</v>
      </c>
      <c r="H494" s="15"/>
      <c r="I494" s="19"/>
      <c r="J494" s="19"/>
      <c r="K494" s="88"/>
      <c r="L494" s="88"/>
      <c r="M494" s="55"/>
      <c r="N494" s="55"/>
      <c r="O494" s="55"/>
      <c r="P494" s="92">
        <v>2308053000</v>
      </c>
      <c r="Q494" s="93">
        <v>-229048000</v>
      </c>
      <c r="R494" s="93">
        <f>IF(Tabela3[[#This Row],[Ativo || Passivo]]&gt;0,Tabela3[[#This Row],[Ativo || Passivo]]-Tabela3[[#This Row],[Patrimônio Líquido]],0)</f>
        <v>0</v>
      </c>
      <c r="S494" s="93">
        <f>Tabela3[[#This Row],[Cotação]]*Tabela3[[#This Row],[Total Ações]]</f>
        <v>0</v>
      </c>
      <c r="T494" s="40">
        <f>IF(Tabela3[[#This Row],[Passivo Circulante]]&gt;0,Tabela3[[#This Row],[Ativo Circulante]]/Tabela3[[#This Row],[Passivo Circulante]],0)</f>
        <v>0</v>
      </c>
      <c r="U494" s="40">
        <f>SUMPRODUCT(N([Liquidez Corrente]&gt;0),N(RIGHT([PAPEL],LEN([PAPEL])-(LEN([PAPEL])-1))="3"),[Liquidez Corrente])/SUMPRODUCT(N([Liquidez Corrente]&gt;0),N(RIGHT([PAPEL],LEN([PAPEL])-(LEN([PAPEL])-1))="3"))</f>
        <v>2.331224473064915</v>
      </c>
      <c r="V494" s="19">
        <f>IF(Tabela3[[#This Row],[Lucro Líquido]]&gt;0,Tabela3[[#This Row],[Lucro Líquido]]/Tabela3[[#This Row],[Patrimônio Líquido]],0)</f>
        <v>0</v>
      </c>
      <c r="W494" s="19">
        <f>SUMPRODUCT(N([Rentabilidade s/ PL]&gt;0),N(RIGHT([PAPEL],LEN([PAPEL])-(LEN([PAPEL])-1))="3"),[Rentabilidade s/ PL])/SUMPRODUCT(N([Rentabilidade s/ PL]&gt;0),N(RIGHT([PAPEL],LEN([PAPEL])-(LEN([PAPEL])-1))="3"))</f>
        <v>0.1261051308670782</v>
      </c>
      <c r="X494" s="19">
        <f>IF(Tabela3[[#This Row],[Dívida]]&gt;0,Tabela3[[#This Row],[Dívida]]/Tabela3[[#This Row],[Patrimônio Líquido]],0)</f>
        <v>0</v>
      </c>
      <c r="Y494" s="19">
        <f>SUMPRODUCT(N([Dívida / PL]&gt;0),N(RIGHT([PAPEL],LEN([PAPEL])-(LEN([PAPEL])-1))="3"),[Dívida / PL])/SUMPRODUCT(N([Dívida / PL]&gt;0),N(RIGHT([PAPEL],LEN([PAPEL])-(LEN([PAPEL])-1))="3"))</f>
        <v>2.1510410379481146</v>
      </c>
      <c r="Z494" s="13">
        <f>Tabela3[[#This Row],[Capital Social]]*20%</f>
        <v>573404018.61000001</v>
      </c>
      <c r="AA494" s="13">
        <f>IF(([Lucro Líquido]*5%)&gt;[Teto R. Legal],[Teto R. Legal],[Lucro Líquido]*5%)</f>
        <v>-11452400</v>
      </c>
      <c r="AB494" s="13">
        <f>IF([Lucro Líquido]&lt;0,0,[Lucro Líquido]-[Reserva Legal])</f>
        <v>0</v>
      </c>
      <c r="AC494" s="13">
        <f>Tabela3[[#This Row],[Lucro Distribuir]]*[%Div]</f>
        <v>0</v>
      </c>
      <c r="AD494" s="56">
        <f>SUMPRODUCT(N([Nome]=Tabela3[[#This Row],[Nome]]),[Ações])</f>
        <v>535076075</v>
      </c>
      <c r="AE494" s="6">
        <f>[Capital Social]/[Total Ações]</f>
        <v>5.3581541522857288</v>
      </c>
      <c r="AF494" s="78">
        <f>Tabela3[[#This Row],[Lucro Líquido]]/Tabela3[[#This Row],[Total Ações]]</f>
        <v>-0.42806623338559846</v>
      </c>
      <c r="AG494" s="78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</v>
      </c>
      <c r="AH494" s="78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494" s="78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494" s="78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</v>
      </c>
      <c r="AK494" s="13">
        <f>[Div Base]*[Ações]</f>
        <v>0</v>
      </c>
      <c r="AL494" s="13">
        <f>SUMPRODUCT(N([Nome]=Tabela3[[#This Row],[Nome]]),[Div Base]*[Ações])</f>
        <v>0</v>
      </c>
      <c r="AM494" s="6">
        <f>[Patrimônio Líquido]/[Total Ações]</f>
        <v>4.3135043928099384</v>
      </c>
      <c r="AN494" s="48">
        <f>MAX(Tabela3[[#This Row],[Cotação 1]:[Cotação 5]])</f>
        <v>0</v>
      </c>
      <c r="AO494" s="44">
        <f>[Cotação]/[VPA]</f>
        <v>0</v>
      </c>
      <c r="AP494" s="40">
        <f>IF(Tabela3[[#This Row],[Lucro/Ação]]&gt;0,Tabela3[[#This Row],[Cotação]]/(Tabela3[[#This Row],[Lucro/Ação]]/[Ref]*4),0)</f>
        <v>0</v>
      </c>
      <c r="AQ494" s="78">
        <f>[Lucro Distribuir]/[Total Ações]</f>
        <v>0</v>
      </c>
      <c r="AR494" s="78">
        <f>IF([Unit ON]&gt;0,SUMPRODUCT(N([Nome]=Tabela3[[#This Row],[Nome]]),N(RIGHT([PAPEL],1)="3"),[Div Base])*[Unit ON]+SUMPRODUCT(N([Nome]=Tabela3[[#This Row],[Nome]]),N(RIGHT([PAPEL],1)="4"),[Div Base])*[Unit PN],[Div Base])</f>
        <v>0</v>
      </c>
      <c r="AS494" s="14" t="str">
        <f>IF(AND([% A.A.]&gt;=6%,SUMPRODUCT(N([Nome]=Tabela3[[#This Row],[Nome]]),[PL])&gt;0,[Rentabilidade s/ PL]&gt;=[Rentabilidade s/ PL Média]),"Sim","Não")</f>
        <v>Não</v>
      </c>
      <c r="AT494" s="42">
        <f>IF([Cotação]&gt;0,Tabela3[[#This Row],[Lucro]]/Tabela3[[#This Row],[Cotação]],0)</f>
        <v>0</v>
      </c>
      <c r="AU494" s="42">
        <f>((1+Tabela3[[#This Row],[% Yield]])^(1/(3*Tabela3[[#This Row],[Ref]])))^(12)-1</f>
        <v>0</v>
      </c>
      <c r="AV494" s="14">
        <f>IF([Cotação]&gt;0,($BH$1/Tabela3[[#This Row],[Cotação]]-MOD($BH$1/Tabela3[[#This Row],[Cotação]],100)),)</f>
        <v>0</v>
      </c>
      <c r="AW494" s="17">
        <f>Tabela3[[#This Row],[Ativos]]*[Lucro]</f>
        <v>0</v>
      </c>
      <c r="AX494" s="17">
        <f>SUMPRODUCT(N(Tabela1[Código]=Tabela3[[#This Row],[PAPEL]]),Tabela1[Fechamento])</f>
        <v>0</v>
      </c>
      <c r="AY494" s="17">
        <f>SUMPRODUCT(N(Tabela17[Código]=Tabela3[[#This Row],[PAPEL]]),Tabela17[Fechamento])</f>
        <v>0</v>
      </c>
      <c r="AZ494" s="17">
        <f>SUMPRODUCT(N(Tabela176[Código]=Tabela3[[#This Row],[PAPEL]]),Tabela176[Fechamento])</f>
        <v>0</v>
      </c>
      <c r="BA494" s="17">
        <f>SUMPRODUCT(N(Tabela1768[Código]=Tabela3[[#This Row],[PAPEL]]),Tabela1768[Fechamento])</f>
        <v>0</v>
      </c>
      <c r="BB494" s="7">
        <f>SUMPRODUCT(N(Tabela17683[Código]=Tabela3[[#This Row],[PAPEL]]),Tabela17683[Fechamento])</f>
        <v>0</v>
      </c>
    </row>
    <row r="495" spans="1:54" hidden="1">
      <c r="A495" s="3" t="s">
        <v>1268</v>
      </c>
      <c r="B495" s="57" t="s">
        <v>1250</v>
      </c>
      <c r="C495" s="16" t="str">
        <f>LEFT([PAPEL],LEN([PAPEL])-(LEN([PAPEL])-4))</f>
        <v>MEND</v>
      </c>
      <c r="D495" s="16">
        <v>3</v>
      </c>
      <c r="E495" s="5">
        <v>1521400000</v>
      </c>
      <c r="F495" s="56">
        <v>6976765</v>
      </c>
      <c r="G495" s="81">
        <v>0.25</v>
      </c>
      <c r="H495" s="87"/>
      <c r="J495" s="18"/>
      <c r="K495" s="16"/>
      <c r="L495" s="87"/>
      <c r="M495" s="54"/>
      <c r="N495" s="54"/>
      <c r="O495" s="54"/>
      <c r="P495" s="91">
        <v>3544023000</v>
      </c>
      <c r="Q495" s="73">
        <v>-229886000</v>
      </c>
      <c r="R495" s="73">
        <f>IF(Tabela3[[#This Row],[Ativo || Passivo]]&gt;0,Tabela3[[#This Row],[Ativo || Passivo]]-Tabela3[[#This Row],[Patrimônio Líquido]],0)</f>
        <v>0</v>
      </c>
      <c r="S495" s="73">
        <f>Tabela3[[#This Row],[Cotação]]*Tabela3[[#This Row],[Total Ações]]</f>
        <v>0</v>
      </c>
      <c r="T495" s="37">
        <f>IF(Tabela3[[#This Row],[Passivo Circulante]]&gt;0,Tabela3[[#This Row],[Ativo Circulante]]/Tabela3[[#This Row],[Passivo Circulante]],0)</f>
        <v>0</v>
      </c>
      <c r="U495" s="37">
        <f>SUMPRODUCT(N([Liquidez Corrente]&gt;0),N(RIGHT([PAPEL],LEN([PAPEL])-(LEN([PAPEL])-1))="3"),[Liquidez Corrente])/SUMPRODUCT(N([Liquidez Corrente]&gt;0),N(RIGHT([PAPEL],LEN([PAPEL])-(LEN([PAPEL])-1))="3"))</f>
        <v>2.331224473064915</v>
      </c>
      <c r="V495" s="18">
        <f>IF(Tabela3[[#This Row],[Lucro Líquido]]&gt;0,Tabela3[[#This Row],[Lucro Líquido]]/Tabela3[[#This Row],[Patrimônio Líquido]],0)</f>
        <v>0</v>
      </c>
      <c r="W495" s="18">
        <f>SUMPRODUCT(N([Rentabilidade s/ PL]&gt;0),N(RIGHT([PAPEL],LEN([PAPEL])-(LEN([PAPEL])-1))="3"),[Rentabilidade s/ PL])/SUMPRODUCT(N([Rentabilidade s/ PL]&gt;0),N(RIGHT([PAPEL],LEN([PAPEL])-(LEN([PAPEL])-1))="3"))</f>
        <v>0.1261051308670782</v>
      </c>
      <c r="X495" s="18">
        <f>IF(Tabela3[[#This Row],[Dívida]]&gt;0,Tabela3[[#This Row],[Dívida]]/Tabela3[[#This Row],[Patrimônio Líquido]],0)</f>
        <v>0</v>
      </c>
      <c r="Y495" s="18">
        <f>SUMPRODUCT(N([Dívida / PL]&gt;0),N(RIGHT([PAPEL],LEN([PAPEL])-(LEN([PAPEL])-1))="3"),[Dívida / PL])/SUMPRODUCT(N([Dívida / PL]&gt;0),N(RIGHT([PAPEL],LEN([PAPEL])-(LEN([PAPEL])-1))="3"))</f>
        <v>2.1510410379481146</v>
      </c>
      <c r="Z495" s="7">
        <f>Tabela3[[#This Row],[Capital Social]]*20%</f>
        <v>304280000</v>
      </c>
      <c r="AA495" s="47">
        <f>IF(([Lucro Líquido]*5%)&gt;[Teto R. Legal],[Teto R. Legal],[Lucro Líquido]*5%)</f>
        <v>-11494300</v>
      </c>
      <c r="AB495" s="47">
        <f>IF([Lucro Líquido]&lt;0,0,[Lucro Líquido]-[Reserva Legal])</f>
        <v>0</v>
      </c>
      <c r="AC495" s="47">
        <f>Tabela3[[#This Row],[Lucro Distribuir]]*[%Div]</f>
        <v>0</v>
      </c>
      <c r="AD495" s="56">
        <f>SUMPRODUCT(N([Nome]=Tabela3[[#This Row],[Nome]]),[Ações])</f>
        <v>10309388</v>
      </c>
      <c r="AE495" s="85">
        <f>[Capital Social]/[Total Ações]</f>
        <v>147.57423040048545</v>
      </c>
      <c r="AF495" s="85">
        <f>Tabela3[[#This Row],[Lucro Líquido]]/Tabela3[[#This Row],[Total Ações]]</f>
        <v>-22.298704830975417</v>
      </c>
      <c r="AG495" s="85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</v>
      </c>
      <c r="AH495" s="85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495" s="77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495" s="85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</v>
      </c>
      <c r="AK495" s="7">
        <f>[Div Base]*[Ações]</f>
        <v>0</v>
      </c>
      <c r="AL495" s="120">
        <f>SUMPRODUCT(N([Nome]=Tabela3[[#This Row],[Nome]]),[Div Base]*[Ações])</f>
        <v>0</v>
      </c>
      <c r="AM495" s="5">
        <f>[Patrimônio Líquido]/[Total Ações]</f>
        <v>343.76657469871151</v>
      </c>
      <c r="AN495" s="52">
        <f>MAX(Tabela3[[#This Row],[Cotação 1]:[Cotação 5]])</f>
        <v>0</v>
      </c>
      <c r="AO495" s="53">
        <f>[Cotação]/[VPA]</f>
        <v>0</v>
      </c>
      <c r="AP495" s="37">
        <f>IF(Tabela3[[#This Row],[Lucro/Ação]]&gt;0,Tabela3[[#This Row],[Cotação]]/(Tabela3[[#This Row],[Lucro/Ação]]/[Ref]*4),0)</f>
        <v>0</v>
      </c>
      <c r="AQ495" s="85">
        <f>[Lucro Distribuir]/[Total Ações]</f>
        <v>0</v>
      </c>
      <c r="AR495" s="85">
        <f>IF([Unit ON]&gt;0,SUMPRODUCT(N([Nome]=Tabela3[[#This Row],[Nome]]),N(RIGHT([PAPEL],1)="3"),[Div Base])*[Unit ON]+SUMPRODUCT(N([Nome]=Tabela3[[#This Row],[Nome]]),N(RIGHT([PAPEL],1)="4"),[Div Base])*[Unit PN],[Div Base])</f>
        <v>0</v>
      </c>
      <c r="AS495" s="10" t="str">
        <f>IF(AND([% A.A.]&gt;=6%,SUMPRODUCT(N([Nome]=Tabela3[[#This Row],[Nome]]),[PL])&gt;0,[Rentabilidade s/ PL]&gt;=[Rentabilidade s/ PL Média]),"Sim","Não")</f>
        <v>Não</v>
      </c>
      <c r="AT495" s="22">
        <f>IF([Cotação]&gt;0,Tabela3[[#This Row],[Lucro]]/Tabela3[[#This Row],[Cotação]],0)</f>
        <v>0</v>
      </c>
      <c r="AU495" s="22">
        <f>((1+Tabela3[[#This Row],[% Yield]])^(1/(3*Tabela3[[#This Row],[Ref]])))^(12)-1</f>
        <v>0</v>
      </c>
      <c r="AV495" s="10">
        <f>IF([Cotação]&gt;0,($BH$1/Tabela3[[#This Row],[Cotação]]-MOD($BH$1/Tabela3[[#This Row],[Cotação]],100)),)</f>
        <v>0</v>
      </c>
      <c r="AW495" s="7">
        <f>Tabela3[[#This Row],[Ativos]]*[Lucro]</f>
        <v>0</v>
      </c>
      <c r="AX495" s="7">
        <f>SUMPRODUCT(N(Tabela1[Código]=Tabela3[[#This Row],[PAPEL]]),Tabela1[Fechamento])</f>
        <v>0</v>
      </c>
      <c r="AY495" s="7">
        <f>SUMPRODUCT(N(Tabela17[Código]=Tabela3[[#This Row],[PAPEL]]),Tabela17[Fechamento])</f>
        <v>0</v>
      </c>
      <c r="AZ495" s="7">
        <f>SUMPRODUCT(N(Tabela176[Código]=Tabela3[[#This Row],[PAPEL]]),Tabela176[Fechamento])</f>
        <v>0</v>
      </c>
      <c r="BA495" s="7">
        <f>SUMPRODUCT(N(Tabela1768[Código]=Tabela3[[#This Row],[PAPEL]]),Tabela1768[Fechamento])</f>
        <v>0</v>
      </c>
      <c r="BB495" s="7">
        <f>SUMPRODUCT(N(Tabela17683[Código]=Tabela3[[#This Row],[PAPEL]]),Tabela17683[Fechamento])</f>
        <v>0</v>
      </c>
    </row>
    <row r="496" spans="1:54" hidden="1">
      <c r="A496" s="3" t="s">
        <v>1268</v>
      </c>
      <c r="B496" s="57" t="s">
        <v>1251</v>
      </c>
      <c r="C496" s="16" t="str">
        <f>LEFT([PAPEL],LEN([PAPEL])-(LEN([PAPEL])-4))</f>
        <v>MEND</v>
      </c>
      <c r="D496" s="16">
        <v>3</v>
      </c>
      <c r="E496" s="5">
        <v>1521400000</v>
      </c>
      <c r="F496" s="56">
        <v>1534888</v>
      </c>
      <c r="G496" s="81">
        <v>0.25</v>
      </c>
      <c r="H496" s="87"/>
      <c r="I496" s="18">
        <v>0.06</v>
      </c>
      <c r="J496" s="18"/>
      <c r="K496" s="16"/>
      <c r="L496" s="87"/>
      <c r="M496" s="54"/>
      <c r="N496" s="54"/>
      <c r="O496" s="54"/>
      <c r="P496" s="91">
        <v>3544023000</v>
      </c>
      <c r="Q496" s="73">
        <v>-229886000</v>
      </c>
      <c r="R496" s="73">
        <f>IF(Tabela3[[#This Row],[Ativo || Passivo]]&gt;0,Tabela3[[#This Row],[Ativo || Passivo]]-Tabela3[[#This Row],[Patrimônio Líquido]],0)</f>
        <v>0</v>
      </c>
      <c r="S496" s="73">
        <f>Tabela3[[#This Row],[Cotação]]*Tabela3[[#This Row],[Total Ações]]</f>
        <v>115671333.36</v>
      </c>
      <c r="T496" s="37">
        <f>IF(Tabela3[[#This Row],[Passivo Circulante]]&gt;0,Tabela3[[#This Row],[Ativo Circulante]]/Tabela3[[#This Row],[Passivo Circulante]],0)</f>
        <v>0</v>
      </c>
      <c r="U496" s="37">
        <f>SUMPRODUCT(N([Liquidez Corrente]&gt;0),N(RIGHT([PAPEL],LEN([PAPEL])-(LEN([PAPEL])-1))="3"),[Liquidez Corrente])/SUMPRODUCT(N([Liquidez Corrente]&gt;0),N(RIGHT([PAPEL],LEN([PAPEL])-(LEN([PAPEL])-1))="3"))</f>
        <v>2.331224473064915</v>
      </c>
      <c r="V496" s="18">
        <f>IF(Tabela3[[#This Row],[Lucro Líquido]]&gt;0,Tabela3[[#This Row],[Lucro Líquido]]/Tabela3[[#This Row],[Patrimônio Líquido]],0)</f>
        <v>0</v>
      </c>
      <c r="W496" s="18">
        <f>SUMPRODUCT(N([Rentabilidade s/ PL]&gt;0),N(RIGHT([PAPEL],LEN([PAPEL])-(LEN([PAPEL])-1))="3"),[Rentabilidade s/ PL])/SUMPRODUCT(N([Rentabilidade s/ PL]&gt;0),N(RIGHT([PAPEL],LEN([PAPEL])-(LEN([PAPEL])-1))="3"))</f>
        <v>0.1261051308670782</v>
      </c>
      <c r="X496" s="18">
        <f>IF(Tabela3[[#This Row],[Dívida]]&gt;0,Tabela3[[#This Row],[Dívida]]/Tabela3[[#This Row],[Patrimônio Líquido]],0)</f>
        <v>0</v>
      </c>
      <c r="Y496" s="18">
        <f>SUMPRODUCT(N([Dívida / PL]&gt;0),N(RIGHT([PAPEL],LEN([PAPEL])-(LEN([PAPEL])-1))="3"),[Dívida / PL])/SUMPRODUCT(N([Dívida / PL]&gt;0),N(RIGHT([PAPEL],LEN([PAPEL])-(LEN([PAPEL])-1))="3"))</f>
        <v>2.1510410379481146</v>
      </c>
      <c r="Z496" s="7">
        <f>Tabela3[[#This Row],[Capital Social]]*20%</f>
        <v>304280000</v>
      </c>
      <c r="AA496" s="47">
        <f>IF(([Lucro Líquido]*5%)&gt;[Teto R. Legal],[Teto R. Legal],[Lucro Líquido]*5%)</f>
        <v>-11494300</v>
      </c>
      <c r="AB496" s="47">
        <f>IF([Lucro Líquido]&lt;0,0,[Lucro Líquido]-[Reserva Legal])</f>
        <v>0</v>
      </c>
      <c r="AC496" s="47">
        <f>Tabela3[[#This Row],[Lucro Distribuir]]*[%Div]</f>
        <v>0</v>
      </c>
      <c r="AD496" s="56">
        <f>SUMPRODUCT(N([Nome]=Tabela3[[#This Row],[Nome]]),[Ações])</f>
        <v>10309388</v>
      </c>
      <c r="AE496" s="85">
        <f>[Capital Social]/[Total Ações]</f>
        <v>147.57423040048545</v>
      </c>
      <c r="AF496" s="85">
        <f>Tabela3[[#This Row],[Lucro Líquido]]/Tabela3[[#This Row],[Total Ações]]</f>
        <v>-22.298704830975417</v>
      </c>
      <c r="AG496" s="85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</v>
      </c>
      <c r="AH496" s="85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496" s="77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496" s="85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</v>
      </c>
      <c r="AK496" s="7">
        <f>[Div Base]*[Ações]</f>
        <v>0</v>
      </c>
      <c r="AL496" s="120">
        <f>SUMPRODUCT(N([Nome]=Tabela3[[#This Row],[Nome]]),[Div Base]*[Ações])</f>
        <v>0</v>
      </c>
      <c r="AM496" s="5">
        <f>[Patrimônio Líquido]/[Total Ações]</f>
        <v>343.76657469871151</v>
      </c>
      <c r="AN496" s="52">
        <f>MAX(Tabela3[[#This Row],[Cotação 1]:[Cotação 5]])</f>
        <v>11.22</v>
      </c>
      <c r="AO496" s="53">
        <f>[Cotação]/[VPA]</f>
        <v>3.2638426263034974E-2</v>
      </c>
      <c r="AP496" s="37">
        <f>IF(Tabela3[[#This Row],[Lucro/Ação]]&gt;0,Tabela3[[#This Row],[Cotação]]/(Tabela3[[#This Row],[Lucro/Ação]]/[Ref]*4),0)</f>
        <v>0</v>
      </c>
      <c r="AQ496" s="85">
        <f>[Lucro Distribuir]/[Total Ações]</f>
        <v>0</v>
      </c>
      <c r="AR496" s="85">
        <f>IF([Unit ON]&gt;0,SUMPRODUCT(N([Nome]=Tabela3[[#This Row],[Nome]]),N(RIGHT([PAPEL],1)="3"),[Div Base])*[Unit ON]+SUMPRODUCT(N([Nome]=Tabela3[[#This Row],[Nome]]),N(RIGHT([PAPEL],1)="4"),[Div Base])*[Unit PN],[Div Base])</f>
        <v>0</v>
      </c>
      <c r="AS496" s="10" t="str">
        <f>IF(AND([% A.A.]&gt;=6%,SUMPRODUCT(N([Nome]=Tabela3[[#This Row],[Nome]]),[PL])&gt;0,[Rentabilidade s/ PL]&gt;=[Rentabilidade s/ PL Média]),"Sim","Não")</f>
        <v>Não</v>
      </c>
      <c r="AT496" s="22">
        <f>IF([Cotação]&gt;0,Tabela3[[#This Row],[Lucro]]/Tabela3[[#This Row],[Cotação]],0)</f>
        <v>0</v>
      </c>
      <c r="AU496" s="22">
        <f>((1+Tabela3[[#This Row],[% Yield]])^(1/(3*Tabela3[[#This Row],[Ref]])))^(12)-1</f>
        <v>0</v>
      </c>
      <c r="AV496" s="10">
        <f>IF([Cotação]&gt;0,($BH$1/Tabela3[[#This Row],[Cotação]]-MOD($BH$1/Tabela3[[#This Row],[Cotação]],100)),)</f>
        <v>0</v>
      </c>
      <c r="AW496" s="7">
        <f>Tabela3[[#This Row],[Ativos]]*[Lucro]</f>
        <v>0</v>
      </c>
      <c r="AX496" s="7">
        <f>SUMPRODUCT(N(Tabela1[Código]=Tabela3[[#This Row],[PAPEL]]),Tabela1[Fechamento])</f>
        <v>0</v>
      </c>
      <c r="AY496" s="7">
        <f>SUMPRODUCT(N(Tabela17[Código]=Tabela3[[#This Row],[PAPEL]]),Tabela17[Fechamento])</f>
        <v>0</v>
      </c>
      <c r="AZ496" s="7">
        <f>SUMPRODUCT(N(Tabela176[Código]=Tabela3[[#This Row],[PAPEL]]),Tabela176[Fechamento])</f>
        <v>0</v>
      </c>
      <c r="BA496" s="7">
        <f>SUMPRODUCT(N(Tabela1768[Código]=Tabela3[[#This Row],[PAPEL]]),Tabela1768[Fechamento])</f>
        <v>0</v>
      </c>
      <c r="BB496" s="7">
        <f>SUMPRODUCT(N(Tabela17683[Código]=Tabela3[[#This Row],[PAPEL]]),Tabela17683[Fechamento])</f>
        <v>11.22</v>
      </c>
    </row>
    <row r="497" spans="1:54" hidden="1">
      <c r="A497" s="3" t="s">
        <v>1268</v>
      </c>
      <c r="B497" s="57" t="s">
        <v>1252</v>
      </c>
      <c r="C497" s="16" t="str">
        <f>LEFT([PAPEL],LEN([PAPEL])-(LEN([PAPEL])-4))</f>
        <v>MEND</v>
      </c>
      <c r="D497" s="16">
        <v>3</v>
      </c>
      <c r="E497" s="5">
        <v>1521400000</v>
      </c>
      <c r="F497" s="56">
        <v>1797735</v>
      </c>
      <c r="G497" s="81">
        <v>0.25</v>
      </c>
      <c r="H497" s="87"/>
      <c r="I497" s="18">
        <v>0.05</v>
      </c>
      <c r="J497" s="18"/>
      <c r="K497" s="16"/>
      <c r="L497" s="87"/>
      <c r="M497" s="54"/>
      <c r="N497" s="54"/>
      <c r="O497" s="54"/>
      <c r="P497" s="91">
        <v>3544023000</v>
      </c>
      <c r="Q497" s="73">
        <v>-229886000</v>
      </c>
      <c r="R497" s="73">
        <f>IF(Tabela3[[#This Row],[Ativo || Passivo]]&gt;0,Tabela3[[#This Row],[Ativo || Passivo]]-Tabela3[[#This Row],[Patrimônio Líquido]],0)</f>
        <v>0</v>
      </c>
      <c r="S497" s="73">
        <f>Tabela3[[#This Row],[Cotação]]*Tabela3[[#This Row],[Total Ações]]</f>
        <v>119588900.8</v>
      </c>
      <c r="T497" s="37">
        <f>IF(Tabela3[[#This Row],[Passivo Circulante]]&gt;0,Tabela3[[#This Row],[Ativo Circulante]]/Tabela3[[#This Row],[Passivo Circulante]],0)</f>
        <v>0</v>
      </c>
      <c r="U497" s="37">
        <f>SUMPRODUCT(N([Liquidez Corrente]&gt;0),N(RIGHT([PAPEL],LEN([PAPEL])-(LEN([PAPEL])-1))="3"),[Liquidez Corrente])/SUMPRODUCT(N([Liquidez Corrente]&gt;0),N(RIGHT([PAPEL],LEN([PAPEL])-(LEN([PAPEL])-1))="3"))</f>
        <v>2.331224473064915</v>
      </c>
      <c r="V497" s="18">
        <f>IF(Tabela3[[#This Row],[Lucro Líquido]]&gt;0,Tabela3[[#This Row],[Lucro Líquido]]/Tabela3[[#This Row],[Patrimônio Líquido]],0)</f>
        <v>0</v>
      </c>
      <c r="W497" s="18">
        <f>SUMPRODUCT(N([Rentabilidade s/ PL]&gt;0),N(RIGHT([PAPEL],LEN([PAPEL])-(LEN([PAPEL])-1))="3"),[Rentabilidade s/ PL])/SUMPRODUCT(N([Rentabilidade s/ PL]&gt;0),N(RIGHT([PAPEL],LEN([PAPEL])-(LEN([PAPEL])-1))="3"))</f>
        <v>0.1261051308670782</v>
      </c>
      <c r="X497" s="18">
        <f>IF(Tabela3[[#This Row],[Dívida]]&gt;0,Tabela3[[#This Row],[Dívida]]/Tabela3[[#This Row],[Patrimônio Líquido]],0)</f>
        <v>0</v>
      </c>
      <c r="Y497" s="18">
        <f>SUMPRODUCT(N([Dívida / PL]&gt;0),N(RIGHT([PAPEL],LEN([PAPEL])-(LEN([PAPEL])-1))="3"),[Dívida / PL])/SUMPRODUCT(N([Dívida / PL]&gt;0),N(RIGHT([PAPEL],LEN([PAPEL])-(LEN([PAPEL])-1))="3"))</f>
        <v>2.1510410379481146</v>
      </c>
      <c r="Z497" s="7">
        <f>Tabela3[[#This Row],[Capital Social]]*20%</f>
        <v>304280000</v>
      </c>
      <c r="AA497" s="47">
        <f>IF(([Lucro Líquido]*5%)&gt;[Teto R. Legal],[Teto R. Legal],[Lucro Líquido]*5%)</f>
        <v>-11494300</v>
      </c>
      <c r="AB497" s="47">
        <f>IF([Lucro Líquido]&lt;0,0,[Lucro Líquido]-[Reserva Legal])</f>
        <v>0</v>
      </c>
      <c r="AC497" s="47">
        <f>Tabela3[[#This Row],[Lucro Distribuir]]*[%Div]</f>
        <v>0</v>
      </c>
      <c r="AD497" s="56">
        <f>SUMPRODUCT(N([Nome]=Tabela3[[#This Row],[Nome]]),[Ações])</f>
        <v>10309388</v>
      </c>
      <c r="AE497" s="85">
        <f>[Capital Social]/[Total Ações]</f>
        <v>147.57423040048545</v>
      </c>
      <c r="AF497" s="85">
        <f>Tabela3[[#This Row],[Lucro Líquido]]/Tabela3[[#This Row],[Total Ações]]</f>
        <v>-22.298704830975417</v>
      </c>
      <c r="AG497" s="85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</v>
      </c>
      <c r="AH497" s="85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497" s="77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497" s="85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</v>
      </c>
      <c r="AK497" s="7">
        <f>[Div Base]*[Ações]</f>
        <v>0</v>
      </c>
      <c r="AL497" s="120">
        <f>SUMPRODUCT(N([Nome]=Tabela3[[#This Row],[Nome]]),[Div Base]*[Ações])</f>
        <v>0</v>
      </c>
      <c r="AM497" s="5">
        <f>[Patrimônio Líquido]/[Total Ações]</f>
        <v>343.76657469871151</v>
      </c>
      <c r="AN497" s="52">
        <f>MAX(Tabela3[[#This Row],[Cotação 1]:[Cotação 5]])</f>
        <v>11.6</v>
      </c>
      <c r="AO497" s="53">
        <f>[Cotação]/[VPA]</f>
        <v>3.3743827509020115E-2</v>
      </c>
      <c r="AP497" s="37">
        <f>IF(Tabela3[[#This Row],[Lucro/Ação]]&gt;0,Tabela3[[#This Row],[Cotação]]/(Tabela3[[#This Row],[Lucro/Ação]]/[Ref]*4),0)</f>
        <v>0</v>
      </c>
      <c r="AQ497" s="85">
        <f>[Lucro Distribuir]/[Total Ações]</f>
        <v>0</v>
      </c>
      <c r="AR497" s="85">
        <f>IF([Unit ON]&gt;0,SUMPRODUCT(N([Nome]=Tabela3[[#This Row],[Nome]]),N(RIGHT([PAPEL],1)="3"),[Div Base])*[Unit ON]+SUMPRODUCT(N([Nome]=Tabela3[[#This Row],[Nome]]),N(RIGHT([PAPEL],1)="4"),[Div Base])*[Unit PN],[Div Base])</f>
        <v>0</v>
      </c>
      <c r="AS497" s="10" t="str">
        <f>IF(AND([% A.A.]&gt;=6%,SUMPRODUCT(N([Nome]=Tabela3[[#This Row],[Nome]]),[PL])&gt;0,[Rentabilidade s/ PL]&gt;=[Rentabilidade s/ PL Média]),"Sim","Não")</f>
        <v>Não</v>
      </c>
      <c r="AT497" s="22">
        <f>IF([Cotação]&gt;0,Tabela3[[#This Row],[Lucro]]/Tabela3[[#This Row],[Cotação]],0)</f>
        <v>0</v>
      </c>
      <c r="AU497" s="22">
        <f>((1+Tabela3[[#This Row],[% Yield]])^(1/(3*Tabela3[[#This Row],[Ref]])))^(12)-1</f>
        <v>0</v>
      </c>
      <c r="AV497" s="10">
        <f>IF([Cotação]&gt;0,($BH$1/Tabela3[[#This Row],[Cotação]]-MOD($BH$1/Tabela3[[#This Row],[Cotação]],100)),)</f>
        <v>0</v>
      </c>
      <c r="AW497" s="7">
        <f>Tabela3[[#This Row],[Ativos]]*[Lucro]</f>
        <v>0</v>
      </c>
      <c r="AX497" s="7">
        <f>SUMPRODUCT(N(Tabela1[Código]=Tabela3[[#This Row],[PAPEL]]),Tabela1[Fechamento])</f>
        <v>0</v>
      </c>
      <c r="AY497" s="7">
        <f>SUMPRODUCT(N(Tabela17[Código]=Tabela3[[#This Row],[PAPEL]]),Tabela17[Fechamento])</f>
        <v>0</v>
      </c>
      <c r="AZ497" s="7">
        <f>SUMPRODUCT(N(Tabela176[Código]=Tabela3[[#This Row],[PAPEL]]),Tabela176[Fechamento])</f>
        <v>0</v>
      </c>
      <c r="BA497" s="7">
        <f>SUMPRODUCT(N(Tabela1768[Código]=Tabela3[[#This Row],[PAPEL]]),Tabela1768[Fechamento])</f>
        <v>0</v>
      </c>
      <c r="BB497" s="7">
        <f>SUMPRODUCT(N(Tabela17683[Código]=Tabela3[[#This Row],[PAPEL]]),Tabela17683[Fechamento])</f>
        <v>11.6</v>
      </c>
    </row>
    <row r="498" spans="1:54" hidden="1">
      <c r="A498" s="3" t="s">
        <v>1196</v>
      </c>
      <c r="B498" s="58" t="s">
        <v>1197</v>
      </c>
      <c r="C498" s="16" t="str">
        <f>LEFT([PAPEL],LEN([PAPEL])-(LEN([PAPEL])-4))</f>
        <v>BISA</v>
      </c>
      <c r="D498" s="16">
        <v>3</v>
      </c>
      <c r="E498" s="5">
        <v>2543247634.8000002</v>
      </c>
      <c r="F498" s="56">
        <v>575902712</v>
      </c>
      <c r="G498" s="81">
        <v>0.25</v>
      </c>
      <c r="H498" s="87"/>
      <c r="J498" s="18"/>
      <c r="K498" s="16"/>
      <c r="L498" s="87"/>
      <c r="M498" s="54"/>
      <c r="N498" s="54"/>
      <c r="O498" s="54"/>
      <c r="P498" s="91">
        <v>2596093000</v>
      </c>
      <c r="Q498" s="73">
        <v>-261426000</v>
      </c>
      <c r="R498" s="73">
        <f>IF(Tabela3[[#This Row],[Ativo || Passivo]]&gt;0,Tabela3[[#This Row],[Ativo || Passivo]]-Tabela3[[#This Row],[Patrimônio Líquido]],0)</f>
        <v>0</v>
      </c>
      <c r="S498" s="73">
        <f>Tabela3[[#This Row],[Cotação]]*Tabela3[[#This Row],[Total Ações]]</f>
        <v>858095040.88</v>
      </c>
      <c r="T498" s="37">
        <f>IF(Tabela3[[#This Row],[Passivo Circulante]]&gt;0,Tabela3[[#This Row],[Ativo Circulante]]/Tabela3[[#This Row],[Passivo Circulante]],0)</f>
        <v>0</v>
      </c>
      <c r="U498" s="37">
        <f>SUMPRODUCT(N([Liquidez Corrente]&gt;0),N(RIGHT([PAPEL],LEN([PAPEL])-(LEN([PAPEL])-1))="3"),[Liquidez Corrente])/SUMPRODUCT(N([Liquidez Corrente]&gt;0),N(RIGHT([PAPEL],LEN([PAPEL])-(LEN([PAPEL])-1))="3"))</f>
        <v>2.331224473064915</v>
      </c>
      <c r="V498" s="18">
        <f>IF(Tabela3[[#This Row],[Lucro Líquido]]&gt;0,Tabela3[[#This Row],[Lucro Líquido]]/Tabela3[[#This Row],[Patrimônio Líquido]],0)</f>
        <v>0</v>
      </c>
      <c r="W498" s="18">
        <f>SUMPRODUCT(N([Rentabilidade s/ PL]&gt;0),N(RIGHT([PAPEL],LEN([PAPEL])-(LEN([PAPEL])-1))="3"),[Rentabilidade s/ PL])/SUMPRODUCT(N([Rentabilidade s/ PL]&gt;0),N(RIGHT([PAPEL],LEN([PAPEL])-(LEN([PAPEL])-1))="3"))</f>
        <v>0.1261051308670782</v>
      </c>
      <c r="X498" s="18">
        <f>IF(Tabela3[[#This Row],[Dívida]]&gt;0,Tabela3[[#This Row],[Dívida]]/Tabela3[[#This Row],[Patrimônio Líquido]],0)</f>
        <v>0</v>
      </c>
      <c r="Y498" s="18">
        <f>SUMPRODUCT(N([Dívida / PL]&gt;0),N(RIGHT([PAPEL],LEN([PAPEL])-(LEN([PAPEL])-1))="3"),[Dívida / PL])/SUMPRODUCT(N([Dívida / PL]&gt;0),N(RIGHT([PAPEL],LEN([PAPEL])-(LEN([PAPEL])-1))="3"))</f>
        <v>2.1510410379481146</v>
      </c>
      <c r="Z498" s="7">
        <f>Tabela3[[#This Row],[Capital Social]]*20%</f>
        <v>508649526.96000004</v>
      </c>
      <c r="AA498" s="47">
        <f>IF(([Lucro Líquido]*5%)&gt;[Teto R. Legal],[Teto R. Legal],[Lucro Líquido]*5%)</f>
        <v>-13071300</v>
      </c>
      <c r="AB498" s="47">
        <f>IF([Lucro Líquido]&lt;0,0,[Lucro Líquido]-[Reserva Legal])</f>
        <v>0</v>
      </c>
      <c r="AC498" s="47">
        <f>Tabela3[[#This Row],[Lucro Distribuir]]*[%Div]</f>
        <v>0</v>
      </c>
      <c r="AD498" s="56">
        <f>SUMPRODUCT(N([Nome]=Tabela3[[#This Row],[Nome]]),[Ações])</f>
        <v>575902712</v>
      </c>
      <c r="AE498" s="85">
        <f>[Capital Social]/[Total Ações]</f>
        <v>4.4161063697161405</v>
      </c>
      <c r="AF498" s="85">
        <f>Tabela3[[#This Row],[Lucro Líquido]]/Tabela3[[#This Row],[Total Ações]]</f>
        <v>-0.45394125527229673</v>
      </c>
      <c r="AG498" s="85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</v>
      </c>
      <c r="AH498" s="85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498" s="77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498" s="85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</v>
      </c>
      <c r="AK498" s="7">
        <f>[Div Base]*[Ações]</f>
        <v>0</v>
      </c>
      <c r="AL498" s="120">
        <f>SUMPRODUCT(N([Nome]=Tabela3[[#This Row],[Nome]]),[Div Base]*[Ações])</f>
        <v>0</v>
      </c>
      <c r="AM498" s="5">
        <f>[Patrimônio Líquido]/[Total Ações]</f>
        <v>4.5078672940856022</v>
      </c>
      <c r="AN498" s="52">
        <f>MAX(Tabela3[[#This Row],[Cotação 1]:[Cotação 5]])</f>
        <v>1.49</v>
      </c>
      <c r="AO498" s="53">
        <f>[Cotação]/[VPA]</f>
        <v>0.33053324394773226</v>
      </c>
      <c r="AP498" s="37">
        <f>IF(Tabela3[[#This Row],[Lucro/Ação]]&gt;0,Tabela3[[#This Row],[Cotação]]/(Tabela3[[#This Row],[Lucro/Ação]]/[Ref]*4),0)</f>
        <v>0</v>
      </c>
      <c r="AQ498" s="85">
        <f>[Lucro Distribuir]/[Total Ações]</f>
        <v>0</v>
      </c>
      <c r="AR498" s="85">
        <f>IF([Unit ON]&gt;0,SUMPRODUCT(N([Nome]=Tabela3[[#This Row],[Nome]]),N(RIGHT([PAPEL],1)="3"),[Div Base])*[Unit ON]+SUMPRODUCT(N([Nome]=Tabela3[[#This Row],[Nome]]),N(RIGHT([PAPEL],1)="4"),[Div Base])*[Unit PN],[Div Base])</f>
        <v>0</v>
      </c>
      <c r="AS498" s="10" t="str">
        <f>IF(AND([% A.A.]&gt;=6%,SUMPRODUCT(N([Nome]=Tabela3[[#This Row],[Nome]]),[PL])&gt;0,[Rentabilidade s/ PL]&gt;=[Rentabilidade s/ PL Média]),"Sim","Não")</f>
        <v>Não</v>
      </c>
      <c r="AT498" s="22">
        <f>IF([Cotação]&gt;0,Tabela3[[#This Row],[Lucro]]/Tabela3[[#This Row],[Cotação]],0)</f>
        <v>0</v>
      </c>
      <c r="AU498" s="22">
        <f>((1+Tabela3[[#This Row],[% Yield]])^(1/(3*Tabela3[[#This Row],[Ref]])))^(12)-1</f>
        <v>0</v>
      </c>
      <c r="AV498" s="10">
        <f>IF([Cotação]&gt;0,($BH$1/Tabela3[[#This Row],[Cotação]]-MOD($BH$1/Tabela3[[#This Row],[Cotação]],100)),)</f>
        <v>300</v>
      </c>
      <c r="AW498" s="7">
        <f>Tabela3[[#This Row],[Ativos]]*[Lucro]</f>
        <v>0</v>
      </c>
      <c r="AX498" s="7">
        <f>SUMPRODUCT(N(Tabela1[Código]=Tabela3[[#This Row],[PAPEL]]),Tabela1[Fechamento])</f>
        <v>0</v>
      </c>
      <c r="AY498" s="7">
        <f>SUMPRODUCT(N(Tabela17[Código]=Tabela3[[#This Row],[PAPEL]]),Tabela17[Fechamento])</f>
        <v>0</v>
      </c>
      <c r="AZ498" s="7">
        <f>SUMPRODUCT(N(Tabela176[Código]=Tabela3[[#This Row],[PAPEL]]),Tabela176[Fechamento])</f>
        <v>0</v>
      </c>
      <c r="BA498" s="7">
        <f>SUMPRODUCT(N(Tabela1768[Código]=Tabela3[[#This Row],[PAPEL]]),Tabela1768[Fechamento])</f>
        <v>1.49</v>
      </c>
      <c r="BB498" s="7">
        <f>SUMPRODUCT(N(Tabela17683[Código]=Tabela3[[#This Row],[PAPEL]]),Tabela17683[Fechamento])</f>
        <v>0</v>
      </c>
    </row>
    <row r="499" spans="1:54">
      <c r="A499" s="3" t="s">
        <v>1196</v>
      </c>
      <c r="B499" s="57" t="s">
        <v>1225</v>
      </c>
      <c r="C499" s="16" t="str">
        <f>LEFT([PAPEL],LEN([PAPEL])-(LEN([PAPEL])-4))</f>
        <v>PDGR</v>
      </c>
      <c r="D499" s="16">
        <v>4</v>
      </c>
      <c r="E499" s="5">
        <v>4960079848.04</v>
      </c>
      <c r="F499" s="56">
        <v>1339547923</v>
      </c>
      <c r="G499" s="81">
        <v>0.25</v>
      </c>
      <c r="H499" s="87"/>
      <c r="J499" s="18"/>
      <c r="K499" s="16"/>
      <c r="L499" s="87"/>
      <c r="M499" s="54"/>
      <c r="N499" s="54"/>
      <c r="O499" s="54"/>
      <c r="P499" s="91">
        <v>4703629000</v>
      </c>
      <c r="Q499" s="73">
        <v>-270987000</v>
      </c>
      <c r="R499" s="73">
        <f>IF(Tabela3[[#This Row],[Ativo || Passivo]]&gt;0,Tabela3[[#This Row],[Ativo || Passivo]]-Tabela3[[#This Row],[Patrimônio Líquido]],0)</f>
        <v>0</v>
      </c>
      <c r="S499" s="73">
        <f>Tabela3[[#This Row],[Cotação]]*Tabela3[[#This Row],[Total Ações]]</f>
        <v>2116485718.3400002</v>
      </c>
      <c r="T499" s="37">
        <f>IF(Tabela3[[#This Row],[Passivo Circulante]]&gt;0,Tabela3[[#This Row],[Ativo Circulante]]/Tabela3[[#This Row],[Passivo Circulante]],0)</f>
        <v>0</v>
      </c>
      <c r="U499" s="37">
        <f>SUMPRODUCT(N([Liquidez Corrente]&gt;0),N(RIGHT([PAPEL],LEN([PAPEL])-(LEN([PAPEL])-1))="3"),[Liquidez Corrente])/SUMPRODUCT(N([Liquidez Corrente]&gt;0),N(RIGHT([PAPEL],LEN([PAPEL])-(LEN([PAPEL])-1))="3"))</f>
        <v>2.331224473064915</v>
      </c>
      <c r="V499" s="18">
        <f>IF(Tabela3[[#This Row],[Lucro Líquido]]&gt;0,Tabela3[[#This Row],[Lucro Líquido]]/Tabela3[[#This Row],[Patrimônio Líquido]],0)</f>
        <v>0</v>
      </c>
      <c r="W499" s="18">
        <f>SUMPRODUCT(N([Rentabilidade s/ PL]&gt;0),N(RIGHT([PAPEL],LEN([PAPEL])-(LEN([PAPEL])-1))="3"),[Rentabilidade s/ PL])/SUMPRODUCT(N([Rentabilidade s/ PL]&gt;0),N(RIGHT([PAPEL],LEN([PAPEL])-(LEN([PAPEL])-1))="3"))</f>
        <v>0.1261051308670782</v>
      </c>
      <c r="X499" s="18">
        <f>IF(Tabela3[[#This Row],[Dívida]]&gt;0,Tabela3[[#This Row],[Dívida]]/Tabela3[[#This Row],[Patrimônio Líquido]],0)</f>
        <v>0</v>
      </c>
      <c r="Y499" s="18">
        <f>SUMPRODUCT(N([Dívida / PL]&gt;0),N(RIGHT([PAPEL],LEN([PAPEL])-(LEN([PAPEL])-1))="3"),[Dívida / PL])/SUMPRODUCT(N([Dívida / PL]&gt;0),N(RIGHT([PAPEL],LEN([PAPEL])-(LEN([PAPEL])-1))="3"))</f>
        <v>2.1510410379481146</v>
      </c>
      <c r="Z499" s="7">
        <f>Tabela3[[#This Row],[Capital Social]]*20%</f>
        <v>992015969.60800004</v>
      </c>
      <c r="AA499" s="47">
        <f>IF(([Lucro Líquido]*5%)&gt;[Teto R. Legal],[Teto R. Legal],[Lucro Líquido]*5%)</f>
        <v>-13549350</v>
      </c>
      <c r="AB499" s="47">
        <f>IF([Lucro Líquido]&lt;0,0,[Lucro Líquido]-[Reserva Legal])</f>
        <v>0</v>
      </c>
      <c r="AC499" s="47">
        <f>Tabela3[[#This Row],[Lucro Distribuir]]*[%Div]</f>
        <v>0</v>
      </c>
      <c r="AD499" s="56">
        <f>SUMPRODUCT(N([Nome]=Tabela3[[#This Row],[Nome]]),[Ações])</f>
        <v>1339547923</v>
      </c>
      <c r="AE499" s="85">
        <f>[Capital Social]/[Total Ações]</f>
        <v>3.7028013428079496</v>
      </c>
      <c r="AF499" s="85">
        <f>Tabela3[[#This Row],[Lucro Líquido]]/Tabela3[[#This Row],[Total Ações]]</f>
        <v>-0.20229735371699725</v>
      </c>
      <c r="AG499" s="85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</v>
      </c>
      <c r="AH499" s="85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499" s="77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499" s="85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</v>
      </c>
      <c r="AK499" s="7">
        <f>[Div Base]*[Ações]</f>
        <v>0</v>
      </c>
      <c r="AL499" s="120">
        <f>SUMPRODUCT(N([Nome]=Tabela3[[#This Row],[Nome]]),[Div Base]*[Ações])</f>
        <v>0</v>
      </c>
      <c r="AM499" s="5">
        <f>[Patrimônio Líquido]/[Total Ações]</f>
        <v>3.5113555246802468</v>
      </c>
      <c r="AN499" s="52">
        <f>MAX(Tabela3[[#This Row],[Cotação 1]:[Cotação 5]])</f>
        <v>1.58</v>
      </c>
      <c r="AO499" s="53">
        <f>[Cotação]/[VPA]</f>
        <v>0.44996867702363436</v>
      </c>
      <c r="AP499" s="37">
        <f>IF(Tabela3[[#This Row],[Lucro/Ação]]&gt;0,Tabela3[[#This Row],[Cotação]]/(Tabela3[[#This Row],[Lucro/Ação]]/[Ref]*4),0)</f>
        <v>0</v>
      </c>
      <c r="AQ499" s="85">
        <f>[Lucro Distribuir]/[Total Ações]</f>
        <v>0</v>
      </c>
      <c r="AR499" s="85">
        <f>IF([Unit ON]&gt;0,SUMPRODUCT(N([Nome]=Tabela3[[#This Row],[Nome]]),N(RIGHT([PAPEL],1)="3"),[Div Base])*[Unit ON]+SUMPRODUCT(N([Nome]=Tabela3[[#This Row],[Nome]]),N(RIGHT([PAPEL],1)="4"),[Div Base])*[Unit PN],[Div Base])</f>
        <v>0</v>
      </c>
      <c r="AS499" s="10" t="str">
        <f>IF(AND([% A.A.]&gt;=6%,SUMPRODUCT(N([Nome]=Tabela3[[#This Row],[Nome]]),[PL])&gt;0,[Rentabilidade s/ PL]&gt;=[Rentabilidade s/ PL Média]),"Sim","Não")</f>
        <v>Não</v>
      </c>
      <c r="AT499" s="22">
        <f>IF([Cotação]&gt;0,Tabela3[[#This Row],[Lucro]]/Tabela3[[#This Row],[Cotação]],0)</f>
        <v>0</v>
      </c>
      <c r="AU499" s="22">
        <f>((1+Tabela3[[#This Row],[% Yield]])^(1/(3*Tabela3[[#This Row],[Ref]])))^(12)-1</f>
        <v>0</v>
      </c>
      <c r="AV499" s="10">
        <f>IF([Cotação]&gt;0,($BH$1/Tabela3[[#This Row],[Cotação]]-MOD($BH$1/Tabela3[[#This Row],[Cotação]],100)),)</f>
        <v>300</v>
      </c>
      <c r="AW499" s="7">
        <f>Tabela3[[#This Row],[Ativos]]*[Lucro]</f>
        <v>0</v>
      </c>
      <c r="AX499" s="7">
        <f>SUMPRODUCT(N(Tabela1[Código]=Tabela3[[#This Row],[PAPEL]]),Tabela1[Fechamento])</f>
        <v>0</v>
      </c>
      <c r="AY499" s="7">
        <f>SUMPRODUCT(N(Tabela17[Código]=Tabela3[[#This Row],[PAPEL]]),Tabela17[Fechamento])</f>
        <v>0</v>
      </c>
      <c r="AZ499" s="7">
        <f>SUMPRODUCT(N(Tabela176[Código]=Tabela3[[#This Row],[PAPEL]]),Tabela176[Fechamento])</f>
        <v>0</v>
      </c>
      <c r="BA499" s="7">
        <f>SUMPRODUCT(N(Tabela1768[Código]=Tabela3[[#This Row],[PAPEL]]),Tabela1768[Fechamento])</f>
        <v>1.58</v>
      </c>
      <c r="BB499" s="7">
        <f>SUMPRODUCT(N(Tabela17683[Código]=Tabela3[[#This Row],[PAPEL]]),Tabela17683[Fechamento])</f>
        <v>0</v>
      </c>
    </row>
    <row r="500" spans="1:54">
      <c r="A500" s="4" t="s">
        <v>590</v>
      </c>
      <c r="B500" s="57" t="s">
        <v>592</v>
      </c>
      <c r="C500" s="15" t="str">
        <f>LEFT([PAPEL],LEN([PAPEL])-(LEN([PAPEL])-4))</f>
        <v>ITEC</v>
      </c>
      <c r="D500" s="15">
        <v>4</v>
      </c>
      <c r="E500" s="6">
        <v>280000000</v>
      </c>
      <c r="F500" s="8">
        <v>11651126</v>
      </c>
      <c r="G500" s="86">
        <v>0.25</v>
      </c>
      <c r="H500" s="15"/>
      <c r="I500" s="19"/>
      <c r="J500" s="19"/>
      <c r="K500" s="88"/>
      <c r="L500" s="88"/>
      <c r="M500" s="55"/>
      <c r="N500" s="55"/>
      <c r="O500" s="55"/>
      <c r="P500" s="92">
        <v>155949000</v>
      </c>
      <c r="Q500" s="93">
        <v>-388071000</v>
      </c>
      <c r="R500" s="93">
        <f>IF(Tabela3[[#This Row],[Ativo || Passivo]]&gt;0,Tabela3[[#This Row],[Ativo || Passivo]]-Tabela3[[#This Row],[Patrimônio Líquido]],0)</f>
        <v>0</v>
      </c>
      <c r="S500" s="93">
        <f>Tabela3[[#This Row],[Cotação]]*Tabela3[[#This Row],[Total Ações]]</f>
        <v>221604416.51999998</v>
      </c>
      <c r="T500" s="40">
        <f>IF(Tabela3[[#This Row],[Passivo Circulante]]&gt;0,Tabela3[[#This Row],[Ativo Circulante]]/Tabela3[[#This Row],[Passivo Circulante]],0)</f>
        <v>0</v>
      </c>
      <c r="U500" s="40">
        <f>SUMPRODUCT(N([Liquidez Corrente]&gt;0),N(RIGHT([PAPEL],LEN([PAPEL])-(LEN([PAPEL])-1))="3"),[Liquidez Corrente])/SUMPRODUCT(N([Liquidez Corrente]&gt;0),N(RIGHT([PAPEL],LEN([PAPEL])-(LEN([PAPEL])-1))="3"))</f>
        <v>2.331224473064915</v>
      </c>
      <c r="V500" s="19">
        <f>IF(Tabela3[[#This Row],[Lucro Líquido]]&gt;0,Tabela3[[#This Row],[Lucro Líquido]]/Tabela3[[#This Row],[Patrimônio Líquido]],0)</f>
        <v>0</v>
      </c>
      <c r="W500" s="19">
        <f>SUMPRODUCT(N([Rentabilidade s/ PL]&gt;0),N(RIGHT([PAPEL],LEN([PAPEL])-(LEN([PAPEL])-1))="3"),[Rentabilidade s/ PL])/SUMPRODUCT(N([Rentabilidade s/ PL]&gt;0),N(RIGHT([PAPEL],LEN([PAPEL])-(LEN([PAPEL])-1))="3"))</f>
        <v>0.1261051308670782</v>
      </c>
      <c r="X500" s="19">
        <f>IF(Tabela3[[#This Row],[Dívida]]&gt;0,Tabela3[[#This Row],[Dívida]]/Tabela3[[#This Row],[Patrimônio Líquido]],0)</f>
        <v>0</v>
      </c>
      <c r="Y500" s="19">
        <f>SUMPRODUCT(N([Dívida / PL]&gt;0),N(RIGHT([PAPEL],LEN([PAPEL])-(LEN([PAPEL])-1))="3"),[Dívida / PL])/SUMPRODUCT(N([Dívida / PL]&gt;0),N(RIGHT([PAPEL],LEN([PAPEL])-(LEN([PAPEL])-1))="3"))</f>
        <v>2.1510410379481146</v>
      </c>
      <c r="Z500" s="13">
        <f>Tabela3[[#This Row],[Capital Social]]*20%</f>
        <v>56000000</v>
      </c>
      <c r="AA500" s="13">
        <f>IF(([Lucro Líquido]*5%)&gt;[Teto R. Legal],[Teto R. Legal],[Lucro Líquido]*5%)</f>
        <v>-19403550</v>
      </c>
      <c r="AB500" s="13">
        <f>IF([Lucro Líquido]&lt;0,0,[Lucro Líquido]-[Reserva Legal])</f>
        <v>0</v>
      </c>
      <c r="AC500" s="13">
        <f>Tabela3[[#This Row],[Lucro Distribuir]]*[%Div]</f>
        <v>0</v>
      </c>
      <c r="AD500" s="56">
        <f>SUMPRODUCT(N([Nome]=Tabela3[[#This Row],[Nome]]),[Ações])</f>
        <v>11651126</v>
      </c>
      <c r="AE500" s="6">
        <f>[Capital Social]/[Total Ações]</f>
        <v>24.032012013259489</v>
      </c>
      <c r="AF500" s="78">
        <f>Tabela3[[#This Row],[Lucro Líquido]]/Tabela3[[#This Row],[Total Ações]]</f>
        <v>-33.307596192848656</v>
      </c>
      <c r="AG500" s="78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</v>
      </c>
      <c r="AH500" s="78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500" s="78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500" s="78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</v>
      </c>
      <c r="AK500" s="13">
        <f>[Div Base]*[Ações]</f>
        <v>0</v>
      </c>
      <c r="AL500" s="13">
        <f>SUMPRODUCT(N([Nome]=Tabela3[[#This Row],[Nome]]),[Div Base]*[Ações])</f>
        <v>0</v>
      </c>
      <c r="AM500" s="6">
        <f>[Patrimônio Líquido]/[Total Ações]</f>
        <v>13.384886576627872</v>
      </c>
      <c r="AN500" s="48">
        <f>MAX(Tabela3[[#This Row],[Cotação 1]:[Cotação 5]])</f>
        <v>19.02</v>
      </c>
      <c r="AO500" s="44">
        <f>[Cotação]/[VPA]</f>
        <v>1.4210056910913182</v>
      </c>
      <c r="AP500" s="40">
        <f>IF(Tabela3[[#This Row],[Lucro/Ação]]&gt;0,Tabela3[[#This Row],[Cotação]]/(Tabela3[[#This Row],[Lucro/Ação]]/[Ref]*4),0)</f>
        <v>0</v>
      </c>
      <c r="AQ500" s="78">
        <f>[Lucro Distribuir]/[Total Ações]</f>
        <v>0</v>
      </c>
      <c r="AR500" s="78">
        <f>IF([Unit ON]&gt;0,SUMPRODUCT(N([Nome]=Tabela3[[#This Row],[Nome]]),N(RIGHT([PAPEL],1)="3"),[Div Base])*[Unit ON]+SUMPRODUCT(N([Nome]=Tabela3[[#This Row],[Nome]]),N(RIGHT([PAPEL],1)="4"),[Div Base])*[Unit PN],[Div Base])</f>
        <v>0</v>
      </c>
      <c r="AS500" s="14" t="str">
        <f>IF(AND([% A.A.]&gt;=6%,SUMPRODUCT(N([Nome]=Tabela3[[#This Row],[Nome]]),[PL])&gt;0,[Rentabilidade s/ PL]&gt;=[Rentabilidade s/ PL Média]),"Sim","Não")</f>
        <v>Não</v>
      </c>
      <c r="AT500" s="42">
        <f>IF([Cotação]&gt;0,Tabela3[[#This Row],[Lucro]]/Tabela3[[#This Row],[Cotação]],0)</f>
        <v>0</v>
      </c>
      <c r="AU500" s="42">
        <f>((1+Tabela3[[#This Row],[% Yield]])^(1/(3*Tabela3[[#This Row],[Ref]])))^(12)-1</f>
        <v>0</v>
      </c>
      <c r="AV500" s="14">
        <f>IF([Cotação]&gt;0,($BH$1/Tabela3[[#This Row],[Cotação]]-MOD($BH$1/Tabela3[[#This Row],[Cotação]],100)),)</f>
        <v>0</v>
      </c>
      <c r="AW500" s="17">
        <f>Tabela3[[#This Row],[Ativos]]*[Lucro]</f>
        <v>0</v>
      </c>
      <c r="AX500" s="17">
        <f>SUMPRODUCT(N(Tabela1[Código]=Tabela3[[#This Row],[PAPEL]]),Tabela1[Fechamento])</f>
        <v>0</v>
      </c>
      <c r="AY500" s="17">
        <f>SUMPRODUCT(N(Tabela17[Código]=Tabela3[[#This Row],[PAPEL]]),Tabela17[Fechamento])</f>
        <v>0</v>
      </c>
      <c r="AZ500" s="17">
        <f>SUMPRODUCT(N(Tabela176[Código]=Tabela3[[#This Row],[PAPEL]]),Tabela176[Fechamento])</f>
        <v>19.02</v>
      </c>
      <c r="BA500" s="17">
        <f>SUMPRODUCT(N(Tabela1768[Código]=Tabela3[[#This Row],[PAPEL]]),Tabela1768[Fechamento])</f>
        <v>0</v>
      </c>
      <c r="BB500" s="7">
        <f>SUMPRODUCT(N(Tabela17683[Código]=Tabela3[[#This Row],[PAPEL]]),Tabela17683[Fechamento])</f>
        <v>0</v>
      </c>
    </row>
    <row r="501" spans="1:54" hidden="1">
      <c r="A501" s="3" t="s">
        <v>1452</v>
      </c>
      <c r="B501" s="57" t="s">
        <v>1453</v>
      </c>
      <c r="C501" s="16" t="str">
        <f>LEFT([PAPEL],LEN([PAPEL])-(LEN([PAPEL])-4))</f>
        <v>CBMA</v>
      </c>
      <c r="D501" s="16">
        <v>3</v>
      </c>
      <c r="E501" s="5">
        <v>165260409.68000001</v>
      </c>
      <c r="F501" s="56">
        <v>40304114</v>
      </c>
      <c r="G501" s="81">
        <v>0.25</v>
      </c>
      <c r="H501" s="87"/>
      <c r="J501" s="18"/>
      <c r="K501" s="16"/>
      <c r="L501" s="87"/>
      <c r="M501" s="54"/>
      <c r="N501" s="54"/>
      <c r="O501" s="54"/>
      <c r="P501" s="91">
        <v>-4925159000</v>
      </c>
      <c r="Q501" s="73">
        <v>-425664000</v>
      </c>
      <c r="R501" s="73">
        <f>IF(Tabela3[[#This Row],[Ativo || Passivo]]&gt;0,Tabela3[[#This Row],[Ativo || Passivo]]-Tabela3[[#This Row],[Patrimônio Líquido]],0)</f>
        <v>0</v>
      </c>
      <c r="S501" s="73">
        <f>Tabela3[[#This Row],[Cotação]]*Tabela3[[#This Row],[Total Ações]]</f>
        <v>5129243.2</v>
      </c>
      <c r="T501" s="37">
        <f>IF(Tabela3[[#This Row],[Passivo Circulante]]&gt;0,Tabela3[[#This Row],[Ativo Circulante]]/Tabela3[[#This Row],[Passivo Circulante]],0)</f>
        <v>0</v>
      </c>
      <c r="U501" s="37">
        <f>SUMPRODUCT(N([Liquidez Corrente]&gt;0),N(RIGHT([PAPEL],LEN([PAPEL])-(LEN([PAPEL])-1))="3"),[Liquidez Corrente])/SUMPRODUCT(N([Liquidez Corrente]&gt;0),N(RIGHT([PAPEL],LEN([PAPEL])-(LEN([PAPEL])-1))="3"))</f>
        <v>2.331224473064915</v>
      </c>
      <c r="V501" s="18">
        <f>IF(Tabela3[[#This Row],[Lucro Líquido]]&gt;0,Tabela3[[#This Row],[Lucro Líquido]]/Tabela3[[#This Row],[Patrimônio Líquido]],0)</f>
        <v>0</v>
      </c>
      <c r="W501" s="18">
        <f>SUMPRODUCT(N([Rentabilidade s/ PL]&gt;0),N(RIGHT([PAPEL],LEN([PAPEL])-(LEN([PAPEL])-1))="3"),[Rentabilidade s/ PL])/SUMPRODUCT(N([Rentabilidade s/ PL]&gt;0),N(RIGHT([PAPEL],LEN([PAPEL])-(LEN([PAPEL])-1))="3"))</f>
        <v>0.1261051308670782</v>
      </c>
      <c r="X501" s="18">
        <f>IF(Tabela3[[#This Row],[Dívida]]&gt;0,Tabela3[[#This Row],[Dívida]]/Tabela3[[#This Row],[Patrimônio Líquido]],0)</f>
        <v>0</v>
      </c>
      <c r="Y501" s="18">
        <f>SUMPRODUCT(N([Dívida / PL]&gt;0),N(RIGHT([PAPEL],LEN([PAPEL])-(LEN([PAPEL])-1))="3"),[Dívida / PL])/SUMPRODUCT(N([Dívida / PL]&gt;0),N(RIGHT([PAPEL],LEN([PAPEL])-(LEN([PAPEL])-1))="3"))</f>
        <v>2.1510410379481146</v>
      </c>
      <c r="Z501" s="7">
        <f>Tabela3[[#This Row],[Capital Social]]*20%</f>
        <v>33052081.936000004</v>
      </c>
      <c r="AA501" s="47">
        <f>IF(([Lucro Líquido]*5%)&gt;[Teto R. Legal],[Teto R. Legal],[Lucro Líquido]*5%)</f>
        <v>-21283200</v>
      </c>
      <c r="AB501" s="47">
        <f>IF([Lucro Líquido]&lt;0,0,[Lucro Líquido]-[Reserva Legal])</f>
        <v>0</v>
      </c>
      <c r="AC501" s="47">
        <f>Tabela3[[#This Row],[Lucro Distribuir]]*[%Div]</f>
        <v>0</v>
      </c>
      <c r="AD501" s="56">
        <f>SUMPRODUCT(N([Nome]=Tabela3[[#This Row],[Nome]]),[Ações])</f>
        <v>102584864</v>
      </c>
      <c r="AE501" s="85">
        <f>[Capital Social]/[Total Ações]</f>
        <v>1.6109628968265728</v>
      </c>
      <c r="AF501" s="85">
        <f>Tabela3[[#This Row],[Lucro Líquido]]/Tabela3[[#This Row],[Total Ações]]</f>
        <v>-4.1493840650800102</v>
      </c>
      <c r="AG501" s="85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</v>
      </c>
      <c r="AH501" s="85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501" s="77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501" s="85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</v>
      </c>
      <c r="AK501" s="7">
        <f>[Div Base]*[Ações]</f>
        <v>0</v>
      </c>
      <c r="AL501" s="120">
        <f>SUMPRODUCT(N([Nome]=Tabela3[[#This Row],[Nome]]),[Div Base]*[Ações])</f>
        <v>0</v>
      </c>
      <c r="AM501" s="5">
        <f>[Patrimônio Líquido]/[Total Ações]</f>
        <v>-48.010581755998622</v>
      </c>
      <c r="AN501" s="52">
        <f>MAX(Tabela3[[#This Row],[Cotação 1]:[Cotação 5]])</f>
        <v>0.05</v>
      </c>
      <c r="AO501" s="53">
        <f>[Cotação]/[VPA]</f>
        <v>-1.0414370784780757E-3</v>
      </c>
      <c r="AP501" s="37">
        <f>IF(Tabela3[[#This Row],[Lucro/Ação]]&gt;0,Tabela3[[#This Row],[Cotação]]/(Tabela3[[#This Row],[Lucro/Ação]]/[Ref]*4),0)</f>
        <v>0</v>
      </c>
      <c r="AQ501" s="85">
        <f>[Lucro Distribuir]/[Total Ações]</f>
        <v>0</v>
      </c>
      <c r="AR501" s="85">
        <f>IF([Unit ON]&gt;0,SUMPRODUCT(N([Nome]=Tabela3[[#This Row],[Nome]]),N(RIGHT([PAPEL],1)="3"),[Div Base])*[Unit ON]+SUMPRODUCT(N([Nome]=Tabela3[[#This Row],[Nome]]),N(RIGHT([PAPEL],1)="4"),[Div Base])*[Unit PN],[Div Base])</f>
        <v>0</v>
      </c>
      <c r="AS501" s="10" t="str">
        <f>IF(AND([% A.A.]&gt;=6%,SUMPRODUCT(N([Nome]=Tabela3[[#This Row],[Nome]]),[PL])&gt;0,[Rentabilidade s/ PL]&gt;=[Rentabilidade s/ PL Média]),"Sim","Não")</f>
        <v>Não</v>
      </c>
      <c r="AT501" s="22">
        <f>IF([Cotação]&gt;0,Tabela3[[#This Row],[Lucro]]/Tabela3[[#This Row],[Cotação]],0)</f>
        <v>0</v>
      </c>
      <c r="AU501" s="22">
        <f>((1+Tabela3[[#This Row],[% Yield]])^(1/(3*Tabela3[[#This Row],[Ref]])))^(12)-1</f>
        <v>0</v>
      </c>
      <c r="AV501" s="10">
        <f>IF([Cotação]&gt;0,($BH$1/Tabela3[[#This Row],[Cotação]]-MOD($BH$1/Tabela3[[#This Row],[Cotação]],100)),)</f>
        <v>10000</v>
      </c>
      <c r="AW501" s="7">
        <f>Tabela3[[#This Row],[Ativos]]*[Lucro]</f>
        <v>0</v>
      </c>
      <c r="AX501" s="7">
        <f>SUMPRODUCT(N(Tabela1[Código]=Tabela3[[#This Row],[PAPEL]]),Tabela1[Fechamento])</f>
        <v>0</v>
      </c>
      <c r="AY501" s="7">
        <f>SUMPRODUCT(N(Tabela17[Código]=Tabela3[[#This Row],[PAPEL]]),Tabela17[Fechamento])</f>
        <v>0</v>
      </c>
      <c r="AZ501" s="7">
        <f>SUMPRODUCT(N(Tabela176[Código]=Tabela3[[#This Row],[PAPEL]]),Tabela176[Fechamento])</f>
        <v>0</v>
      </c>
      <c r="BA501" s="7">
        <f>SUMPRODUCT(N(Tabela1768[Código]=Tabela3[[#This Row],[PAPEL]]),Tabela1768[Fechamento])</f>
        <v>0</v>
      </c>
      <c r="BB501" s="7">
        <f>SUMPRODUCT(N(Tabela17683[Código]=Tabela3[[#This Row],[PAPEL]]),Tabela17683[Fechamento])</f>
        <v>0.05</v>
      </c>
    </row>
    <row r="502" spans="1:54" hidden="1">
      <c r="A502" s="3" t="s">
        <v>1452</v>
      </c>
      <c r="B502" s="57" t="s">
        <v>1454</v>
      </c>
      <c r="C502" s="16" t="str">
        <f>LEFT([PAPEL],LEN([PAPEL])-(LEN([PAPEL])-4))</f>
        <v>CBMA</v>
      </c>
      <c r="D502" s="16">
        <v>3</v>
      </c>
      <c r="E502" s="5">
        <v>165260409.68000001</v>
      </c>
      <c r="F502" s="56">
        <v>62280750</v>
      </c>
      <c r="G502" s="81">
        <v>0.25</v>
      </c>
      <c r="H502" s="87"/>
      <c r="J502" s="18"/>
      <c r="K502" s="16"/>
      <c r="L502" s="87"/>
      <c r="M502" s="54"/>
      <c r="N502" s="54"/>
      <c r="O502" s="54"/>
      <c r="P502" s="91">
        <v>-4925159000</v>
      </c>
      <c r="Q502" s="73">
        <v>-425664000</v>
      </c>
      <c r="R502" s="73">
        <f>IF(Tabela3[[#This Row],[Ativo || Passivo]]&gt;0,Tabela3[[#This Row],[Ativo || Passivo]]-Tabela3[[#This Row],[Patrimônio Líquido]],0)</f>
        <v>0</v>
      </c>
      <c r="S502" s="73">
        <f>Tabela3[[#This Row],[Cotação]]*Tabela3[[#This Row],[Total Ações]]</f>
        <v>4103394.56</v>
      </c>
      <c r="T502" s="37">
        <f>IF(Tabela3[[#This Row],[Passivo Circulante]]&gt;0,Tabela3[[#This Row],[Ativo Circulante]]/Tabela3[[#This Row],[Passivo Circulante]],0)</f>
        <v>0</v>
      </c>
      <c r="U502" s="37">
        <f>SUMPRODUCT(N([Liquidez Corrente]&gt;0),N(RIGHT([PAPEL],LEN([PAPEL])-(LEN([PAPEL])-1))="3"),[Liquidez Corrente])/SUMPRODUCT(N([Liquidez Corrente]&gt;0),N(RIGHT([PAPEL],LEN([PAPEL])-(LEN([PAPEL])-1))="3"))</f>
        <v>2.331224473064915</v>
      </c>
      <c r="V502" s="18">
        <f>IF(Tabela3[[#This Row],[Lucro Líquido]]&gt;0,Tabela3[[#This Row],[Lucro Líquido]]/Tabela3[[#This Row],[Patrimônio Líquido]],0)</f>
        <v>0</v>
      </c>
      <c r="W502" s="18">
        <f>SUMPRODUCT(N([Rentabilidade s/ PL]&gt;0),N(RIGHT([PAPEL],LEN([PAPEL])-(LEN([PAPEL])-1))="3"),[Rentabilidade s/ PL])/SUMPRODUCT(N([Rentabilidade s/ PL]&gt;0),N(RIGHT([PAPEL],LEN([PAPEL])-(LEN([PAPEL])-1))="3"))</f>
        <v>0.1261051308670782</v>
      </c>
      <c r="X502" s="18">
        <f>IF(Tabela3[[#This Row],[Dívida]]&gt;0,Tabela3[[#This Row],[Dívida]]/Tabela3[[#This Row],[Patrimônio Líquido]],0)</f>
        <v>0</v>
      </c>
      <c r="Y502" s="18">
        <f>SUMPRODUCT(N([Dívida / PL]&gt;0),N(RIGHT([PAPEL],LEN([PAPEL])-(LEN([PAPEL])-1))="3"),[Dívida / PL])/SUMPRODUCT(N([Dívida / PL]&gt;0),N(RIGHT([PAPEL],LEN([PAPEL])-(LEN([PAPEL])-1))="3"))</f>
        <v>2.1510410379481146</v>
      </c>
      <c r="Z502" s="7">
        <f>Tabela3[[#This Row],[Capital Social]]*20%</f>
        <v>33052081.936000004</v>
      </c>
      <c r="AA502" s="47">
        <f>IF(([Lucro Líquido]*5%)&gt;[Teto R. Legal],[Teto R. Legal],[Lucro Líquido]*5%)</f>
        <v>-21283200</v>
      </c>
      <c r="AB502" s="47">
        <f>IF([Lucro Líquido]&lt;0,0,[Lucro Líquido]-[Reserva Legal])</f>
        <v>0</v>
      </c>
      <c r="AC502" s="47">
        <f>Tabela3[[#This Row],[Lucro Distribuir]]*[%Div]</f>
        <v>0</v>
      </c>
      <c r="AD502" s="56">
        <f>SUMPRODUCT(N([Nome]=Tabela3[[#This Row],[Nome]]),[Ações])</f>
        <v>102584864</v>
      </c>
      <c r="AE502" s="85">
        <f>[Capital Social]/[Total Ações]</f>
        <v>1.6109628968265728</v>
      </c>
      <c r="AF502" s="85">
        <f>Tabela3[[#This Row],[Lucro Líquido]]/Tabela3[[#This Row],[Total Ações]]</f>
        <v>-4.1493840650800102</v>
      </c>
      <c r="AG502" s="85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</v>
      </c>
      <c r="AH502" s="85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502" s="77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502" s="85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</v>
      </c>
      <c r="AK502" s="7">
        <f>[Div Base]*[Ações]</f>
        <v>0</v>
      </c>
      <c r="AL502" s="120">
        <f>SUMPRODUCT(N([Nome]=Tabela3[[#This Row],[Nome]]),[Div Base]*[Ações])</f>
        <v>0</v>
      </c>
      <c r="AM502" s="5">
        <f>[Patrimônio Líquido]/[Total Ações]</f>
        <v>-48.010581755998622</v>
      </c>
      <c r="AN502" s="52">
        <f>MAX(Tabela3[[#This Row],[Cotação 1]:[Cotação 5]])</f>
        <v>0.04</v>
      </c>
      <c r="AO502" s="53">
        <f>[Cotação]/[VPA]</f>
        <v>-8.3314966278246047E-4</v>
      </c>
      <c r="AP502" s="37">
        <f>IF(Tabela3[[#This Row],[Lucro/Ação]]&gt;0,Tabela3[[#This Row],[Cotação]]/(Tabela3[[#This Row],[Lucro/Ação]]/[Ref]*4),0)</f>
        <v>0</v>
      </c>
      <c r="AQ502" s="85">
        <f>[Lucro Distribuir]/[Total Ações]</f>
        <v>0</v>
      </c>
      <c r="AR502" s="85">
        <f>IF([Unit ON]&gt;0,SUMPRODUCT(N([Nome]=Tabela3[[#This Row],[Nome]]),N(RIGHT([PAPEL],1)="3"),[Div Base])*[Unit ON]+SUMPRODUCT(N([Nome]=Tabela3[[#This Row],[Nome]]),N(RIGHT([PAPEL],1)="4"),[Div Base])*[Unit PN],[Div Base])</f>
        <v>0</v>
      </c>
      <c r="AS502" s="10" t="str">
        <f>IF(AND([% A.A.]&gt;=6%,SUMPRODUCT(N([Nome]=Tabela3[[#This Row],[Nome]]),[PL])&gt;0,[Rentabilidade s/ PL]&gt;=[Rentabilidade s/ PL Média]),"Sim","Não")</f>
        <v>Não</v>
      </c>
      <c r="AT502" s="22">
        <f>IF([Cotação]&gt;0,Tabela3[[#This Row],[Lucro]]/Tabela3[[#This Row],[Cotação]],0)</f>
        <v>0</v>
      </c>
      <c r="AU502" s="22">
        <f>((1+Tabela3[[#This Row],[% Yield]])^(1/(3*Tabela3[[#This Row],[Ref]])))^(12)-1</f>
        <v>0</v>
      </c>
      <c r="AV502" s="10">
        <f>IF([Cotação]&gt;0,($BH$1/Tabela3[[#This Row],[Cotação]]-MOD($BH$1/Tabela3[[#This Row],[Cotação]],100)),)</f>
        <v>12500</v>
      </c>
      <c r="AW502" s="7">
        <f>Tabela3[[#This Row],[Ativos]]*[Lucro]</f>
        <v>0</v>
      </c>
      <c r="AX502" s="7">
        <f>SUMPRODUCT(N(Tabela1[Código]=Tabela3[[#This Row],[PAPEL]]),Tabela1[Fechamento])</f>
        <v>0</v>
      </c>
      <c r="AY502" s="7">
        <f>SUMPRODUCT(N(Tabela17[Código]=Tabela3[[#This Row],[PAPEL]]),Tabela17[Fechamento])</f>
        <v>0</v>
      </c>
      <c r="AZ502" s="7">
        <f>SUMPRODUCT(N(Tabela176[Código]=Tabela3[[#This Row],[PAPEL]]),Tabela176[Fechamento])</f>
        <v>0</v>
      </c>
      <c r="BA502" s="7">
        <f>SUMPRODUCT(N(Tabela1768[Código]=Tabela3[[#This Row],[PAPEL]]),Tabela1768[Fechamento])</f>
        <v>0</v>
      </c>
      <c r="BB502" s="7">
        <f>SUMPRODUCT(N(Tabela17683[Código]=Tabela3[[#This Row],[PAPEL]]),Tabela17683[Fechamento])</f>
        <v>0.04</v>
      </c>
    </row>
    <row r="503" spans="1:54">
      <c r="A503" s="3" t="s">
        <v>267</v>
      </c>
      <c r="B503" s="58" t="s">
        <v>878</v>
      </c>
      <c r="C503" s="16" t="str">
        <f>LEFT([PAPEL],LEN([PAPEL])-(LEN([PAPEL])-4))</f>
        <v>BSEV</v>
      </c>
      <c r="D503" s="16">
        <v>4</v>
      </c>
      <c r="E503" s="5">
        <v>2490036011.5700002</v>
      </c>
      <c r="F503" s="56">
        <v>206810613</v>
      </c>
      <c r="G503" s="81">
        <v>0.25</v>
      </c>
      <c r="H503" s="87"/>
      <c r="J503" s="18"/>
      <c r="K503" s="16"/>
      <c r="L503" s="87"/>
      <c r="M503" s="54"/>
      <c r="N503" s="54"/>
      <c r="O503" s="54"/>
      <c r="P503" s="91">
        <v>2497136000</v>
      </c>
      <c r="Q503" s="73">
        <v>-450135000</v>
      </c>
      <c r="R503" s="73">
        <f>IF(Tabela3[[#This Row],[Ativo || Passivo]]&gt;0,Tabela3[[#This Row],[Ativo || Passivo]]-Tabela3[[#This Row],[Patrimônio Líquido]],0)</f>
        <v>0</v>
      </c>
      <c r="S503" s="73">
        <f>Tabela3[[#This Row],[Cotação]]*Tabela3[[#This Row],[Total Ações]]</f>
        <v>1863363623.1299999</v>
      </c>
      <c r="T503" s="37">
        <f>IF(Tabela3[[#This Row],[Passivo Circulante]]&gt;0,Tabela3[[#This Row],[Ativo Circulante]]/Tabela3[[#This Row],[Passivo Circulante]],0)</f>
        <v>0</v>
      </c>
      <c r="U503" s="37">
        <f>SUMPRODUCT(N([Liquidez Corrente]&gt;0),N(RIGHT([PAPEL],LEN([PAPEL])-(LEN([PAPEL])-1))="3"),[Liquidez Corrente])/SUMPRODUCT(N([Liquidez Corrente]&gt;0),N(RIGHT([PAPEL],LEN([PAPEL])-(LEN([PAPEL])-1))="3"))</f>
        <v>2.331224473064915</v>
      </c>
      <c r="V503" s="18">
        <f>IF(Tabela3[[#This Row],[Lucro Líquido]]&gt;0,Tabela3[[#This Row],[Lucro Líquido]]/Tabela3[[#This Row],[Patrimônio Líquido]],0)</f>
        <v>0</v>
      </c>
      <c r="W503" s="18">
        <f>SUMPRODUCT(N([Rentabilidade s/ PL]&gt;0),N(RIGHT([PAPEL],LEN([PAPEL])-(LEN([PAPEL])-1))="3"),[Rentabilidade s/ PL])/SUMPRODUCT(N([Rentabilidade s/ PL]&gt;0),N(RIGHT([PAPEL],LEN([PAPEL])-(LEN([PAPEL])-1))="3"))</f>
        <v>0.1261051308670782</v>
      </c>
      <c r="X503" s="18">
        <f>IF(Tabela3[[#This Row],[Dívida]]&gt;0,Tabela3[[#This Row],[Dívida]]/Tabela3[[#This Row],[Patrimônio Líquido]],0)</f>
        <v>0</v>
      </c>
      <c r="Y503" s="18">
        <f>SUMPRODUCT(N([Dívida / PL]&gt;0),N(RIGHT([PAPEL],LEN([PAPEL])-(LEN([PAPEL])-1))="3"),[Dívida / PL])/SUMPRODUCT(N([Dívida / PL]&gt;0),N(RIGHT([PAPEL],LEN([PAPEL])-(LEN([PAPEL])-1))="3"))</f>
        <v>2.1510410379481146</v>
      </c>
      <c r="Z503" s="7">
        <f>Tabela3[[#This Row],[Capital Social]]*20%</f>
        <v>498007202.31400007</v>
      </c>
      <c r="AA503" s="47">
        <f>IF(([Lucro Líquido]*5%)&gt;[Teto R. Legal],[Teto R. Legal],[Lucro Líquido]*5%)</f>
        <v>-22506750</v>
      </c>
      <c r="AB503" s="47">
        <f>IF([Lucro Líquido]&lt;0,0,[Lucro Líquido]-[Reserva Legal])</f>
        <v>0</v>
      </c>
      <c r="AC503" s="47">
        <f>Tabela3[[#This Row],[Lucro Distribuir]]*[%Div]</f>
        <v>0</v>
      </c>
      <c r="AD503" s="56">
        <f>SUMPRODUCT(N([Nome]=Tabela3[[#This Row],[Nome]]),[Ações])</f>
        <v>206810613</v>
      </c>
      <c r="AE503" s="85">
        <f>[Capital Social]/[Total Ações]</f>
        <v>12.040175189510222</v>
      </c>
      <c r="AF503" s="85">
        <f>Tabela3[[#This Row],[Lucro Líquido]]/Tabela3[[#This Row],[Total Ações]]</f>
        <v>-2.1765565773938302</v>
      </c>
      <c r="AG503" s="85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</v>
      </c>
      <c r="AH503" s="85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503" s="77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503" s="85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</v>
      </c>
      <c r="AK503" s="7">
        <f>[Div Base]*[Ações]</f>
        <v>0</v>
      </c>
      <c r="AL503" s="7">
        <f>SUMPRODUCT(N([Nome]=Tabela3[[#This Row],[Nome]]),[Div Base]*[Ações])</f>
        <v>0</v>
      </c>
      <c r="AM503" s="5">
        <f>[Patrimônio Líquido]/[Total Ações]</f>
        <v>12.074506060286181</v>
      </c>
      <c r="AN503" s="52">
        <f>MAX(Tabela3[[#This Row],[Cotação 1]:[Cotação 5]])</f>
        <v>9.01</v>
      </c>
      <c r="AO503" s="53">
        <f>[Cotação]/[VPA]</f>
        <v>0.74620029631145435</v>
      </c>
      <c r="AP503" s="37">
        <f>IF(Tabela3[[#This Row],[Lucro/Ação]]&gt;0,Tabela3[[#This Row],[Cotação]]/(Tabela3[[#This Row],[Lucro/Ação]]/[Ref]*4),0)</f>
        <v>0</v>
      </c>
      <c r="AQ503" s="85">
        <f>[Lucro Distribuir]/[Total Ações]</f>
        <v>0</v>
      </c>
      <c r="AR503" s="85">
        <f>IF([Unit ON]&gt;0,SUMPRODUCT(N([Nome]=Tabela3[[#This Row],[Nome]]),N(RIGHT([PAPEL],1)="3"),[Div Base])*[Unit ON]+SUMPRODUCT(N([Nome]=Tabela3[[#This Row],[Nome]]),N(RIGHT([PAPEL],1)="4"),[Div Base])*[Unit PN],[Div Base])</f>
        <v>0</v>
      </c>
      <c r="AS503" s="10" t="str">
        <f>IF(AND([% A.A.]&gt;=6%,SUMPRODUCT(N([Nome]=Tabela3[[#This Row],[Nome]]),[PL])&gt;0,[Rentabilidade s/ PL]&gt;=[Rentabilidade s/ PL Média]),"Sim","Não")</f>
        <v>Não</v>
      </c>
      <c r="AT503" s="22">
        <f>IF([Cotação]&gt;0,Tabela3[[#This Row],[Lucro]]/Tabela3[[#This Row],[Cotação]],0)</f>
        <v>0</v>
      </c>
      <c r="AU503" s="22">
        <f>((1+Tabela3[[#This Row],[% Yield]])^(1/(3*Tabela3[[#This Row],[Ref]])))^(12)-1</f>
        <v>0</v>
      </c>
      <c r="AV503" s="10">
        <f>IF([Cotação]&gt;0,($BH$1/Tabela3[[#This Row],[Cotação]]-MOD($BH$1/Tabela3[[#This Row],[Cotação]],100)),)</f>
        <v>0</v>
      </c>
      <c r="AW503" s="7">
        <f>Tabela3[[#This Row],[Ativos]]*[Lucro]</f>
        <v>0</v>
      </c>
      <c r="AX503" s="7">
        <f>SUMPRODUCT(N(Tabela1[Código]=Tabela3[[#This Row],[PAPEL]]),Tabela1[Fechamento])</f>
        <v>0</v>
      </c>
      <c r="AY503" s="7">
        <f>SUMPRODUCT(N(Tabela17[Código]=Tabela3[[#This Row],[PAPEL]]),Tabela17[Fechamento])</f>
        <v>0</v>
      </c>
      <c r="AZ503" s="7">
        <f>SUMPRODUCT(N(Tabela176[Código]=Tabela3[[#This Row],[PAPEL]]),Tabela176[Fechamento])</f>
        <v>0</v>
      </c>
      <c r="BA503" s="7">
        <f>SUMPRODUCT(N(Tabela1768[Código]=Tabela3[[#This Row],[PAPEL]]),Tabela1768[Fechamento])</f>
        <v>9.01</v>
      </c>
      <c r="BB503" s="7">
        <f>SUMPRODUCT(N(Tabela17683[Código]=Tabela3[[#This Row],[PAPEL]]),Tabela17683[Fechamento])</f>
        <v>0</v>
      </c>
    </row>
    <row r="504" spans="1:54" hidden="1">
      <c r="A504" s="4" t="s">
        <v>12</v>
      </c>
      <c r="B504" s="57" t="s">
        <v>505</v>
      </c>
      <c r="C504" s="15" t="str">
        <f>LEFT([PAPEL],LEN([PAPEL])-(LEN([PAPEL])-4))</f>
        <v>ENEV</v>
      </c>
      <c r="D504" s="15">
        <v>3</v>
      </c>
      <c r="E504" s="6">
        <v>3736568320.8499999</v>
      </c>
      <c r="F504" s="8">
        <v>578479962</v>
      </c>
      <c r="G504" s="81">
        <v>0.25</v>
      </c>
      <c r="H504" s="15"/>
      <c r="I504" s="19"/>
      <c r="J504" s="19"/>
      <c r="K504" s="88"/>
      <c r="L504" s="88"/>
      <c r="M504" s="55"/>
      <c r="N504" s="55"/>
      <c r="O504" s="55"/>
      <c r="P504" s="92">
        <v>2723103000</v>
      </c>
      <c r="Q504" s="93">
        <v>-662181000</v>
      </c>
      <c r="R504" s="93">
        <f>IF(Tabela3[[#This Row],[Ativo || Passivo]]&gt;0,Tabela3[[#This Row],[Ativo || Passivo]]-Tabela3[[#This Row],[Patrimônio Líquido]],0)</f>
        <v>0</v>
      </c>
      <c r="S504" s="93">
        <f>Tabela3[[#This Row],[Cotação]]*Tabela3[[#This Row],[Total Ações]]</f>
        <v>1093327128.1799998</v>
      </c>
      <c r="T504" s="40">
        <f>IF(Tabela3[[#This Row],[Passivo Circulante]]&gt;0,Tabela3[[#This Row],[Ativo Circulante]]/Tabela3[[#This Row],[Passivo Circulante]],0)</f>
        <v>0</v>
      </c>
      <c r="U504" s="40">
        <f>SUMPRODUCT(N([Liquidez Corrente]&gt;0),N(RIGHT([PAPEL],LEN([PAPEL])-(LEN([PAPEL])-1))="3"),[Liquidez Corrente])/SUMPRODUCT(N([Liquidez Corrente]&gt;0),N(RIGHT([PAPEL],LEN([PAPEL])-(LEN([PAPEL])-1))="3"))</f>
        <v>2.331224473064915</v>
      </c>
      <c r="V504" s="19">
        <f>IF(Tabela3[[#This Row],[Lucro Líquido]]&gt;0,Tabela3[[#This Row],[Lucro Líquido]]/Tabela3[[#This Row],[Patrimônio Líquido]],0)</f>
        <v>0</v>
      </c>
      <c r="W504" s="19">
        <f>SUMPRODUCT(N([Rentabilidade s/ PL]&gt;0),N(RIGHT([PAPEL],LEN([PAPEL])-(LEN([PAPEL])-1))="3"),[Rentabilidade s/ PL])/SUMPRODUCT(N([Rentabilidade s/ PL]&gt;0),N(RIGHT([PAPEL],LEN([PAPEL])-(LEN([PAPEL])-1))="3"))</f>
        <v>0.1261051308670782</v>
      </c>
      <c r="X504" s="19">
        <f>IF(Tabela3[[#This Row],[Dívida]]&gt;0,Tabela3[[#This Row],[Dívida]]/Tabela3[[#This Row],[Patrimônio Líquido]],0)</f>
        <v>0</v>
      </c>
      <c r="Y504" s="19">
        <f>SUMPRODUCT(N([Dívida / PL]&gt;0),N(RIGHT([PAPEL],LEN([PAPEL])-(LEN([PAPEL])-1))="3"),[Dívida / PL])/SUMPRODUCT(N([Dívida / PL]&gt;0),N(RIGHT([PAPEL],LEN([PAPEL])-(LEN([PAPEL])-1))="3"))</f>
        <v>2.1510410379481146</v>
      </c>
      <c r="Z504" s="13">
        <f>Tabela3[[#This Row],[Capital Social]]*20%</f>
        <v>747313664.17000008</v>
      </c>
      <c r="AA504" s="13">
        <f>IF(([Lucro Líquido]*5%)&gt;[Teto R. Legal],[Teto R. Legal],[Lucro Líquido]*5%)</f>
        <v>-33109050</v>
      </c>
      <c r="AB504" s="13">
        <f>IF([Lucro Líquido]&lt;0,0,[Lucro Líquido]-[Reserva Legal])</f>
        <v>0</v>
      </c>
      <c r="AC504" s="13">
        <f>Tabela3[[#This Row],[Lucro Distribuir]]*[%Div]</f>
        <v>0</v>
      </c>
      <c r="AD504" s="56">
        <f>SUMPRODUCT(N([Nome]=Tabela3[[#This Row],[Nome]]),[Ações])</f>
        <v>578479962</v>
      </c>
      <c r="AE504" s="6">
        <f>[Capital Social]/[Total Ações]</f>
        <v>6.4592873847028773</v>
      </c>
      <c r="AF504" s="78">
        <f>Tabela3[[#This Row],[Lucro Líquido]]/Tabela3[[#This Row],[Total Ações]]</f>
        <v>-1.1446913350474879</v>
      </c>
      <c r="AG504" s="78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</v>
      </c>
      <c r="AH504" s="78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504" s="78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504" s="78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</v>
      </c>
      <c r="AK504" s="13">
        <f>[Div Base]*[Ações]</f>
        <v>0</v>
      </c>
      <c r="AL504" s="13">
        <f>SUMPRODUCT(N([Nome]=Tabela3[[#This Row],[Nome]]),[Div Base]*[Ações])</f>
        <v>0</v>
      </c>
      <c r="AM504" s="6">
        <f>[Patrimônio Líquido]/[Total Ações]</f>
        <v>4.707341963212202</v>
      </c>
      <c r="AN504" s="48">
        <f>MAX(Tabela3[[#This Row],[Cotação 1]:[Cotação 5]])</f>
        <v>1.89</v>
      </c>
      <c r="AO504" s="44">
        <f>[Cotação]/[VPA]</f>
        <v>0.40150046773111409</v>
      </c>
      <c r="AP504" s="40">
        <f>IF(Tabela3[[#This Row],[Lucro/Ação]]&gt;0,Tabela3[[#This Row],[Cotação]]/(Tabela3[[#This Row],[Lucro/Ação]]/[Ref]*4),0)</f>
        <v>0</v>
      </c>
      <c r="AQ504" s="78">
        <f>[Lucro Distribuir]/[Total Ações]</f>
        <v>0</v>
      </c>
      <c r="AR504" s="78">
        <f>IF([Unit ON]&gt;0,SUMPRODUCT(N([Nome]=Tabela3[[#This Row],[Nome]]),N(RIGHT([PAPEL],1)="3"),[Div Base])*[Unit ON]+SUMPRODUCT(N([Nome]=Tabela3[[#This Row],[Nome]]),N(RIGHT([PAPEL],1)="4"),[Div Base])*[Unit PN],[Div Base])</f>
        <v>0</v>
      </c>
      <c r="AS504" s="14" t="str">
        <f>IF(AND([% A.A.]&gt;=6%,SUMPRODUCT(N([Nome]=Tabela3[[#This Row],[Nome]]),[PL])&gt;0,[Rentabilidade s/ PL]&gt;=[Rentabilidade s/ PL Média]),"Sim","Não")</f>
        <v>Não</v>
      </c>
      <c r="AT504" s="42">
        <f>IF([Cotação]&gt;0,Tabela3[[#This Row],[Lucro]]/Tabela3[[#This Row],[Cotação]],0)</f>
        <v>0</v>
      </c>
      <c r="AU504" s="42">
        <f>((1+Tabela3[[#This Row],[% Yield]])^(1/(3*Tabela3[[#This Row],[Ref]])))^(12)-1</f>
        <v>0</v>
      </c>
      <c r="AV504" s="14">
        <f>IF([Cotação]&gt;0,($BH$1/Tabela3[[#This Row],[Cotação]]-MOD($BH$1/Tabela3[[#This Row],[Cotação]],100)),)</f>
        <v>200</v>
      </c>
      <c r="AW504" s="17">
        <f>Tabela3[[#This Row],[Ativos]]*[Lucro]</f>
        <v>0</v>
      </c>
      <c r="AX504" s="17">
        <f>SUMPRODUCT(N(Tabela1[Código]=Tabela3[[#This Row],[PAPEL]]),Tabela1[Fechamento])</f>
        <v>0</v>
      </c>
      <c r="AY504" s="17">
        <f>SUMPRODUCT(N(Tabela17[Código]=Tabela3[[#This Row],[PAPEL]]),Tabela17[Fechamento])</f>
        <v>1.89</v>
      </c>
      <c r="AZ504" s="7">
        <f>SUMPRODUCT(N(Tabela176[Código]=Tabela3[[#This Row],[PAPEL]]),Tabela176[Fechamento])</f>
        <v>0</v>
      </c>
      <c r="BA504" s="7">
        <f>SUMPRODUCT(N(Tabela1768[Código]=Tabela3[[#This Row],[PAPEL]]),Tabela1768[Fechamento])</f>
        <v>0</v>
      </c>
      <c r="BB504" s="7">
        <f>SUMPRODUCT(N(Tabela17683[Código]=Tabela3[[#This Row],[PAPEL]]),Tabela17683[Fechamento])</f>
        <v>0</v>
      </c>
    </row>
    <row r="505" spans="1:54" hidden="1">
      <c r="A505" s="3" t="s">
        <v>1344</v>
      </c>
      <c r="B505" s="58" t="s">
        <v>1345</v>
      </c>
      <c r="C505" s="16" t="str">
        <f>LEFT([PAPEL],LEN([PAPEL])-(LEN([PAPEL])-4))</f>
        <v>GOLL</v>
      </c>
      <c r="D505" s="16">
        <v>3</v>
      </c>
      <c r="E505" s="5">
        <v>2316461740.23</v>
      </c>
      <c r="F505" s="56">
        <v>143858204</v>
      </c>
      <c r="G505" s="81">
        <v>0.25</v>
      </c>
      <c r="H505" s="87"/>
      <c r="J505" s="18"/>
      <c r="K505" s="16"/>
      <c r="L505" s="87"/>
      <c r="M505" s="54"/>
      <c r="N505" s="54"/>
      <c r="O505" s="54"/>
      <c r="P505" s="91">
        <v>634371000</v>
      </c>
      <c r="Q505" s="73">
        <v>-705285000</v>
      </c>
      <c r="R505" s="73">
        <f>IF(Tabela3[[#This Row],[Ativo || Passivo]]&gt;0,Tabela3[[#This Row],[Ativo || Passivo]]-Tabela3[[#This Row],[Patrimônio Líquido]],0)</f>
        <v>0</v>
      </c>
      <c r="S505" s="73">
        <f>Tabela3[[#This Row],[Cotação]]*Tabela3[[#This Row],[Total Ações]]</f>
        <v>0</v>
      </c>
      <c r="T505" s="37">
        <f>IF(Tabela3[[#This Row],[Passivo Circulante]]&gt;0,Tabela3[[#This Row],[Ativo Circulante]]/Tabela3[[#This Row],[Passivo Circulante]],0)</f>
        <v>0</v>
      </c>
      <c r="U505" s="37">
        <f>SUMPRODUCT(N([Liquidez Corrente]&gt;0),N(RIGHT([PAPEL],LEN([PAPEL])-(LEN([PAPEL])-1))="3"),[Liquidez Corrente])/SUMPRODUCT(N([Liquidez Corrente]&gt;0),N(RIGHT([PAPEL],LEN([PAPEL])-(LEN([PAPEL])-1))="3"))</f>
        <v>2.331224473064915</v>
      </c>
      <c r="V505" s="18">
        <f>IF(Tabela3[[#This Row],[Lucro Líquido]]&gt;0,Tabela3[[#This Row],[Lucro Líquido]]/Tabela3[[#This Row],[Patrimônio Líquido]],0)</f>
        <v>0</v>
      </c>
      <c r="W505" s="18">
        <f>SUMPRODUCT(N([Rentabilidade s/ PL]&gt;0),N(RIGHT([PAPEL],LEN([PAPEL])-(LEN([PAPEL])-1))="3"),[Rentabilidade s/ PL])/SUMPRODUCT(N([Rentabilidade s/ PL]&gt;0),N(RIGHT([PAPEL],LEN([PAPEL])-(LEN([PAPEL])-1))="3"))</f>
        <v>0.1261051308670782</v>
      </c>
      <c r="X505" s="18">
        <f>IF(Tabela3[[#This Row],[Dívida]]&gt;0,Tabela3[[#This Row],[Dívida]]/Tabela3[[#This Row],[Patrimônio Líquido]],0)</f>
        <v>0</v>
      </c>
      <c r="Y505" s="18">
        <f>SUMPRODUCT(N([Dívida / PL]&gt;0),N(RIGHT([PAPEL],LEN([PAPEL])-(LEN([PAPEL])-1))="3"),[Dívida / PL])/SUMPRODUCT(N([Dívida / PL]&gt;0),N(RIGHT([PAPEL],LEN([PAPEL])-(LEN([PAPEL])-1))="3"))</f>
        <v>2.1510410379481146</v>
      </c>
      <c r="Z505" s="7">
        <f>Tabela3[[#This Row],[Capital Social]]*20%</f>
        <v>463292348.046</v>
      </c>
      <c r="AA505" s="47">
        <f>IF(([Lucro Líquido]*5%)&gt;[Teto R. Legal],[Teto R. Legal],[Lucro Líquido]*5%)</f>
        <v>-35264250</v>
      </c>
      <c r="AB505" s="47">
        <f>IF([Lucro Líquido]&lt;0,0,[Lucro Líquido]-[Reserva Legal])</f>
        <v>0</v>
      </c>
      <c r="AC505" s="47">
        <f>Tabela3[[#This Row],[Lucro Distribuir]]*[%Div]</f>
        <v>0</v>
      </c>
      <c r="AD505" s="56">
        <f>SUMPRODUCT(N([Nome]=Tabela3[[#This Row],[Nome]]),[Ações])</f>
        <v>278861326</v>
      </c>
      <c r="AE505" s="85">
        <f>[Capital Social]/[Total Ações]</f>
        <v>8.3068590881978377</v>
      </c>
      <c r="AF505" s="85">
        <f>Tabela3[[#This Row],[Lucro Líquido]]/Tabela3[[#This Row],[Total Ações]]</f>
        <v>-2.5291603182005957</v>
      </c>
      <c r="AG505" s="85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</v>
      </c>
      <c r="AH505" s="85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505" s="77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505" s="85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</v>
      </c>
      <c r="AK505" s="7">
        <f>[Div Base]*[Ações]</f>
        <v>0</v>
      </c>
      <c r="AL505" s="120">
        <f>SUMPRODUCT(N([Nome]=Tabela3[[#This Row],[Nome]]),[Div Base]*[Ações])</f>
        <v>0</v>
      </c>
      <c r="AM505" s="5">
        <f>[Patrimônio Líquido]/[Total Ações]</f>
        <v>2.2748618788393768</v>
      </c>
      <c r="AN505" s="52">
        <f>MAX(Tabela3[[#This Row],[Cotação 1]:[Cotação 5]])</f>
        <v>0</v>
      </c>
      <c r="AO505" s="53">
        <f>[Cotação]/[VPA]</f>
        <v>0</v>
      </c>
      <c r="AP505" s="37">
        <f>IF(Tabela3[[#This Row],[Lucro/Ação]]&gt;0,Tabela3[[#This Row],[Cotação]]/(Tabela3[[#This Row],[Lucro/Ação]]/[Ref]*4),0)</f>
        <v>0</v>
      </c>
      <c r="AQ505" s="85">
        <f>[Lucro Distribuir]/[Total Ações]</f>
        <v>0</v>
      </c>
      <c r="AR505" s="85">
        <f>IF([Unit ON]&gt;0,SUMPRODUCT(N([Nome]=Tabela3[[#This Row],[Nome]]),N(RIGHT([PAPEL],1)="3"),[Div Base])*[Unit ON]+SUMPRODUCT(N([Nome]=Tabela3[[#This Row],[Nome]]),N(RIGHT([PAPEL],1)="4"),[Div Base])*[Unit PN],[Div Base])</f>
        <v>0</v>
      </c>
      <c r="AS505" s="10" t="str">
        <f>IF(AND([% A.A.]&gt;=6%,SUMPRODUCT(N([Nome]=Tabela3[[#This Row],[Nome]]),[PL])&gt;0,[Rentabilidade s/ PL]&gt;=[Rentabilidade s/ PL Média]),"Sim","Não")</f>
        <v>Não</v>
      </c>
      <c r="AT505" s="22">
        <f>IF([Cotação]&gt;0,Tabela3[[#This Row],[Lucro]]/Tabela3[[#This Row],[Cotação]],0)</f>
        <v>0</v>
      </c>
      <c r="AU505" s="22">
        <f>((1+Tabela3[[#This Row],[% Yield]])^(1/(3*Tabela3[[#This Row],[Ref]])))^(12)-1</f>
        <v>0</v>
      </c>
      <c r="AV505" s="10">
        <f>IF([Cotação]&gt;0,($BH$1/Tabela3[[#This Row],[Cotação]]-MOD($BH$1/Tabela3[[#This Row],[Cotação]],100)),)</f>
        <v>0</v>
      </c>
      <c r="AW505" s="7">
        <f>Tabela3[[#This Row],[Ativos]]*[Lucro]</f>
        <v>0</v>
      </c>
      <c r="AX505" s="7">
        <f>SUMPRODUCT(N(Tabela1[Código]=Tabela3[[#This Row],[PAPEL]]),Tabela1[Fechamento])</f>
        <v>0</v>
      </c>
      <c r="AY505" s="7">
        <f>SUMPRODUCT(N(Tabela17[Código]=Tabela3[[#This Row],[PAPEL]]),Tabela17[Fechamento])</f>
        <v>0</v>
      </c>
      <c r="AZ505" s="7">
        <f>SUMPRODUCT(N(Tabela176[Código]=Tabela3[[#This Row],[PAPEL]]),Tabela176[Fechamento])</f>
        <v>0</v>
      </c>
      <c r="BA505" s="7">
        <f>SUMPRODUCT(N(Tabela1768[Código]=Tabela3[[#This Row],[PAPEL]]),Tabela1768[Fechamento])</f>
        <v>0</v>
      </c>
      <c r="BB505" s="7">
        <f>SUMPRODUCT(N(Tabela17683[Código]=Tabela3[[#This Row],[PAPEL]]),Tabela17683[Fechamento])</f>
        <v>0</v>
      </c>
    </row>
    <row r="506" spans="1:54" hidden="1">
      <c r="A506" s="3" t="s">
        <v>1344</v>
      </c>
      <c r="B506" s="58" t="s">
        <v>1346</v>
      </c>
      <c r="C506" s="16" t="str">
        <f>LEFT([PAPEL],LEN([PAPEL])-(LEN([PAPEL])-4))</f>
        <v>GOLL</v>
      </c>
      <c r="D506" s="16">
        <v>3</v>
      </c>
      <c r="E506" s="5">
        <v>2316461740.23</v>
      </c>
      <c r="F506" s="56">
        <v>135003122</v>
      </c>
      <c r="G506" s="81">
        <v>0.25</v>
      </c>
      <c r="H506" s="87"/>
      <c r="J506" s="18"/>
      <c r="K506" s="16"/>
      <c r="L506" s="87"/>
      <c r="M506" s="54"/>
      <c r="N506" s="54"/>
      <c r="O506" s="54"/>
      <c r="P506" s="91">
        <v>634371000</v>
      </c>
      <c r="Q506" s="73">
        <v>-705285000</v>
      </c>
      <c r="R506" s="73">
        <f>IF(Tabela3[[#This Row],[Ativo || Passivo]]&gt;0,Tabela3[[#This Row],[Ativo || Passivo]]-Tabela3[[#This Row],[Patrimônio Líquido]],0)</f>
        <v>0</v>
      </c>
      <c r="S506" s="73">
        <f>Tabela3[[#This Row],[Cotação]]*Tabela3[[#This Row],[Total Ações]]</f>
        <v>3206905249</v>
      </c>
      <c r="T506" s="37">
        <f>IF(Tabela3[[#This Row],[Passivo Circulante]]&gt;0,Tabela3[[#This Row],[Ativo Circulante]]/Tabela3[[#This Row],[Passivo Circulante]],0)</f>
        <v>0</v>
      </c>
      <c r="U506" s="37">
        <f>SUMPRODUCT(N([Liquidez Corrente]&gt;0),N(RIGHT([PAPEL],LEN([PAPEL])-(LEN([PAPEL])-1))="3"),[Liquidez Corrente])/SUMPRODUCT(N([Liquidez Corrente]&gt;0),N(RIGHT([PAPEL],LEN([PAPEL])-(LEN([PAPEL])-1))="3"))</f>
        <v>2.331224473064915</v>
      </c>
      <c r="V506" s="18">
        <f>IF(Tabela3[[#This Row],[Lucro Líquido]]&gt;0,Tabela3[[#This Row],[Lucro Líquido]]/Tabela3[[#This Row],[Patrimônio Líquido]],0)</f>
        <v>0</v>
      </c>
      <c r="W506" s="18">
        <f>SUMPRODUCT(N([Rentabilidade s/ PL]&gt;0),N(RIGHT([PAPEL],LEN([PAPEL])-(LEN([PAPEL])-1))="3"),[Rentabilidade s/ PL])/SUMPRODUCT(N([Rentabilidade s/ PL]&gt;0),N(RIGHT([PAPEL],LEN([PAPEL])-(LEN([PAPEL])-1))="3"))</f>
        <v>0.1261051308670782</v>
      </c>
      <c r="X506" s="18">
        <f>IF(Tabela3[[#This Row],[Dívida]]&gt;0,Tabela3[[#This Row],[Dívida]]/Tabela3[[#This Row],[Patrimônio Líquido]],0)</f>
        <v>0</v>
      </c>
      <c r="Y506" s="18">
        <f>SUMPRODUCT(N([Dívida / PL]&gt;0),N(RIGHT([PAPEL],LEN([PAPEL])-(LEN([PAPEL])-1))="3"),[Dívida / PL])/SUMPRODUCT(N([Dívida / PL]&gt;0),N(RIGHT([PAPEL],LEN([PAPEL])-(LEN([PAPEL])-1))="3"))</f>
        <v>2.1510410379481146</v>
      </c>
      <c r="Z506" s="7">
        <f>Tabela3[[#This Row],[Capital Social]]*20%</f>
        <v>463292348.046</v>
      </c>
      <c r="AA506" s="47">
        <f>IF(([Lucro Líquido]*5%)&gt;[Teto R. Legal],[Teto R. Legal],[Lucro Líquido]*5%)</f>
        <v>-35264250</v>
      </c>
      <c r="AB506" s="47">
        <f>IF([Lucro Líquido]&lt;0,0,[Lucro Líquido]-[Reserva Legal])</f>
        <v>0</v>
      </c>
      <c r="AC506" s="47">
        <f>Tabela3[[#This Row],[Lucro Distribuir]]*[%Div]</f>
        <v>0</v>
      </c>
      <c r="AD506" s="56">
        <f>SUMPRODUCT(N([Nome]=Tabela3[[#This Row],[Nome]]),[Ações])</f>
        <v>278861326</v>
      </c>
      <c r="AE506" s="85">
        <f>[Capital Social]/[Total Ações]</f>
        <v>8.3068590881978377</v>
      </c>
      <c r="AF506" s="85">
        <f>Tabela3[[#This Row],[Lucro Líquido]]/Tabela3[[#This Row],[Total Ações]]</f>
        <v>-2.5291603182005957</v>
      </c>
      <c r="AG506" s="85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</v>
      </c>
      <c r="AH506" s="85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506" s="77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506" s="85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</v>
      </c>
      <c r="AK506" s="7">
        <f>[Div Base]*[Ações]</f>
        <v>0</v>
      </c>
      <c r="AL506" s="120">
        <f>SUMPRODUCT(N([Nome]=Tabela3[[#This Row],[Nome]]),[Div Base]*[Ações])</f>
        <v>0</v>
      </c>
      <c r="AM506" s="5">
        <f>[Patrimônio Líquido]/[Total Ações]</f>
        <v>2.2748618788393768</v>
      </c>
      <c r="AN506" s="52">
        <f>MAX(Tabela3[[#This Row],[Cotação 1]:[Cotação 5]])</f>
        <v>11.5</v>
      </c>
      <c r="AO506" s="53">
        <f>[Cotação]/[VPA]</f>
        <v>5.0552519724262304</v>
      </c>
      <c r="AP506" s="37">
        <f>IF(Tabela3[[#This Row],[Lucro/Ação]]&gt;0,Tabela3[[#This Row],[Cotação]]/(Tabela3[[#This Row],[Lucro/Ação]]/[Ref]*4),0)</f>
        <v>0</v>
      </c>
      <c r="AQ506" s="85">
        <f>[Lucro Distribuir]/[Total Ações]</f>
        <v>0</v>
      </c>
      <c r="AR506" s="85">
        <f>IF([Unit ON]&gt;0,SUMPRODUCT(N([Nome]=Tabela3[[#This Row],[Nome]]),N(RIGHT([PAPEL],1)="3"),[Div Base])*[Unit ON]+SUMPRODUCT(N([Nome]=Tabela3[[#This Row],[Nome]]),N(RIGHT([PAPEL],1)="4"),[Div Base])*[Unit PN],[Div Base])</f>
        <v>0</v>
      </c>
      <c r="AS506" s="10" t="str">
        <f>IF(AND([% A.A.]&gt;=6%,SUMPRODUCT(N([Nome]=Tabela3[[#This Row],[Nome]]),[PL])&gt;0,[Rentabilidade s/ PL]&gt;=[Rentabilidade s/ PL Média]),"Sim","Não")</f>
        <v>Não</v>
      </c>
      <c r="AT506" s="22">
        <f>IF([Cotação]&gt;0,Tabela3[[#This Row],[Lucro]]/Tabela3[[#This Row],[Cotação]],0)</f>
        <v>0</v>
      </c>
      <c r="AU506" s="22">
        <f>((1+Tabela3[[#This Row],[% Yield]])^(1/(3*Tabela3[[#This Row],[Ref]])))^(12)-1</f>
        <v>0</v>
      </c>
      <c r="AV506" s="10">
        <f>IF([Cotação]&gt;0,($BH$1/Tabela3[[#This Row],[Cotação]]-MOD($BH$1/Tabela3[[#This Row],[Cotação]],100)),)</f>
        <v>0</v>
      </c>
      <c r="AW506" s="7">
        <f>Tabela3[[#This Row],[Ativos]]*[Lucro]</f>
        <v>0</v>
      </c>
      <c r="AX506" s="7">
        <f>SUMPRODUCT(N(Tabela1[Código]=Tabela3[[#This Row],[PAPEL]]),Tabela1[Fechamento])</f>
        <v>0</v>
      </c>
      <c r="AY506" s="7">
        <f>SUMPRODUCT(N(Tabela17[Código]=Tabela3[[#This Row],[PAPEL]]),Tabela17[Fechamento])</f>
        <v>0</v>
      </c>
      <c r="AZ506" s="7">
        <f>SUMPRODUCT(N(Tabela176[Código]=Tabela3[[#This Row],[PAPEL]]),Tabela176[Fechamento])</f>
        <v>0</v>
      </c>
      <c r="BA506" s="7">
        <f>SUMPRODUCT(N(Tabela1768[Código]=Tabela3[[#This Row],[PAPEL]]),Tabela1768[Fechamento])</f>
        <v>0</v>
      </c>
      <c r="BB506" s="7">
        <f>SUMPRODUCT(N(Tabela17683[Código]=Tabela3[[#This Row],[PAPEL]]),Tabela17683[Fechamento])</f>
        <v>11.5</v>
      </c>
    </row>
    <row r="507" spans="1:54">
      <c r="A507" s="4" t="s">
        <v>19</v>
      </c>
      <c r="B507" s="57" t="s">
        <v>690</v>
      </c>
      <c r="C507" s="15" t="str">
        <f>LEFT([PAPEL],LEN([PAPEL])-(LEN([PAPEL])-4))</f>
        <v>FIBR</v>
      </c>
      <c r="D507" s="15">
        <v>4</v>
      </c>
      <c r="E507" s="6">
        <v>9740777179.5900002</v>
      </c>
      <c r="F507" s="8">
        <v>553934646</v>
      </c>
      <c r="G507" s="86">
        <v>0.25</v>
      </c>
      <c r="H507" s="15"/>
      <c r="I507" s="19"/>
      <c r="J507" s="19"/>
      <c r="K507" s="88"/>
      <c r="L507" s="88"/>
      <c r="M507" s="55"/>
      <c r="N507" s="55"/>
      <c r="O507" s="55"/>
      <c r="P507" s="92">
        <v>14444899000</v>
      </c>
      <c r="Q507" s="93">
        <v>-706422000</v>
      </c>
      <c r="R507" s="93">
        <f>IF(Tabela3[[#This Row],[Ativo || Passivo]]&gt;0,Tabela3[[#This Row],[Ativo || Passivo]]-Tabela3[[#This Row],[Patrimônio Líquido]],0)</f>
        <v>0</v>
      </c>
      <c r="S507" s="93">
        <f>Tabela3[[#This Row],[Cotação]]*Tabela3[[#This Row],[Total Ações]]</f>
        <v>14551863150.42</v>
      </c>
      <c r="T507" s="40">
        <f>IF(Tabela3[[#This Row],[Passivo Circulante]]&gt;0,Tabela3[[#This Row],[Ativo Circulante]]/Tabela3[[#This Row],[Passivo Circulante]],0)</f>
        <v>0</v>
      </c>
      <c r="U507" s="40">
        <f>SUMPRODUCT(N([Liquidez Corrente]&gt;0),N(RIGHT([PAPEL],LEN([PAPEL])-(LEN([PAPEL])-1))="3"),[Liquidez Corrente])/SUMPRODUCT(N([Liquidez Corrente]&gt;0),N(RIGHT([PAPEL],LEN([PAPEL])-(LEN([PAPEL])-1))="3"))</f>
        <v>2.331224473064915</v>
      </c>
      <c r="V507" s="19">
        <f>IF(Tabela3[[#This Row],[Lucro Líquido]]&gt;0,Tabela3[[#This Row],[Lucro Líquido]]/Tabela3[[#This Row],[Patrimônio Líquido]],0)</f>
        <v>0</v>
      </c>
      <c r="W507" s="19">
        <f>SUMPRODUCT(N([Rentabilidade s/ PL]&gt;0),N(RIGHT([PAPEL],LEN([PAPEL])-(LEN([PAPEL])-1))="3"),[Rentabilidade s/ PL])/SUMPRODUCT(N([Rentabilidade s/ PL]&gt;0),N(RIGHT([PAPEL],LEN([PAPEL])-(LEN([PAPEL])-1))="3"))</f>
        <v>0.1261051308670782</v>
      </c>
      <c r="X507" s="19">
        <f>IF(Tabela3[[#This Row],[Dívida]]&gt;0,Tabela3[[#This Row],[Dívida]]/Tabela3[[#This Row],[Patrimônio Líquido]],0)</f>
        <v>0</v>
      </c>
      <c r="Y507" s="19">
        <f>SUMPRODUCT(N([Dívida / PL]&gt;0),N(RIGHT([PAPEL],LEN([PAPEL])-(LEN([PAPEL])-1))="3"),[Dívida / PL])/SUMPRODUCT(N([Dívida / PL]&gt;0),N(RIGHT([PAPEL],LEN([PAPEL])-(LEN([PAPEL])-1))="3"))</f>
        <v>2.1510410379481146</v>
      </c>
      <c r="Z507" s="13">
        <f>Tabela3[[#This Row],[Capital Social]]*20%</f>
        <v>1948155435.9180002</v>
      </c>
      <c r="AA507" s="13">
        <f>IF(([Lucro Líquido]*5%)&gt;[Teto R. Legal],[Teto R. Legal],[Lucro Líquido]*5%)</f>
        <v>-35321100</v>
      </c>
      <c r="AB507" s="13">
        <f>IF([Lucro Líquido]&lt;0,0,[Lucro Líquido]-[Reserva Legal])</f>
        <v>0</v>
      </c>
      <c r="AC507" s="13">
        <f>Tabela3[[#This Row],[Lucro Distribuir]]*[%Div]</f>
        <v>0</v>
      </c>
      <c r="AD507" s="56">
        <f>SUMPRODUCT(N([Nome]=Tabela3[[#This Row],[Nome]]),[Ações])</f>
        <v>553934646</v>
      </c>
      <c r="AE507" s="6">
        <f>[Capital Social]/[Total Ações]</f>
        <v>17.584704711880399</v>
      </c>
      <c r="AF507" s="78">
        <f>Tabela3[[#This Row],[Lucro Líquido]]/Tabela3[[#This Row],[Total Ações]]</f>
        <v>-1.2752804055516687</v>
      </c>
      <c r="AG507" s="78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</v>
      </c>
      <c r="AH507" s="78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507" s="78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507" s="78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</v>
      </c>
      <c r="AK507" s="13">
        <f>[Div Base]*[Ações]</f>
        <v>0</v>
      </c>
      <c r="AL507" s="13">
        <f>SUMPRODUCT(N([Nome]=Tabela3[[#This Row],[Nome]]),[Div Base]*[Ações])</f>
        <v>0</v>
      </c>
      <c r="AM507" s="6">
        <f>[Patrimônio Líquido]/[Total Ações]</f>
        <v>26.076901136817501</v>
      </c>
      <c r="AN507" s="48">
        <f>MAX(Tabela3[[#This Row],[Cotação 1]:[Cotação 5]])</f>
        <v>26.27</v>
      </c>
      <c r="AO507" s="44">
        <f>[Cotação]/[VPA]</f>
        <v>1.0074049773847502</v>
      </c>
      <c r="AP507" s="40">
        <f>IF(Tabela3[[#This Row],[Lucro/Ação]]&gt;0,Tabela3[[#This Row],[Cotação]]/(Tabela3[[#This Row],[Lucro/Ação]]/[Ref]*4),0)</f>
        <v>0</v>
      </c>
      <c r="AQ507" s="78">
        <f>[Lucro Distribuir]/[Total Ações]</f>
        <v>0</v>
      </c>
      <c r="AR507" s="78">
        <f>IF([Unit ON]&gt;0,SUMPRODUCT(N([Nome]=Tabela3[[#This Row],[Nome]]),N(RIGHT([PAPEL],1)="3"),[Div Base])*[Unit ON]+SUMPRODUCT(N([Nome]=Tabela3[[#This Row],[Nome]]),N(RIGHT([PAPEL],1)="4"),[Div Base])*[Unit PN],[Div Base])</f>
        <v>0</v>
      </c>
      <c r="AS507" s="14" t="str">
        <f>IF(AND([% A.A.]&gt;=6%,SUMPRODUCT(N([Nome]=Tabela3[[#This Row],[Nome]]),[PL])&gt;0,[Rentabilidade s/ PL]&gt;=[Rentabilidade s/ PL Média]),"Sim","Não")</f>
        <v>Não</v>
      </c>
      <c r="AT507" s="42">
        <f>IF([Cotação]&gt;0,Tabela3[[#This Row],[Lucro]]/Tabela3[[#This Row],[Cotação]],0)</f>
        <v>0</v>
      </c>
      <c r="AU507" s="42">
        <f>((1+Tabela3[[#This Row],[% Yield]])^(1/(3*Tabela3[[#This Row],[Ref]])))^(12)-1</f>
        <v>0</v>
      </c>
      <c r="AV507" s="14">
        <f>IF([Cotação]&gt;0,($BH$1/Tabela3[[#This Row],[Cotação]]-MOD($BH$1/Tabela3[[#This Row],[Cotação]],100)),)</f>
        <v>0</v>
      </c>
      <c r="AW507" s="17">
        <f>Tabela3[[#This Row],[Ativos]]*[Lucro]</f>
        <v>0</v>
      </c>
      <c r="AX507" s="17">
        <f>SUMPRODUCT(N(Tabela1[Código]=Tabela3[[#This Row],[PAPEL]]),Tabela1[Fechamento])</f>
        <v>0</v>
      </c>
      <c r="AY507" s="17">
        <f>SUMPRODUCT(N(Tabela17[Código]=Tabela3[[#This Row],[PAPEL]]),Tabela17[Fechamento])</f>
        <v>0</v>
      </c>
      <c r="AZ507" s="17">
        <f>SUMPRODUCT(N(Tabela176[Código]=Tabela3[[#This Row],[PAPEL]]),Tabela176[Fechamento])</f>
        <v>26.27</v>
      </c>
      <c r="BA507" s="17">
        <f>SUMPRODUCT(N(Tabela1768[Código]=Tabela3[[#This Row],[PAPEL]]),Tabela1768[Fechamento])</f>
        <v>0</v>
      </c>
      <c r="BB507" s="7">
        <f>SUMPRODUCT(N(Tabela17683[Código]=Tabela3[[#This Row],[PAPEL]]),Tabela17683[Fechamento])</f>
        <v>0</v>
      </c>
    </row>
    <row r="508" spans="1:54" hidden="1">
      <c r="A508" s="4" t="s">
        <v>12</v>
      </c>
      <c r="B508" s="57" t="s">
        <v>2</v>
      </c>
      <c r="C508" s="15" t="str">
        <f>LEFT([PAPEL],LEN([PAPEL])-(LEN([PAPEL])-4))</f>
        <v>ELET</v>
      </c>
      <c r="D508" s="15">
        <v>3</v>
      </c>
      <c r="E508" s="6">
        <v>31305331463.740002</v>
      </c>
      <c r="F508" s="8">
        <v>1087050297</v>
      </c>
      <c r="G508" s="86">
        <v>0.25</v>
      </c>
      <c r="H508" s="15"/>
      <c r="I508" s="19"/>
      <c r="J508" s="19"/>
      <c r="K508" s="88"/>
      <c r="L508" s="88"/>
      <c r="M508" s="55"/>
      <c r="N508" s="55"/>
      <c r="O508" s="55"/>
      <c r="P508" s="89">
        <v>65493746000</v>
      </c>
      <c r="Q508" s="89">
        <v>-787071000</v>
      </c>
      <c r="R508" s="89">
        <f>IF(Tabela3[[#This Row],[Ativo || Passivo]]&gt;0,Tabela3[[#This Row],[Ativo || Passivo]]-Tabela3[[#This Row],[Patrimônio Líquido]],0)</f>
        <v>0</v>
      </c>
      <c r="S508" s="89">
        <f>Tabela3[[#This Row],[Cotação]]*Tabela3[[#This Row],[Total Ações]]</f>
        <v>6614380749</v>
      </c>
      <c r="T508" s="132">
        <f>IF(Tabela3[[#This Row],[Passivo Circulante]]&gt;0,Tabela3[[#This Row],[Ativo Circulante]]/Tabela3[[#This Row],[Passivo Circulante]],0)</f>
        <v>0</v>
      </c>
      <c r="U508" s="132">
        <f>SUMPRODUCT(N([Liquidez Corrente]&gt;0),N(RIGHT([PAPEL],LEN([PAPEL])-(LEN([PAPEL])-1))="3"),[Liquidez Corrente])/SUMPRODUCT(N([Liquidez Corrente]&gt;0),N(RIGHT([PAPEL],LEN([PAPEL])-(LEN([PAPEL])-1))="3"))</f>
        <v>2.331224473064915</v>
      </c>
      <c r="V508" s="19">
        <f>IF(Tabela3[[#This Row],[Lucro Líquido]]&gt;0,Tabela3[[#This Row],[Lucro Líquido]]/Tabela3[[#This Row],[Patrimônio Líquido]],0)</f>
        <v>0</v>
      </c>
      <c r="W508" s="19">
        <f>SUMPRODUCT(N([Rentabilidade s/ PL]&gt;0),N(RIGHT([PAPEL],LEN([PAPEL])-(LEN([PAPEL])-1))="3"),[Rentabilidade s/ PL])/SUMPRODUCT(N([Rentabilidade s/ PL]&gt;0),N(RIGHT([PAPEL],LEN([PAPEL])-(LEN([PAPEL])-1))="3"))</f>
        <v>0.1261051308670782</v>
      </c>
      <c r="X508" s="19">
        <f>IF(Tabela3[[#This Row],[Dívida]]&gt;0,Tabela3[[#This Row],[Dívida]]/Tabela3[[#This Row],[Patrimônio Líquido]],0)</f>
        <v>0</v>
      </c>
      <c r="Y508" s="19">
        <f>SUMPRODUCT(N([Dívida / PL]&gt;0),N(RIGHT([PAPEL],LEN([PAPEL])-(LEN([PAPEL])-1))="3"),[Dívida / PL])/SUMPRODUCT(N([Dívida / PL]&gt;0),N(RIGHT([PAPEL],LEN([PAPEL])-(LEN([PAPEL])-1))="3"))</f>
        <v>2.1510410379481146</v>
      </c>
      <c r="Z508" s="6">
        <f>Tabela3[[#This Row],[Capital Social]]*20%</f>
        <v>6261066292.7480011</v>
      </c>
      <c r="AA508" s="6">
        <f>IF(([Lucro Líquido]*5%)&gt;[Teto R. Legal],[Teto R. Legal],[Lucro Líquido]*5%)</f>
        <v>-39353550</v>
      </c>
      <c r="AB508" s="89">
        <f>IF([Lucro Líquido]&lt;0,0,[Lucro Líquido]-[Reserva Legal])</f>
        <v>0</v>
      </c>
      <c r="AC508" s="89">
        <f>Tabela3[[#This Row],[Lucro Distribuir]]*[%Div]</f>
        <v>0</v>
      </c>
      <c r="AD508" s="56">
        <f>SUMPRODUCT(N([Nome]=Tabela3[[#This Row],[Nome]]),[Ações])</f>
        <v>1352634100</v>
      </c>
      <c r="AE508" s="6">
        <f>[Capital Social]/[Total Ações]</f>
        <v>23.143976234031069</v>
      </c>
      <c r="AF508" s="78">
        <f>Tabela3[[#This Row],[Lucro Líquido]]/Tabela3[[#This Row],[Total Ações]]</f>
        <v>-0.58188019953067871</v>
      </c>
      <c r="AG508" s="78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</v>
      </c>
      <c r="AH508" s="78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508" s="78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508" s="78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</v>
      </c>
      <c r="AK508" s="6">
        <f>[Div Base]*[Ações]</f>
        <v>0</v>
      </c>
      <c r="AL508" s="6">
        <f>SUMPRODUCT(N([Nome]=Tabela3[[#This Row],[Nome]]),[Div Base]*[Ações])</f>
        <v>0</v>
      </c>
      <c r="AM508" s="6">
        <f>[Patrimônio Líquido]/[Total Ações]</f>
        <v>48.419410689113931</v>
      </c>
      <c r="AN508" s="11">
        <f>MAX(Tabela3[[#This Row],[Cotação 1]:[Cotação 5]])</f>
        <v>4.8899999999999997</v>
      </c>
      <c r="AO508" s="9">
        <f>[Cotação]/[VPA]</f>
        <v>0.10099255506014268</v>
      </c>
      <c r="AP508" s="36">
        <f>IF(Tabela3[[#This Row],[Lucro/Ação]]&gt;0,Tabela3[[#This Row],[Cotação]]/(Tabela3[[#This Row],[Lucro/Ação]]/[Ref]*4),0)</f>
        <v>0</v>
      </c>
      <c r="AQ508" s="78">
        <f>[Lucro Distribuir]/[Total Ações]</f>
        <v>0</v>
      </c>
      <c r="AR508" s="78">
        <f>IF([Unit ON]&gt;0,SUMPRODUCT(N([Nome]=Tabela3[[#This Row],[Nome]]),N(RIGHT([PAPEL],1)="3"),[Div Base])*[Unit ON]+SUMPRODUCT(N([Nome]=Tabela3[[#This Row],[Nome]]),N(RIGHT([PAPEL],1)="4"),[Div Base])*[Unit PN],[Div Base])</f>
        <v>0</v>
      </c>
      <c r="AS508" s="14" t="str">
        <f>IF(AND([% A.A.]&gt;=6%,SUMPRODUCT(N([Nome]=Tabela3[[#This Row],[Nome]]),[PL])&gt;0,[Rentabilidade s/ PL]&gt;=[Rentabilidade s/ PL Média]),"Sim","Não")</f>
        <v>Não</v>
      </c>
      <c r="AT508" s="19">
        <f>IF([Cotação]&gt;0,Tabela3[[#This Row],[Lucro]]/Tabela3[[#This Row],[Cotação]],0)</f>
        <v>0</v>
      </c>
      <c r="AU508" s="19">
        <f>((1+Tabela3[[#This Row],[% Yield]])^(1/(3*Tabela3[[#This Row],[Ref]])))^(12)-1</f>
        <v>0</v>
      </c>
      <c r="AV508" s="10">
        <f>IF([Cotação]&gt;0,($BH$1/Tabela3[[#This Row],[Cotação]]-MOD($BH$1/Tabela3[[#This Row],[Cotação]],100)),)</f>
        <v>100</v>
      </c>
      <c r="AW508" s="5">
        <f>Tabela3[[#This Row],[Ativos]]*[Lucro]</f>
        <v>0</v>
      </c>
      <c r="AX508" s="5">
        <f>SUMPRODUCT(N(Tabela1[Código]=Tabela3[[#This Row],[PAPEL]]),Tabela1[Fechamento])</f>
        <v>4.8899999999999997</v>
      </c>
      <c r="AY508" s="5">
        <f>SUMPRODUCT(N(Tabela17[Código]=Tabela3[[#This Row],[PAPEL]]),Tabela17[Fechamento])</f>
        <v>0</v>
      </c>
      <c r="AZ508" s="7">
        <f>SUMPRODUCT(N(Tabela176[Código]=Tabela3[[#This Row],[PAPEL]]),Tabela176[Fechamento])</f>
        <v>0</v>
      </c>
      <c r="BA508" s="7">
        <f>SUMPRODUCT(N(Tabela1768[Código]=Tabela3[[#This Row],[PAPEL]]),Tabela1768[Fechamento])</f>
        <v>0</v>
      </c>
      <c r="BB508" s="7">
        <f>SUMPRODUCT(N(Tabela17683[Código]=Tabela3[[#This Row],[PAPEL]]),Tabela17683[Fechamento])</f>
        <v>0</v>
      </c>
    </row>
    <row r="509" spans="1:54" hidden="1">
      <c r="A509" s="4" t="s">
        <v>12</v>
      </c>
      <c r="B509" s="57" t="s">
        <v>468</v>
      </c>
      <c r="C509" s="15" t="str">
        <f>LEFT([PAPEL],LEN([PAPEL])-(LEN([PAPEL])-4))</f>
        <v>ELET</v>
      </c>
      <c r="D509" s="15">
        <v>3</v>
      </c>
      <c r="E509" s="6">
        <v>31305331463.740002</v>
      </c>
      <c r="F509" s="8">
        <v>146920</v>
      </c>
      <c r="G509" s="86">
        <v>0.25</v>
      </c>
      <c r="H509" s="15"/>
      <c r="I509" s="19">
        <v>0.08</v>
      </c>
      <c r="J509" s="19"/>
      <c r="K509" s="88"/>
      <c r="L509" s="88"/>
      <c r="M509" s="55"/>
      <c r="N509" s="55"/>
      <c r="O509" s="55"/>
      <c r="P509" s="89">
        <v>65493746000</v>
      </c>
      <c r="Q509" s="89">
        <v>-787071000</v>
      </c>
      <c r="R509" s="89">
        <f>IF(Tabela3[[#This Row],[Ativo || Passivo]]&gt;0,Tabela3[[#This Row],[Ativo || Passivo]]-Tabela3[[#This Row],[Patrimônio Líquido]],0)</f>
        <v>0</v>
      </c>
      <c r="S509" s="89">
        <f>Tabela3[[#This Row],[Cotação]]*Tabela3[[#This Row],[Total Ações]]</f>
        <v>31124110641.000004</v>
      </c>
      <c r="T509" s="132">
        <f>IF(Tabela3[[#This Row],[Passivo Circulante]]&gt;0,Tabela3[[#This Row],[Ativo Circulante]]/Tabela3[[#This Row],[Passivo Circulante]],0)</f>
        <v>0</v>
      </c>
      <c r="U509" s="132">
        <f>SUMPRODUCT(N([Liquidez Corrente]&gt;0),N(RIGHT([PAPEL],LEN([PAPEL])-(LEN([PAPEL])-1))="3"),[Liquidez Corrente])/SUMPRODUCT(N([Liquidez Corrente]&gt;0),N(RIGHT([PAPEL],LEN([PAPEL])-(LEN([PAPEL])-1))="3"))</f>
        <v>2.331224473064915</v>
      </c>
      <c r="V509" s="19">
        <f>IF(Tabela3[[#This Row],[Lucro Líquido]]&gt;0,Tabela3[[#This Row],[Lucro Líquido]]/Tabela3[[#This Row],[Patrimônio Líquido]],0)</f>
        <v>0</v>
      </c>
      <c r="W509" s="19">
        <f>SUMPRODUCT(N([Rentabilidade s/ PL]&gt;0),N(RIGHT([PAPEL],LEN([PAPEL])-(LEN([PAPEL])-1))="3"),[Rentabilidade s/ PL])/SUMPRODUCT(N([Rentabilidade s/ PL]&gt;0),N(RIGHT([PAPEL],LEN([PAPEL])-(LEN([PAPEL])-1))="3"))</f>
        <v>0.1261051308670782</v>
      </c>
      <c r="X509" s="19">
        <f>IF(Tabela3[[#This Row],[Dívida]]&gt;0,Tabela3[[#This Row],[Dívida]]/Tabela3[[#This Row],[Patrimônio Líquido]],0)</f>
        <v>0</v>
      </c>
      <c r="Y509" s="19">
        <f>SUMPRODUCT(N([Dívida / PL]&gt;0),N(RIGHT([PAPEL],LEN([PAPEL])-(LEN([PAPEL])-1))="3"),[Dívida / PL])/SUMPRODUCT(N([Dívida / PL]&gt;0),N(RIGHT([PAPEL],LEN([PAPEL])-(LEN([PAPEL])-1))="3"))</f>
        <v>2.1510410379481146</v>
      </c>
      <c r="Z509" s="6">
        <f>Tabela3[[#This Row],[Capital Social]]*20%</f>
        <v>6261066292.7480011</v>
      </c>
      <c r="AA509" s="6">
        <f>IF(([Lucro Líquido]*5%)&gt;[Teto R. Legal],[Teto R. Legal],[Lucro Líquido]*5%)</f>
        <v>-39353550</v>
      </c>
      <c r="AB509" s="89">
        <f>IF([Lucro Líquido]&lt;0,0,[Lucro Líquido]-[Reserva Legal])</f>
        <v>0</v>
      </c>
      <c r="AC509" s="89">
        <f>Tabela3[[#This Row],[Lucro Distribuir]]*[%Div]</f>
        <v>0</v>
      </c>
      <c r="AD509" s="56">
        <f>SUMPRODUCT(N([Nome]=Tabela3[[#This Row],[Nome]]),[Ações])</f>
        <v>1352634100</v>
      </c>
      <c r="AE509" s="6">
        <f>[Capital Social]/[Total Ações]</f>
        <v>23.143976234031069</v>
      </c>
      <c r="AF509" s="78">
        <f>Tabela3[[#This Row],[Lucro Líquido]]/Tabela3[[#This Row],[Total Ações]]</f>
        <v>-0.58188019953067871</v>
      </c>
      <c r="AG509" s="78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</v>
      </c>
      <c r="AH509" s="78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509" s="78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509" s="78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</v>
      </c>
      <c r="AK509" s="6">
        <f>[Div Base]*[Ações]</f>
        <v>0</v>
      </c>
      <c r="AL509" s="6">
        <f>SUMPRODUCT(N([Nome]=Tabela3[[#This Row],[Nome]]),[Div Base]*[Ações])</f>
        <v>0</v>
      </c>
      <c r="AM509" s="6">
        <f>[Patrimônio Líquido]/[Total Ações]</f>
        <v>48.419410689113931</v>
      </c>
      <c r="AN509" s="11">
        <f>MAX(Tabela3[[#This Row],[Cotação 1]:[Cotação 5]])</f>
        <v>23.01</v>
      </c>
      <c r="AO509" s="9">
        <f>[Cotação]/[VPA]</f>
        <v>0.47522263638729723</v>
      </c>
      <c r="AP509" s="36">
        <f>IF(Tabela3[[#This Row],[Lucro/Ação]]&gt;0,Tabela3[[#This Row],[Cotação]]/(Tabela3[[#This Row],[Lucro/Ação]]/[Ref]*4),0)</f>
        <v>0</v>
      </c>
      <c r="AQ509" s="78">
        <f>[Lucro Distribuir]/[Total Ações]</f>
        <v>0</v>
      </c>
      <c r="AR509" s="78">
        <f>IF([Unit ON]&gt;0,SUMPRODUCT(N([Nome]=Tabela3[[#This Row],[Nome]]),N(RIGHT([PAPEL],1)="3"),[Div Base])*[Unit ON]+SUMPRODUCT(N([Nome]=Tabela3[[#This Row],[Nome]]),N(RIGHT([PAPEL],1)="4"),[Div Base])*[Unit PN],[Div Base])</f>
        <v>0</v>
      </c>
      <c r="AS509" s="14" t="str">
        <f>IF(AND([% A.A.]&gt;=6%,SUMPRODUCT(N([Nome]=Tabela3[[#This Row],[Nome]]),[PL])&gt;0,[Rentabilidade s/ PL]&gt;=[Rentabilidade s/ PL Média]),"Sim","Não")</f>
        <v>Não</v>
      </c>
      <c r="AT509" s="19">
        <f>IF([Cotação]&gt;0,Tabela3[[#This Row],[Lucro]]/Tabela3[[#This Row],[Cotação]],0)</f>
        <v>0</v>
      </c>
      <c r="AU509" s="19">
        <f>((1+Tabela3[[#This Row],[% Yield]])^(1/(3*Tabela3[[#This Row],[Ref]])))^(12)-1</f>
        <v>0</v>
      </c>
      <c r="AV509" s="10">
        <f>IF([Cotação]&gt;0,($BH$1/Tabela3[[#This Row],[Cotação]]-MOD($BH$1/Tabela3[[#This Row],[Cotação]],100)),)</f>
        <v>0</v>
      </c>
      <c r="AW509" s="5">
        <f>Tabela3[[#This Row],[Ativos]]*[Lucro]</f>
        <v>0</v>
      </c>
      <c r="AX509" s="5">
        <f>SUMPRODUCT(N(Tabela1[Código]=Tabela3[[#This Row],[PAPEL]]),Tabela1[Fechamento])</f>
        <v>0</v>
      </c>
      <c r="AY509" s="5">
        <f>SUMPRODUCT(N(Tabela17[Código]=Tabela3[[#This Row],[PAPEL]]),Tabela17[Fechamento])</f>
        <v>23.01</v>
      </c>
      <c r="AZ509" s="7">
        <f>SUMPRODUCT(N(Tabela176[Código]=Tabela3[[#This Row],[PAPEL]]),Tabela176[Fechamento])</f>
        <v>0</v>
      </c>
      <c r="BA509" s="7">
        <f>SUMPRODUCT(N(Tabela1768[Código]=Tabela3[[#This Row],[PAPEL]]),Tabela1768[Fechamento])</f>
        <v>0</v>
      </c>
      <c r="BB509" s="7">
        <f>SUMPRODUCT(N(Tabela17683[Código]=Tabela3[[#This Row],[PAPEL]]),Tabela17683[Fechamento])</f>
        <v>0</v>
      </c>
    </row>
    <row r="510" spans="1:54" hidden="1">
      <c r="A510" s="4" t="s">
        <v>12</v>
      </c>
      <c r="B510" s="57" t="s">
        <v>27</v>
      </c>
      <c r="C510" s="15" t="str">
        <f>LEFT([PAPEL],LEN([PAPEL])-(LEN([PAPEL])-4))</f>
        <v>ELET</v>
      </c>
      <c r="D510" s="15">
        <v>3</v>
      </c>
      <c r="E510" s="6">
        <v>31305331463.740002</v>
      </c>
      <c r="F510" s="8">
        <v>265436883</v>
      </c>
      <c r="G510" s="81">
        <v>0.25</v>
      </c>
      <c r="H510" s="15"/>
      <c r="I510" s="19">
        <v>0.06</v>
      </c>
      <c r="J510" s="19"/>
      <c r="K510" s="88"/>
      <c r="L510" s="88"/>
      <c r="M510" s="55"/>
      <c r="N510" s="55"/>
      <c r="O510" s="55"/>
      <c r="P510" s="89">
        <v>65493746000</v>
      </c>
      <c r="Q510" s="89">
        <v>-787071000</v>
      </c>
      <c r="R510" s="89">
        <f>IF(Tabela3[[#This Row],[Ativo || Passivo]]&gt;0,Tabela3[[#This Row],[Ativo || Passivo]]-Tabela3[[#This Row],[Patrimônio Líquido]],0)</f>
        <v>0</v>
      </c>
      <c r="S510" s="89">
        <f>Tabela3[[#This Row],[Cotação]]*Tabela3[[#This Row],[Total Ações]]</f>
        <v>12011390808.000002</v>
      </c>
      <c r="T510" s="132">
        <f>IF(Tabela3[[#This Row],[Passivo Circulante]]&gt;0,Tabela3[[#This Row],[Ativo Circulante]]/Tabela3[[#This Row],[Passivo Circulante]],0)</f>
        <v>0</v>
      </c>
      <c r="U510" s="132">
        <f>SUMPRODUCT(N([Liquidez Corrente]&gt;0),N(RIGHT([PAPEL],LEN([PAPEL])-(LEN([PAPEL])-1))="3"),[Liquidez Corrente])/SUMPRODUCT(N([Liquidez Corrente]&gt;0),N(RIGHT([PAPEL],LEN([PAPEL])-(LEN([PAPEL])-1))="3"))</f>
        <v>2.331224473064915</v>
      </c>
      <c r="V510" s="19">
        <f>IF(Tabela3[[#This Row],[Lucro Líquido]]&gt;0,Tabela3[[#This Row],[Lucro Líquido]]/Tabela3[[#This Row],[Patrimônio Líquido]],0)</f>
        <v>0</v>
      </c>
      <c r="W510" s="19">
        <f>SUMPRODUCT(N([Rentabilidade s/ PL]&gt;0),N(RIGHT([PAPEL],LEN([PAPEL])-(LEN([PAPEL])-1))="3"),[Rentabilidade s/ PL])/SUMPRODUCT(N([Rentabilidade s/ PL]&gt;0),N(RIGHT([PAPEL],LEN([PAPEL])-(LEN([PAPEL])-1))="3"))</f>
        <v>0.1261051308670782</v>
      </c>
      <c r="X510" s="19">
        <f>IF(Tabela3[[#This Row],[Dívida]]&gt;0,Tabela3[[#This Row],[Dívida]]/Tabela3[[#This Row],[Patrimônio Líquido]],0)</f>
        <v>0</v>
      </c>
      <c r="Y510" s="19">
        <f>SUMPRODUCT(N([Dívida / PL]&gt;0),N(RIGHT([PAPEL],LEN([PAPEL])-(LEN([PAPEL])-1))="3"),[Dívida / PL])/SUMPRODUCT(N([Dívida / PL]&gt;0),N(RIGHT([PAPEL],LEN([PAPEL])-(LEN([PAPEL])-1))="3"))</f>
        <v>2.1510410379481146</v>
      </c>
      <c r="Z510" s="6">
        <f>Tabela3[[#This Row],[Capital Social]]*20%</f>
        <v>6261066292.7480011</v>
      </c>
      <c r="AA510" s="6">
        <f>IF(([Lucro Líquido]*5%)&gt;[Teto R. Legal],[Teto R. Legal],[Lucro Líquido]*5%)</f>
        <v>-39353550</v>
      </c>
      <c r="AB510" s="89">
        <f>IF([Lucro Líquido]&lt;0,0,[Lucro Líquido]-[Reserva Legal])</f>
        <v>0</v>
      </c>
      <c r="AC510" s="89">
        <f>Tabela3[[#This Row],[Lucro Distribuir]]*[%Div]</f>
        <v>0</v>
      </c>
      <c r="AD510" s="56">
        <f>SUMPRODUCT(N([Nome]=Tabela3[[#This Row],[Nome]]),[Ações])</f>
        <v>1352634100</v>
      </c>
      <c r="AE510" s="6">
        <f>[Capital Social]/[Total Ações]</f>
        <v>23.143976234031069</v>
      </c>
      <c r="AF510" s="78">
        <f>Tabela3[[#This Row],[Lucro Líquido]]/Tabela3[[#This Row],[Total Ações]]</f>
        <v>-0.58188019953067871</v>
      </c>
      <c r="AG510" s="78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</v>
      </c>
      <c r="AH510" s="78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510" s="78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510" s="78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</v>
      </c>
      <c r="AK510" s="6">
        <f>[Div Base]*[Ações]</f>
        <v>0</v>
      </c>
      <c r="AL510" s="6">
        <f>SUMPRODUCT(N([Nome]=Tabela3[[#This Row],[Nome]]),[Div Base]*[Ações])</f>
        <v>0</v>
      </c>
      <c r="AM510" s="28">
        <f>[Patrimônio Líquido]/[Total Ações]</f>
        <v>48.419410689113931</v>
      </c>
      <c r="AN510" s="29">
        <f>MAX(Tabela3[[#This Row],[Cotação 1]:[Cotação 5]])</f>
        <v>8.8800000000000008</v>
      </c>
      <c r="AO510" s="30">
        <f>[Cotação]/[VPA]</f>
        <v>0.18339752329940023</v>
      </c>
      <c r="AP510" s="35">
        <f>IF(Tabela3[[#This Row],[Lucro/Ação]]&gt;0,Tabela3[[#This Row],[Cotação]]/(Tabela3[[#This Row],[Lucro/Ação]]/[Ref]*4),0)</f>
        <v>0</v>
      </c>
      <c r="AQ510" s="78">
        <f>[Lucro Distribuir]/[Total Ações]</f>
        <v>0</v>
      </c>
      <c r="AR510" s="78">
        <f>IF([Unit ON]&gt;0,SUMPRODUCT(N([Nome]=Tabela3[[#This Row],[Nome]]),N(RIGHT([PAPEL],1)="3"),[Div Base])*[Unit ON]+SUMPRODUCT(N([Nome]=Tabela3[[#This Row],[Nome]]),N(RIGHT([PAPEL],1)="4"),[Div Base])*[Unit PN],[Div Base])</f>
        <v>0</v>
      </c>
      <c r="AS510" s="25" t="str">
        <f>IF(AND([% A.A.]&gt;=6%,SUMPRODUCT(N([Nome]=Tabela3[[#This Row],[Nome]]),[PL])&gt;0,[Rentabilidade s/ PL]&gt;=[Rentabilidade s/ PL Média]),"Sim","Não")</f>
        <v>Não</v>
      </c>
      <c r="AT510" s="27">
        <f>IF([Cotação]&gt;0,Tabela3[[#This Row],[Lucro]]/Tabela3[[#This Row],[Cotação]],0)</f>
        <v>0</v>
      </c>
      <c r="AU510" s="49">
        <f>((1+Tabela3[[#This Row],[% Yield]])^(1/(3*Tabela3[[#This Row],[Ref]])))^(12)-1</f>
        <v>0</v>
      </c>
      <c r="AV510" s="10">
        <f>IF([Cotação]&gt;0,($BH$1/Tabela3[[#This Row],[Cotação]]-MOD($BH$1/Tabela3[[#This Row],[Cotação]],100)),)</f>
        <v>0</v>
      </c>
      <c r="AW510" s="5">
        <f>Tabela3[[#This Row],[Ativos]]*[Lucro]</f>
        <v>0</v>
      </c>
      <c r="AX510" s="5">
        <f>SUMPRODUCT(N(Tabela1[Código]=Tabela3[[#This Row],[PAPEL]]),Tabela1[Fechamento])</f>
        <v>8.8800000000000008</v>
      </c>
      <c r="AY510" s="5">
        <f>SUMPRODUCT(N(Tabela17[Código]=Tabela3[[#This Row],[PAPEL]]),Tabela17[Fechamento])</f>
        <v>0</v>
      </c>
      <c r="AZ510" s="7">
        <f>SUMPRODUCT(N(Tabela176[Código]=Tabela3[[#This Row],[PAPEL]]),Tabela176[Fechamento])</f>
        <v>0</v>
      </c>
      <c r="BA510" s="7">
        <f>SUMPRODUCT(N(Tabela1768[Código]=Tabela3[[#This Row],[PAPEL]]),Tabela1768[Fechamento])</f>
        <v>0</v>
      </c>
      <c r="BB510" s="7">
        <f>SUMPRODUCT(N(Tabela17683[Código]=Tabela3[[#This Row],[PAPEL]]),Tabela17683[Fechamento])</f>
        <v>0</v>
      </c>
    </row>
    <row r="511" spans="1:54" hidden="1">
      <c r="A511" s="3" t="s">
        <v>277</v>
      </c>
      <c r="B511" s="58" t="s">
        <v>860</v>
      </c>
      <c r="C511" s="16" t="str">
        <f>LEFT([PAPEL],LEN([PAPEL])-(LEN([PAPEL])-4))</f>
        <v>MRFG</v>
      </c>
      <c r="D511" s="16">
        <v>3</v>
      </c>
      <c r="E511" s="5">
        <v>5276678051</v>
      </c>
      <c r="F511" s="56">
        <v>520747405</v>
      </c>
      <c r="G511" s="81">
        <v>0.25</v>
      </c>
      <c r="H511" s="87"/>
      <c r="J511" s="18"/>
      <c r="K511" s="16"/>
      <c r="L511" s="87"/>
      <c r="M511" s="54"/>
      <c r="N511" s="54"/>
      <c r="O511" s="54"/>
      <c r="P511" s="91">
        <v>3143650000</v>
      </c>
      <c r="Q511" s="73">
        <v>-830207000</v>
      </c>
      <c r="R511" s="73">
        <f>IF(Tabela3[[#This Row],[Ativo || Passivo]]&gt;0,Tabela3[[#This Row],[Ativo || Passivo]]-Tabela3[[#This Row],[Patrimônio Líquido]],0)</f>
        <v>0</v>
      </c>
      <c r="S511" s="73">
        <f>Tabela3[[#This Row],[Cotação]]*Tabela3[[#This Row],[Total Ações]]</f>
        <v>2036122353.5500002</v>
      </c>
      <c r="T511" s="37">
        <f>IF(Tabela3[[#This Row],[Passivo Circulante]]&gt;0,Tabela3[[#This Row],[Ativo Circulante]]/Tabela3[[#This Row],[Passivo Circulante]],0)</f>
        <v>0</v>
      </c>
      <c r="U511" s="37">
        <f>SUMPRODUCT(N([Liquidez Corrente]&gt;0),N(RIGHT([PAPEL],LEN([PAPEL])-(LEN([PAPEL])-1))="3"),[Liquidez Corrente])/SUMPRODUCT(N([Liquidez Corrente]&gt;0),N(RIGHT([PAPEL],LEN([PAPEL])-(LEN([PAPEL])-1))="3"))</f>
        <v>2.331224473064915</v>
      </c>
      <c r="V511" s="18">
        <f>IF(Tabela3[[#This Row],[Lucro Líquido]]&gt;0,Tabela3[[#This Row],[Lucro Líquido]]/Tabela3[[#This Row],[Patrimônio Líquido]],0)</f>
        <v>0</v>
      </c>
      <c r="W511" s="18">
        <f>SUMPRODUCT(N([Rentabilidade s/ PL]&gt;0),N(RIGHT([PAPEL],LEN([PAPEL])-(LEN([PAPEL])-1))="3"),[Rentabilidade s/ PL])/SUMPRODUCT(N([Rentabilidade s/ PL]&gt;0),N(RIGHT([PAPEL],LEN([PAPEL])-(LEN([PAPEL])-1))="3"))</f>
        <v>0.1261051308670782</v>
      </c>
      <c r="X511" s="18">
        <f>IF(Tabela3[[#This Row],[Dívida]]&gt;0,Tabela3[[#This Row],[Dívida]]/Tabela3[[#This Row],[Patrimônio Líquido]],0)</f>
        <v>0</v>
      </c>
      <c r="Y511" s="18">
        <f>SUMPRODUCT(N([Dívida / PL]&gt;0),N(RIGHT([PAPEL],LEN([PAPEL])-(LEN([PAPEL])-1))="3"),[Dívida / PL])/SUMPRODUCT(N([Dívida / PL]&gt;0),N(RIGHT([PAPEL],LEN([PAPEL])-(LEN([PAPEL])-1))="3"))</f>
        <v>2.1510410379481146</v>
      </c>
      <c r="Z511" s="7">
        <f>Tabela3[[#This Row],[Capital Social]]*20%</f>
        <v>1055335610.2</v>
      </c>
      <c r="AA511" s="47">
        <f>IF(([Lucro Líquido]*5%)&gt;[Teto R. Legal],[Teto R. Legal],[Lucro Líquido]*5%)</f>
        <v>-41510350</v>
      </c>
      <c r="AB511" s="47">
        <f>IF([Lucro Líquido]&lt;0,0,[Lucro Líquido]-[Reserva Legal])</f>
        <v>0</v>
      </c>
      <c r="AC511" s="47">
        <f>Tabela3[[#This Row],[Lucro Distribuir]]*[%Div]</f>
        <v>0</v>
      </c>
      <c r="AD511" s="56">
        <f>SUMPRODUCT(N([Nome]=Tabela3[[#This Row],[Nome]]),[Ações])</f>
        <v>520747405</v>
      </c>
      <c r="AE511" s="85">
        <f>[Capital Social]/[Total Ações]</f>
        <v>10.132893607026231</v>
      </c>
      <c r="AF511" s="85">
        <f>Tabela3[[#This Row],[Lucro Líquido]]/Tabela3[[#This Row],[Total Ações]]</f>
        <v>-1.5942604649177272</v>
      </c>
      <c r="AG511" s="85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</v>
      </c>
      <c r="AH511" s="85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511" s="77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511" s="85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</v>
      </c>
      <c r="AK511" s="7">
        <f>[Div Base]*[Ações]</f>
        <v>0</v>
      </c>
      <c r="AL511" s="7">
        <f>SUMPRODUCT(N([Nome]=Tabela3[[#This Row],[Nome]]),[Div Base]*[Ações])</f>
        <v>0</v>
      </c>
      <c r="AM511" s="5">
        <f>[Patrimônio Líquido]/[Total Ações]</f>
        <v>6.0368039664067075</v>
      </c>
      <c r="AN511" s="52">
        <f>MAX(Tabela3[[#This Row],[Cotação 1]:[Cotação 5]])</f>
        <v>3.91</v>
      </c>
      <c r="AO511" s="53">
        <f>[Cotação]/[VPA]</f>
        <v>0.64769371703274858</v>
      </c>
      <c r="AP511" s="37">
        <f>IF(Tabela3[[#This Row],[Lucro/Ação]]&gt;0,Tabela3[[#This Row],[Cotação]]/(Tabela3[[#This Row],[Lucro/Ação]]/[Ref]*4),0)</f>
        <v>0</v>
      </c>
      <c r="AQ511" s="85">
        <f>[Lucro Distribuir]/[Total Ações]</f>
        <v>0</v>
      </c>
      <c r="AR511" s="85">
        <f>IF([Unit ON]&gt;0,SUMPRODUCT(N([Nome]=Tabela3[[#This Row],[Nome]]),N(RIGHT([PAPEL],1)="3"),[Div Base])*[Unit ON]+SUMPRODUCT(N([Nome]=Tabela3[[#This Row],[Nome]]),N(RIGHT([PAPEL],1)="4"),[Div Base])*[Unit PN],[Div Base])</f>
        <v>0</v>
      </c>
      <c r="AS511" s="10" t="str">
        <f>IF(AND([% A.A.]&gt;=6%,SUMPRODUCT(N([Nome]=Tabela3[[#This Row],[Nome]]),[PL])&gt;0,[Rentabilidade s/ PL]&gt;=[Rentabilidade s/ PL Média]),"Sim","Não")</f>
        <v>Não</v>
      </c>
      <c r="AT511" s="22">
        <f>IF([Cotação]&gt;0,Tabela3[[#This Row],[Lucro]]/Tabela3[[#This Row],[Cotação]],0)</f>
        <v>0</v>
      </c>
      <c r="AU511" s="22">
        <f>((1+Tabela3[[#This Row],[% Yield]])^(1/(3*Tabela3[[#This Row],[Ref]])))^(12)-1</f>
        <v>0</v>
      </c>
      <c r="AV511" s="10">
        <f>IF([Cotação]&gt;0,($BH$1/Tabela3[[#This Row],[Cotação]]-MOD($BH$1/Tabela3[[#This Row],[Cotação]],100)),)</f>
        <v>100</v>
      </c>
      <c r="AW511" s="7">
        <f>Tabela3[[#This Row],[Ativos]]*[Lucro]</f>
        <v>0</v>
      </c>
      <c r="AX511" s="7">
        <f>SUMPRODUCT(N(Tabela1[Código]=Tabela3[[#This Row],[PAPEL]]),Tabela1[Fechamento])</f>
        <v>0</v>
      </c>
      <c r="AY511" s="7">
        <f>SUMPRODUCT(N(Tabela17[Código]=Tabela3[[#This Row],[PAPEL]]),Tabela17[Fechamento])</f>
        <v>0</v>
      </c>
      <c r="AZ511" s="7">
        <f>SUMPRODUCT(N(Tabela176[Código]=Tabela3[[#This Row],[PAPEL]]),Tabela176[Fechamento])</f>
        <v>3.91</v>
      </c>
      <c r="BA511" s="7">
        <f>SUMPRODUCT(N(Tabela1768[Código]=Tabela3[[#This Row],[PAPEL]]),Tabela1768[Fechamento])</f>
        <v>0</v>
      </c>
      <c r="BB511" s="7">
        <f>SUMPRODUCT(N(Tabela17683[Código]=Tabela3[[#This Row],[PAPEL]]),Tabela17683[Fechamento])</f>
        <v>0</v>
      </c>
    </row>
    <row r="512" spans="1:54" hidden="1">
      <c r="A512" s="4" t="s">
        <v>327</v>
      </c>
      <c r="B512" s="57" t="s">
        <v>673</v>
      </c>
      <c r="C512" s="15" t="str">
        <f>LEFT([PAPEL],LEN([PAPEL])-(LEN([PAPEL])-4))</f>
        <v>MMXM</v>
      </c>
      <c r="D512" s="15">
        <v>3</v>
      </c>
      <c r="E512" s="6">
        <v>5404850055.3100004</v>
      </c>
      <c r="F512" s="8">
        <v>973227439</v>
      </c>
      <c r="G512" s="86">
        <v>0.25</v>
      </c>
      <c r="H512" s="15"/>
      <c r="I512" s="19"/>
      <c r="J512" s="19"/>
      <c r="K512" s="88"/>
      <c r="L512" s="88"/>
      <c r="M512" s="55"/>
      <c r="N512" s="55"/>
      <c r="O512" s="55"/>
      <c r="P512" s="92">
        <v>1751287000</v>
      </c>
      <c r="Q512" s="93">
        <v>-1703865000</v>
      </c>
      <c r="R512" s="93">
        <f>IF(Tabela3[[#This Row],[Ativo || Passivo]]&gt;0,Tabela3[[#This Row],[Ativo || Passivo]]-Tabela3[[#This Row],[Patrimônio Líquido]],0)</f>
        <v>0</v>
      </c>
      <c r="S512" s="93">
        <f>Tabela3[[#This Row],[Cotação]]*Tabela3[[#This Row],[Total Ações]]</f>
        <v>3153256902.3600001</v>
      </c>
      <c r="T512" s="40">
        <f>IF(Tabela3[[#This Row],[Passivo Circulante]]&gt;0,Tabela3[[#This Row],[Ativo Circulante]]/Tabela3[[#This Row],[Passivo Circulante]],0)</f>
        <v>0</v>
      </c>
      <c r="U512" s="40">
        <f>SUMPRODUCT(N([Liquidez Corrente]&gt;0),N(RIGHT([PAPEL],LEN([PAPEL])-(LEN([PAPEL])-1))="3"),[Liquidez Corrente])/SUMPRODUCT(N([Liquidez Corrente]&gt;0),N(RIGHT([PAPEL],LEN([PAPEL])-(LEN([PAPEL])-1))="3"))</f>
        <v>2.331224473064915</v>
      </c>
      <c r="V512" s="19">
        <f>IF(Tabela3[[#This Row],[Lucro Líquido]]&gt;0,Tabela3[[#This Row],[Lucro Líquido]]/Tabela3[[#This Row],[Patrimônio Líquido]],0)</f>
        <v>0</v>
      </c>
      <c r="W512" s="19">
        <f>SUMPRODUCT(N([Rentabilidade s/ PL]&gt;0),N(RIGHT([PAPEL],LEN([PAPEL])-(LEN([PAPEL])-1))="3"),[Rentabilidade s/ PL])/SUMPRODUCT(N([Rentabilidade s/ PL]&gt;0),N(RIGHT([PAPEL],LEN([PAPEL])-(LEN([PAPEL])-1))="3"))</f>
        <v>0.1261051308670782</v>
      </c>
      <c r="X512" s="19">
        <f>IF(Tabela3[[#This Row],[Dívida]]&gt;0,Tabela3[[#This Row],[Dívida]]/Tabela3[[#This Row],[Patrimônio Líquido]],0)</f>
        <v>0</v>
      </c>
      <c r="Y512" s="19">
        <f>SUMPRODUCT(N([Dívida / PL]&gt;0),N(RIGHT([PAPEL],LEN([PAPEL])-(LEN([PAPEL])-1))="3"),[Dívida / PL])/SUMPRODUCT(N([Dívida / PL]&gt;0),N(RIGHT([PAPEL],LEN([PAPEL])-(LEN([PAPEL])-1))="3"))</f>
        <v>2.1510410379481146</v>
      </c>
      <c r="Z512" s="13">
        <f>Tabela3[[#This Row],[Capital Social]]*20%</f>
        <v>1080970011.062</v>
      </c>
      <c r="AA512" s="13">
        <f>IF(([Lucro Líquido]*5%)&gt;[Teto R. Legal],[Teto R. Legal],[Lucro Líquido]*5%)</f>
        <v>-85193250</v>
      </c>
      <c r="AB512" s="13">
        <f>IF([Lucro Líquido]&lt;0,0,[Lucro Líquido]-[Reserva Legal])</f>
        <v>0</v>
      </c>
      <c r="AC512" s="13">
        <f>Tabela3[[#This Row],[Lucro Distribuir]]*[%Div]</f>
        <v>0</v>
      </c>
      <c r="AD512" s="56">
        <f>SUMPRODUCT(N([Nome]=Tabela3[[#This Row],[Nome]]),[Ações])</f>
        <v>973227439</v>
      </c>
      <c r="AE512" s="6">
        <f>[Capital Social]/[Total Ações]</f>
        <v>5.5535323386109345</v>
      </c>
      <c r="AF512" s="78">
        <f>Tabela3[[#This Row],[Lucro Líquido]]/Tabela3[[#This Row],[Total Ações]]</f>
        <v>-1.7507367052358662</v>
      </c>
      <c r="AG512" s="78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</v>
      </c>
      <c r="AH512" s="78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512" s="78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512" s="78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</v>
      </c>
      <c r="AK512" s="13">
        <f>[Div Base]*[Ações]</f>
        <v>0</v>
      </c>
      <c r="AL512" s="13">
        <f>SUMPRODUCT(N([Nome]=Tabela3[[#This Row],[Nome]]),[Div Base]*[Ações])</f>
        <v>0</v>
      </c>
      <c r="AM512" s="6">
        <f>[Patrimônio Líquido]/[Total Ações]</f>
        <v>1.7994632393425563</v>
      </c>
      <c r="AN512" s="48">
        <f>MAX(Tabela3[[#This Row],[Cotação 1]:[Cotação 5]])</f>
        <v>3.24</v>
      </c>
      <c r="AO512" s="44">
        <f>[Cotação]/[VPA]</f>
        <v>1.8005369207674129</v>
      </c>
      <c r="AP512" s="40">
        <f>IF(Tabela3[[#This Row],[Lucro/Ação]]&gt;0,Tabela3[[#This Row],[Cotação]]/(Tabela3[[#This Row],[Lucro/Ação]]/[Ref]*4),0)</f>
        <v>0</v>
      </c>
      <c r="AQ512" s="78">
        <f>[Lucro Distribuir]/[Total Ações]</f>
        <v>0</v>
      </c>
      <c r="AR512" s="78">
        <f>IF([Unit ON]&gt;0,SUMPRODUCT(N([Nome]=Tabela3[[#This Row],[Nome]]),N(RIGHT([PAPEL],1)="3"),[Div Base])*[Unit ON]+SUMPRODUCT(N([Nome]=Tabela3[[#This Row],[Nome]]),N(RIGHT([PAPEL],1)="4"),[Div Base])*[Unit PN],[Div Base])</f>
        <v>0</v>
      </c>
      <c r="AS512" s="14" t="str">
        <f>IF(AND([% A.A.]&gt;=6%,SUMPRODUCT(N([Nome]=Tabela3[[#This Row],[Nome]]),[PL])&gt;0,[Rentabilidade s/ PL]&gt;=[Rentabilidade s/ PL Média]),"Sim","Não")</f>
        <v>Não</v>
      </c>
      <c r="AT512" s="42">
        <f>IF([Cotação]&gt;0,Tabela3[[#This Row],[Lucro]]/Tabela3[[#This Row],[Cotação]],0)</f>
        <v>0</v>
      </c>
      <c r="AU512" s="42">
        <f>((1+Tabela3[[#This Row],[% Yield]])^(1/(3*Tabela3[[#This Row],[Ref]])))^(12)-1</f>
        <v>0</v>
      </c>
      <c r="AV512" s="14">
        <f>IF([Cotação]&gt;0,($BH$1/Tabela3[[#This Row],[Cotação]]-MOD($BH$1/Tabela3[[#This Row],[Cotação]],100)),)</f>
        <v>100</v>
      </c>
      <c r="AW512" s="17">
        <f>Tabela3[[#This Row],[Ativos]]*[Lucro]</f>
        <v>0</v>
      </c>
      <c r="AX512" s="17">
        <f>SUMPRODUCT(N(Tabela1[Código]=Tabela3[[#This Row],[PAPEL]]),Tabela1[Fechamento])</f>
        <v>0</v>
      </c>
      <c r="AY512" s="17">
        <f>SUMPRODUCT(N(Tabela17[Código]=Tabela3[[#This Row],[PAPEL]]),Tabela17[Fechamento])</f>
        <v>0</v>
      </c>
      <c r="AZ512" s="17">
        <f>SUMPRODUCT(N(Tabela176[Código]=Tabela3[[#This Row],[PAPEL]]),Tabela176[Fechamento])</f>
        <v>3.24</v>
      </c>
      <c r="BA512" s="17">
        <f>SUMPRODUCT(N(Tabela1768[Código]=Tabela3[[#This Row],[PAPEL]]),Tabela1768[Fechamento])</f>
        <v>0</v>
      </c>
      <c r="BB512" s="7">
        <f>SUMPRODUCT(N(Tabela17683[Código]=Tabela3[[#This Row],[PAPEL]]),Tabela17683[Fechamento])</f>
        <v>0</v>
      </c>
    </row>
    <row r="513" spans="1:54" hidden="1">
      <c r="A513" s="4" t="s">
        <v>602</v>
      </c>
      <c r="B513" s="126" t="s">
        <v>603</v>
      </c>
      <c r="C513" s="15" t="str">
        <f>LEFT([PAPEL],LEN([PAPEL])-(LEN([PAPEL])-4))</f>
        <v>OSXB</v>
      </c>
      <c r="D513" s="15">
        <v>3</v>
      </c>
      <c r="E513" s="6">
        <v>3775591929.5300002</v>
      </c>
      <c r="F513" s="8">
        <v>312563568</v>
      </c>
      <c r="G513" s="86">
        <v>1.0000000000000001E-5</v>
      </c>
      <c r="H513" s="9"/>
      <c r="I513" s="19"/>
      <c r="J513" s="19"/>
      <c r="K513" s="88"/>
      <c r="L513" s="88"/>
      <c r="M513" s="55"/>
      <c r="N513" s="55"/>
      <c r="O513" s="55"/>
      <c r="P513" s="92">
        <v>2385412000</v>
      </c>
      <c r="Q513" s="93">
        <v>-1939413000</v>
      </c>
      <c r="R513" s="93">
        <f>IF(Tabela3[[#This Row],[Ativo || Passivo]]&gt;0,Tabela3[[#This Row],[Ativo || Passivo]]-Tabela3[[#This Row],[Patrimônio Líquido]],0)</f>
        <v>0</v>
      </c>
      <c r="S513" s="93">
        <f>Tabela3[[#This Row],[Cotação]]*Tabela3[[#This Row],[Total Ações]]</f>
        <v>0</v>
      </c>
      <c r="T513" s="40">
        <f>IF(Tabela3[[#This Row],[Passivo Circulante]]&gt;0,Tabela3[[#This Row],[Ativo Circulante]]/Tabela3[[#This Row],[Passivo Circulante]],0)</f>
        <v>0</v>
      </c>
      <c r="U513" s="40">
        <f>SUMPRODUCT(N([Liquidez Corrente]&gt;0),N(RIGHT([PAPEL],LEN([PAPEL])-(LEN([PAPEL])-1))="3"),[Liquidez Corrente])/SUMPRODUCT(N([Liquidez Corrente]&gt;0),N(RIGHT([PAPEL],LEN([PAPEL])-(LEN([PAPEL])-1))="3"))</f>
        <v>2.331224473064915</v>
      </c>
      <c r="V513" s="19">
        <f>IF(Tabela3[[#This Row],[Lucro Líquido]]&gt;0,Tabela3[[#This Row],[Lucro Líquido]]/Tabela3[[#This Row],[Patrimônio Líquido]],0)</f>
        <v>0</v>
      </c>
      <c r="W513" s="19">
        <f>SUMPRODUCT(N([Rentabilidade s/ PL]&gt;0),N(RIGHT([PAPEL],LEN([PAPEL])-(LEN([PAPEL])-1))="3"),[Rentabilidade s/ PL])/SUMPRODUCT(N([Rentabilidade s/ PL]&gt;0),N(RIGHT([PAPEL],LEN([PAPEL])-(LEN([PAPEL])-1))="3"))</f>
        <v>0.1261051308670782</v>
      </c>
      <c r="X513" s="19">
        <f>IF(Tabela3[[#This Row],[Dívida]]&gt;0,Tabela3[[#This Row],[Dívida]]/Tabela3[[#This Row],[Patrimônio Líquido]],0)</f>
        <v>0</v>
      </c>
      <c r="Y513" s="19">
        <f>SUMPRODUCT(N([Dívida / PL]&gt;0),N(RIGHT([PAPEL],LEN([PAPEL])-(LEN([PAPEL])-1))="3"),[Dívida / PL])/SUMPRODUCT(N([Dívida / PL]&gt;0),N(RIGHT([PAPEL],LEN([PAPEL])-(LEN([PAPEL])-1))="3"))</f>
        <v>2.1510410379481146</v>
      </c>
      <c r="Z513" s="13">
        <f>Tabela3[[#This Row],[Capital Social]]*20%</f>
        <v>755118385.90600014</v>
      </c>
      <c r="AA513" s="13">
        <f>IF(([Lucro Líquido]*5%)&gt;[Teto R. Legal],[Teto R. Legal],[Lucro Líquido]*5%)</f>
        <v>-96970650</v>
      </c>
      <c r="AB513" s="13">
        <f>IF([Lucro Líquido]&lt;0,0,[Lucro Líquido]-[Reserva Legal])</f>
        <v>0</v>
      </c>
      <c r="AC513" s="13">
        <f>Tabela3[[#This Row],[Lucro Distribuir]]*[%Div]</f>
        <v>0</v>
      </c>
      <c r="AD513" s="56">
        <f>SUMPRODUCT(N([Nome]=Tabela3[[#This Row],[Nome]]),[Ações])</f>
        <v>312563568</v>
      </c>
      <c r="AE513" s="6">
        <f>[Capital Social]/[Total Ações]</f>
        <v>12.079437004411211</v>
      </c>
      <c r="AF513" s="78">
        <f>Tabela3[[#This Row],[Lucro Líquido]]/Tabela3[[#This Row],[Total Ações]]</f>
        <v>-6.2048594223879601</v>
      </c>
      <c r="AG513" s="78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</v>
      </c>
      <c r="AH513" s="78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513" s="78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513" s="78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</v>
      </c>
      <c r="AK513" s="13">
        <f>[Div Base]*[Ações]</f>
        <v>0</v>
      </c>
      <c r="AL513" s="13">
        <f>SUMPRODUCT(N([Nome]=Tabela3[[#This Row],[Nome]]),[Div Base]*[Ações])</f>
        <v>0</v>
      </c>
      <c r="AM513" s="6">
        <f>[Patrimônio Líquido]/[Total Ações]</f>
        <v>7.6317659644837432</v>
      </c>
      <c r="AN513" s="48">
        <f>MAX(Tabela3[[#This Row],[Cotação 1]:[Cotação 5]])</f>
        <v>0</v>
      </c>
      <c r="AO513" s="44">
        <f>[Cotação]/[VPA]</f>
        <v>0</v>
      </c>
      <c r="AP513" s="40">
        <f>IF(Tabela3[[#This Row],[Lucro/Ação]]&gt;0,Tabela3[[#This Row],[Cotação]]/(Tabela3[[#This Row],[Lucro/Ação]]/[Ref]*4),0)</f>
        <v>0</v>
      </c>
      <c r="AQ513" s="78">
        <f>[Lucro Distribuir]/[Total Ações]</f>
        <v>0</v>
      </c>
      <c r="AR513" s="78">
        <f>IF([Unit ON]&gt;0,SUMPRODUCT(N([Nome]=Tabela3[[#This Row],[Nome]]),N(RIGHT([PAPEL],1)="3"),[Div Base])*[Unit ON]+SUMPRODUCT(N([Nome]=Tabela3[[#This Row],[Nome]]),N(RIGHT([PAPEL],1)="4"),[Div Base])*[Unit PN],[Div Base])</f>
        <v>0</v>
      </c>
      <c r="AS513" s="14" t="str">
        <f>IF(AND([% A.A.]&gt;=6%,SUMPRODUCT(N([Nome]=Tabela3[[#This Row],[Nome]]),[PL])&gt;0,[Rentabilidade s/ PL]&gt;=[Rentabilidade s/ PL Média]),"Sim","Não")</f>
        <v>Não</v>
      </c>
      <c r="AT513" s="42">
        <f>IF([Cotação]&gt;0,Tabela3[[#This Row],[Lucro]]/Tabela3[[#This Row],[Cotação]],0)</f>
        <v>0</v>
      </c>
      <c r="AU513" s="42">
        <f>((1+Tabela3[[#This Row],[% Yield]])^(1/(3*Tabela3[[#This Row],[Ref]])))^(12)-1</f>
        <v>0</v>
      </c>
      <c r="AV513" s="14">
        <f>IF([Cotação]&gt;0,($BH$1/Tabela3[[#This Row],[Cotação]]-MOD($BH$1/Tabela3[[#This Row],[Cotação]],100)),)</f>
        <v>0</v>
      </c>
      <c r="AW513" s="17">
        <f>Tabela3[[#This Row],[Ativos]]*[Lucro]</f>
        <v>0</v>
      </c>
      <c r="AX513" s="17">
        <f>SUMPRODUCT(N(Tabela1[Código]=Tabela3[[#This Row],[PAPEL]]),Tabela1[Fechamento])</f>
        <v>0</v>
      </c>
      <c r="AY513" s="17">
        <f>SUMPRODUCT(N(Tabela17[Código]=Tabela3[[#This Row],[PAPEL]]),Tabela17[Fechamento])</f>
        <v>0</v>
      </c>
      <c r="AZ513" s="17">
        <f>SUMPRODUCT(N(Tabela176[Código]=Tabela3[[#This Row],[PAPEL]]),Tabela176[Fechamento])</f>
        <v>0</v>
      </c>
      <c r="BA513" s="17">
        <f>SUMPRODUCT(N(Tabela1768[Código]=Tabela3[[#This Row],[PAPEL]]),Tabela1768[Fechamento])</f>
        <v>0</v>
      </c>
      <c r="BB513" s="7">
        <f>SUMPRODUCT(N(Tabela17683[Código]=Tabela3[[#This Row],[PAPEL]]),Tabela17683[Fechamento])</f>
        <v>0</v>
      </c>
    </row>
    <row r="514" spans="1:54" hidden="1">
      <c r="A514" s="4" t="s">
        <v>243</v>
      </c>
      <c r="B514" s="127" t="s">
        <v>597</v>
      </c>
      <c r="C514" s="15" t="str">
        <f>LEFT([PAPEL],LEN([PAPEL])-(LEN([PAPEL])-4))</f>
        <v>OGXP</v>
      </c>
      <c r="D514" s="15">
        <v>3</v>
      </c>
      <c r="E514" s="6">
        <v>9058105645.2999992</v>
      </c>
      <c r="F514" s="8">
        <v>3236016790</v>
      </c>
      <c r="G514" s="86">
        <v>1.0000000000000001E-5</v>
      </c>
      <c r="H514" s="9"/>
      <c r="I514" s="9"/>
      <c r="J514" s="19"/>
      <c r="K514" s="88"/>
      <c r="L514" s="88"/>
      <c r="M514" s="55"/>
      <c r="N514" s="55"/>
      <c r="O514" s="55"/>
      <c r="P514" s="6">
        <v>61509000</v>
      </c>
      <c r="Q514" s="93">
        <v>-7648799000</v>
      </c>
      <c r="R514" s="93">
        <f>IF(Tabela3[[#This Row],[Ativo || Passivo]]&gt;0,Tabela3[[#This Row],[Ativo || Passivo]]-Tabela3[[#This Row],[Patrimônio Líquido]],0)</f>
        <v>0</v>
      </c>
      <c r="S514" s="93">
        <f>Tabela3[[#This Row],[Cotação]]*Tabela3[[#This Row],[Total Ações]]</f>
        <v>0</v>
      </c>
      <c r="T514" s="40">
        <f>IF(Tabela3[[#This Row],[Passivo Circulante]]&gt;0,Tabela3[[#This Row],[Ativo Circulante]]/Tabela3[[#This Row],[Passivo Circulante]],0)</f>
        <v>0</v>
      </c>
      <c r="U514" s="40">
        <f>SUMPRODUCT(N([Liquidez Corrente]&gt;0),N(RIGHT([PAPEL],LEN([PAPEL])-(LEN([PAPEL])-1))="3"),[Liquidez Corrente])/SUMPRODUCT(N([Liquidez Corrente]&gt;0),N(RIGHT([PAPEL],LEN([PAPEL])-(LEN([PAPEL])-1))="3"))</f>
        <v>2.331224473064915</v>
      </c>
      <c r="V514" s="19">
        <f>IF(Tabela3[[#This Row],[Lucro Líquido]]&gt;0,Tabela3[[#This Row],[Lucro Líquido]]/Tabela3[[#This Row],[Patrimônio Líquido]],0)</f>
        <v>0</v>
      </c>
      <c r="W514" s="19">
        <f>SUMPRODUCT(N([Rentabilidade s/ PL]&gt;0),N(RIGHT([PAPEL],LEN([PAPEL])-(LEN([PAPEL])-1))="3"),[Rentabilidade s/ PL])/SUMPRODUCT(N([Rentabilidade s/ PL]&gt;0),N(RIGHT([PAPEL],LEN([PAPEL])-(LEN([PAPEL])-1))="3"))</f>
        <v>0.1261051308670782</v>
      </c>
      <c r="X514" s="19">
        <f>IF(Tabela3[[#This Row],[Dívida]]&gt;0,Tabela3[[#This Row],[Dívida]]/Tabela3[[#This Row],[Patrimônio Líquido]],0)</f>
        <v>0</v>
      </c>
      <c r="Y514" s="19">
        <f>SUMPRODUCT(N([Dívida / PL]&gt;0),N(RIGHT([PAPEL],LEN([PAPEL])-(LEN([PAPEL])-1))="3"),[Dívida / PL])/SUMPRODUCT(N([Dívida / PL]&gt;0),N(RIGHT([PAPEL],LEN([PAPEL])-(LEN([PAPEL])-1))="3"))</f>
        <v>2.1510410379481146</v>
      </c>
      <c r="Z514" s="13">
        <f>Tabela3[[#This Row],[Capital Social]]*20%</f>
        <v>1811621129.0599999</v>
      </c>
      <c r="AA514" s="13">
        <f>IF(([Lucro Líquido]*5%)&gt;[Teto R. Legal],[Teto R. Legal],[Lucro Líquido]*5%)</f>
        <v>-382439950</v>
      </c>
      <c r="AB514" s="13">
        <f>IF([Lucro Líquido]&lt;0,0,[Lucro Líquido]-[Reserva Legal])</f>
        <v>0</v>
      </c>
      <c r="AC514" s="13">
        <f>Tabela3[[#This Row],[Lucro Distribuir]]*[%Div]</f>
        <v>0</v>
      </c>
      <c r="AD514" s="56">
        <f>SUMPRODUCT(N([Nome]=Tabela3[[#This Row],[Nome]]),[Ações])</f>
        <v>3236016790</v>
      </c>
      <c r="AE514" s="6">
        <f>[Capital Social]/[Total Ações]</f>
        <v>2.7991528577019524</v>
      </c>
      <c r="AF514" s="78">
        <f>Tabela3[[#This Row],[Lucro Líquido]]/Tabela3[[#This Row],[Total Ações]]</f>
        <v>-2.3636462652593346</v>
      </c>
      <c r="AG514" s="78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</v>
      </c>
      <c r="AH514" s="78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514" s="78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514" s="78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</v>
      </c>
      <c r="AK514" s="13">
        <f>[Div Base]*[Ações]</f>
        <v>0</v>
      </c>
      <c r="AL514" s="13">
        <f>SUMPRODUCT(N([Nome]=Tabela3[[#This Row],[Nome]]),[Div Base]*[Ações])</f>
        <v>0</v>
      </c>
      <c r="AM514" s="6">
        <f>[Patrimônio Líquido]/[Total Ações]</f>
        <v>1.9007626965989878E-2</v>
      </c>
      <c r="AN514" s="48">
        <f>MAX(Tabela3[[#This Row],[Cotação 1]:[Cotação 5]])</f>
        <v>0</v>
      </c>
      <c r="AO514" s="44">
        <f>[Cotação]/[VPA]</f>
        <v>0</v>
      </c>
      <c r="AP514" s="40">
        <f>IF(Tabela3[[#This Row],[Lucro/Ação]]&gt;0,Tabela3[[#This Row],[Cotação]]/(Tabela3[[#This Row],[Lucro/Ação]]/[Ref]*4),0)</f>
        <v>0</v>
      </c>
      <c r="AQ514" s="78">
        <f>[Lucro Distribuir]/[Total Ações]</f>
        <v>0</v>
      </c>
      <c r="AR514" s="78">
        <f>IF([Unit ON]&gt;0,SUMPRODUCT(N([Nome]=Tabela3[[#This Row],[Nome]]),N(RIGHT([PAPEL],1)="3"),[Div Base])*[Unit ON]+SUMPRODUCT(N([Nome]=Tabela3[[#This Row],[Nome]]),N(RIGHT([PAPEL],1)="4"),[Div Base])*[Unit PN],[Div Base])</f>
        <v>0</v>
      </c>
      <c r="AS514" s="14" t="str">
        <f>IF(AND([% A.A.]&gt;=6%,SUMPRODUCT(N([Nome]=Tabela3[[#This Row],[Nome]]),[PL])&gt;0,[Rentabilidade s/ PL]&gt;=[Rentabilidade s/ PL Média]),"Sim","Não")</f>
        <v>Não</v>
      </c>
      <c r="AT514" s="42">
        <f>IF([Cotação]&gt;0,Tabela3[[#This Row],[Lucro]]/Tabela3[[#This Row],[Cotação]],0)</f>
        <v>0</v>
      </c>
      <c r="AU514" s="42">
        <f>((1+Tabela3[[#This Row],[% Yield]])^(1/(3*Tabela3[[#This Row],[Ref]])))^(12)-1</f>
        <v>0</v>
      </c>
      <c r="AV514" s="14">
        <f>IF([Cotação]&gt;0,($BH$1/Tabela3[[#This Row],[Cotação]]-MOD($BH$1/Tabela3[[#This Row],[Cotação]],100)),)</f>
        <v>0</v>
      </c>
      <c r="AW514" s="17">
        <f>Tabela3[[#This Row],[Ativos]]*[Lucro]</f>
        <v>0</v>
      </c>
      <c r="AX514" s="17">
        <f>SUMPRODUCT(N(Tabela1[Código]=Tabela3[[#This Row],[PAPEL]]),Tabela1[Fechamento])</f>
        <v>0</v>
      </c>
      <c r="AY514" s="17">
        <f>SUMPRODUCT(N(Tabela17[Código]=Tabela3[[#This Row],[PAPEL]]),Tabela17[Fechamento])</f>
        <v>0</v>
      </c>
      <c r="AZ514" s="17">
        <f>SUMPRODUCT(N(Tabela176[Código]=Tabela3[[#This Row],[PAPEL]]),Tabela176[Fechamento])</f>
        <v>0</v>
      </c>
      <c r="BA514" s="17">
        <f>SUMPRODUCT(N(Tabela1768[Código]=Tabela3[[#This Row],[PAPEL]]),Tabela1768[Fechamento])</f>
        <v>0</v>
      </c>
      <c r="BB514" s="7">
        <f>SUMPRODUCT(N(Tabela17683[Código]=Tabela3[[#This Row],[PAPEL]]),Tabela17683[Fechamento])</f>
        <v>0</v>
      </c>
    </row>
    <row r="515" spans="1:54" hidden="1">
      <c r="A515" s="4" t="s">
        <v>12</v>
      </c>
      <c r="B515" s="57" t="s">
        <v>85</v>
      </c>
      <c r="C515" s="14" t="str">
        <f>LEFT([PAPEL],LEN([PAPEL])-(LEN([PAPEL])-4))</f>
        <v>ENGI</v>
      </c>
      <c r="D515" s="15">
        <v>3</v>
      </c>
      <c r="E515" s="6"/>
      <c r="F515" s="8"/>
      <c r="G515" s="86">
        <v>0.25</v>
      </c>
      <c r="H515" s="15"/>
      <c r="I515" s="19"/>
      <c r="J515" s="19"/>
      <c r="K515" s="88">
        <v>1</v>
      </c>
      <c r="L515" s="88">
        <v>4</v>
      </c>
      <c r="M515" s="55"/>
      <c r="N515" s="55"/>
      <c r="O515" s="55"/>
      <c r="P515" s="89"/>
      <c r="Q515" s="89"/>
      <c r="R515" s="89">
        <f>IF(Tabela3[[#This Row],[Ativo || Passivo]]&gt;0,Tabela3[[#This Row],[Ativo || Passivo]]-Tabela3[[#This Row],[Patrimônio Líquido]],0)</f>
        <v>0</v>
      </c>
      <c r="S515" s="89">
        <f>Tabela3[[#This Row],[Cotação]]*Tabela3[[#This Row],[Total Ações]]</f>
        <v>14948290668</v>
      </c>
      <c r="T515" s="132">
        <f>IF(Tabela3[[#This Row],[Passivo Circulante]]&gt;0,Tabela3[[#This Row],[Ativo Circulante]]/Tabela3[[#This Row],[Passivo Circulante]],0)</f>
        <v>0</v>
      </c>
      <c r="U515" s="132">
        <f>SUMPRODUCT(N([Liquidez Corrente]&gt;0),N(RIGHT([PAPEL],LEN([PAPEL])-(LEN([PAPEL])-1))="3"),[Liquidez Corrente])/SUMPRODUCT(N([Liquidez Corrente]&gt;0),N(RIGHT([PAPEL],LEN([PAPEL])-(LEN([PAPEL])-1))="3"))</f>
        <v>2.331224473064915</v>
      </c>
      <c r="V515" s="19">
        <f>IF(Tabela3[[#This Row],[Lucro Líquido]]&gt;0,Tabela3[[#This Row],[Lucro Líquido]]/Tabela3[[#This Row],[Patrimônio Líquido]],0)</f>
        <v>0</v>
      </c>
      <c r="W515" s="19">
        <f>SUMPRODUCT(N([Rentabilidade s/ PL]&gt;0),N(RIGHT([PAPEL],LEN([PAPEL])-(LEN([PAPEL])-1))="3"),[Rentabilidade s/ PL])/SUMPRODUCT(N([Rentabilidade s/ PL]&gt;0),N(RIGHT([PAPEL],LEN([PAPEL])-(LEN([PAPEL])-1))="3"))</f>
        <v>0.1261051308670782</v>
      </c>
      <c r="X515" s="19">
        <f>IF(Tabela3[[#This Row],[Dívida]]&gt;0,Tabela3[[#This Row],[Dívida]]/Tabela3[[#This Row],[Patrimônio Líquido]],0)</f>
        <v>0</v>
      </c>
      <c r="Y515" s="19">
        <f>SUMPRODUCT(N([Dívida / PL]&gt;0),N(RIGHT([PAPEL],LEN([PAPEL])-(LEN([PAPEL])-1))="3"),[Dívida / PL])/SUMPRODUCT(N([Dívida / PL]&gt;0),N(RIGHT([PAPEL],LEN([PAPEL])-(LEN([PAPEL])-1))="3"))</f>
        <v>2.1510410379481146</v>
      </c>
      <c r="Z515" s="6"/>
      <c r="AA515" s="6"/>
      <c r="AB515" s="89">
        <f>IF([Lucro Líquido]&lt;0,0,[Lucro Líquido]-[Reserva Legal])</f>
        <v>0</v>
      </c>
      <c r="AC515" s="89">
        <f>Tabela3[[#This Row],[Lucro Distribuir]]*[%Div]</f>
        <v>0</v>
      </c>
      <c r="AD515" s="56">
        <f>SUMPRODUCT(N([Nome]=Tabela3[[#This Row],[Nome]]),[Ações])</f>
        <v>1245690889</v>
      </c>
      <c r="AE515" s="6">
        <f>[Capital Social]/[Total Ações]</f>
        <v>0</v>
      </c>
      <c r="AF515" s="78">
        <f>Tabela3[[#This Row],[Lucro Líquido]]/Tabela3[[#This Row],[Total Ações]]</f>
        <v>0</v>
      </c>
      <c r="AG515" s="78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</v>
      </c>
      <c r="AH515" s="78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515" s="78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515" s="78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</v>
      </c>
      <c r="AK515" s="6">
        <f>[Div Base]*[Ações]</f>
        <v>0</v>
      </c>
      <c r="AL515" s="6">
        <f>SUMPRODUCT(N([Nome]=Tabela3[[#This Row],[Nome]]),[Div Base]*[Ações])</f>
        <v>45131175</v>
      </c>
      <c r="AM515" s="6">
        <f>[Patrimônio Líquido]/[Total Ações]</f>
        <v>0</v>
      </c>
      <c r="AN515" s="48">
        <f>MAX(Tabela3[[#This Row],[Cotação 1]:[Cotação 5]])</f>
        <v>12</v>
      </c>
      <c r="AO515" s="44" t="e">
        <f>[Cotação]/[VPA]</f>
        <v>#DIV/0!</v>
      </c>
      <c r="AP515" s="40">
        <f>IF(Tabela3[[#This Row],[Lucro/Ação]]&gt;0,Tabela3[[#This Row],[Cotação]]/(Tabela3[[#This Row],[Lucro/Ação]]/[Ref]*4),0)</f>
        <v>0</v>
      </c>
      <c r="AQ515" s="78">
        <f>[Lucro Distribuir]/[Total Ações]</f>
        <v>0</v>
      </c>
      <c r="AR515" s="78">
        <f>IF([Unit ON]&gt;0,SUMPRODUCT(N([Nome]=Tabela3[[#This Row],[Nome]]),N(RIGHT([PAPEL],1)="3"),[Div Base])*[Unit ON]+SUMPRODUCT(N([Nome]=Tabela3[[#This Row],[Nome]]),N(RIGHT([PAPEL],1)="4"),[Div Base])*[Unit PN],[Div Base])</f>
        <v>0.18114917351699439</v>
      </c>
      <c r="AS515" s="14" t="str">
        <f>IF(AND([% A.A.]&gt;=6%,SUMPRODUCT(N([Nome]=Tabela3[[#This Row],[Nome]]),[PL])&gt;0,[Rentabilidade s/ PL]&gt;=[Rentabilidade s/ PL Média]),"Sim","Não")</f>
        <v>Não</v>
      </c>
      <c r="AT515" s="42">
        <f>IF([Cotação]&gt;0,Tabela3[[#This Row],[Lucro]]/Tabela3[[#This Row],[Cotação]],0)</f>
        <v>1.5095764459749533E-2</v>
      </c>
      <c r="AU515" s="19">
        <f>((1+Tabela3[[#This Row],[% Yield]])^(1/(3*Tabela3[[#This Row],[Ref]])))^(12)-1</f>
        <v>2.0178157594788582E-2</v>
      </c>
      <c r="AV515" s="14">
        <f>IF([Cotação]&gt;0,($BH$1/Tabela3[[#This Row],[Cotação]]-MOD($BH$1/Tabela3[[#This Row],[Cotação]],100)),)</f>
        <v>0</v>
      </c>
      <c r="AW515" s="17">
        <f>Tabela3[[#This Row],[Ativos]]*[Lucro]</f>
        <v>0</v>
      </c>
      <c r="AX515" s="5">
        <f>SUMPRODUCT(N(Tabela1[Código]=Tabela3[[#This Row],[PAPEL]]),Tabela1[Fechamento])</f>
        <v>12</v>
      </c>
      <c r="AY515" s="5">
        <f>SUMPRODUCT(N(Tabela17[Código]=Tabela3[[#This Row],[PAPEL]]),Tabela17[Fechamento])</f>
        <v>0</v>
      </c>
      <c r="AZ515" s="7">
        <f>SUMPRODUCT(N(Tabela176[Código]=Tabela3[[#This Row],[PAPEL]]),Tabela176[Fechamento])</f>
        <v>0</v>
      </c>
      <c r="BA515" s="7">
        <f>SUMPRODUCT(N(Tabela1768[Código]=Tabela3[[#This Row],[PAPEL]]),Tabela1768[Fechamento])</f>
        <v>0</v>
      </c>
      <c r="BB515" s="7">
        <f>SUMPRODUCT(N(Tabela17683[Código]=Tabela3[[#This Row],[PAPEL]]),Tabela17683[Fechamento])</f>
        <v>0</v>
      </c>
    </row>
    <row r="516" spans="1:54">
      <c r="A516" s="4" t="s">
        <v>19</v>
      </c>
      <c r="B516" s="58" t="s">
        <v>692</v>
      </c>
      <c r="C516" s="83" t="str">
        <f>LEFT([PAPEL],LEN([PAPEL])-(LEN([PAPEL])-4))</f>
        <v>KLBN</v>
      </c>
      <c r="D516" s="16">
        <v>4</v>
      </c>
      <c r="E516" s="5"/>
      <c r="F516" s="56"/>
      <c r="G516" s="81"/>
      <c r="H516" s="16"/>
      <c r="J516" s="18"/>
      <c r="K516" s="87">
        <v>1</v>
      </c>
      <c r="L516" s="87">
        <v>4</v>
      </c>
      <c r="M516" s="54"/>
      <c r="N516" s="54"/>
      <c r="O516" s="54"/>
      <c r="P516" s="6"/>
      <c r="Q516" s="6"/>
      <c r="R516" s="6">
        <f>IF(Tabela3[[#This Row],[Ativo || Passivo]]&gt;0,Tabela3[[#This Row],[Ativo || Passivo]]-Tabela3[[#This Row],[Patrimônio Líquido]],0)</f>
        <v>0</v>
      </c>
      <c r="S516" s="6">
        <f>Tabela3[[#This Row],[Cotação]]*Tabela3[[#This Row],[Total Ações]]</f>
        <v>57192615057.220001</v>
      </c>
      <c r="T516" s="132">
        <f>IF(Tabela3[[#This Row],[Passivo Circulante]]&gt;0,Tabela3[[#This Row],[Ativo Circulante]]/Tabela3[[#This Row],[Passivo Circulante]],0)</f>
        <v>0</v>
      </c>
      <c r="U516" s="132">
        <f>SUMPRODUCT(N([Liquidez Corrente]&gt;0),N(RIGHT([PAPEL],LEN([PAPEL])-(LEN([PAPEL])-1))="3"),[Liquidez Corrente])/SUMPRODUCT(N([Liquidez Corrente]&gt;0),N(RIGHT([PAPEL],LEN([PAPEL])-(LEN([PAPEL])-1))="3"))</f>
        <v>2.331224473064915</v>
      </c>
      <c r="V516" s="19">
        <f>IF(Tabela3[[#This Row],[Lucro Líquido]]&gt;0,Tabela3[[#This Row],[Lucro Líquido]]/Tabela3[[#This Row],[Patrimônio Líquido]],0)</f>
        <v>0</v>
      </c>
      <c r="W516" s="19">
        <f>SUMPRODUCT(N([Rentabilidade s/ PL]&gt;0),N(RIGHT([PAPEL],LEN([PAPEL])-(LEN([PAPEL])-1))="3"),[Rentabilidade s/ PL])/SUMPRODUCT(N([Rentabilidade s/ PL]&gt;0),N(RIGHT([PAPEL],LEN([PAPEL])-(LEN([PAPEL])-1))="3"))</f>
        <v>0.1261051308670782</v>
      </c>
      <c r="X516" s="19">
        <f>IF(Tabela3[[#This Row],[Dívida]]&gt;0,Tabela3[[#This Row],[Dívida]]/Tabela3[[#This Row],[Patrimônio Líquido]],0)</f>
        <v>0</v>
      </c>
      <c r="Y516" s="19">
        <f>SUMPRODUCT(N([Dívida / PL]&gt;0),N(RIGHT([PAPEL],LEN([PAPEL])-(LEN([PAPEL])-1))="3"),[Dívida / PL])/SUMPRODUCT(N([Dívida / PL]&gt;0),N(RIGHT([PAPEL],LEN([PAPEL])-(LEN([PAPEL])-1))="3"))</f>
        <v>2.1510410379481146</v>
      </c>
      <c r="Z516" s="5">
        <f>Tabela3[[#This Row],[Capital Social]]*20%</f>
        <v>0</v>
      </c>
      <c r="AA516" s="5">
        <f>IF(([Lucro Líquido]*5%)&gt;[Teto R. Legal],[Teto R. Legal],[Lucro Líquido]*5%)</f>
        <v>0</v>
      </c>
      <c r="AB516" s="5">
        <f>IF([Lucro Líquido]&lt;0,0,[Lucro Líquido]-[Reserva Legal])</f>
        <v>0</v>
      </c>
      <c r="AC516" s="5">
        <f>Tabela3[[#This Row],[Lucro Distribuir]]*[%Div]</f>
        <v>0</v>
      </c>
      <c r="AD516" s="56">
        <f>SUMPRODUCT(N([Nome]=Tabela3[[#This Row],[Nome]]),[Ações])</f>
        <v>945957907</v>
      </c>
      <c r="AE516" s="5">
        <f>[Capital Social]/[Total Ações]</f>
        <v>0</v>
      </c>
      <c r="AF516" s="77">
        <f>Tabela3[[#This Row],[Lucro Líquido]]/Tabela3[[#This Row],[Total Ações]]</f>
        <v>0</v>
      </c>
      <c r="AG516" s="77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</v>
      </c>
      <c r="AH516" s="77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516" s="77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516" s="77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</v>
      </c>
      <c r="AK516" s="5">
        <f>[Div Base]*[Ações]</f>
        <v>0</v>
      </c>
      <c r="AL516" s="5">
        <f>SUMPRODUCT(N([Nome]=Tabela3[[#This Row],[Nome]]),[Div Base]*[Ações])</f>
        <v>68898037.5</v>
      </c>
      <c r="AM516" s="5">
        <f>[Patrimônio Líquido]/[Total Ações]</f>
        <v>0</v>
      </c>
      <c r="AN516" s="52">
        <f>MAX(Tabela3[[#This Row],[Cotação 1]:[Cotação 5]])</f>
        <v>60.46</v>
      </c>
      <c r="AO516" s="53" t="e">
        <f>[Cotação]/[VPA]</f>
        <v>#DIV/0!</v>
      </c>
      <c r="AP516" s="37">
        <f>IF(Tabela3[[#This Row],[Lucro/Ação]]&gt;0,Tabela3[[#This Row],[Cotação]]/(Tabela3[[#This Row],[Lucro/Ação]]/[Ref]*4),0)</f>
        <v>0</v>
      </c>
      <c r="AQ516" s="77">
        <f>[Lucro Distribuir]/[Total Ações]</f>
        <v>0</v>
      </c>
      <c r="AR516" s="77">
        <f>IF([Unit ON]&gt;0,SUMPRODUCT(N([Nome]=Tabela3[[#This Row],[Nome]]),N(RIGHT([PAPEL],1)="3"),[Div Base])*[Unit ON]+SUMPRODUCT(N([Nome]=Tabela3[[#This Row],[Nome]]),N(RIGHT([PAPEL],1)="4"),[Div Base])*[Unit PN],[Div Base])</f>
        <v>0.36417073629894608</v>
      </c>
      <c r="AS516" s="16" t="str">
        <f>IF(AND([% A.A.]&gt;=6%,SUMPRODUCT(N([Nome]=Tabela3[[#This Row],[Nome]]),[PL])&gt;0,[Rentabilidade s/ PL]&gt;=[Rentabilidade s/ PL Média]),"Sim","Não")</f>
        <v>Não</v>
      </c>
      <c r="AT516" s="22">
        <f>IF([Cotação]&gt;0,Tabela3[[#This Row],[Lucro]]/Tabela3[[#This Row],[Cotação]],0)</f>
        <v>6.0233333823841561E-3</v>
      </c>
      <c r="AU516" s="18">
        <f>((1+Tabela3[[#This Row],[% Yield]])^(1/(3*Tabela3[[#This Row],[Ref]])))^(12)-1</f>
        <v>6.0233333823840329E-3</v>
      </c>
      <c r="AV516" s="10">
        <f>IF([Cotação]&gt;0,($BH$1/Tabela3[[#This Row],[Cotação]]-MOD($BH$1/Tabela3[[#This Row],[Cotação]],100)),)</f>
        <v>0</v>
      </c>
      <c r="AW516" s="7">
        <f>Tabela3[[#This Row],[Ativos]]*[Lucro]</f>
        <v>0</v>
      </c>
      <c r="AX516" s="47">
        <f>SUMPRODUCT(N(Tabela1[Código]=Tabela3[[#This Row],[PAPEL]]),Tabela1[Fechamento])</f>
        <v>0</v>
      </c>
      <c r="AY516" s="54">
        <f>SUMPRODUCT(N(Tabela17[Código]=Tabela3[[#This Row],[PAPEL]]),Tabela17[Fechamento])</f>
        <v>0</v>
      </c>
      <c r="AZ516" s="7">
        <f>SUMPRODUCT(N(Tabela176[Código]=Tabela3[[#This Row],[PAPEL]]),Tabela176[Fechamento])</f>
        <v>60.46</v>
      </c>
      <c r="BA516" s="7">
        <f>SUMPRODUCT(N(Tabela1768[Código]=Tabela3[[#This Row],[PAPEL]]),Tabela1768[Fechamento])</f>
        <v>0</v>
      </c>
      <c r="BB516" s="7">
        <f>SUMPRODUCT(N(Tabela17683[Código]=Tabela3[[#This Row],[PAPEL]]),Tabela17683[Fechamento])</f>
        <v>0</v>
      </c>
    </row>
    <row r="517" spans="1:54">
      <c r="A517" s="4" t="s">
        <v>12</v>
      </c>
      <c r="B517" s="58" t="s">
        <v>511</v>
      </c>
      <c r="C517" s="16" t="str">
        <f>LEFT([PAPEL],LEN([PAPEL])-(LEN([PAPEL])-4))</f>
        <v>RNEW</v>
      </c>
      <c r="D517" s="16">
        <v>4</v>
      </c>
      <c r="E517" s="5"/>
      <c r="F517" s="56"/>
      <c r="G517" s="86">
        <v>0.25</v>
      </c>
      <c r="H517" s="16"/>
      <c r="J517" s="18"/>
      <c r="K517" s="87">
        <v>1</v>
      </c>
      <c r="L517" s="87">
        <v>2</v>
      </c>
      <c r="M517" s="54"/>
      <c r="N517" s="54"/>
      <c r="O517" s="54"/>
      <c r="P517" s="91"/>
      <c r="Q517" s="73"/>
      <c r="R517" s="73">
        <f>IF(Tabela3[[#This Row],[Ativo || Passivo]]&gt;0,Tabela3[[#This Row],[Ativo || Passivo]]-Tabela3[[#This Row],[Patrimônio Líquido]],0)</f>
        <v>0</v>
      </c>
      <c r="S517" s="73">
        <f>Tabela3[[#This Row],[Cotação]]*Tabela3[[#This Row],[Total Ações]]</f>
        <v>9925874974.75</v>
      </c>
      <c r="T517" s="37">
        <f>IF(Tabela3[[#This Row],[Passivo Circulante]]&gt;0,Tabela3[[#This Row],[Ativo Circulante]]/Tabela3[[#This Row],[Passivo Circulante]],0)</f>
        <v>0</v>
      </c>
      <c r="U517" s="37">
        <f>SUMPRODUCT(N([Liquidez Corrente]&gt;0),N(RIGHT([PAPEL],LEN([PAPEL])-(LEN([PAPEL])-1))="3"),[Liquidez Corrente])/SUMPRODUCT(N([Liquidez Corrente]&gt;0),N(RIGHT([PAPEL],LEN([PAPEL])-(LEN([PAPEL])-1))="3"))</f>
        <v>2.331224473064915</v>
      </c>
      <c r="V517" s="18">
        <f>IF(Tabela3[[#This Row],[Lucro Líquido]]&gt;0,Tabela3[[#This Row],[Lucro Líquido]]/Tabela3[[#This Row],[Patrimônio Líquido]],0)</f>
        <v>0</v>
      </c>
      <c r="W517" s="18">
        <f>SUMPRODUCT(N([Rentabilidade s/ PL]&gt;0),N(RIGHT([PAPEL],LEN([PAPEL])-(LEN([PAPEL])-1))="3"),[Rentabilidade s/ PL])/SUMPRODUCT(N([Rentabilidade s/ PL]&gt;0),N(RIGHT([PAPEL],LEN([PAPEL])-(LEN([PAPEL])-1))="3"))</f>
        <v>0.1261051308670782</v>
      </c>
      <c r="X517" s="18">
        <f>IF(Tabela3[[#This Row],[Dívida]]&gt;0,Tabela3[[#This Row],[Dívida]]/Tabela3[[#This Row],[Patrimônio Líquido]],0)</f>
        <v>0</v>
      </c>
      <c r="Y517" s="18">
        <f>SUMPRODUCT(N([Dívida / PL]&gt;0),N(RIGHT([PAPEL],LEN([PAPEL])-(LEN([PAPEL])-1))="3"),[Dívida / PL])/SUMPRODUCT(N([Dívida / PL]&gt;0),N(RIGHT([PAPEL],LEN([PAPEL])-(LEN([PAPEL])-1))="3"))</f>
        <v>2.1510410379481146</v>
      </c>
      <c r="Z517" s="47">
        <f>Tabela3[[#This Row],[Capital Social]]*20%</f>
        <v>0</v>
      </c>
      <c r="AA517" s="47">
        <f>IF(([Lucro Líquido]*5%)&gt;[Teto R. Legal],[Teto R. Legal],[Lucro Líquido]*5%)</f>
        <v>0</v>
      </c>
      <c r="AB517" s="47">
        <f>IF([Lucro Líquido]&lt;0,0,[Lucro Líquido]-[Reserva Legal])</f>
        <v>0</v>
      </c>
      <c r="AC517" s="47">
        <f>Tabela3[[#This Row],[Lucro Distribuir]]*[%Div]</f>
        <v>0</v>
      </c>
      <c r="AD517" s="56">
        <f>SUMPRODUCT(N([Nome]=Tabela3[[#This Row],[Nome]]),[Ações])</f>
        <v>230031865</v>
      </c>
      <c r="AE517" s="5">
        <f>[Capital Social]/[Total Ações]</f>
        <v>0</v>
      </c>
      <c r="AF517" s="77">
        <f>Tabela3[[#This Row],[Lucro Líquido]]/Tabela3[[#This Row],[Total Ações]]</f>
        <v>0</v>
      </c>
      <c r="AG517" s="77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</v>
      </c>
      <c r="AH517" s="77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517" s="77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517" s="77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</v>
      </c>
      <c r="AK517" s="47">
        <f>[Div Base]*[Ações]</f>
        <v>0</v>
      </c>
      <c r="AL517" s="47">
        <f>SUMPRODUCT(N([Nome]=Tabela3[[#This Row],[Nome]]),[Div Base]*[Ações])</f>
        <v>1312900</v>
      </c>
      <c r="AM517" s="5">
        <f>[Patrimônio Líquido]/[Total Ações]</f>
        <v>0</v>
      </c>
      <c r="AN517" s="52">
        <f>MAX(Tabela3[[#This Row],[Cotação 1]:[Cotação 5]])</f>
        <v>43.15</v>
      </c>
      <c r="AO517" s="53" t="e">
        <f>[Cotação]/[VPA]</f>
        <v>#DIV/0!</v>
      </c>
      <c r="AP517" s="37">
        <f>IF(Tabela3[[#This Row],[Lucro/Ação]]&gt;0,Tabela3[[#This Row],[Cotação]]/(Tabela3[[#This Row],[Lucro/Ação]]/[Ref]*4),0)</f>
        <v>0</v>
      </c>
      <c r="AQ517" s="77">
        <f>[Lucro Distribuir]/[Total Ações]</f>
        <v>0</v>
      </c>
      <c r="AR517" s="77">
        <f>IF([Unit ON]&gt;0,SUMPRODUCT(N([Nome]=Tabela3[[#This Row],[Nome]]),N(RIGHT([PAPEL],1)="3"),[Div Base])*[Unit ON]+SUMPRODUCT(N([Nome]=Tabela3[[#This Row],[Nome]]),N(RIGHT([PAPEL],1)="4"),[Div Base])*[Unit PN],[Div Base])</f>
        <v>1.7122410410401183E-2</v>
      </c>
      <c r="AS517" s="10" t="str">
        <f>IF(AND([% A.A.]&gt;=6%,SUMPRODUCT(N([Nome]=Tabela3[[#This Row],[Nome]]),[PL])&gt;0,[Rentabilidade s/ PL]&gt;=[Rentabilidade s/ PL Média]),"Sim","Não")</f>
        <v>Não</v>
      </c>
      <c r="AT517" s="22">
        <f>IF([Cotação]&gt;0,Tabela3[[#This Row],[Lucro]]/Tabela3[[#This Row],[Cotação]],0)</f>
        <v>3.9681136524684086E-4</v>
      </c>
      <c r="AU517" s="22">
        <f>((1+Tabela3[[#This Row],[% Yield]])^(1/(3*Tabela3[[#This Row],[Ref]])))^(12)-1</f>
        <v>3.9681136524616356E-4</v>
      </c>
      <c r="AV517" s="10">
        <f>IF([Cotação]&gt;0,($BH$1/Tabela3[[#This Row],[Cotação]]-MOD($BH$1/Tabela3[[#This Row],[Cotação]],100)),)</f>
        <v>0</v>
      </c>
      <c r="AW517" s="7">
        <f>Tabela3[[#This Row],[Ativos]]*[Lucro]</f>
        <v>0</v>
      </c>
      <c r="AX517" s="7">
        <f>SUMPRODUCT(N(Tabela1[Código]=Tabela3[[#This Row],[PAPEL]]),Tabela1[Fechamento])</f>
        <v>0</v>
      </c>
      <c r="AY517" s="7">
        <f>SUMPRODUCT(N(Tabela17[Código]=Tabela3[[#This Row],[PAPEL]]),Tabela17[Fechamento])</f>
        <v>43.15</v>
      </c>
      <c r="AZ517" s="7">
        <f>SUMPRODUCT(N(Tabela176[Código]=Tabela3[[#This Row],[PAPEL]]),Tabela176[Fechamento])</f>
        <v>0</v>
      </c>
      <c r="BA517" s="7">
        <f>SUMPRODUCT(N(Tabela1768[Código]=Tabela3[[#This Row],[PAPEL]]),Tabela1768[Fechamento])</f>
        <v>0</v>
      </c>
      <c r="BB517" s="7">
        <f>SUMPRODUCT(N(Tabela17683[Código]=Tabela3[[#This Row],[PAPEL]]),Tabela17683[Fechamento])</f>
        <v>0</v>
      </c>
    </row>
    <row r="518" spans="1:54">
      <c r="A518" s="4" t="s">
        <v>14</v>
      </c>
      <c r="B518" s="57" t="s">
        <v>567</v>
      </c>
      <c r="C518" s="15" t="str">
        <f>LEFT([PAPEL],LEN([PAPEL])-(LEN([PAPEL])-4))</f>
        <v>SANB</v>
      </c>
      <c r="D518" s="15">
        <v>4</v>
      </c>
      <c r="E518" s="6"/>
      <c r="F518" s="8"/>
      <c r="G518" s="86">
        <v>0.25</v>
      </c>
      <c r="H518" s="15"/>
      <c r="I518" s="19"/>
      <c r="J518" s="19"/>
      <c r="K518" s="88">
        <v>55</v>
      </c>
      <c r="L518" s="88">
        <v>50</v>
      </c>
      <c r="M518" s="55"/>
      <c r="N518" s="55"/>
      <c r="O518" s="55"/>
      <c r="P518" s="92"/>
      <c r="Q518" s="93"/>
      <c r="R518" s="93">
        <f>IF(Tabela3[[#This Row],[Ativo || Passivo]]&gt;0,Tabela3[[#This Row],[Ativo || Passivo]]-Tabela3[[#This Row],[Patrimônio Líquido]],0)</f>
        <v>0</v>
      </c>
      <c r="S518" s="93">
        <f>Tabela3[[#This Row],[Cotação]]*Tabela3[[#This Row],[Total Ações]]</f>
        <v>4660835285450.3994</v>
      </c>
      <c r="T518" s="40">
        <f>IF(Tabela3[[#This Row],[Passivo Circulante]]&gt;0,Tabela3[[#This Row],[Ativo Circulante]]/Tabela3[[#This Row],[Passivo Circulante]],0)</f>
        <v>0</v>
      </c>
      <c r="U518" s="40">
        <f>SUMPRODUCT(N([Liquidez Corrente]&gt;0),N(RIGHT([PAPEL],LEN([PAPEL])-(LEN([PAPEL])-1))="3"),[Liquidez Corrente])/SUMPRODUCT(N([Liquidez Corrente]&gt;0),N(RIGHT([PAPEL],LEN([PAPEL])-(LEN([PAPEL])-1))="3"))</f>
        <v>2.331224473064915</v>
      </c>
      <c r="V518" s="19">
        <f>IF(Tabela3[[#This Row],[Lucro Líquido]]&gt;0,Tabela3[[#This Row],[Lucro Líquido]]/Tabela3[[#This Row],[Patrimônio Líquido]],0)</f>
        <v>0</v>
      </c>
      <c r="W518" s="19">
        <f>SUMPRODUCT(N([Rentabilidade s/ PL]&gt;0),N(RIGHT([PAPEL],LEN([PAPEL])-(LEN([PAPEL])-1))="3"),[Rentabilidade s/ PL])/SUMPRODUCT(N([Rentabilidade s/ PL]&gt;0),N(RIGHT([PAPEL],LEN([PAPEL])-(LEN([PAPEL])-1))="3"))</f>
        <v>0.1261051308670782</v>
      </c>
      <c r="X518" s="19">
        <f>IF(Tabela3[[#This Row],[Dívida]]&gt;0,Tabela3[[#This Row],[Dívida]]/Tabela3[[#This Row],[Patrimônio Líquido]],0)</f>
        <v>0</v>
      </c>
      <c r="Y518" s="19">
        <f>SUMPRODUCT(N([Dívida / PL]&gt;0),N(RIGHT([PAPEL],LEN([PAPEL])-(LEN([PAPEL])-1))="3"),[Dívida / PL])/SUMPRODUCT(N([Dívida / PL]&gt;0),N(RIGHT([PAPEL],LEN([PAPEL])-(LEN([PAPEL])-1))="3"))</f>
        <v>2.1510410379481146</v>
      </c>
      <c r="Z518" s="13">
        <f>Tabela3[[#This Row],[Capital Social]]*20%</f>
        <v>0</v>
      </c>
      <c r="AA518" s="13">
        <f>IF(([Lucro Líquido]*5%)&gt;[Teto R. Legal],[Teto R. Legal],[Lucro Líquido]*5%)</f>
        <v>0</v>
      </c>
      <c r="AB518" s="13">
        <f>IF([Lucro Líquido]&lt;0,0,[Lucro Líquido]-[Reserva Legal])</f>
        <v>0</v>
      </c>
      <c r="AC518" s="13">
        <f>Tabela3[[#This Row],[Lucro Distribuir]]*[%Div]</f>
        <v>0</v>
      </c>
      <c r="AD518" s="56">
        <f>SUMPRODUCT(N([Nome]=Tabela3[[#This Row],[Nome]]),[Ações])</f>
        <v>399044116905</v>
      </c>
      <c r="AE518" s="6">
        <f>[Capital Social]/[Total Ações]</f>
        <v>0</v>
      </c>
      <c r="AF518" s="78">
        <f>Tabela3[[#This Row],[Lucro Líquido]]/Tabela3[[#This Row],[Total Ações]]</f>
        <v>0</v>
      </c>
      <c r="AG518" s="78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</v>
      </c>
      <c r="AH518" s="78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518" s="78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518" s="78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</v>
      </c>
      <c r="AK518" s="13">
        <f>[Div Base]*[Ações]</f>
        <v>0</v>
      </c>
      <c r="AL518" s="13">
        <f>SUMPRODUCT(N([Nome]=Tabela3[[#This Row],[Nome]]),[Div Base]*[Ações])</f>
        <v>391512248.61271071</v>
      </c>
      <c r="AM518" s="6">
        <f>[Patrimônio Líquido]/[Total Ações]</f>
        <v>0</v>
      </c>
      <c r="AN518" s="48">
        <f>MAX(Tabela3[[#This Row],[Cotação 1]:[Cotação 5]])</f>
        <v>11.68</v>
      </c>
      <c r="AO518" s="44" t="e">
        <f>[Cotação]/[VPA]</f>
        <v>#DIV/0!</v>
      </c>
      <c r="AP518" s="40">
        <f>IF(Tabela3[[#This Row],[Lucro/Ação]]&gt;0,Tabela3[[#This Row],[Cotação]]/(Tabela3[[#This Row],[Lucro/Ação]]/[Ref]*4),0)</f>
        <v>0</v>
      </c>
      <c r="AQ518" s="78">
        <f>[Lucro Distribuir]/[Total Ações]</f>
        <v>0</v>
      </c>
      <c r="AR518" s="78">
        <f>IF([Unit ON]&gt;0,SUMPRODUCT(N([Nome]=Tabela3[[#This Row],[Nome]]),N(RIGHT([PAPEL],1)="3"),[Div Base])*[Unit ON]+SUMPRODUCT(N([Nome]=Tabela3[[#This Row],[Nome]]),N(RIGHT([PAPEL],1)="4"),[Div Base])*[Unit PN],[Div Base])</f>
        <v>0.10311233599201215</v>
      </c>
      <c r="AS518" s="14" t="str">
        <f>IF(AND([% A.A.]&gt;=6%,SUMPRODUCT(N([Nome]=Tabela3[[#This Row],[Nome]]),[PL])&gt;0,[Rentabilidade s/ PL]&gt;=[Rentabilidade s/ PL Média]),"Sim","Não")</f>
        <v>Não</v>
      </c>
      <c r="AT518" s="42">
        <f>IF([Cotação]&gt;0,Tabela3[[#This Row],[Lucro]]/Tabela3[[#This Row],[Cotação]],0)</f>
        <v>8.8281109582202186E-3</v>
      </c>
      <c r="AU518" s="42">
        <f>((1+Tabela3[[#This Row],[% Yield]])^(1/(3*Tabela3[[#This Row],[Ref]])))^(12)-1</f>
        <v>8.8281109582206696E-3</v>
      </c>
      <c r="AV518" s="14">
        <f>IF([Cotação]&gt;0,($BH$1/Tabela3[[#This Row],[Cotação]]-MOD($BH$1/Tabela3[[#This Row],[Cotação]],100)),)</f>
        <v>0</v>
      </c>
      <c r="AW518" s="17">
        <f>Tabela3[[#This Row],[Ativos]]*[Lucro]</f>
        <v>0</v>
      </c>
      <c r="AX518" s="17">
        <f>SUMPRODUCT(N(Tabela1[Código]=Tabela3[[#This Row],[PAPEL]]),Tabela1[Fechamento])</f>
        <v>0</v>
      </c>
      <c r="AY518" s="17">
        <f>SUMPRODUCT(N(Tabela17[Código]=Tabela3[[#This Row],[PAPEL]]),Tabela17[Fechamento])</f>
        <v>0</v>
      </c>
      <c r="AZ518" s="17">
        <f>SUMPRODUCT(N(Tabela176[Código]=Tabela3[[#This Row],[PAPEL]]),Tabela176[Fechamento])</f>
        <v>11.68</v>
      </c>
      <c r="BA518" s="17">
        <f>SUMPRODUCT(N(Tabela1768[Código]=Tabela3[[#This Row],[PAPEL]]),Tabela1768[Fechamento])</f>
        <v>0</v>
      </c>
      <c r="BB518" s="7">
        <f>SUMPRODUCT(N(Tabela17683[Código]=Tabela3[[#This Row],[PAPEL]]),Tabela17683[Fechamento])</f>
        <v>0</v>
      </c>
    </row>
    <row r="519" spans="1:54">
      <c r="A519" s="3" t="s">
        <v>1330</v>
      </c>
      <c r="B519" s="57" t="s">
        <v>1334</v>
      </c>
      <c r="C519" s="16" t="str">
        <f>LEFT([PAPEL],LEN([PAPEL])-(LEN([PAPEL])-4))</f>
        <v>STBP</v>
      </c>
      <c r="D519" s="16">
        <v>4</v>
      </c>
      <c r="E519" s="5"/>
      <c r="F519" s="56"/>
      <c r="G519" s="81">
        <v>0.25</v>
      </c>
      <c r="H519" s="87"/>
      <c r="J519" s="18"/>
      <c r="K519" s="16">
        <v>1</v>
      </c>
      <c r="L519" s="87">
        <v>4</v>
      </c>
      <c r="M519" s="54"/>
      <c r="N519" s="54"/>
      <c r="O519" s="54"/>
      <c r="P519" s="91"/>
      <c r="Q519" s="73"/>
      <c r="R519" s="73">
        <f>IF(Tabela3[[#This Row],[Ativo || Passivo]]&gt;0,Tabela3[[#This Row],[Ativo || Passivo]]-Tabela3[[#This Row],[Patrimônio Líquido]],0)</f>
        <v>0</v>
      </c>
      <c r="S519" s="73">
        <f>Tabela3[[#This Row],[Cotação]]*Tabela3[[#This Row],[Total Ações]]</f>
        <v>9698220226.2399998</v>
      </c>
      <c r="T519" s="37">
        <f>IF(Tabela3[[#This Row],[Passivo Circulante]]&gt;0,Tabela3[[#This Row],[Ativo Circulante]]/Tabela3[[#This Row],[Passivo Circulante]],0)</f>
        <v>0</v>
      </c>
      <c r="U519" s="37">
        <f>SUMPRODUCT(N([Liquidez Corrente]&gt;0),N(RIGHT([PAPEL],LEN([PAPEL])-(LEN([PAPEL])-1))="3"),[Liquidez Corrente])/SUMPRODUCT(N([Liquidez Corrente]&gt;0),N(RIGHT([PAPEL],LEN([PAPEL])-(LEN([PAPEL])-1))="3"))</f>
        <v>2.331224473064915</v>
      </c>
      <c r="V519" s="18">
        <f>IF(Tabela3[[#This Row],[Lucro Líquido]]&gt;0,Tabela3[[#This Row],[Lucro Líquido]]/Tabela3[[#This Row],[Patrimônio Líquido]],0)</f>
        <v>0</v>
      </c>
      <c r="W519" s="18">
        <f>SUMPRODUCT(N([Rentabilidade s/ PL]&gt;0),N(RIGHT([PAPEL],LEN([PAPEL])-(LEN([PAPEL])-1))="3"),[Rentabilidade s/ PL])/SUMPRODUCT(N([Rentabilidade s/ PL]&gt;0),N(RIGHT([PAPEL],LEN([PAPEL])-(LEN([PAPEL])-1))="3"))</f>
        <v>0.1261051308670782</v>
      </c>
      <c r="X519" s="18">
        <f>IF(Tabela3[[#This Row],[Dívida]]&gt;0,Tabela3[[#This Row],[Dívida]]/Tabela3[[#This Row],[Patrimônio Líquido]],0)</f>
        <v>0</v>
      </c>
      <c r="Y519" s="18">
        <f>SUMPRODUCT(N([Dívida / PL]&gt;0),N(RIGHT([PAPEL],LEN([PAPEL])-(LEN([PAPEL])-1))="3"),[Dívida / PL])/SUMPRODUCT(N([Dívida / PL]&gt;0),N(RIGHT([PAPEL],LEN([PAPEL])-(LEN([PAPEL])-1))="3"))</f>
        <v>2.1510410379481146</v>
      </c>
      <c r="Z519" s="7">
        <f>Tabela3[[#This Row],[Capital Social]]*20%</f>
        <v>0</v>
      </c>
      <c r="AA519" s="47">
        <f>IF(([Lucro Líquido]*5%)&gt;[Teto R. Legal],[Teto R. Legal],[Lucro Líquido]*5%)</f>
        <v>0</v>
      </c>
      <c r="AB519" s="47">
        <f>IF([Lucro Líquido]&lt;0,0,[Lucro Líquido]-[Reserva Legal])</f>
        <v>0</v>
      </c>
      <c r="AC519" s="47">
        <f>Tabela3[[#This Row],[Lucro Distribuir]]*[%Div]</f>
        <v>0</v>
      </c>
      <c r="AD519" s="56">
        <f>SUMPRODUCT(N([Nome]=Tabela3[[#This Row],[Nome]]),[Ações])</f>
        <v>666086554</v>
      </c>
      <c r="AE519" s="85">
        <f>[Capital Social]/[Total Ações]</f>
        <v>0</v>
      </c>
      <c r="AF519" s="85">
        <f>Tabela3[[#This Row],[Lucro Líquido]]/Tabela3[[#This Row],[Total Ações]]</f>
        <v>0</v>
      </c>
      <c r="AG519" s="85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</v>
      </c>
      <c r="AH519" s="85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519" s="77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519" s="85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</v>
      </c>
      <c r="AK519" s="7">
        <f>[Div Base]*[Ações]</f>
        <v>0</v>
      </c>
      <c r="AL519" s="120">
        <f>SUMPRODUCT(N([Nome]=Tabela3[[#This Row],[Nome]]),[Div Base]*[Ações])</f>
        <v>60576750</v>
      </c>
      <c r="AM519" s="5">
        <f>[Patrimônio Líquido]/[Total Ações]</f>
        <v>0</v>
      </c>
      <c r="AN519" s="52">
        <f>MAX(Tabela3[[#This Row],[Cotação 1]:[Cotação 5]])</f>
        <v>14.56</v>
      </c>
      <c r="AO519" s="53" t="e">
        <f>[Cotação]/[VPA]</f>
        <v>#DIV/0!</v>
      </c>
      <c r="AP519" s="37">
        <f>IF(Tabela3[[#This Row],[Lucro/Ação]]&gt;0,Tabela3[[#This Row],[Cotação]]/(Tabela3[[#This Row],[Lucro/Ação]]/[Ref]*4),0)</f>
        <v>0</v>
      </c>
      <c r="AQ519" s="85">
        <f>[Lucro Distribuir]/[Total Ações]</f>
        <v>0</v>
      </c>
      <c r="AR519" s="85">
        <f>IF([Unit ON]&gt;0,SUMPRODUCT(N([Nome]=Tabela3[[#This Row],[Nome]]),N(RIGHT([PAPEL],1)="3"),[Div Base])*[Unit ON]+SUMPRODUCT(N([Nome]=Tabela3[[#This Row],[Nome]]),N(RIGHT([PAPEL],1)="4"),[Div Base])*[Unit PN],[Div Base])</f>
        <v>0.45472130938706806</v>
      </c>
      <c r="AS519" s="10" t="str">
        <f>IF(AND([% A.A.]&gt;=6%,SUMPRODUCT(N([Nome]=Tabela3[[#This Row],[Nome]]),[PL])&gt;0,[Rentabilidade s/ PL]&gt;=[Rentabilidade s/ PL Média]),"Sim","Não")</f>
        <v>Não</v>
      </c>
      <c r="AT519" s="22">
        <f>IF([Cotação]&gt;0,Tabela3[[#This Row],[Lucro]]/Tabela3[[#This Row],[Cotação]],0)</f>
        <v>3.1230859161199727E-2</v>
      </c>
      <c r="AU519" s="22">
        <f>((1+Tabela3[[#This Row],[% Yield]])^(1/(3*Tabela3[[#This Row],[Ref]])))^(12)-1</f>
        <v>3.1230859161198943E-2</v>
      </c>
      <c r="AV519" s="10">
        <f>IF([Cotação]&gt;0,($BH$1/Tabela3[[#This Row],[Cotação]]-MOD($BH$1/Tabela3[[#This Row],[Cotação]],100)),)</f>
        <v>0</v>
      </c>
      <c r="AW519" s="7">
        <f>Tabela3[[#This Row],[Ativos]]*[Lucro]</f>
        <v>0</v>
      </c>
      <c r="AX519" s="7">
        <f>SUMPRODUCT(N(Tabela1[Código]=Tabela3[[#This Row],[PAPEL]]),Tabela1[Fechamento])</f>
        <v>0</v>
      </c>
      <c r="AY519" s="7">
        <f>SUMPRODUCT(N(Tabela17[Código]=Tabela3[[#This Row],[PAPEL]]),Tabela17[Fechamento])</f>
        <v>0</v>
      </c>
      <c r="AZ519" s="7">
        <f>SUMPRODUCT(N(Tabela176[Código]=Tabela3[[#This Row],[PAPEL]]),Tabela176[Fechamento])</f>
        <v>0</v>
      </c>
      <c r="BA519" s="7">
        <f>SUMPRODUCT(N(Tabela1768[Código]=Tabela3[[#This Row],[PAPEL]]),Tabela1768[Fechamento])</f>
        <v>0</v>
      </c>
      <c r="BB519" s="7">
        <f>SUMPRODUCT(N(Tabela17683[Código]=Tabela3[[#This Row],[PAPEL]]),Tabela17683[Fechamento])</f>
        <v>14.56</v>
      </c>
    </row>
    <row r="520" spans="1:54" ht="15">
      <c r="A520" s="3">
        <f>SUBTOTAL(103,[Classificação Setorial])</f>
        <v>98</v>
      </c>
      <c r="C520"/>
      <c r="D520"/>
      <c r="E520"/>
      <c r="F520"/>
      <c r="G520"/>
      <c r="H520"/>
      <c r="I520"/>
      <c r="J520"/>
      <c r="K520"/>
      <c r="L520"/>
      <c r="M520" s="136"/>
      <c r="N520" s="136"/>
      <c r="O520" s="136"/>
      <c r="P520" s="3"/>
      <c r="Q520" s="3"/>
      <c r="R520" s="3"/>
      <c r="S520" s="7"/>
      <c r="T520" s="37"/>
      <c r="U520" s="37"/>
      <c r="V520" s="22"/>
      <c r="W520" s="22"/>
      <c r="X520" s="22"/>
      <c r="Y520" s="22"/>
      <c r="AM520" s="7"/>
      <c r="AN520" s="31"/>
      <c r="AP520"/>
      <c r="AW520" s="7"/>
      <c r="AY520" s="7"/>
    </row>
  </sheetData>
  <hyperlinks>
    <hyperlink ref="B228" r:id="rId1"/>
    <hyperlink ref="B216" r:id="rId2"/>
    <hyperlink ref="B148" r:id="rId3" display="PINE4"/>
    <hyperlink ref="B342" r:id="rId4"/>
    <hyperlink ref="B341" r:id="rId5"/>
    <hyperlink ref="B54" r:id="rId6"/>
    <hyperlink ref="B53" r:id="rId7"/>
    <hyperlink ref="B52" r:id="rId8"/>
    <hyperlink ref="B68" r:id="rId9" display="BRKM3"/>
    <hyperlink ref="B67" r:id="rId10" display="BRKM3"/>
    <hyperlink ref="B221" r:id="rId11"/>
    <hyperlink ref="B220" r:id="rId12"/>
    <hyperlink ref="B163" r:id="rId13"/>
    <hyperlink ref="B162" r:id="rId14"/>
    <hyperlink ref="B245" r:id="rId15" display="BRGE3"/>
    <hyperlink ref="B244" r:id="rId16" display="BRGE3"/>
    <hyperlink ref="B243" r:id="rId17" display="BRGE3"/>
    <hyperlink ref="B242" r:id="rId18" display="BRGE3"/>
    <hyperlink ref="B241" r:id="rId19"/>
    <hyperlink ref="B240" r:id="rId20"/>
    <hyperlink ref="B239" r:id="rId21"/>
    <hyperlink ref="B42" r:id="rId22" display="CPLE3"/>
    <hyperlink ref="B41" r:id="rId23" display="CPLE3"/>
    <hyperlink ref="B40" r:id="rId24"/>
    <hyperlink ref="B102" r:id="rId25" display="BNBR4"/>
    <hyperlink ref="B103" r:id="rId26"/>
    <hyperlink ref="B71" r:id="rId27"/>
    <hyperlink ref="B72" r:id="rId28"/>
    <hyperlink ref="B4" r:id="rId29"/>
    <hyperlink ref="B336" r:id="rId30" display="GTDP4B"/>
    <hyperlink ref="B280" r:id="rId31" display="CEBR3"/>
    <hyperlink ref="B279" r:id="rId32" display="CEBR3"/>
    <hyperlink ref="B278" r:id="rId33"/>
    <hyperlink ref="B273" r:id="rId34" display="MERC4"/>
    <hyperlink ref="B18" r:id="rId35" display="CMIG4"/>
    <hyperlink ref="B51" r:id="rId36" display="CESP3"/>
    <hyperlink ref="B50" r:id="rId37" display="CESP3"/>
    <hyperlink ref="B109" r:id="rId38" display="ELPL4"/>
    <hyperlink ref="B207" r:id="rId39" display="PATI4"/>
    <hyperlink ref="B84" r:id="rId40"/>
    <hyperlink ref="B113" r:id="rId41"/>
    <hyperlink ref="B14" r:id="rId42"/>
    <hyperlink ref="B35" r:id="rId43"/>
    <hyperlink ref="B186" r:id="rId44"/>
    <hyperlink ref="B231" r:id="rId45"/>
    <hyperlink ref="B230" r:id="rId46"/>
    <hyperlink ref="B274" r:id="rId47"/>
    <hyperlink ref="B120" r:id="rId48"/>
    <hyperlink ref="B166" r:id="rId49"/>
    <hyperlink ref="B168" r:id="rId50"/>
    <hyperlink ref="B188" r:id="rId51"/>
    <hyperlink ref="B94" r:id="rId52"/>
    <hyperlink ref="B208" r:id="rId53"/>
    <hyperlink ref="B261" r:id="rId54"/>
    <hyperlink ref="B185" r:id="rId55"/>
    <hyperlink ref="B64" r:id="rId56"/>
    <hyperlink ref="B337" r:id="rId57"/>
    <hyperlink ref="B19" r:id="rId58"/>
    <hyperlink ref="B49" r:id="rId59"/>
    <hyperlink ref="B110" r:id="rId60"/>
    <hyperlink ref="B266" r:id="rId61"/>
    <hyperlink ref="B328" r:id="rId62"/>
    <hyperlink ref="B183" r:id="rId63"/>
    <hyperlink ref="B317" r:id="rId64" display="HBTS5"/>
    <hyperlink ref="B45" r:id="rId65"/>
    <hyperlink ref="B44" r:id="rId66"/>
    <hyperlink ref="B25" r:id="rId67"/>
    <hyperlink ref="B24" r:id="rId68"/>
    <hyperlink ref="B55" r:id="rId69"/>
    <hyperlink ref="B43" r:id="rId70"/>
    <hyperlink ref="B236" r:id="rId71"/>
    <hyperlink ref="B235" r:id="rId72"/>
    <hyperlink ref="B294" r:id="rId73"/>
    <hyperlink ref="B66" r:id="rId74"/>
    <hyperlink ref="B17" r:id="rId75"/>
    <hyperlink ref="B348" r:id="rId76"/>
    <hyperlink ref="B347" r:id="rId77"/>
    <hyperlink ref="B252" r:id="rId78"/>
    <hyperlink ref="B251" r:id="rId79"/>
    <hyperlink ref="B250" r:id="rId80"/>
    <hyperlink ref="B149" r:id="rId81"/>
    <hyperlink ref="B28" r:id="rId82"/>
    <hyperlink ref="B195" r:id="rId83"/>
    <hyperlink ref="B182" r:id="rId84"/>
    <hyperlink ref="B159" r:id="rId85"/>
    <hyperlink ref="B276" r:id="rId86"/>
    <hyperlink ref="B265" r:id="rId87"/>
    <hyperlink ref="B210" r:id="rId88"/>
    <hyperlink ref="B29" r:id="rId89"/>
    <hyperlink ref="B23" r:id="rId90"/>
    <hyperlink ref="B180" r:id="rId91"/>
    <hyperlink ref="B133" r:id="rId92" display="SULA11"/>
    <hyperlink ref="B143" r:id="rId93"/>
    <hyperlink ref="B6" r:id="rId94"/>
    <hyperlink ref="B16" r:id="rId95"/>
    <hyperlink ref="B15" r:id="rId96"/>
    <hyperlink ref="B93" r:id="rId97"/>
    <hyperlink ref="B111" r:id="rId98"/>
    <hyperlink ref="B112" r:id="rId99"/>
    <hyperlink ref="B7" r:id="rId100"/>
    <hyperlink ref="B8" r:id="rId101"/>
    <hyperlink ref="B140" r:id="rId102"/>
    <hyperlink ref="B190" r:id="rId103"/>
    <hyperlink ref="B191" r:id="rId104"/>
    <hyperlink ref="B218" r:id="rId105"/>
    <hyperlink ref="B219" r:id="rId106"/>
    <hyperlink ref="B204" r:id="rId107"/>
    <hyperlink ref="B205" r:id="rId108"/>
    <hyperlink ref="B95:B98" r:id="rId109" display="ENGI11"/>
    <hyperlink ref="B109:B110" r:id="rId110" display="GETI3"/>
    <hyperlink ref="B286" r:id="rId111"/>
    <hyperlink ref="B65" r:id="rId112"/>
    <hyperlink ref="B96:B98" r:id="rId113" display="CSRN3"/>
    <hyperlink ref="B160" r:id="rId114"/>
    <hyperlink ref="B161" r:id="rId115"/>
    <hyperlink ref="B229" r:id="rId116"/>
    <hyperlink ref="B61:B63" r:id="rId117" display="CEEB3"/>
    <hyperlink ref="B68:B70" r:id="rId118" display="CEPE3"/>
    <hyperlink ref="B89:B91" r:id="rId119" display="COCE3"/>
    <hyperlink ref="B165:B170" r:id="rId120" display="ENMA3B"/>
    <hyperlink ref="B61" r:id="rId121"/>
    <hyperlink ref="B183:B184" r:id="rId122" display="GEPA3"/>
    <hyperlink ref="B318" r:id="rId123"/>
    <hyperlink ref="B124:B125" r:id="rId124" display="EMAE3"/>
    <hyperlink ref="B504" r:id="rId125"/>
    <hyperlink ref="B165" r:id="rId126"/>
    <hyperlink ref="B26" r:id="rId127"/>
    <hyperlink ref="B207:B208" r:id="rId128" display="TRPL3"/>
    <hyperlink ref="B56" r:id="rId129"/>
    <hyperlink ref="B206" r:id="rId130"/>
    <hyperlink ref="B471" r:id="rId131" display="EKTR3"/>
    <hyperlink ref="B270" r:id="rId132"/>
    <hyperlink ref="B271" r:id="rId133" display="CASN3"/>
    <hyperlink ref="B82" r:id="rId134"/>
    <hyperlink ref="B99" r:id="rId135"/>
    <hyperlink ref="B100" r:id="rId136" display="SAPR3"/>
    <hyperlink ref="B73" r:id="rId137"/>
    <hyperlink ref="B74" r:id="rId138" display="CGAS3"/>
    <hyperlink ref="B117" r:id="rId139"/>
    <hyperlink ref="B365" r:id="rId140"/>
    <hyperlink ref="B83" r:id="rId141" display="EBTP4"/>
    <hyperlink ref="B413" r:id="rId142"/>
    <hyperlink ref="B414" r:id="rId143" display="MLFT3"/>
    <hyperlink ref="B462" r:id="rId144"/>
    <hyperlink ref="B463" r:id="rId145" display="LFFE3"/>
    <hyperlink ref="B147" r:id="rId146"/>
    <hyperlink ref="B146" r:id="rId147" display="DAYC4"/>
    <hyperlink ref="B465" r:id="rId148"/>
    <hyperlink ref="B466" r:id="rId149" display="IDVL3"/>
    <hyperlink ref="B435" r:id="rId150"/>
    <hyperlink ref="B436" r:id="rId151" display="BMEB3"/>
    <hyperlink ref="B493" r:id="rId152"/>
    <hyperlink ref="B494" r:id="rId153" display="BPMN3"/>
    <hyperlink ref="B518" r:id="rId154"/>
    <hyperlink ref="B21" r:id="rId155" display="SANB11"/>
    <hyperlink ref="B22" r:id="rId156" display="SANB11"/>
    <hyperlink ref="B305" r:id="rId157"/>
    <hyperlink ref="B304" r:id="rId158" display="SFSA4"/>
    <hyperlink ref="B9" r:id="rId159"/>
    <hyperlink ref="B10" r:id="rId160" display="ITUB3"/>
    <hyperlink ref="B173" r:id="rId161"/>
    <hyperlink ref="B172" r:id="rId162" display="PRBC4"/>
    <hyperlink ref="B11" r:id="rId163"/>
    <hyperlink ref="B12" r:id="rId164" display="ITSA3"/>
    <hyperlink ref="B349" r:id="rId165"/>
    <hyperlink ref="B202" r:id="rId166"/>
    <hyperlink ref="B475" r:id="rId167"/>
    <hyperlink ref="B476" r:id="rId168" display="TELB3"/>
    <hyperlink ref="B322" r:id="rId169"/>
    <hyperlink ref="B122" r:id="rId170"/>
    <hyperlink ref="B255" r:id="rId171"/>
    <hyperlink ref="B500" r:id="rId172"/>
    <hyperlink ref="B281" r:id="rId173"/>
    <hyperlink ref="B514" r:id="rId174"/>
    <hyperlink ref="B2" r:id="rId175"/>
    <hyperlink ref="B3" r:id="rId176" display="PETR3"/>
    <hyperlink ref="B448" r:id="rId177"/>
    <hyperlink ref="B449" r:id="rId178"/>
    <hyperlink ref="B513" r:id="rId179"/>
    <hyperlink ref="B213" r:id="rId180"/>
    <hyperlink ref="B214" r:id="rId181" display="FESA3"/>
    <hyperlink ref="B39" r:id="rId182"/>
    <hyperlink ref="B481" r:id="rId183"/>
    <hyperlink ref="B482" r:id="rId184" display="USIM3"/>
    <hyperlink ref="B483" r:id="rId185" display="USIM3"/>
    <hyperlink ref="B33" r:id="rId186"/>
    <hyperlink ref="B34" r:id="rId187" display="GGBR3"/>
    <hyperlink ref="B87" r:id="rId188"/>
    <hyperlink ref="B88" r:id="rId189"/>
    <hyperlink ref="B370" r:id="rId190"/>
    <hyperlink ref="B371" r:id="rId191" display="FBMC3"/>
    <hyperlink ref="B433" r:id="rId192"/>
    <hyperlink ref="B434" r:id="rId193" display="MGEL3"/>
    <hyperlink ref="B355" r:id="rId194"/>
    <hyperlink ref="B356" r:id="rId195"/>
    <hyperlink ref="B275" r:id="rId196" display="TKNO4"/>
    <hyperlink ref="B293" r:id="rId197"/>
    <hyperlink ref="B415" r:id="rId198"/>
    <hyperlink ref="B416" r:id="rId199" display="TIBR3"/>
    <hyperlink ref="B417" r:id="rId200" display="TIBR3"/>
    <hyperlink ref="B232" r:id="rId201"/>
    <hyperlink ref="B233" r:id="rId202" display="ELEK3"/>
    <hyperlink ref="B452" r:id="rId203"/>
    <hyperlink ref="B372" r:id="rId204"/>
    <hyperlink ref="B447" r:id="rId205"/>
    <hyperlink ref="B369" r:id="rId206"/>
    <hyperlink ref="B406" r:id="rId207"/>
    <hyperlink ref="B5" r:id="rId208" display="VALE5"/>
    <hyperlink ref="B512" r:id="rId209"/>
    <hyperlink ref="B441" r:id="rId210"/>
    <hyperlink ref="B442" r:id="rId211" display="SNSY3"/>
    <hyperlink ref="B443" r:id="rId212" display="SNSY3"/>
    <hyperlink ref="B263" r:id="rId213"/>
    <hyperlink ref="B264" r:id="rId214" display="RANI3"/>
    <hyperlink ref="B423" r:id="rId215"/>
    <hyperlink ref="B424" r:id="rId216" display="MSPA3"/>
    <hyperlink ref="B507" r:id="rId217"/>
    <hyperlink ref="B516" r:id="rId218"/>
    <hyperlink ref="B105" r:id="rId219" display="KLBN11"/>
    <hyperlink ref="B106" r:id="rId220" display="KLBN11"/>
    <hyperlink ref="B486" r:id="rId221"/>
    <hyperlink ref="B487" r:id="rId222" display="SUZB3"/>
    <hyperlink ref="B488" r:id="rId223" display="SUZB3"/>
    <hyperlink ref="B184" r:id="rId224" display="EUCA4"/>
    <hyperlink ref="B209" r:id="rId225" display="PTPA4"/>
    <hyperlink ref="B411" r:id="rId226"/>
    <hyperlink ref="B412" r:id="rId227" display="MTIG3"/>
    <hyperlink ref="B353" r:id="rId228"/>
    <hyperlink ref="B354" r:id="rId229" display="PEAB3"/>
    <hyperlink ref="B27" r:id="rId230"/>
    <hyperlink ref="B70" r:id="rId231" display="SULA11"/>
    <hyperlink ref="B69" r:id="rId232"/>
    <hyperlink ref="B373" r:id="rId233"/>
    <hyperlink ref="B374" r:id="rId234" display="BTTL3"/>
    <hyperlink ref="B316" r:id="rId235"/>
    <hyperlink ref="B315" r:id="rId236" display="HBTS5"/>
    <hyperlink ref="B393" r:id="rId237"/>
    <hyperlink ref="B394" r:id="rId238" display="DOCA3"/>
    <hyperlink ref="B331" r:id="rId239"/>
    <hyperlink ref="B332" r:id="rId240" display="JBDU3"/>
    <hyperlink ref="B379" r:id="rId241"/>
    <hyperlink ref="B361" r:id="rId242"/>
    <hyperlink ref="B362" r:id="rId243" display="CORR3"/>
    <hyperlink ref="B455" r:id="rId244"/>
    <hyperlink ref="B121" r:id="rId245" display="MULT3"/>
    <hyperlink ref="B277" r:id="rId246"/>
    <hyperlink ref="B181" r:id="rId247"/>
    <hyperlink ref="B203" r:id="rId248"/>
    <hyperlink ref="B164" r:id="rId249"/>
    <hyperlink ref="B269" r:id="rId250"/>
    <hyperlink ref="B258" r:id="rId251"/>
    <hyperlink ref="B390" r:id="rId252"/>
    <hyperlink ref="B46" r:id="rId253"/>
    <hyperlink ref="B444" r:id="rId254"/>
    <hyperlink ref="B445" r:id="rId255" display="BOBR3"/>
    <hyperlink ref="B20" r:id="rId256"/>
    <hyperlink ref="B136" r:id="rId257"/>
    <hyperlink ref="B137" r:id="rId258" display="LAME3"/>
    <hyperlink ref="B484" r:id="rId259"/>
    <hyperlink ref="B131" r:id="rId260"/>
    <hyperlink ref="B196" r:id="rId261"/>
    <hyperlink ref="B238" r:id="rId262"/>
    <hyperlink ref="B225" r:id="rId263"/>
    <hyperlink ref="B226" r:id="rId264" display="PNVL3"/>
    <hyperlink ref="B262" r:id="rId265" display="PFMR3"/>
    <hyperlink ref="B36" r:id="rId266"/>
    <hyperlink ref="B37" r:id="rId267" display="PCAR3"/>
    <hyperlink ref="B13" r:id="rId268"/>
    <hyperlink ref="B171" r:id="rId269"/>
    <hyperlink ref="B439" r:id="rId270"/>
    <hyperlink ref="B440" r:id="rId271" display="CLAN3"/>
    <hyperlink ref="B410" r:id="rId272"/>
    <hyperlink ref="B306" r:id="rId273"/>
    <hyperlink ref="B307" r:id="rId274" display="BAUH3"/>
    <hyperlink ref="B490" r:id="rId275"/>
    <hyperlink ref="B511" r:id="rId276"/>
    <hyperlink ref="B401" r:id="rId277"/>
    <hyperlink ref="B402" r:id="rId278" display="IGUA3"/>
    <hyperlink ref="B403" r:id="rId279" display="IGUA3"/>
    <hyperlink ref="B227" r:id="rId280"/>
    <hyperlink ref="B288" r:id="rId281"/>
    <hyperlink ref="B289" r:id="rId282" display="JOPA3"/>
    <hyperlink ref="B86" r:id="rId283"/>
    <hyperlink ref="B503" r:id="rId284"/>
    <hyperlink ref="B489" r:id="rId285"/>
    <hyperlink ref="B325" r:id="rId286"/>
    <hyperlink ref="B178" r:id="rId287"/>
    <hyperlink ref="B170" r:id="rId288"/>
    <hyperlink ref="B407" r:id="rId289"/>
    <hyperlink ref="B408" r:id="rId290" display="AHEB3"/>
    <hyperlink ref="B409" r:id="rId291" display="AHEB3"/>
    <hyperlink ref="B392" r:id="rId292"/>
    <hyperlink ref="B303" r:id="rId293"/>
    <hyperlink ref="B287" r:id="rId294"/>
    <hyperlink ref="B47" r:id="rId295"/>
    <hyperlink ref="B48" r:id="rId296" display="WHRL3"/>
    <hyperlink ref="B89" r:id="rId297"/>
    <hyperlink ref="B114" r:id="rId298" display="BMTO3"/>
    <hyperlink ref="B189" r:id="rId299"/>
    <hyperlink ref="B30" r:id="rId300"/>
    <hyperlink ref="B31" r:id="rId301" display="VVAR11"/>
    <hyperlink ref="B32" r:id="rId302" display="VVAR11"/>
    <hyperlink ref="B461" r:id="rId303"/>
    <hyperlink ref="B98" r:id="rId304"/>
    <hyperlink ref="B297" r:id="rId305"/>
    <hyperlink ref="B298" r:id="rId306" display="CEDO3"/>
    <hyperlink ref="B386" r:id="rId307"/>
    <hyperlink ref="B387" r:id="rId308" display="TOYB3"/>
    <hyperlink ref="B419" r:id="rId309"/>
    <hyperlink ref="B420" r:id="rId310" display="ESTR3"/>
    <hyperlink ref="B399" r:id="rId311"/>
    <hyperlink ref="B400" r:id="rId312" display="NAFG3"/>
    <hyperlink ref="B429" r:id="rId313"/>
    <hyperlink ref="B430" r:id="rId314" display="HETA3"/>
    <hyperlink ref="B421" r:id="rId315"/>
    <hyperlink ref="B422" r:id="rId316" display="CTNM3"/>
    <hyperlink ref="B247" r:id="rId317"/>
    <hyperlink ref="B248" r:id="rId318" display="CTSA3"/>
    <hyperlink ref="B249" r:id="rId319" display="CTSA3"/>
    <hyperlink ref="B256" r:id="rId320"/>
    <hyperlink ref="B257" r:id="rId321" display="DOHL3"/>
    <hyperlink ref="B384" r:id="rId322"/>
    <hyperlink ref="B385" r:id="rId323" display="ECPR3"/>
    <hyperlink ref="B431" r:id="rId324"/>
    <hyperlink ref="B432" r:id="rId325" display="CTKA3"/>
    <hyperlink ref="B338" r:id="rId326"/>
    <hyperlink ref="B339" r:id="rId327" display="PTNT3"/>
    <hyperlink ref="B398" r:id="rId328"/>
    <hyperlink ref="B446" r:id="rId329"/>
    <hyperlink ref="B375" r:id="rId330"/>
    <hyperlink ref="B376" r:id="rId331" display="TENE3"/>
    <hyperlink ref="B377" r:id="rId332" display="TENE3"/>
    <hyperlink ref="B378" r:id="rId333" display="TENE3"/>
    <hyperlink ref="B118" r:id="rId334"/>
    <hyperlink ref="B119" r:id="rId335" display="ALPA3"/>
    <hyperlink ref="B343" r:id="rId336"/>
    <hyperlink ref="B344" r:id="rId337" display="CAMB3"/>
    <hyperlink ref="B78" r:id="rId338"/>
    <hyperlink ref="B456" r:id="rId339"/>
    <hyperlink ref="B333" r:id="rId340"/>
    <hyperlink ref="B330" r:id="rId341"/>
    <hyperlink ref="B129" r:id="rId342"/>
    <hyperlink ref="B130" r:id="rId343" display="NETC3"/>
    <hyperlink ref="B290" r:id="rId344"/>
    <hyperlink ref="B291" r:id="rId345" display="ABRE11"/>
    <hyperlink ref="B292" r:id="rId346" display="ABRE11"/>
    <hyperlink ref="B345" r:id="rId347"/>
    <hyperlink ref="B346" r:id="rId348" display="SLED3"/>
    <hyperlink ref="B404" r:id="rId349"/>
    <hyperlink ref="B104" r:id="rId350"/>
    <hyperlink ref="B405" r:id="rId351"/>
    <hyperlink ref="B192" r:id="rId352"/>
    <hyperlink ref="B253" r:id="rId353"/>
    <hyperlink ref="B254" r:id="rId354" display="CGRA3"/>
    <hyperlink ref="B80" r:id="rId355"/>
    <hyperlink ref="B81" r:id="rId356" display="GUAR3"/>
    <hyperlink ref="B351" r:id="rId357"/>
    <hyperlink ref="B352" r:id="rId358" display="LHER3"/>
    <hyperlink ref="B85" r:id="rId359"/>
    <hyperlink ref="B187" r:id="rId360"/>
    <hyperlink ref="B395" r:id="rId361"/>
    <hyperlink ref="B396" r:id="rId362" display="SPRI3"/>
    <hyperlink ref="B397" r:id="rId363" display="SPRI3"/>
    <hyperlink ref="B498" r:id="rId364"/>
    <hyperlink ref="B299" r:id="rId365"/>
    <hyperlink ref="B300" r:id="rId366" display="CALI3"/>
    <hyperlink ref="B418" r:id="rId367"/>
    <hyperlink ref="B63" r:id="rId368"/>
    <hyperlink ref="B142" r:id="rId369"/>
    <hyperlink ref="B132" r:id="rId370"/>
    <hyperlink ref="B79" r:id="rId371"/>
    <hyperlink ref="B450" r:id="rId372"/>
    <hyperlink ref="B128" r:id="rId373"/>
    <hyperlink ref="B217" r:id="rId374"/>
    <hyperlink ref="B268" r:id="rId375"/>
    <hyperlink ref="B90" r:id="rId376"/>
    <hyperlink ref="B499" r:id="rId377"/>
    <hyperlink ref="B212" r:id="rId378"/>
    <hyperlink ref="B234" r:id="rId379"/>
    <hyperlink ref="B363" r:id="rId380"/>
    <hyperlink ref="B364" r:id="rId381" display="SGEN3"/>
    <hyperlink ref="B141" r:id="rId382"/>
    <hyperlink ref="B267" r:id="rId383"/>
    <hyperlink ref="B485" r:id="rId384"/>
    <hyperlink ref="B326" r:id="rId385"/>
    <hyperlink ref="B327" r:id="rId386" display="AZEV3"/>
    <hyperlink ref="B380" r:id="rId387"/>
    <hyperlink ref="B381" r:id="rId388" display="LIXC3"/>
    <hyperlink ref="B425" r:id="rId389"/>
    <hyperlink ref="B426" r:id="rId390" display="SULT3"/>
    <hyperlink ref="B495" r:id="rId391"/>
    <hyperlink ref="B496" r:id="rId392" display="MEND3"/>
    <hyperlink ref="B497" r:id="rId393" display="MEND3"/>
    <hyperlink ref="B319" r:id="rId394"/>
    <hyperlink ref="B320" r:id="rId395" display="SOND3"/>
    <hyperlink ref="B321" r:id="rId396" display="SOND3"/>
    <hyperlink ref="B453" r:id="rId397"/>
    <hyperlink ref="B454" r:id="rId398" display="TCNO3"/>
    <hyperlink ref="B215" r:id="rId399"/>
    <hyperlink ref="B179" r:id="rId400"/>
    <hyperlink ref="B174" r:id="rId401"/>
    <hyperlink ref="B175" r:id="rId402" display="CTAX11"/>
    <hyperlink ref="B176" r:id="rId403" display="CTAX11"/>
    <hyperlink ref="B368" r:id="rId404"/>
    <hyperlink ref="B366" r:id="rId405"/>
    <hyperlink ref="B367" r:id="rId406" display="DTCY3"/>
    <hyperlink ref="B167" r:id="rId407"/>
    <hyperlink ref="B198" r:id="rId408"/>
    <hyperlink ref="B95" r:id="rId409"/>
    <hyperlink ref="B38" r:id="rId410"/>
    <hyperlink ref="B350" r:id="rId411"/>
    <hyperlink ref="B101" r:id="rId412"/>
    <hyperlink ref="B357" r:id="rId413"/>
    <hyperlink ref="B358" r:id="rId414" display="IMBI3"/>
    <hyperlink ref="B464" r:id="rId415"/>
    <hyperlink ref="B519" r:id="rId416"/>
    <hyperlink ref="B115" r:id="rId417" display="STBP11"/>
    <hyperlink ref="B116" r:id="rId418" display="STBP11"/>
    <hyperlink ref="B505" r:id="rId419"/>
    <hyperlink ref="B506" r:id="rId420" display="GOLL3"/>
    <hyperlink ref="B272" r:id="rId421"/>
    <hyperlink ref="B477" r:id="rId422"/>
    <hyperlink ref="B478" r:id="rId423" display="VSPT3"/>
    <hyperlink ref="B329" r:id="rId424"/>
    <hyperlink ref="B313" r:id="rId425"/>
    <hyperlink ref="B314" r:id="rId426" display="LUXM3"/>
    <hyperlink ref="B194" r:id="rId427"/>
    <hyperlink ref="B224" r:id="rId428"/>
    <hyperlink ref="B284" r:id="rId429"/>
    <hyperlink ref="B285" r:id="rId430" display="SGAS3"/>
    <hyperlink ref="B391" r:id="rId431"/>
    <hyperlink ref="B459" r:id="rId432"/>
    <hyperlink ref="B460" r:id="rId433" display="FJTA3"/>
    <hyperlink ref="B301" r:id="rId434"/>
    <hyperlink ref="B302" r:id="rId435" display="EALT3"/>
    <hyperlink ref="B282" r:id="rId436"/>
    <hyperlink ref="B283" r:id="rId437" display="MTSA3"/>
    <hyperlink ref="B296" r:id="rId438" display="BALM3"/>
    <hyperlink ref="B295" r:id="rId439"/>
    <hyperlink ref="B211" r:id="rId440"/>
    <hyperlink ref="B335" r:id="rId441" display="HAGA3"/>
    <hyperlink ref="B334" r:id="rId442"/>
    <hyperlink ref="B360" r:id="rId443" display="CCHI3"/>
    <hyperlink ref="B359" r:id="rId444"/>
    <hyperlink ref="B193" r:id="rId445"/>
    <hyperlink ref="B427" r:id="rId446"/>
    <hyperlink ref="B428" r:id="rId447" display="BDLL3"/>
    <hyperlink ref="B340" r:id="rId448"/>
    <hyperlink ref="B479" r:id="rId449"/>
    <hyperlink ref="B480" r:id="rId450" display="INEP3"/>
    <hyperlink ref="B237" r:id="rId451"/>
    <hyperlink ref="B222" r:id="rId452"/>
    <hyperlink ref="B223" r:id="rId453" display="SHUL3"/>
    <hyperlink ref="B62" r:id="rId454"/>
    <hyperlink ref="B144" r:id="rId455"/>
    <hyperlink ref="B501" r:id="rId456"/>
    <hyperlink ref="B502" r:id="rId457" display="CBMA3"/>
    <hyperlink ref="B169" r:id="rId458"/>
    <hyperlink ref="B457" r:id="rId459"/>
    <hyperlink ref="B458" r:id="rId460" display="DHBI3"/>
    <hyperlink ref="B177" r:id="rId461"/>
    <hyperlink ref="B246" r:id="rId462"/>
    <hyperlink ref="B145" r:id="rId463"/>
    <hyperlink ref="B126" r:id="rId464"/>
    <hyperlink ref="B127" r:id="rId465" display="POMO3"/>
    <hyperlink ref="B382" r:id="rId466"/>
    <hyperlink ref="B383" r:id="rId467" display="RSUL3"/>
    <hyperlink ref="B451" r:id="rId468"/>
    <hyperlink ref="B138" r:id="rId469"/>
    <hyperlink ref="B139" r:id="rId470" display="RAPT3"/>
    <hyperlink ref="B388" r:id="rId471"/>
    <hyperlink ref="B389" r:id="rId472" display="RCSL3"/>
    <hyperlink ref="B197" r:id="rId473"/>
    <hyperlink ref="B323" r:id="rId474"/>
    <hyperlink ref="B324" r:id="rId475" display="MWET3"/>
    <hyperlink ref="B59" r:id="rId476"/>
    <hyperlink ref="B60" r:id="rId477" display="GETI3"/>
    <hyperlink ref="B156" r:id="rId478"/>
    <hyperlink ref="B157" r:id="rId479" display="CSRN3"/>
    <hyperlink ref="B158" r:id="rId480" display="CSRN3"/>
    <hyperlink ref="B96" r:id="rId481"/>
    <hyperlink ref="B97" r:id="rId482" display="EKTR3"/>
    <hyperlink ref="B75" r:id="rId483"/>
    <hyperlink ref="B76" r:id="rId484" display="CEEB3"/>
    <hyperlink ref="B77" r:id="rId485" display="CEEB3"/>
    <hyperlink ref="B308" r:id="rId486"/>
    <hyperlink ref="B309" r:id="rId487" display="AFLU3"/>
    <hyperlink ref="B310" r:id="rId488" display="AFLU3"/>
  </hyperlinks>
  <pageMargins left="0.7" right="0.7" top="0.75" bottom="0.75" header="0.3" footer="0.3"/>
  <pageSetup paperSize="9" orientation="portrait" r:id="rId489"/>
  <tableParts count="1">
    <tablePart r:id="rId490"/>
  </tableParts>
</worksheet>
</file>

<file path=xl/worksheets/sheet2.xml><?xml version="1.0" encoding="utf-8"?>
<worksheet xmlns="http://schemas.openxmlformats.org/spreadsheetml/2006/main" xmlns:r="http://schemas.openxmlformats.org/officeDocument/2006/relationships">
  <sheetPr codeName="Plan4"/>
  <dimension ref="A1:V330"/>
  <sheetViews>
    <sheetView topLeftCell="O1" workbookViewId="0">
      <selection activeCell="H2" sqref="H2"/>
    </sheetView>
  </sheetViews>
  <sheetFormatPr defaultRowHeight="11.25"/>
  <cols>
    <col min="1" max="1" width="9.140625" style="3" customWidth="1"/>
    <col min="2" max="2" width="9.140625" style="3" hidden="1" customWidth="1"/>
    <col min="3" max="3" width="41.7109375" style="3" hidden="1" customWidth="1"/>
    <col min="4" max="14" width="9.140625" style="3" hidden="1" customWidth="1"/>
    <col min="15" max="15" width="9.140625" style="3"/>
    <col min="16" max="16" width="9.28515625" style="3" bestFit="1" customWidth="1"/>
    <col min="17" max="17" width="15.42578125" style="3" customWidth="1"/>
    <col min="18" max="18" width="10.7109375" style="3" bestFit="1" customWidth="1"/>
    <col min="19" max="19" width="11" style="5" bestFit="1" customWidth="1"/>
    <col min="20" max="20" width="14.140625" style="5" bestFit="1" customWidth="1"/>
    <col min="21" max="21" width="10.28515625" style="5" bestFit="1" customWidth="1"/>
    <col min="22" max="22" width="10" style="5" bestFit="1" customWidth="1"/>
    <col min="23" max="16384" width="9.140625" style="3"/>
  </cols>
  <sheetData>
    <row r="1" spans="1:22">
      <c r="A1" s="3" t="s">
        <v>42</v>
      </c>
      <c r="C1" s="3" t="s">
        <v>421</v>
      </c>
    </row>
    <row r="2" spans="1:22">
      <c r="A2" s="3" t="s">
        <v>43</v>
      </c>
      <c r="C2" s="3" t="s">
        <v>46</v>
      </c>
    </row>
    <row r="3" spans="1:22">
      <c r="A3" s="3" t="s">
        <v>44</v>
      </c>
    </row>
    <row r="4" spans="1:22">
      <c r="A4" s="3" t="s">
        <v>45</v>
      </c>
    </row>
    <row r="6" spans="1:22">
      <c r="P6" s="31" t="s">
        <v>45</v>
      </c>
      <c r="Q6" s="31" t="s">
        <v>0</v>
      </c>
      <c r="R6" s="32" t="s">
        <v>47</v>
      </c>
      <c r="S6" s="12" t="s">
        <v>48</v>
      </c>
      <c r="T6" s="12" t="s">
        <v>49</v>
      </c>
      <c r="U6" s="12" t="s">
        <v>50</v>
      </c>
      <c r="V6" s="12" t="s">
        <v>51</v>
      </c>
    </row>
    <row r="7" spans="1:22">
      <c r="A7" s="33" t="str">
        <f>IF(Tabela1[[#This Row],[Código]]="IBOV","^BVSP",IF(Tabela1[[#This Row],[Código]]="","",CONCATENATE(LEFT(Tabela1[[#This Row],[Código]],6),".SA")))</f>
        <v>ABCB4.SA</v>
      </c>
      <c r="C7" s="3" t="s">
        <v>102</v>
      </c>
      <c r="D7" s="3" t="s">
        <v>1574</v>
      </c>
      <c r="E7" s="3" t="s">
        <v>1542</v>
      </c>
      <c r="F7" s="3" t="s">
        <v>1267</v>
      </c>
      <c r="G7" s="3" t="s">
        <v>1542</v>
      </c>
      <c r="H7" s="20">
        <v>41691</v>
      </c>
      <c r="J7" s="3">
        <f>IF($A7="",0,VALUE(CONCATENATE(LEFT(D7,LEN(D7)-3),",",RIGHT(D7,2))))</f>
        <v>11.55</v>
      </c>
      <c r="K7" s="3">
        <f t="shared" ref="K7:M22" si="0">IF($A7="",0,VALUE(CONCATENATE(LEFT(E7,LEN(E7)-3),",",RIGHT(E7,2))))</f>
        <v>11.47</v>
      </c>
      <c r="L7" s="3">
        <f t="shared" si="0"/>
        <v>11.6</v>
      </c>
      <c r="M7" s="3">
        <f t="shared" si="0"/>
        <v>11.47</v>
      </c>
      <c r="P7" s="14" t="s">
        <v>22</v>
      </c>
      <c r="Q7" s="10" t="str">
        <f t="shared" ref="Q7:Q38" si="1">IF(A7="","",C7)</f>
        <v xml:space="preserve">ABC BRASIL  -PN  </v>
      </c>
      <c r="R7" s="20">
        <f t="shared" ref="R7:R38" si="2">IF(A7="","",H7)</f>
        <v>41691</v>
      </c>
      <c r="S7" s="5">
        <f t="shared" ref="S7:S38" si="3">J7</f>
        <v>11.55</v>
      </c>
      <c r="T7" s="5">
        <f t="shared" ref="T7:T38" si="4">K7</f>
        <v>11.47</v>
      </c>
      <c r="U7" s="5">
        <f t="shared" ref="U7:U38" si="5">L7</f>
        <v>11.6</v>
      </c>
      <c r="V7" s="5">
        <f t="shared" ref="V7:V38" si="6">M7</f>
        <v>11.47</v>
      </c>
    </row>
    <row r="8" spans="1:22">
      <c r="A8" s="33" t="str">
        <f>IF(Tabela1[[#This Row],[Código]]="IBOV","^BVSP",IF(Tabela1[[#This Row],[Código]]="","",CONCATENATE(LEFT(Tabela1[[#This Row],[Código]],6),".SA")))</f>
        <v>AELP3.SA</v>
      </c>
      <c r="C8" s="3" t="s">
        <v>103</v>
      </c>
      <c r="D8" s="3" t="s">
        <v>1575</v>
      </c>
      <c r="E8" s="3" t="s">
        <v>1576</v>
      </c>
      <c r="F8" s="3" t="s">
        <v>1575</v>
      </c>
      <c r="G8" s="3" t="s">
        <v>1576</v>
      </c>
      <c r="H8" s="20">
        <v>41691</v>
      </c>
      <c r="J8" s="3">
        <f t="shared" ref="J8:M71" si="7">IF($A8="",0,VALUE(CONCATENATE(LEFT(D8,LEN(D8)-3),",",RIGHT(D8,2))))</f>
        <v>7.19</v>
      </c>
      <c r="K8" s="3">
        <f t="shared" si="0"/>
        <v>7.05</v>
      </c>
      <c r="L8" s="3">
        <f t="shared" si="0"/>
        <v>7.19</v>
      </c>
      <c r="M8" s="3">
        <f t="shared" si="0"/>
        <v>7.05</v>
      </c>
      <c r="P8" s="14" t="s">
        <v>67</v>
      </c>
      <c r="Q8" s="10" t="str">
        <f t="shared" si="1"/>
        <v>AES ELPA    -ON</v>
      </c>
      <c r="R8" s="20">
        <f t="shared" si="2"/>
        <v>41691</v>
      </c>
      <c r="S8" s="5">
        <f t="shared" si="3"/>
        <v>7.19</v>
      </c>
      <c r="T8" s="5">
        <f t="shared" si="4"/>
        <v>7.05</v>
      </c>
      <c r="U8" s="5">
        <f t="shared" si="5"/>
        <v>7.19</v>
      </c>
      <c r="V8" s="5">
        <f t="shared" si="6"/>
        <v>7.05</v>
      </c>
    </row>
    <row r="9" spans="1:22">
      <c r="A9" s="33" t="str">
        <f>IF(Tabela1[[#This Row],[Código]]="IBOV","^BVSP",IF(Tabela1[[#This Row],[Código]]="","",CONCATENATE(LEFT(Tabela1[[#This Row],[Código]],6),".SA")))</f>
        <v>BAZA3.SA</v>
      </c>
      <c r="C9" s="3" t="s">
        <v>104</v>
      </c>
      <c r="D9" s="3" t="s">
        <v>961</v>
      </c>
      <c r="E9" s="3" t="s">
        <v>1032</v>
      </c>
      <c r="F9" s="3" t="s">
        <v>961</v>
      </c>
      <c r="G9" s="3" t="s">
        <v>1032</v>
      </c>
      <c r="H9" s="20">
        <v>41691</v>
      </c>
      <c r="J9" s="3">
        <f t="shared" si="7"/>
        <v>0.31</v>
      </c>
      <c r="K9" s="3">
        <f t="shared" si="0"/>
        <v>0.3</v>
      </c>
      <c r="L9" s="3">
        <f t="shared" si="0"/>
        <v>0.31</v>
      </c>
      <c r="M9" s="3">
        <f t="shared" si="0"/>
        <v>0.3</v>
      </c>
      <c r="P9" s="15" t="s">
        <v>62</v>
      </c>
      <c r="Q9" s="10" t="str">
        <f t="shared" si="1"/>
        <v>AMAZONIA    -ON</v>
      </c>
      <c r="R9" s="20">
        <f t="shared" si="2"/>
        <v>41691</v>
      </c>
      <c r="S9" s="5">
        <f t="shared" si="3"/>
        <v>0.31</v>
      </c>
      <c r="T9" s="5">
        <f t="shared" si="4"/>
        <v>0.3</v>
      </c>
      <c r="U9" s="5">
        <f t="shared" si="5"/>
        <v>0.31</v>
      </c>
      <c r="V9" s="5">
        <f t="shared" si="6"/>
        <v>0.3</v>
      </c>
    </row>
    <row r="10" spans="1:22">
      <c r="A10" s="33" t="str">
        <f>IF(Tabela1[[#This Row],[Código]]="IBOV","^BVSP",IF(Tabela1[[#This Row],[Código]]="","",CONCATENATE(LEFT(Tabela1[[#This Row],[Código]],6),".SA")))</f>
        <v>BBAS3.SA</v>
      </c>
      <c r="C10" s="3" t="s">
        <v>105</v>
      </c>
      <c r="D10" s="3" t="s">
        <v>1577</v>
      </c>
      <c r="E10" s="3" t="s">
        <v>1578</v>
      </c>
      <c r="F10" s="3" t="s">
        <v>1579</v>
      </c>
      <c r="G10" s="3" t="s">
        <v>1580</v>
      </c>
      <c r="H10" s="20">
        <v>41691</v>
      </c>
      <c r="J10" s="3">
        <f t="shared" si="7"/>
        <v>20.399999999999999</v>
      </c>
      <c r="K10" s="3">
        <f t="shared" si="0"/>
        <v>20.32</v>
      </c>
      <c r="L10" s="3">
        <f t="shared" si="0"/>
        <v>20.48</v>
      </c>
      <c r="M10" s="3">
        <f t="shared" si="0"/>
        <v>20.079999999999998</v>
      </c>
      <c r="P10" s="15" t="s">
        <v>24</v>
      </c>
      <c r="Q10" s="10" t="str">
        <f t="shared" si="1"/>
        <v xml:space="preserve">BRASIL      -ON  </v>
      </c>
      <c r="R10" s="20">
        <f t="shared" si="2"/>
        <v>41691</v>
      </c>
      <c r="S10" s="5">
        <f t="shared" si="3"/>
        <v>20.399999999999999</v>
      </c>
      <c r="T10" s="5">
        <f t="shared" si="4"/>
        <v>20.32</v>
      </c>
      <c r="U10" s="5">
        <f t="shared" si="5"/>
        <v>20.48</v>
      </c>
      <c r="V10" s="5">
        <f t="shared" si="6"/>
        <v>20.079999999999998</v>
      </c>
    </row>
    <row r="11" spans="1:22">
      <c r="A11" s="33" t="str">
        <f>IF(Tabela1[[#This Row],[Código]]="IBOV","^BVSP",IF(Tabela1[[#This Row],[Código]]="","",CONCATENATE(LEFT(Tabela1[[#This Row],[Código]],6),".SA")))</f>
        <v>BBDC3.SA</v>
      </c>
      <c r="C11" s="3" t="s">
        <v>200</v>
      </c>
      <c r="D11" s="3" t="s">
        <v>1581</v>
      </c>
      <c r="E11" s="3" t="s">
        <v>1582</v>
      </c>
      <c r="F11" s="3" t="s">
        <v>1583</v>
      </c>
      <c r="G11" s="3" t="s">
        <v>1581</v>
      </c>
      <c r="H11" s="20">
        <v>41691</v>
      </c>
      <c r="J11" s="3">
        <f t="shared" si="7"/>
        <v>28.37</v>
      </c>
      <c r="K11" s="3">
        <f t="shared" si="0"/>
        <v>29.24</v>
      </c>
      <c r="L11" s="3">
        <f t="shared" si="0"/>
        <v>29.41</v>
      </c>
      <c r="M11" s="3">
        <f t="shared" si="0"/>
        <v>28.37</v>
      </c>
      <c r="P11" s="14" t="s">
        <v>198</v>
      </c>
      <c r="Q11" s="10" t="str">
        <f t="shared" si="1"/>
        <v xml:space="preserve">BRADESCO    -ON  </v>
      </c>
      <c r="R11" s="20">
        <f t="shared" si="2"/>
        <v>41691</v>
      </c>
      <c r="S11" s="5">
        <f t="shared" si="3"/>
        <v>28.37</v>
      </c>
      <c r="T11" s="5">
        <f t="shared" si="4"/>
        <v>29.24</v>
      </c>
      <c r="U11" s="5">
        <f t="shared" si="5"/>
        <v>29.41</v>
      </c>
      <c r="V11" s="5">
        <f t="shared" si="6"/>
        <v>28.37</v>
      </c>
    </row>
    <row r="12" spans="1:22">
      <c r="A12" s="33" t="str">
        <f>IF(Tabela1[[#This Row],[Código]]="IBOV","^BVSP",IF(Tabela1[[#This Row],[Código]]="","",CONCATENATE(LEFT(Tabela1[[#This Row],[Código]],6),".SA")))</f>
        <v>BBDC4.SA</v>
      </c>
      <c r="C12" s="3" t="s">
        <v>201</v>
      </c>
      <c r="D12" s="3" t="s">
        <v>1584</v>
      </c>
      <c r="E12" s="3" t="s">
        <v>1585</v>
      </c>
      <c r="F12" s="3" t="s">
        <v>973</v>
      </c>
      <c r="G12" s="3" t="s">
        <v>1586</v>
      </c>
      <c r="H12" s="20">
        <v>41691</v>
      </c>
      <c r="J12" s="3">
        <f t="shared" si="7"/>
        <v>26.9</v>
      </c>
      <c r="K12" s="3">
        <f t="shared" si="0"/>
        <v>27.15</v>
      </c>
      <c r="L12" s="3">
        <f t="shared" si="0"/>
        <v>27.3</v>
      </c>
      <c r="M12" s="3">
        <f t="shared" si="0"/>
        <v>26.73</v>
      </c>
      <c r="P12" s="14" t="s">
        <v>199</v>
      </c>
      <c r="Q12" s="10" t="str">
        <f t="shared" si="1"/>
        <v xml:space="preserve">BRADESCO    -PN  </v>
      </c>
      <c r="R12" s="51">
        <f t="shared" si="2"/>
        <v>41691</v>
      </c>
      <c r="S12" s="5">
        <f t="shared" si="3"/>
        <v>26.9</v>
      </c>
      <c r="T12" s="5">
        <f t="shared" si="4"/>
        <v>27.15</v>
      </c>
      <c r="U12" s="5">
        <f t="shared" si="5"/>
        <v>27.3</v>
      </c>
      <c r="V12" s="5">
        <f t="shared" si="6"/>
        <v>26.73</v>
      </c>
    </row>
    <row r="13" spans="1:22">
      <c r="A13" s="33" t="str">
        <f>IF(Tabela1[[#This Row],[Código]]="IBOV","^BVSP",IF(Tabela1[[#This Row],[Código]]="","",CONCATENATE(LEFT(Tabela1[[#This Row],[Código]],6),".SA")))</f>
        <v>BEES3.SA</v>
      </c>
      <c r="C13" s="3" t="s">
        <v>654</v>
      </c>
      <c r="D13" s="3" t="s">
        <v>382</v>
      </c>
      <c r="E13" s="3" t="s">
        <v>382</v>
      </c>
      <c r="F13" s="3" t="s">
        <v>382</v>
      </c>
      <c r="G13" s="3" t="s">
        <v>1401</v>
      </c>
      <c r="H13" s="20">
        <v>41691</v>
      </c>
      <c r="J13" s="3">
        <f t="shared" si="7"/>
        <v>0.46</v>
      </c>
      <c r="K13" s="3">
        <f t="shared" si="0"/>
        <v>0.46</v>
      </c>
      <c r="L13" s="3">
        <f t="shared" si="0"/>
        <v>0.46</v>
      </c>
      <c r="M13" s="3">
        <f t="shared" si="0"/>
        <v>0.44</v>
      </c>
      <c r="P13" s="15" t="s">
        <v>58</v>
      </c>
      <c r="Q13" s="10" t="str">
        <f t="shared" si="1"/>
        <v>BANESTES    -ON</v>
      </c>
      <c r="R13" s="51">
        <f t="shared" si="2"/>
        <v>41691</v>
      </c>
      <c r="S13" s="5">
        <f t="shared" si="3"/>
        <v>0.46</v>
      </c>
      <c r="T13" s="5">
        <f t="shared" si="4"/>
        <v>0.46</v>
      </c>
      <c r="U13" s="5">
        <f t="shared" si="5"/>
        <v>0.46</v>
      </c>
      <c r="V13" s="5">
        <f t="shared" si="6"/>
        <v>0.44</v>
      </c>
    </row>
    <row r="14" spans="1:22">
      <c r="A14" s="33" t="str">
        <f>IF(Tabela1[[#This Row],[Código]]="IBOV","^BVSP",IF(Tabela1[[#This Row],[Código]]="","",CONCATENATE(LEFT(Tabela1[[#This Row],[Código]],6),".SA")))</f>
        <v>BEES4.SA</v>
      </c>
      <c r="C14" s="3" t="s">
        <v>655</v>
      </c>
      <c r="D14" s="3" t="s">
        <v>743</v>
      </c>
      <c r="E14" s="3" t="s">
        <v>743</v>
      </c>
      <c r="F14" s="3" t="s">
        <v>743</v>
      </c>
      <c r="G14" s="3" t="s">
        <v>743</v>
      </c>
      <c r="H14" s="20">
        <v>41691</v>
      </c>
      <c r="J14" s="3">
        <f t="shared" si="7"/>
        <v>0.43</v>
      </c>
      <c r="K14" s="3">
        <f t="shared" si="0"/>
        <v>0.43</v>
      </c>
      <c r="L14" s="3">
        <f t="shared" si="0"/>
        <v>0.43</v>
      </c>
      <c r="M14" s="3">
        <f t="shared" si="0"/>
        <v>0.43</v>
      </c>
      <c r="P14" s="15" t="s">
        <v>59</v>
      </c>
      <c r="Q14" s="10" t="str">
        <f t="shared" si="1"/>
        <v>BANESTES    -PN</v>
      </c>
      <c r="R14" s="20">
        <f t="shared" si="2"/>
        <v>41691</v>
      </c>
      <c r="S14" s="5">
        <f t="shared" si="3"/>
        <v>0.43</v>
      </c>
      <c r="T14" s="5">
        <f t="shared" si="4"/>
        <v>0.43</v>
      </c>
      <c r="U14" s="5">
        <f t="shared" si="5"/>
        <v>0.43</v>
      </c>
      <c r="V14" s="5">
        <f t="shared" si="6"/>
        <v>0.43</v>
      </c>
    </row>
    <row r="15" spans="1:22">
      <c r="A15" s="33" t="str">
        <f>IF(Tabela1[[#This Row],[Código]]="IBOV","^BVSP",IF(Tabela1[[#This Row],[Código]]="","",CONCATENATE(LEFT(Tabela1[[#This Row],[Código]],6),".SA")))</f>
        <v>BGIP3.SA</v>
      </c>
      <c r="C15" s="3" t="s">
        <v>403</v>
      </c>
      <c r="D15" s="3" t="s">
        <v>400</v>
      </c>
      <c r="E15" s="3" t="s">
        <v>401</v>
      </c>
      <c r="F15" s="3" t="s">
        <v>401</v>
      </c>
      <c r="G15" s="3" t="s">
        <v>400</v>
      </c>
      <c r="H15" s="20">
        <v>41691</v>
      </c>
      <c r="J15" s="3">
        <f t="shared" si="7"/>
        <v>43.24</v>
      </c>
      <c r="K15" s="3">
        <f t="shared" si="0"/>
        <v>43.25</v>
      </c>
      <c r="L15" s="3">
        <f t="shared" si="0"/>
        <v>43.25</v>
      </c>
      <c r="M15" s="3">
        <f t="shared" si="0"/>
        <v>43.24</v>
      </c>
      <c r="P15" s="10" t="s">
        <v>202</v>
      </c>
      <c r="Q15" s="10" t="str">
        <f t="shared" si="1"/>
        <v>BANESE      -ON</v>
      </c>
      <c r="R15" s="51">
        <f t="shared" si="2"/>
        <v>41691</v>
      </c>
      <c r="S15" s="5">
        <f t="shared" si="3"/>
        <v>43.24</v>
      </c>
      <c r="T15" s="5">
        <f t="shared" si="4"/>
        <v>43.25</v>
      </c>
      <c r="U15" s="5">
        <f t="shared" si="5"/>
        <v>43.25</v>
      </c>
      <c r="V15" s="5">
        <f t="shared" si="6"/>
        <v>43.24</v>
      </c>
    </row>
    <row r="16" spans="1:22">
      <c r="A16" s="33" t="str">
        <f>IF(Tabela1[[#This Row],[Código]]="IBOV","^BVSP",IF(Tabela1[[#This Row],[Código]]="","",CONCATENATE(LEFT(Tabela1[[#This Row],[Código]],6),".SA")))</f>
        <v>BGIP4.SA</v>
      </c>
      <c r="C16" s="3" t="s">
        <v>404</v>
      </c>
      <c r="D16" s="3" t="s">
        <v>935</v>
      </c>
      <c r="E16" s="3" t="s">
        <v>1587</v>
      </c>
      <c r="F16" s="3" t="s">
        <v>1587</v>
      </c>
      <c r="G16" s="3" t="s">
        <v>935</v>
      </c>
      <c r="H16" s="20">
        <v>41691</v>
      </c>
      <c r="J16" s="3">
        <f t="shared" si="7"/>
        <v>41.5</v>
      </c>
      <c r="K16" s="3">
        <f t="shared" si="0"/>
        <v>42.5</v>
      </c>
      <c r="L16" s="3">
        <f t="shared" si="0"/>
        <v>42.5</v>
      </c>
      <c r="M16" s="3">
        <f t="shared" si="0"/>
        <v>41.5</v>
      </c>
      <c r="P16" s="15" t="s">
        <v>203</v>
      </c>
      <c r="Q16" s="10" t="str">
        <f t="shared" si="1"/>
        <v>BANESE      -PN</v>
      </c>
      <c r="R16" s="51">
        <f t="shared" si="2"/>
        <v>41691</v>
      </c>
      <c r="S16" s="5">
        <f t="shared" si="3"/>
        <v>41.5</v>
      </c>
      <c r="T16" s="5">
        <f t="shared" si="4"/>
        <v>42.5</v>
      </c>
      <c r="U16" s="5">
        <f t="shared" si="5"/>
        <v>42.5</v>
      </c>
      <c r="V16" s="5">
        <f t="shared" si="6"/>
        <v>41.5</v>
      </c>
    </row>
    <row r="17" spans="1:22">
      <c r="A17" s="33" t="str">
        <f>IF(Tabela1[[#This Row],[Código]]="IBOV","^BVSP",IF(Tabela1[[#This Row],[Código]]="","",CONCATENATE(LEFT(Tabela1[[#This Row],[Código]],6),".SA")))</f>
        <v>BICB3.SA</v>
      </c>
      <c r="C17" s="3" t="s">
        <v>209</v>
      </c>
      <c r="D17" s="3" t="s">
        <v>776</v>
      </c>
      <c r="E17" s="3" t="s">
        <v>776</v>
      </c>
      <c r="F17" s="3" t="s">
        <v>776</v>
      </c>
      <c r="G17" s="3" t="s">
        <v>776</v>
      </c>
      <c r="H17" s="20">
        <v>41691</v>
      </c>
      <c r="J17" s="3">
        <f t="shared" si="7"/>
        <v>7.21</v>
      </c>
      <c r="K17" s="3">
        <f t="shared" si="0"/>
        <v>7.21</v>
      </c>
      <c r="L17" s="3">
        <f t="shared" si="0"/>
        <v>7.21</v>
      </c>
      <c r="M17" s="3">
        <f t="shared" si="0"/>
        <v>7.21</v>
      </c>
      <c r="P17" s="14" t="s">
        <v>208</v>
      </c>
      <c r="Q17" s="10" t="str">
        <f t="shared" si="1"/>
        <v xml:space="preserve">BICBANCO    -ON  </v>
      </c>
      <c r="R17" s="51">
        <f t="shared" si="2"/>
        <v>41691</v>
      </c>
      <c r="S17" s="5">
        <f t="shared" si="3"/>
        <v>7.21</v>
      </c>
      <c r="T17" s="5">
        <f t="shared" si="4"/>
        <v>7.21</v>
      </c>
      <c r="U17" s="5">
        <f t="shared" si="5"/>
        <v>7.21</v>
      </c>
      <c r="V17" s="5">
        <f t="shared" si="6"/>
        <v>7.21</v>
      </c>
    </row>
    <row r="18" spans="1:22">
      <c r="A18" s="33" t="str">
        <f>IF(Tabela1[[#This Row],[Código]]="IBOV","^BVSP",IF(Tabela1[[#This Row],[Código]]="","",CONCATENATE(LEFT(Tabela1[[#This Row],[Código]],6),".SA")))</f>
        <v>BICB4.SA</v>
      </c>
      <c r="C18" s="3" t="s">
        <v>107</v>
      </c>
      <c r="D18" s="3" t="s">
        <v>1588</v>
      </c>
      <c r="E18" s="3" t="s">
        <v>1588</v>
      </c>
      <c r="F18" s="3" t="s">
        <v>1589</v>
      </c>
      <c r="G18" s="3" t="s">
        <v>1588</v>
      </c>
      <c r="H18" s="20">
        <v>41691</v>
      </c>
      <c r="J18" s="3">
        <f t="shared" si="7"/>
        <v>7.15</v>
      </c>
      <c r="K18" s="3">
        <f t="shared" si="0"/>
        <v>7.15</v>
      </c>
      <c r="L18" s="3">
        <f t="shared" si="0"/>
        <v>7.16</v>
      </c>
      <c r="M18" s="3">
        <f t="shared" si="0"/>
        <v>7.15</v>
      </c>
      <c r="P18" s="14" t="s">
        <v>10</v>
      </c>
      <c r="Q18" s="10" t="str">
        <f t="shared" si="1"/>
        <v xml:space="preserve">BICBANCO    -PN  </v>
      </c>
      <c r="R18" s="51">
        <f t="shared" si="2"/>
        <v>41691</v>
      </c>
      <c r="S18" s="5">
        <f t="shared" si="3"/>
        <v>7.15</v>
      </c>
      <c r="T18" s="5">
        <f t="shared" si="4"/>
        <v>7.15</v>
      </c>
      <c r="U18" s="5">
        <f t="shared" si="5"/>
        <v>7.16</v>
      </c>
      <c r="V18" s="5">
        <f t="shared" si="6"/>
        <v>7.15</v>
      </c>
    </row>
    <row r="19" spans="1:22">
      <c r="A19" s="33" t="str">
        <f>IF(Tabela1[[#This Row],[Código]]="IBOV","^BVSP",IF(Tabela1[[#This Row],[Código]]="","",CONCATENATE(LEFT(Tabela1[[#This Row],[Código]],6),".SA")))</f>
        <v>BMIN3.SA</v>
      </c>
      <c r="C19" s="3" t="s">
        <v>211</v>
      </c>
      <c r="D19" s="3" t="s">
        <v>478</v>
      </c>
      <c r="E19" s="3" t="s">
        <v>478</v>
      </c>
      <c r="F19" s="3" t="s">
        <v>478</v>
      </c>
      <c r="G19" s="3" t="s">
        <v>478</v>
      </c>
      <c r="H19" s="20">
        <v>41691</v>
      </c>
      <c r="J19" s="3">
        <f t="shared" si="7"/>
        <v>1</v>
      </c>
      <c r="K19" s="3">
        <f t="shared" si="0"/>
        <v>1</v>
      </c>
      <c r="L19" s="3">
        <f t="shared" si="0"/>
        <v>1</v>
      </c>
      <c r="M19" s="3">
        <f t="shared" si="0"/>
        <v>1</v>
      </c>
      <c r="P19" s="14" t="s">
        <v>210</v>
      </c>
      <c r="Q19" s="10" t="str">
        <f t="shared" si="1"/>
        <v>MERC INVEST -ON</v>
      </c>
      <c r="R19" s="51">
        <f t="shared" si="2"/>
        <v>41691</v>
      </c>
      <c r="S19" s="5">
        <f t="shared" si="3"/>
        <v>1</v>
      </c>
      <c r="T19" s="5">
        <f t="shared" si="4"/>
        <v>1</v>
      </c>
      <c r="U19" s="5">
        <f t="shared" si="5"/>
        <v>1</v>
      </c>
      <c r="V19" s="5">
        <f t="shared" si="6"/>
        <v>1</v>
      </c>
    </row>
    <row r="20" spans="1:22">
      <c r="A20" s="33" t="str">
        <f>IF(Tabela1[[#This Row],[Código]]="IBOV","^BVSP",IF(Tabela1[[#This Row],[Código]]="","",CONCATENATE(LEFT(Tabela1[[#This Row],[Código]],6),".SA")))</f>
        <v>BMIN4.SA</v>
      </c>
      <c r="C20" s="3" t="s">
        <v>108</v>
      </c>
      <c r="D20" s="3" t="s">
        <v>738</v>
      </c>
      <c r="E20" s="3" t="s">
        <v>731</v>
      </c>
      <c r="F20" s="3" t="s">
        <v>731</v>
      </c>
      <c r="G20" s="3" t="s">
        <v>1002</v>
      </c>
      <c r="H20" s="20">
        <v>41691</v>
      </c>
      <c r="J20" s="3">
        <f t="shared" si="7"/>
        <v>0.23</v>
      </c>
      <c r="K20" s="3">
        <f t="shared" si="0"/>
        <v>0.24</v>
      </c>
      <c r="L20" s="3">
        <f t="shared" si="0"/>
        <v>0.24</v>
      </c>
      <c r="M20" s="3">
        <f t="shared" si="0"/>
        <v>0.22</v>
      </c>
      <c r="P20" s="14" t="s">
        <v>61</v>
      </c>
      <c r="Q20" s="10" t="str">
        <f t="shared" si="1"/>
        <v>MERC INVEST -PN</v>
      </c>
      <c r="R20" s="20">
        <f t="shared" si="2"/>
        <v>41691</v>
      </c>
      <c r="S20" s="5">
        <f t="shared" si="3"/>
        <v>0.23</v>
      </c>
      <c r="T20" s="5">
        <f t="shared" si="4"/>
        <v>0.24</v>
      </c>
      <c r="U20" s="5">
        <f t="shared" si="5"/>
        <v>0.24</v>
      </c>
      <c r="V20" s="5">
        <f t="shared" si="6"/>
        <v>0.22</v>
      </c>
    </row>
    <row r="21" spans="1:22">
      <c r="A21" s="33" t="str">
        <f>IF(Tabela1[[#This Row],[Código]]="IBOV","^BVSP",IF(Tabela1[[#This Row],[Código]]="","",CONCATENATE(LEFT(Tabela1[[#This Row],[Código]],6),".SA")))</f>
        <v>BNBR3.SA</v>
      </c>
      <c r="C21" s="3" t="s">
        <v>214</v>
      </c>
      <c r="D21" s="3" t="s">
        <v>431</v>
      </c>
      <c r="E21" s="3" t="s">
        <v>431</v>
      </c>
      <c r="F21" s="3" t="s">
        <v>431</v>
      </c>
      <c r="G21" s="3" t="s">
        <v>431</v>
      </c>
      <c r="H21" s="20">
        <v>41691</v>
      </c>
      <c r="J21" s="3">
        <f t="shared" si="7"/>
        <v>27</v>
      </c>
      <c r="K21" s="3">
        <f t="shared" si="0"/>
        <v>27</v>
      </c>
      <c r="L21" s="3">
        <f t="shared" si="0"/>
        <v>27</v>
      </c>
      <c r="M21" s="3">
        <f t="shared" si="0"/>
        <v>27</v>
      </c>
      <c r="P21" s="15" t="s">
        <v>212</v>
      </c>
      <c r="Q21" s="10" t="str">
        <f t="shared" si="1"/>
        <v>NORD BRASIL -ON</v>
      </c>
      <c r="R21" s="51">
        <f t="shared" si="2"/>
        <v>41691</v>
      </c>
      <c r="S21" s="5">
        <f t="shared" si="3"/>
        <v>27</v>
      </c>
      <c r="T21" s="5">
        <f t="shared" si="4"/>
        <v>27</v>
      </c>
      <c r="U21" s="5">
        <f t="shared" si="5"/>
        <v>27</v>
      </c>
      <c r="V21" s="5">
        <f t="shared" si="6"/>
        <v>27</v>
      </c>
    </row>
    <row r="22" spans="1:22">
      <c r="A22" s="33" t="str">
        <f>IF(Tabela1[[#This Row],[Código]]="IBOV","^BVSP",IF(Tabela1[[#This Row],[Código]]="","",CONCATENATE(LEFT(Tabela1[[#This Row],[Código]],6),".SA")))</f>
        <v>BNBR4.SA</v>
      </c>
      <c r="C22" s="3" t="s">
        <v>215</v>
      </c>
      <c r="D22" s="3" t="s">
        <v>1531</v>
      </c>
      <c r="E22" s="3" t="s">
        <v>1531</v>
      </c>
      <c r="F22" s="3" t="s">
        <v>1531</v>
      </c>
      <c r="G22" s="3" t="s">
        <v>1531</v>
      </c>
      <c r="H22" s="20">
        <v>41691</v>
      </c>
      <c r="J22" s="3">
        <f t="shared" si="7"/>
        <v>27.01</v>
      </c>
      <c r="K22" s="3">
        <f t="shared" si="0"/>
        <v>27.01</v>
      </c>
      <c r="L22" s="3">
        <f t="shared" si="0"/>
        <v>27.01</v>
      </c>
      <c r="M22" s="3">
        <f t="shared" si="0"/>
        <v>27.01</v>
      </c>
      <c r="P22" s="14" t="s">
        <v>213</v>
      </c>
      <c r="Q22" s="10" t="str">
        <f t="shared" si="1"/>
        <v>NORD BRASIL -PN</v>
      </c>
      <c r="R22" s="51">
        <f t="shared" si="2"/>
        <v>41691</v>
      </c>
      <c r="S22" s="5">
        <f t="shared" si="3"/>
        <v>27.01</v>
      </c>
      <c r="T22" s="5">
        <f t="shared" si="4"/>
        <v>27.01</v>
      </c>
      <c r="U22" s="5">
        <f t="shared" si="5"/>
        <v>27.01</v>
      </c>
      <c r="V22" s="5">
        <f t="shared" si="6"/>
        <v>27.01</v>
      </c>
    </row>
    <row r="23" spans="1:22">
      <c r="A23" s="33" t="str">
        <f>IF(Tabela1[[#This Row],[Código]]="IBOV","^BVSP",IF(Tabela1[[#This Row],[Código]]="","",CONCATENATE(LEFT(Tabela1[[#This Row],[Código]],6),".SA")))</f>
        <v>BRGE11.SA</v>
      </c>
      <c r="C23" s="3" t="s">
        <v>777</v>
      </c>
      <c r="D23" s="3" t="s">
        <v>963</v>
      </c>
      <c r="E23" s="3" t="s">
        <v>963</v>
      </c>
      <c r="F23" s="3" t="s">
        <v>963</v>
      </c>
      <c r="G23" s="3" t="s">
        <v>963</v>
      </c>
      <c r="H23" s="20">
        <v>41691</v>
      </c>
      <c r="J23" s="3">
        <f t="shared" si="7"/>
        <v>3.87</v>
      </c>
      <c r="K23" s="3">
        <f t="shared" si="7"/>
        <v>3.87</v>
      </c>
      <c r="L23" s="3">
        <f t="shared" si="7"/>
        <v>3.87</v>
      </c>
      <c r="M23" s="3">
        <f t="shared" si="7"/>
        <v>3.87</v>
      </c>
      <c r="P23" s="43" t="s">
        <v>222</v>
      </c>
      <c r="Q23" s="10" t="str">
        <f t="shared" si="1"/>
        <v>ALFA CONSORC-PNE</v>
      </c>
      <c r="R23" s="51">
        <f t="shared" si="2"/>
        <v>41691</v>
      </c>
      <c r="S23" s="5">
        <f t="shared" si="3"/>
        <v>3.87</v>
      </c>
      <c r="T23" s="5">
        <f t="shared" si="4"/>
        <v>3.87</v>
      </c>
      <c r="U23" s="5">
        <f t="shared" si="5"/>
        <v>3.87</v>
      </c>
      <c r="V23" s="5">
        <f t="shared" si="6"/>
        <v>3.87</v>
      </c>
    </row>
    <row r="24" spans="1:22">
      <c r="A24" s="33" t="str">
        <f>IF(Tabela1[[#This Row],[Código]]="IBOV","^BVSP",IF(Tabela1[[#This Row],[Código]]="","",CONCATENATE(LEFT(Tabela1[[#This Row],[Código]],6),".SA")))</f>
        <v>BRGE12.SA</v>
      </c>
      <c r="C24" s="3" t="s">
        <v>227</v>
      </c>
      <c r="D24" s="3" t="s">
        <v>1118</v>
      </c>
      <c r="E24" s="3" t="s">
        <v>1118</v>
      </c>
      <c r="F24" s="3" t="s">
        <v>1118</v>
      </c>
      <c r="G24" s="3" t="s">
        <v>1118</v>
      </c>
      <c r="H24" s="20">
        <v>41691</v>
      </c>
      <c r="J24" s="3">
        <f t="shared" si="7"/>
        <v>3.81</v>
      </c>
      <c r="K24" s="3">
        <f t="shared" si="7"/>
        <v>3.81</v>
      </c>
      <c r="L24" s="3">
        <f t="shared" si="7"/>
        <v>3.81</v>
      </c>
      <c r="M24" s="3">
        <f t="shared" si="7"/>
        <v>3.81</v>
      </c>
      <c r="P24" s="10" t="s">
        <v>223</v>
      </c>
      <c r="Q24" s="10" t="str">
        <f t="shared" si="1"/>
        <v>ALFA CONSORC-PNF</v>
      </c>
      <c r="R24" s="51">
        <f t="shared" si="2"/>
        <v>41691</v>
      </c>
      <c r="S24" s="5">
        <f t="shared" si="3"/>
        <v>3.81</v>
      </c>
      <c r="T24" s="5">
        <f t="shared" si="4"/>
        <v>3.81</v>
      </c>
      <c r="U24" s="5">
        <f t="shared" si="5"/>
        <v>3.81</v>
      </c>
      <c r="V24" s="5">
        <f t="shared" si="6"/>
        <v>3.81</v>
      </c>
    </row>
    <row r="25" spans="1:22">
      <c r="A25" s="33" t="str">
        <f>IF(Tabela1[[#This Row],[Código]]="IBOV","^BVSP",IF(Tabela1[[#This Row],[Código]]="","",CONCATENATE(LEFT(Tabela1[[#This Row],[Código]],6),".SA")))</f>
        <v>BRGE3.SA</v>
      </c>
      <c r="C25" s="3" t="s">
        <v>224</v>
      </c>
      <c r="D25" s="3" t="s">
        <v>963</v>
      </c>
      <c r="E25" s="3" t="s">
        <v>963</v>
      </c>
      <c r="F25" s="3" t="s">
        <v>963</v>
      </c>
      <c r="G25" s="3" t="s">
        <v>963</v>
      </c>
      <c r="H25" s="20">
        <v>41691</v>
      </c>
      <c r="J25" s="3">
        <f t="shared" si="7"/>
        <v>3.87</v>
      </c>
      <c r="K25" s="3">
        <f t="shared" si="7"/>
        <v>3.87</v>
      </c>
      <c r="L25" s="3">
        <f t="shared" si="7"/>
        <v>3.87</v>
      </c>
      <c r="M25" s="3">
        <f t="shared" si="7"/>
        <v>3.87</v>
      </c>
      <c r="P25" s="15" t="s">
        <v>218</v>
      </c>
      <c r="Q25" s="10" t="str">
        <f t="shared" si="1"/>
        <v>ALFA CONSORC-ON</v>
      </c>
      <c r="R25" s="20">
        <f t="shared" si="2"/>
        <v>41691</v>
      </c>
      <c r="S25" s="5">
        <f t="shared" si="3"/>
        <v>3.87</v>
      </c>
      <c r="T25" s="5">
        <f t="shared" si="4"/>
        <v>3.87</v>
      </c>
      <c r="U25" s="5">
        <f t="shared" si="5"/>
        <v>3.87</v>
      </c>
      <c r="V25" s="5">
        <f t="shared" si="6"/>
        <v>3.87</v>
      </c>
    </row>
    <row r="26" spans="1:22">
      <c r="A26" s="33" t="str">
        <f>IF(Tabela1[[#This Row],[Código]]="IBOV","^BVSP",IF(Tabela1[[#This Row],[Código]]="","",CONCATENATE(LEFT(Tabela1[[#This Row],[Código]],6),".SA")))</f>
        <v>BRGE5.SA</v>
      </c>
      <c r="C26" s="3" t="s">
        <v>778</v>
      </c>
      <c r="D26" s="3" t="s">
        <v>442</v>
      </c>
      <c r="E26" s="3" t="s">
        <v>225</v>
      </c>
      <c r="F26" s="3" t="s">
        <v>225</v>
      </c>
      <c r="G26" s="3" t="s">
        <v>225</v>
      </c>
      <c r="H26" s="20">
        <v>41691</v>
      </c>
      <c r="J26" s="3" t="e">
        <f t="shared" si="7"/>
        <v>#VALUE!</v>
      </c>
      <c r="K26" s="3">
        <f t="shared" si="7"/>
        <v>3.27</v>
      </c>
      <c r="L26" s="3">
        <f t="shared" si="7"/>
        <v>3.27</v>
      </c>
      <c r="M26" s="3">
        <f t="shared" si="7"/>
        <v>3.27</v>
      </c>
      <c r="P26" s="10" t="s">
        <v>219</v>
      </c>
      <c r="Q26" s="10" t="str">
        <f t="shared" si="1"/>
        <v>ALFA CONSORC-PNA</v>
      </c>
      <c r="R26" s="20">
        <f t="shared" si="2"/>
        <v>41691</v>
      </c>
      <c r="S26" s="5" t="e">
        <f t="shared" si="3"/>
        <v>#VALUE!</v>
      </c>
      <c r="T26" s="5">
        <f t="shared" si="4"/>
        <v>3.27</v>
      </c>
      <c r="U26" s="5">
        <f t="shared" si="5"/>
        <v>3.27</v>
      </c>
      <c r="V26" s="5">
        <f t="shared" si="6"/>
        <v>3.27</v>
      </c>
    </row>
    <row r="27" spans="1:22">
      <c r="A27" s="33" t="str">
        <f>IF(Tabela1[[#This Row],[Código]]="IBOV","^BVSP",IF(Tabela1[[#This Row],[Código]]="","",CONCATENATE(LEFT(Tabela1[[#This Row],[Código]],6),".SA")))</f>
        <v>BRGE6.SA</v>
      </c>
      <c r="C27" s="3" t="s">
        <v>779</v>
      </c>
      <c r="D27" s="3" t="s">
        <v>780</v>
      </c>
      <c r="E27" s="3" t="s">
        <v>780</v>
      </c>
      <c r="F27" s="3" t="s">
        <v>780</v>
      </c>
      <c r="G27" s="3" t="s">
        <v>780</v>
      </c>
      <c r="H27" s="20">
        <v>41691</v>
      </c>
      <c r="J27" s="3">
        <f t="shared" si="7"/>
        <v>5.96</v>
      </c>
      <c r="K27" s="3">
        <f t="shared" si="7"/>
        <v>5.96</v>
      </c>
      <c r="L27" s="3">
        <f t="shared" si="7"/>
        <v>5.96</v>
      </c>
      <c r="M27" s="3">
        <f t="shared" si="7"/>
        <v>5.96</v>
      </c>
      <c r="P27" s="15" t="s">
        <v>77</v>
      </c>
      <c r="Q27" s="10" t="str">
        <f t="shared" si="1"/>
        <v>ALFA CONSORC-PNB</v>
      </c>
      <c r="R27" s="20">
        <f t="shared" si="2"/>
        <v>41691</v>
      </c>
      <c r="S27" s="5">
        <f t="shared" si="3"/>
        <v>5.96</v>
      </c>
      <c r="T27" s="5">
        <f t="shared" si="4"/>
        <v>5.96</v>
      </c>
      <c r="U27" s="5">
        <f t="shared" si="5"/>
        <v>5.96</v>
      </c>
      <c r="V27" s="5">
        <f t="shared" si="6"/>
        <v>5.96</v>
      </c>
    </row>
    <row r="28" spans="1:22">
      <c r="A28" s="33" t="str">
        <f>IF(Tabela1[[#This Row],[Código]]="IBOV","^BVSP",IF(Tabela1[[#This Row],[Código]]="","",CONCATENATE(LEFT(Tabela1[[#This Row],[Código]],6),".SA")))</f>
        <v>BRGE7.SA</v>
      </c>
      <c r="C28" s="3" t="s">
        <v>781</v>
      </c>
      <c r="D28" s="3" t="s">
        <v>442</v>
      </c>
      <c r="E28" s="3" t="s">
        <v>226</v>
      </c>
      <c r="F28" s="3" t="s">
        <v>226</v>
      </c>
      <c r="G28" s="3" t="s">
        <v>226</v>
      </c>
      <c r="H28" s="20">
        <v>41691</v>
      </c>
      <c r="J28" s="3" t="e">
        <f t="shared" si="7"/>
        <v>#VALUE!</v>
      </c>
      <c r="K28" s="3">
        <f t="shared" si="7"/>
        <v>3.6</v>
      </c>
      <c r="L28" s="3">
        <f t="shared" si="7"/>
        <v>3.6</v>
      </c>
      <c r="M28" s="3">
        <f t="shared" si="7"/>
        <v>3.6</v>
      </c>
      <c r="P28" s="43" t="s">
        <v>220</v>
      </c>
      <c r="Q28" s="10" t="str">
        <f t="shared" si="1"/>
        <v>ALFA CONSORC-PNC</v>
      </c>
      <c r="R28" s="20">
        <f t="shared" si="2"/>
        <v>41691</v>
      </c>
      <c r="S28" s="5" t="e">
        <f t="shared" si="3"/>
        <v>#VALUE!</v>
      </c>
      <c r="T28" s="5">
        <f t="shared" si="4"/>
        <v>3.6</v>
      </c>
      <c r="U28" s="5">
        <f t="shared" si="5"/>
        <v>3.6</v>
      </c>
      <c r="V28" s="5">
        <f t="shared" si="6"/>
        <v>3.6</v>
      </c>
    </row>
    <row r="29" spans="1:22">
      <c r="A29" s="33" t="str">
        <f>IF(Tabela1[[#This Row],[Código]]="IBOV","^BVSP",IF(Tabela1[[#This Row],[Código]]="","",CONCATENATE(LEFT(Tabela1[[#This Row],[Código]],6),".SA")))</f>
        <v>BRGE8.SA</v>
      </c>
      <c r="C29" s="3" t="s">
        <v>782</v>
      </c>
      <c r="D29" s="3" t="s">
        <v>783</v>
      </c>
      <c r="E29" s="3" t="s">
        <v>783</v>
      </c>
      <c r="F29" s="3" t="s">
        <v>783</v>
      </c>
      <c r="G29" s="3" t="s">
        <v>783</v>
      </c>
      <c r="H29" s="20">
        <v>41691</v>
      </c>
      <c r="J29" s="3">
        <f>IF($A29="",0,VALUE(CONCATENATE(LEFT(D29,LEN(D29)-3),",",RIGHT(D29,2))))</f>
        <v>3.78</v>
      </c>
      <c r="K29" s="3">
        <f t="shared" si="7"/>
        <v>3.78</v>
      </c>
      <c r="L29" s="3">
        <f t="shared" si="7"/>
        <v>3.78</v>
      </c>
      <c r="M29" s="3">
        <f t="shared" si="7"/>
        <v>3.78</v>
      </c>
      <c r="P29" s="15" t="s">
        <v>221</v>
      </c>
      <c r="Q29" s="10" t="str">
        <f t="shared" si="1"/>
        <v>ALFA CONSORC-PND</v>
      </c>
      <c r="R29" s="20">
        <f t="shared" si="2"/>
        <v>41691</v>
      </c>
      <c r="S29" s="5">
        <f t="shared" si="3"/>
        <v>3.78</v>
      </c>
      <c r="T29" s="5">
        <f t="shared" si="4"/>
        <v>3.78</v>
      </c>
      <c r="U29" s="5">
        <f t="shared" si="5"/>
        <v>3.78</v>
      </c>
      <c r="V29" s="5">
        <f t="shared" si="6"/>
        <v>3.78</v>
      </c>
    </row>
    <row r="30" spans="1:22">
      <c r="A30" s="33" t="str">
        <f>IF(Tabela1[[#This Row],[Código]]="IBOV","^BVSP",IF(Tabela1[[#This Row],[Código]]="","",CONCATENATE(LEFT(Tabela1[[#This Row],[Código]],6),".SA")))</f>
        <v>BRIV3.SA</v>
      </c>
      <c r="C30" s="3" t="s">
        <v>784</v>
      </c>
      <c r="D30" s="3" t="s">
        <v>744</v>
      </c>
      <c r="E30" s="3" t="s">
        <v>744</v>
      </c>
      <c r="F30" s="3" t="s">
        <v>744</v>
      </c>
      <c r="G30" s="3" t="s">
        <v>744</v>
      </c>
      <c r="H30" s="20">
        <v>41691</v>
      </c>
      <c r="J30" s="3">
        <f t="shared" si="7"/>
        <v>6.61</v>
      </c>
      <c r="K30" s="3">
        <f t="shared" si="7"/>
        <v>6.61</v>
      </c>
      <c r="L30" s="3">
        <f t="shared" si="7"/>
        <v>6.61</v>
      </c>
      <c r="M30" s="3">
        <f t="shared" si="7"/>
        <v>6.61</v>
      </c>
      <c r="P30" s="14" t="s">
        <v>196</v>
      </c>
      <c r="Q30" s="10" t="str">
        <f t="shared" si="1"/>
        <v>ALFA INVEST -ON</v>
      </c>
      <c r="R30" s="20">
        <f t="shared" si="2"/>
        <v>41691</v>
      </c>
      <c r="S30" s="5">
        <f t="shared" si="3"/>
        <v>6.61</v>
      </c>
      <c r="T30" s="5">
        <f t="shared" si="4"/>
        <v>6.61</v>
      </c>
      <c r="U30" s="5">
        <f t="shared" si="5"/>
        <v>6.61</v>
      </c>
      <c r="V30" s="5">
        <f t="shared" si="6"/>
        <v>6.61</v>
      </c>
    </row>
    <row r="31" spans="1:22">
      <c r="A31" s="33" t="str">
        <f>IF(Tabela1[[#This Row],[Código]]="IBOV","^BVSP",IF(Tabela1[[#This Row],[Código]]="","",CONCATENATE(LEFT(Tabela1[[#This Row],[Código]],6),".SA")))</f>
        <v>BRIV4.SA</v>
      </c>
      <c r="C31" s="3" t="s">
        <v>785</v>
      </c>
      <c r="D31" s="3" t="s">
        <v>1590</v>
      </c>
      <c r="E31" s="3" t="s">
        <v>1590</v>
      </c>
      <c r="F31" s="3" t="s">
        <v>1590</v>
      </c>
      <c r="G31" s="3" t="s">
        <v>1590</v>
      </c>
      <c r="H31" s="20">
        <v>41691</v>
      </c>
      <c r="J31" s="3">
        <f t="shared" si="7"/>
        <v>5.7</v>
      </c>
      <c r="K31" s="3">
        <f t="shared" si="7"/>
        <v>5.7</v>
      </c>
      <c r="L31" s="3">
        <f t="shared" si="7"/>
        <v>5.7</v>
      </c>
      <c r="M31" s="3">
        <f t="shared" si="7"/>
        <v>5.7</v>
      </c>
      <c r="P31" s="10" t="s">
        <v>197</v>
      </c>
      <c r="Q31" s="10" t="str">
        <f t="shared" si="1"/>
        <v>ALFA INVEST -PN</v>
      </c>
      <c r="R31" s="20">
        <f t="shared" si="2"/>
        <v>41691</v>
      </c>
      <c r="S31" s="5">
        <f t="shared" si="3"/>
        <v>5.7</v>
      </c>
      <c r="T31" s="5">
        <f t="shared" si="4"/>
        <v>5.7</v>
      </c>
      <c r="U31" s="5">
        <f t="shared" si="5"/>
        <v>5.7</v>
      </c>
      <c r="V31" s="5">
        <f t="shared" si="6"/>
        <v>5.7</v>
      </c>
    </row>
    <row r="32" spans="1:22">
      <c r="A32" s="33" t="str">
        <f>IF(Tabela1[[#This Row],[Código]]="IBOV","^BVSP",IF(Tabela1[[#This Row],[Código]]="","",CONCATENATE(LEFT(Tabela1[[#This Row],[Código]],6),".SA")))</f>
        <v>BRSR3.SA</v>
      </c>
      <c r="C32" s="3" t="s">
        <v>206</v>
      </c>
      <c r="D32" s="3" t="s">
        <v>409</v>
      </c>
      <c r="E32" s="3" t="s">
        <v>409</v>
      </c>
      <c r="F32" s="3" t="s">
        <v>409</v>
      </c>
      <c r="G32" s="3" t="s">
        <v>409</v>
      </c>
      <c r="H32" s="20">
        <v>41691</v>
      </c>
      <c r="J32" s="3">
        <f t="shared" si="7"/>
        <v>12.2</v>
      </c>
      <c r="K32" s="3">
        <f t="shared" si="7"/>
        <v>12.2</v>
      </c>
      <c r="L32" s="3">
        <f t="shared" si="7"/>
        <v>12.2</v>
      </c>
      <c r="M32" s="3">
        <f t="shared" si="7"/>
        <v>12.2</v>
      </c>
      <c r="P32" s="15" t="s">
        <v>204</v>
      </c>
      <c r="Q32" s="10" t="str">
        <f t="shared" si="1"/>
        <v xml:space="preserve">BANRISUL    -ON  </v>
      </c>
      <c r="R32" s="20">
        <f t="shared" si="2"/>
        <v>41691</v>
      </c>
      <c r="S32" s="5">
        <f t="shared" si="3"/>
        <v>12.2</v>
      </c>
      <c r="T32" s="5">
        <f t="shared" si="4"/>
        <v>12.2</v>
      </c>
      <c r="U32" s="5">
        <f t="shared" si="5"/>
        <v>12.2</v>
      </c>
      <c r="V32" s="5">
        <f t="shared" si="6"/>
        <v>12.2</v>
      </c>
    </row>
    <row r="33" spans="1:22">
      <c r="A33" s="33" t="str">
        <f>IF(Tabela1[[#This Row],[Código]]="IBOV","^BVSP",IF(Tabela1[[#This Row],[Código]]="","",CONCATENATE(LEFT(Tabela1[[#This Row],[Código]],6),".SA")))</f>
        <v>BRSR5.SA</v>
      </c>
      <c r="C33" s="3" t="s">
        <v>207</v>
      </c>
      <c r="D33" s="3" t="s">
        <v>974</v>
      </c>
      <c r="E33" s="3" t="s">
        <v>1510</v>
      </c>
      <c r="F33" s="3" t="s">
        <v>1510</v>
      </c>
      <c r="G33" s="3" t="s">
        <v>974</v>
      </c>
      <c r="H33" s="20">
        <v>41691</v>
      </c>
      <c r="J33" s="3">
        <f t="shared" si="7"/>
        <v>10.9</v>
      </c>
      <c r="K33" s="3">
        <f t="shared" si="7"/>
        <v>10.91</v>
      </c>
      <c r="L33" s="3">
        <f t="shared" si="7"/>
        <v>10.91</v>
      </c>
      <c r="M33" s="3">
        <f t="shared" si="7"/>
        <v>10.9</v>
      </c>
      <c r="P33" s="15" t="s">
        <v>205</v>
      </c>
      <c r="Q33" s="10" t="str">
        <f t="shared" si="1"/>
        <v xml:space="preserve">BANRISUL    -PNA </v>
      </c>
      <c r="R33" s="51">
        <f t="shared" si="2"/>
        <v>41691</v>
      </c>
      <c r="S33" s="5">
        <f t="shared" si="3"/>
        <v>10.9</v>
      </c>
      <c r="T33" s="5">
        <f t="shared" si="4"/>
        <v>10.91</v>
      </c>
      <c r="U33" s="5">
        <f t="shared" si="5"/>
        <v>10.91</v>
      </c>
      <c r="V33" s="5">
        <f t="shared" si="6"/>
        <v>10.9</v>
      </c>
    </row>
    <row r="34" spans="1:22">
      <c r="A34" s="33" t="str">
        <f>IF(Tabela1[[#This Row],[Código]]="IBOV","^BVSP",IF(Tabela1[[#This Row],[Código]]="","",CONCATENATE(LEFT(Tabela1[[#This Row],[Código]],6),".SA")))</f>
        <v>BRSR6.SA</v>
      </c>
      <c r="C34" s="3" t="s">
        <v>109</v>
      </c>
      <c r="D34" s="3" t="s">
        <v>1591</v>
      </c>
      <c r="E34" s="3" t="s">
        <v>136</v>
      </c>
      <c r="F34" s="3" t="s">
        <v>1592</v>
      </c>
      <c r="G34" s="3" t="s">
        <v>1593</v>
      </c>
      <c r="H34" s="20">
        <v>41691</v>
      </c>
      <c r="J34" s="3">
        <f t="shared" si="7"/>
        <v>10.96</v>
      </c>
      <c r="K34" s="3">
        <f t="shared" si="7"/>
        <v>11</v>
      </c>
      <c r="L34" s="3">
        <f t="shared" si="7"/>
        <v>11.05</v>
      </c>
      <c r="M34" s="3">
        <f t="shared" si="7"/>
        <v>10.92</v>
      </c>
      <c r="P34" s="10" t="s">
        <v>23</v>
      </c>
      <c r="Q34" s="10" t="str">
        <f t="shared" si="1"/>
        <v xml:space="preserve">BANRISUL    -PNB </v>
      </c>
      <c r="R34" s="20">
        <f t="shared" si="2"/>
        <v>41691</v>
      </c>
      <c r="S34" s="5">
        <f t="shared" si="3"/>
        <v>10.96</v>
      </c>
      <c r="T34" s="5">
        <f t="shared" si="4"/>
        <v>11</v>
      </c>
      <c r="U34" s="5">
        <f t="shared" si="5"/>
        <v>11.05</v>
      </c>
      <c r="V34" s="5">
        <f t="shared" si="6"/>
        <v>10.92</v>
      </c>
    </row>
    <row r="35" spans="1:22">
      <c r="A35" s="33" t="str">
        <f>IF(Tabela1[[#This Row],[Código]]="IBOV","^BVSP",IF(Tabela1[[#This Row],[Código]]="","",CONCATENATE(LEFT(Tabela1[[#This Row],[Código]],6),".SA")))</f>
        <v>BSLI3.SA</v>
      </c>
      <c r="C35" s="3" t="s">
        <v>990</v>
      </c>
      <c r="D35" s="3" t="s">
        <v>1117</v>
      </c>
      <c r="E35" s="3" t="s">
        <v>1117</v>
      </c>
      <c r="F35" s="3" t="s">
        <v>1117</v>
      </c>
      <c r="G35" s="3" t="s">
        <v>1117</v>
      </c>
      <c r="H35" s="20">
        <v>41691</v>
      </c>
      <c r="J35" s="3">
        <f t="shared" si="7"/>
        <v>26.75</v>
      </c>
      <c r="K35" s="3">
        <f t="shared" si="7"/>
        <v>26.75</v>
      </c>
      <c r="L35" s="3">
        <f t="shared" si="7"/>
        <v>26.75</v>
      </c>
      <c r="M35" s="3">
        <f t="shared" si="7"/>
        <v>26.75</v>
      </c>
      <c r="P35" s="15" t="s">
        <v>216</v>
      </c>
      <c r="Q35" s="10" t="str">
        <f t="shared" si="1"/>
        <v>BRB BANCO   -ON</v>
      </c>
      <c r="R35" s="20">
        <f t="shared" si="2"/>
        <v>41691</v>
      </c>
      <c r="S35" s="5">
        <f t="shared" si="3"/>
        <v>26.75</v>
      </c>
      <c r="T35" s="5">
        <f t="shared" si="4"/>
        <v>26.75</v>
      </c>
      <c r="U35" s="5">
        <f t="shared" si="5"/>
        <v>26.75</v>
      </c>
      <c r="V35" s="5">
        <f t="shared" si="6"/>
        <v>26.75</v>
      </c>
    </row>
    <row r="36" spans="1:22">
      <c r="A36" s="33" t="str">
        <f>IF(Tabela1[[#This Row],[Código]]="IBOV","^BVSP",IF(Tabela1[[#This Row],[Código]]="","",CONCATENATE(LEFT(Tabela1[[#This Row],[Código]],6),".SA")))</f>
        <v>BSLI4.SA</v>
      </c>
      <c r="C36" s="3" t="s">
        <v>991</v>
      </c>
      <c r="D36" s="3" t="s">
        <v>634</v>
      </c>
      <c r="E36" s="3" t="s">
        <v>634</v>
      </c>
      <c r="F36" s="3" t="s">
        <v>634</v>
      </c>
      <c r="G36" s="3" t="s">
        <v>634</v>
      </c>
      <c r="H36" s="20">
        <v>41691</v>
      </c>
      <c r="J36" s="3">
        <f t="shared" si="7"/>
        <v>28</v>
      </c>
      <c r="K36" s="3">
        <f t="shared" si="7"/>
        <v>28</v>
      </c>
      <c r="L36" s="3">
        <f t="shared" si="7"/>
        <v>28</v>
      </c>
      <c r="M36" s="3">
        <f t="shared" si="7"/>
        <v>28</v>
      </c>
      <c r="P36" s="14" t="s">
        <v>217</v>
      </c>
      <c r="Q36" s="10" t="str">
        <f t="shared" si="1"/>
        <v>BRB BANCO   -PN</v>
      </c>
      <c r="R36" s="51">
        <f t="shared" si="2"/>
        <v>41691</v>
      </c>
      <c r="S36" s="5">
        <f t="shared" si="3"/>
        <v>28</v>
      </c>
      <c r="T36" s="5">
        <f t="shared" si="4"/>
        <v>28</v>
      </c>
      <c r="U36" s="5">
        <f t="shared" si="5"/>
        <v>28</v>
      </c>
      <c r="V36" s="5">
        <f t="shared" si="6"/>
        <v>28</v>
      </c>
    </row>
    <row r="37" spans="1:22">
      <c r="A37" s="33" t="str">
        <f>IF(Tabela1[[#This Row],[Código]]="IBOV","^BVSP",IF(Tabela1[[#This Row],[Código]]="","",CONCATENATE(LEFT(Tabela1[[#This Row],[Código]],6),".SA")))</f>
        <v>CASN3.SA</v>
      </c>
      <c r="C37" s="3" t="s">
        <v>179</v>
      </c>
      <c r="D37" s="3" t="s">
        <v>442</v>
      </c>
      <c r="E37" s="3" t="s">
        <v>159</v>
      </c>
      <c r="F37" s="3" t="s">
        <v>159</v>
      </c>
      <c r="G37" s="3" t="s">
        <v>159</v>
      </c>
      <c r="H37" s="20">
        <v>41691</v>
      </c>
      <c r="J37" s="3" t="e">
        <f t="shared" si="7"/>
        <v>#VALUE!</v>
      </c>
      <c r="K37" s="3">
        <f t="shared" si="7"/>
        <v>4.12</v>
      </c>
      <c r="L37" s="3">
        <f t="shared" si="7"/>
        <v>4.12</v>
      </c>
      <c r="M37" s="3">
        <f t="shared" si="7"/>
        <v>4.12</v>
      </c>
      <c r="P37" s="14" t="s">
        <v>178</v>
      </c>
      <c r="Q37" s="10" t="str">
        <f t="shared" si="1"/>
        <v>CASAN       -ON</v>
      </c>
      <c r="R37" s="51">
        <f t="shared" si="2"/>
        <v>41691</v>
      </c>
      <c r="S37" s="5" t="e">
        <f t="shared" si="3"/>
        <v>#VALUE!</v>
      </c>
      <c r="T37" s="5">
        <f t="shared" si="4"/>
        <v>4.12</v>
      </c>
      <c r="U37" s="5">
        <f t="shared" si="5"/>
        <v>4.12</v>
      </c>
      <c r="V37" s="5">
        <f t="shared" si="6"/>
        <v>4.12</v>
      </c>
    </row>
    <row r="38" spans="1:22">
      <c r="A38" s="33" t="str">
        <f>IF(Tabela1[[#This Row],[Código]]="IBOV","^BVSP",IF(Tabela1[[#This Row],[Código]]="","",CONCATENATE(LEFT(Tabela1[[#This Row],[Código]],6),".SA")))</f>
        <v>CEBR3.SA</v>
      </c>
      <c r="C38" s="3" t="s">
        <v>110</v>
      </c>
      <c r="D38" s="3" t="s">
        <v>773</v>
      </c>
      <c r="E38" s="3" t="s">
        <v>773</v>
      </c>
      <c r="F38" s="3" t="s">
        <v>773</v>
      </c>
      <c r="G38" s="3" t="s">
        <v>773</v>
      </c>
      <c r="H38" s="20">
        <v>41691</v>
      </c>
      <c r="J38" s="3">
        <f t="shared" si="7"/>
        <v>16</v>
      </c>
      <c r="K38" s="3">
        <f t="shared" si="7"/>
        <v>16</v>
      </c>
      <c r="L38" s="3">
        <f t="shared" si="7"/>
        <v>16</v>
      </c>
      <c r="M38" s="3">
        <f t="shared" si="7"/>
        <v>16</v>
      </c>
      <c r="P38" s="14" t="s">
        <v>90</v>
      </c>
      <c r="Q38" s="10" t="str">
        <f t="shared" si="1"/>
        <v>CEB         -ON</v>
      </c>
      <c r="R38" s="51">
        <f t="shared" si="2"/>
        <v>41691</v>
      </c>
      <c r="S38" s="5">
        <f t="shared" si="3"/>
        <v>16</v>
      </c>
      <c r="T38" s="5">
        <f t="shared" si="4"/>
        <v>16</v>
      </c>
      <c r="U38" s="5">
        <f t="shared" si="5"/>
        <v>16</v>
      </c>
      <c r="V38" s="5">
        <f t="shared" si="6"/>
        <v>16</v>
      </c>
    </row>
    <row r="39" spans="1:22">
      <c r="A39" s="33" t="str">
        <f>IF(Tabela1[[#This Row],[Código]]="IBOV","^BVSP",IF(Tabela1[[#This Row],[Código]]="","",CONCATENATE(LEFT(Tabela1[[#This Row],[Código]],6),".SA")))</f>
        <v>CEBR5.SA</v>
      </c>
      <c r="C39" s="3" t="s">
        <v>111</v>
      </c>
      <c r="D39" s="3" t="s">
        <v>772</v>
      </c>
      <c r="E39" s="3" t="s">
        <v>772</v>
      </c>
      <c r="F39" s="3" t="s">
        <v>772</v>
      </c>
      <c r="G39" s="3" t="s">
        <v>772</v>
      </c>
      <c r="H39" s="20">
        <v>41691</v>
      </c>
      <c r="J39" s="3">
        <f t="shared" si="7"/>
        <v>23</v>
      </c>
      <c r="K39" s="3">
        <f t="shared" si="7"/>
        <v>23</v>
      </c>
      <c r="L39" s="3">
        <f t="shared" si="7"/>
        <v>23</v>
      </c>
      <c r="M39" s="3">
        <f t="shared" si="7"/>
        <v>23</v>
      </c>
      <c r="P39" s="14" t="s">
        <v>91</v>
      </c>
      <c r="Q39" s="10" t="str">
        <f t="shared" ref="Q39:Q70" si="8">IF(A39="","",C39)</f>
        <v>CEB         -PNA</v>
      </c>
      <c r="R39" s="51">
        <f t="shared" ref="R39:R70" si="9">IF(A39="","",H39)</f>
        <v>41691</v>
      </c>
      <c r="S39" s="5">
        <f t="shared" ref="S39:S70" si="10">J39</f>
        <v>23</v>
      </c>
      <c r="T39" s="5">
        <f t="shared" ref="T39:T70" si="11">K39</f>
        <v>23</v>
      </c>
      <c r="U39" s="5">
        <f t="shared" ref="U39:U70" si="12">L39</f>
        <v>23</v>
      </c>
      <c r="V39" s="5">
        <f t="shared" ref="V39:V70" si="13">M39</f>
        <v>23</v>
      </c>
    </row>
    <row r="40" spans="1:22">
      <c r="A40" s="33" t="str">
        <f>IF(Tabela1[[#This Row],[Código]]="IBOV","^BVSP",IF(Tabela1[[#This Row],[Código]]="","",CONCATENATE(LEFT(Tabela1[[#This Row],[Código]],6),".SA")))</f>
        <v>CEBR6.SA</v>
      </c>
      <c r="C40" s="3" t="s">
        <v>112</v>
      </c>
      <c r="D40" s="3" t="s">
        <v>786</v>
      </c>
      <c r="E40" s="3" t="s">
        <v>787</v>
      </c>
      <c r="F40" s="3" t="s">
        <v>787</v>
      </c>
      <c r="G40" s="3" t="s">
        <v>786</v>
      </c>
      <c r="H40" s="20">
        <v>41691</v>
      </c>
      <c r="J40" s="3">
        <f t="shared" si="7"/>
        <v>17.09</v>
      </c>
      <c r="K40" s="3">
        <f t="shared" si="7"/>
        <v>17.600000000000001</v>
      </c>
      <c r="L40" s="3">
        <f t="shared" si="7"/>
        <v>17.600000000000001</v>
      </c>
      <c r="M40" s="3">
        <f t="shared" si="7"/>
        <v>17.09</v>
      </c>
      <c r="P40" s="14" t="s">
        <v>69</v>
      </c>
      <c r="Q40" s="10" t="str">
        <f t="shared" si="8"/>
        <v>CEB         -PNB</v>
      </c>
      <c r="R40" s="20">
        <f t="shared" si="9"/>
        <v>41691</v>
      </c>
      <c r="S40" s="5">
        <f t="shared" si="10"/>
        <v>17.09</v>
      </c>
      <c r="T40" s="5">
        <f t="shared" si="11"/>
        <v>17.600000000000001</v>
      </c>
      <c r="U40" s="5">
        <f t="shared" si="12"/>
        <v>17.600000000000001</v>
      </c>
      <c r="V40" s="5">
        <f t="shared" si="13"/>
        <v>17.09</v>
      </c>
    </row>
    <row r="41" spans="1:22">
      <c r="A41" s="33" t="str">
        <f>IF(Tabela1[[#This Row],[Código]]="IBOV","^BVSP",IF(Tabela1[[#This Row],[Código]]="","",CONCATENATE(LEFT(Tabela1[[#This Row],[Código]],6),".SA")))</f>
        <v>CEEB3.SA</v>
      </c>
      <c r="C41" s="3" t="s">
        <v>656</v>
      </c>
      <c r="D41" s="3" t="s">
        <v>1594</v>
      </c>
      <c r="E41" s="3" t="s">
        <v>1503</v>
      </c>
      <c r="F41" s="3" t="s">
        <v>1503</v>
      </c>
      <c r="G41" s="3" t="s">
        <v>1594</v>
      </c>
      <c r="H41" s="20">
        <v>41691</v>
      </c>
      <c r="J41" s="3">
        <f t="shared" si="7"/>
        <v>28.01</v>
      </c>
      <c r="K41" s="3">
        <f t="shared" si="7"/>
        <v>29</v>
      </c>
      <c r="L41" s="3">
        <f t="shared" si="7"/>
        <v>29</v>
      </c>
      <c r="M41" s="3">
        <f t="shared" si="7"/>
        <v>28.01</v>
      </c>
      <c r="P41" s="14" t="s">
        <v>88</v>
      </c>
      <c r="Q41" s="10" t="str">
        <f t="shared" si="8"/>
        <v>COELBA      -ON</v>
      </c>
      <c r="R41" s="46">
        <f t="shared" si="9"/>
        <v>41691</v>
      </c>
      <c r="S41" s="6">
        <f t="shared" si="10"/>
        <v>28.01</v>
      </c>
      <c r="T41" s="6">
        <f t="shared" si="11"/>
        <v>29</v>
      </c>
      <c r="U41" s="6">
        <f t="shared" si="12"/>
        <v>29</v>
      </c>
      <c r="V41" s="6">
        <f t="shared" si="13"/>
        <v>28.01</v>
      </c>
    </row>
    <row r="42" spans="1:22">
      <c r="A42" s="33" t="str">
        <f>IF(Tabela1[[#This Row],[Código]]="IBOV","^BVSP",IF(Tabela1[[#This Row],[Código]]="","",CONCATENATE(LEFT(Tabela1[[#This Row],[Código]],6),".SA")))</f>
        <v>CEEB5.SA</v>
      </c>
      <c r="C42" s="3" t="s">
        <v>657</v>
      </c>
      <c r="D42" s="3" t="s">
        <v>113</v>
      </c>
      <c r="E42" s="3" t="s">
        <v>113</v>
      </c>
      <c r="F42" s="3" t="s">
        <v>113</v>
      </c>
      <c r="G42" s="3" t="s">
        <v>113</v>
      </c>
      <c r="H42" s="20">
        <v>41691</v>
      </c>
      <c r="J42" s="3">
        <f t="shared" si="7"/>
        <v>32.01</v>
      </c>
      <c r="K42" s="3">
        <f t="shared" si="7"/>
        <v>32.01</v>
      </c>
      <c r="L42" s="3">
        <f t="shared" si="7"/>
        <v>32.01</v>
      </c>
      <c r="M42" s="3">
        <f t="shared" si="7"/>
        <v>32.01</v>
      </c>
      <c r="P42" s="14" t="s">
        <v>89</v>
      </c>
      <c r="Q42" s="10" t="str">
        <f t="shared" si="8"/>
        <v>COELBA      -PNA</v>
      </c>
      <c r="R42" s="51">
        <f t="shared" si="9"/>
        <v>41691</v>
      </c>
      <c r="S42" s="5">
        <f t="shared" si="10"/>
        <v>32.01</v>
      </c>
      <c r="T42" s="5">
        <f t="shared" si="11"/>
        <v>32.01</v>
      </c>
      <c r="U42" s="5">
        <f t="shared" si="12"/>
        <v>32.01</v>
      </c>
      <c r="V42" s="5">
        <f t="shared" si="13"/>
        <v>32.01</v>
      </c>
    </row>
    <row r="43" spans="1:22">
      <c r="A43" s="33" t="str">
        <f>IF(Tabela1[[#This Row],[Código]]="IBOV","^BVSP",IF(Tabela1[[#This Row],[Código]]="","",CONCATENATE(LEFT(Tabela1[[#This Row],[Código]],6),".SA")))</f>
        <v>CEPE5.SA</v>
      </c>
      <c r="C43" s="3" t="s">
        <v>114</v>
      </c>
      <c r="D43" s="3" t="s">
        <v>1120</v>
      </c>
      <c r="E43" s="3" t="s">
        <v>1120</v>
      </c>
      <c r="F43" s="3" t="s">
        <v>1120</v>
      </c>
      <c r="G43" s="3" t="s">
        <v>1120</v>
      </c>
      <c r="H43" s="20">
        <v>41691</v>
      </c>
      <c r="J43" s="3">
        <f t="shared" si="7"/>
        <v>17.899999999999999</v>
      </c>
      <c r="K43" s="3">
        <f t="shared" si="7"/>
        <v>17.899999999999999</v>
      </c>
      <c r="L43" s="3">
        <f t="shared" si="7"/>
        <v>17.899999999999999</v>
      </c>
      <c r="M43" s="3">
        <f t="shared" si="7"/>
        <v>17.899999999999999</v>
      </c>
      <c r="P43" s="14" t="s">
        <v>70</v>
      </c>
      <c r="Q43" s="10" t="str">
        <f t="shared" si="8"/>
        <v>CELPE       -PNA</v>
      </c>
      <c r="R43" s="51">
        <f t="shared" si="9"/>
        <v>41691</v>
      </c>
      <c r="S43" s="5">
        <f t="shared" si="10"/>
        <v>17.899999999999999</v>
      </c>
      <c r="T43" s="5">
        <f t="shared" si="11"/>
        <v>17.899999999999999</v>
      </c>
      <c r="U43" s="5">
        <f t="shared" si="12"/>
        <v>17.899999999999999</v>
      </c>
      <c r="V43" s="5">
        <f t="shared" si="13"/>
        <v>17.899999999999999</v>
      </c>
    </row>
    <row r="44" spans="1:22">
      <c r="A44" s="33" t="str">
        <f>IF(Tabela1[[#This Row],[Código]]="IBOV","^BVSP",IF(Tabela1[[#This Row],[Código]]="","",CONCATENATE(LEFT(Tabela1[[#This Row],[Código]],6),".SA")))</f>
        <v>CEPE6.SA</v>
      </c>
      <c r="C44" s="3" t="s">
        <v>115</v>
      </c>
      <c r="D44" s="3" t="s">
        <v>788</v>
      </c>
      <c r="E44" s="3" t="s">
        <v>788</v>
      </c>
      <c r="F44" s="3" t="s">
        <v>788</v>
      </c>
      <c r="G44" s="3" t="s">
        <v>788</v>
      </c>
      <c r="H44" s="20">
        <v>41691</v>
      </c>
      <c r="J44" s="3">
        <f t="shared" si="7"/>
        <v>18.11</v>
      </c>
      <c r="K44" s="3">
        <f t="shared" si="7"/>
        <v>18.11</v>
      </c>
      <c r="L44" s="3">
        <f t="shared" si="7"/>
        <v>18.11</v>
      </c>
      <c r="M44" s="3">
        <f t="shared" si="7"/>
        <v>18.11</v>
      </c>
      <c r="P44" s="14" t="s">
        <v>92</v>
      </c>
      <c r="Q44" s="10" t="str">
        <f t="shared" si="8"/>
        <v>CELPE       -PNB</v>
      </c>
      <c r="R44" s="20">
        <f t="shared" si="9"/>
        <v>41691</v>
      </c>
      <c r="S44" s="5">
        <f t="shared" si="10"/>
        <v>18.11</v>
      </c>
      <c r="T44" s="5">
        <f t="shared" si="11"/>
        <v>18.11</v>
      </c>
      <c r="U44" s="5">
        <f t="shared" si="12"/>
        <v>18.11</v>
      </c>
      <c r="V44" s="5">
        <f t="shared" si="13"/>
        <v>18.11</v>
      </c>
    </row>
    <row r="45" spans="1:22">
      <c r="A45" s="33" t="str">
        <f>IF(Tabela1[[#This Row],[Código]]="IBOV","^BVSP",IF(Tabela1[[#This Row],[Código]]="","",CONCATENATE(LEFT(Tabela1[[#This Row],[Código]],6),".SA")))</f>
        <v>CESP3.SA</v>
      </c>
      <c r="C45" s="3" t="s">
        <v>116</v>
      </c>
      <c r="D45" s="3" t="s">
        <v>1533</v>
      </c>
      <c r="E45" s="3" t="s">
        <v>1533</v>
      </c>
      <c r="F45" s="3" t="s">
        <v>1533</v>
      </c>
      <c r="G45" s="3" t="s">
        <v>1533</v>
      </c>
      <c r="H45" s="20">
        <v>41691</v>
      </c>
      <c r="J45" s="3">
        <f t="shared" si="7"/>
        <v>19.25</v>
      </c>
      <c r="K45" s="3">
        <f t="shared" si="7"/>
        <v>19.25</v>
      </c>
      <c r="L45" s="3">
        <f t="shared" si="7"/>
        <v>19.25</v>
      </c>
      <c r="M45" s="3">
        <f t="shared" si="7"/>
        <v>19.25</v>
      </c>
      <c r="P45" s="14" t="s">
        <v>72</v>
      </c>
      <c r="Q45" s="10" t="str">
        <f t="shared" si="8"/>
        <v xml:space="preserve">CESP        -ON  </v>
      </c>
      <c r="R45" s="46">
        <f t="shared" si="9"/>
        <v>41691</v>
      </c>
      <c r="S45" s="6">
        <f t="shared" si="10"/>
        <v>19.25</v>
      </c>
      <c r="T45" s="6">
        <f t="shared" si="11"/>
        <v>19.25</v>
      </c>
      <c r="U45" s="6">
        <f t="shared" si="12"/>
        <v>19.25</v>
      </c>
      <c r="V45" s="6">
        <f t="shared" si="13"/>
        <v>19.25</v>
      </c>
    </row>
    <row r="46" spans="1:22">
      <c r="A46" s="33" t="str">
        <f>IF(Tabela1[[#This Row],[Código]]="IBOV","^BVSP",IF(Tabela1[[#This Row],[Código]]="","",CONCATENATE(LEFT(Tabela1[[#This Row],[Código]],6),".SA")))</f>
        <v>CESP5.SA</v>
      </c>
      <c r="C46" s="3" t="s">
        <v>117</v>
      </c>
      <c r="D46" s="3" t="s">
        <v>1595</v>
      </c>
      <c r="E46" s="3" t="s">
        <v>1595</v>
      </c>
      <c r="F46" s="3" t="s">
        <v>1595</v>
      </c>
      <c r="G46" s="3" t="s">
        <v>1595</v>
      </c>
      <c r="H46" s="20">
        <v>41691</v>
      </c>
      <c r="J46" s="3">
        <f t="shared" si="7"/>
        <v>22.95</v>
      </c>
      <c r="K46" s="3">
        <f t="shared" si="7"/>
        <v>22.95</v>
      </c>
      <c r="L46" s="3">
        <f t="shared" si="7"/>
        <v>22.95</v>
      </c>
      <c r="M46" s="3">
        <f t="shared" si="7"/>
        <v>22.95</v>
      </c>
      <c r="P46" s="14" t="s">
        <v>86</v>
      </c>
      <c r="Q46" s="10" t="str">
        <f t="shared" si="8"/>
        <v xml:space="preserve">CESP        -PNA </v>
      </c>
      <c r="R46" s="46">
        <f t="shared" si="9"/>
        <v>41691</v>
      </c>
      <c r="S46" s="6">
        <f t="shared" si="10"/>
        <v>22.95</v>
      </c>
      <c r="T46" s="6">
        <f t="shared" si="11"/>
        <v>22.95</v>
      </c>
      <c r="U46" s="6">
        <f t="shared" si="12"/>
        <v>22.95</v>
      </c>
      <c r="V46" s="6">
        <f t="shared" si="13"/>
        <v>22.95</v>
      </c>
    </row>
    <row r="47" spans="1:22">
      <c r="A47" s="33" t="str">
        <f>IF(Tabela1[[#This Row],[Código]]="IBOV","^BVSP",IF(Tabela1[[#This Row],[Código]]="","",CONCATENATE(LEFT(Tabela1[[#This Row],[Código]],6),".SA")))</f>
        <v>CESP6.SA</v>
      </c>
      <c r="C47" s="3" t="s">
        <v>118</v>
      </c>
      <c r="D47" s="3" t="s">
        <v>1596</v>
      </c>
      <c r="E47" s="3" t="s">
        <v>1597</v>
      </c>
      <c r="F47" s="3" t="s">
        <v>1595</v>
      </c>
      <c r="G47" s="3" t="s">
        <v>1598</v>
      </c>
      <c r="H47" s="20">
        <v>41691</v>
      </c>
      <c r="J47" s="3">
        <f t="shared" si="7"/>
        <v>22.72</v>
      </c>
      <c r="K47" s="3">
        <f t="shared" si="7"/>
        <v>22.7</v>
      </c>
      <c r="L47" s="3">
        <f t="shared" si="7"/>
        <v>22.95</v>
      </c>
      <c r="M47" s="3">
        <f t="shared" si="7"/>
        <v>22.62</v>
      </c>
      <c r="P47" s="14" t="s">
        <v>87</v>
      </c>
      <c r="Q47" s="10" t="str">
        <f t="shared" si="8"/>
        <v xml:space="preserve">CESP        -PNB </v>
      </c>
      <c r="R47" s="20">
        <f t="shared" si="9"/>
        <v>41691</v>
      </c>
      <c r="S47" s="5">
        <f t="shared" si="10"/>
        <v>22.72</v>
      </c>
      <c r="T47" s="5">
        <f t="shared" si="11"/>
        <v>22.7</v>
      </c>
      <c r="U47" s="5">
        <f t="shared" si="12"/>
        <v>22.95</v>
      </c>
      <c r="V47" s="5">
        <f t="shared" si="13"/>
        <v>22.62</v>
      </c>
    </row>
    <row r="48" spans="1:22">
      <c r="A48" s="33" t="str">
        <f>IF(Tabela1[[#This Row],[Código]]="IBOV","^BVSP",IF(Tabela1[[#This Row],[Código]]="","",CONCATENATE(LEFT(Tabela1[[#This Row],[Código]],6),".SA")))</f>
        <v>CLSC4.SA</v>
      </c>
      <c r="C48" s="3" t="s">
        <v>119</v>
      </c>
      <c r="D48" s="3" t="s">
        <v>1599</v>
      </c>
      <c r="E48" s="3" t="s">
        <v>1600</v>
      </c>
      <c r="F48" s="3" t="s">
        <v>1599</v>
      </c>
      <c r="G48" s="3" t="s">
        <v>1601</v>
      </c>
      <c r="H48" s="20">
        <v>41691</v>
      </c>
      <c r="J48" s="3">
        <f t="shared" si="7"/>
        <v>15.79</v>
      </c>
      <c r="K48" s="3">
        <f t="shared" si="7"/>
        <v>15.7</v>
      </c>
      <c r="L48" s="3">
        <f t="shared" si="7"/>
        <v>15.79</v>
      </c>
      <c r="M48" s="3">
        <f t="shared" si="7"/>
        <v>15.69</v>
      </c>
      <c r="P48" s="14" t="s">
        <v>71</v>
      </c>
      <c r="Q48" s="10" t="str">
        <f t="shared" si="8"/>
        <v xml:space="preserve">CELESC      -PN  </v>
      </c>
      <c r="R48" s="20">
        <f t="shared" si="9"/>
        <v>41691</v>
      </c>
      <c r="S48" s="5">
        <f t="shared" si="10"/>
        <v>15.79</v>
      </c>
      <c r="T48" s="5">
        <f t="shared" si="11"/>
        <v>15.7</v>
      </c>
      <c r="U48" s="5">
        <f t="shared" si="12"/>
        <v>15.79</v>
      </c>
      <c r="V48" s="5">
        <f t="shared" si="13"/>
        <v>15.69</v>
      </c>
    </row>
    <row r="49" spans="1:22">
      <c r="A49" s="33" t="str">
        <f>IF(Tabela1[[#This Row],[Código]]="IBOV","^BVSP",IF(Tabela1[[#This Row],[Código]]="","",CONCATENATE(LEFT(Tabela1[[#This Row],[Código]],6),".SA")))</f>
        <v>CMIG3.SA</v>
      </c>
      <c r="C49" s="3" t="s">
        <v>120</v>
      </c>
      <c r="D49" s="3" t="s">
        <v>1144</v>
      </c>
      <c r="E49" s="3" t="s">
        <v>1602</v>
      </c>
      <c r="F49" s="3" t="s">
        <v>1603</v>
      </c>
      <c r="G49" s="3" t="s">
        <v>1121</v>
      </c>
      <c r="H49" s="20">
        <v>41691</v>
      </c>
      <c r="J49" s="3">
        <f t="shared" si="7"/>
        <v>13</v>
      </c>
      <c r="K49" s="3">
        <f t="shared" si="7"/>
        <v>13.13</v>
      </c>
      <c r="L49" s="3">
        <f t="shared" si="7"/>
        <v>13.23</v>
      </c>
      <c r="M49" s="3">
        <f t="shared" si="7"/>
        <v>12.99</v>
      </c>
      <c r="P49" s="26" t="s">
        <v>31</v>
      </c>
      <c r="Q49" s="10" t="str">
        <f t="shared" si="8"/>
        <v xml:space="preserve">CEMIG       -ON  </v>
      </c>
      <c r="R49" s="20">
        <f t="shared" si="9"/>
        <v>41691</v>
      </c>
      <c r="S49" s="5">
        <f t="shared" si="10"/>
        <v>13</v>
      </c>
      <c r="T49" s="5">
        <f t="shared" si="11"/>
        <v>13.13</v>
      </c>
      <c r="U49" s="5">
        <f t="shared" si="12"/>
        <v>13.23</v>
      </c>
      <c r="V49" s="5">
        <f t="shared" si="13"/>
        <v>12.99</v>
      </c>
    </row>
    <row r="50" spans="1:22">
      <c r="A50" s="33" t="str">
        <f>IF(Tabela1[[#This Row],[Código]]="IBOV","^BVSP",IF(Tabela1[[#This Row],[Código]]="","",CONCATENATE(LEFT(Tabela1[[#This Row],[Código]],6),".SA")))</f>
        <v>CMIG4.SA</v>
      </c>
      <c r="C50" s="3" t="s">
        <v>121</v>
      </c>
      <c r="D50" s="3" t="s">
        <v>1604</v>
      </c>
      <c r="E50" s="3" t="s">
        <v>1288</v>
      </c>
      <c r="F50" s="3" t="s">
        <v>1603</v>
      </c>
      <c r="G50" s="3" t="s">
        <v>1604</v>
      </c>
      <c r="H50" s="20">
        <v>41691</v>
      </c>
      <c r="J50" s="3">
        <f t="shared" si="7"/>
        <v>12.88</v>
      </c>
      <c r="K50" s="3">
        <f t="shared" si="7"/>
        <v>13.1</v>
      </c>
      <c r="L50" s="3">
        <f t="shared" si="7"/>
        <v>13.23</v>
      </c>
      <c r="M50" s="3">
        <f t="shared" si="7"/>
        <v>12.88</v>
      </c>
      <c r="P50" s="26" t="s">
        <v>30</v>
      </c>
      <c r="Q50" s="10" t="str">
        <f t="shared" si="8"/>
        <v xml:space="preserve">CEMIG       -PN  </v>
      </c>
      <c r="R50" s="46">
        <f t="shared" si="9"/>
        <v>41691</v>
      </c>
      <c r="S50" s="6">
        <f t="shared" si="10"/>
        <v>12.88</v>
      </c>
      <c r="T50" s="6">
        <f t="shared" si="11"/>
        <v>13.1</v>
      </c>
      <c r="U50" s="6">
        <f t="shared" si="12"/>
        <v>13.23</v>
      </c>
      <c r="V50" s="6">
        <f t="shared" si="13"/>
        <v>12.88</v>
      </c>
    </row>
    <row r="51" spans="1:22">
      <c r="A51" s="33" t="str">
        <f>IF(Tabela1[[#This Row],[Código]]="IBOV","^BVSP",IF(Tabela1[[#This Row],[Código]]="","",CONCATENATE(LEFT(Tabela1[[#This Row],[Código]],6),".SA")))</f>
        <v>COCE3.SA</v>
      </c>
      <c r="C51" s="3" t="s">
        <v>122</v>
      </c>
      <c r="D51" s="3" t="s">
        <v>1605</v>
      </c>
      <c r="E51" s="3" t="s">
        <v>1605</v>
      </c>
      <c r="F51" s="3" t="s">
        <v>1605</v>
      </c>
      <c r="G51" s="3" t="s">
        <v>1605</v>
      </c>
      <c r="H51" s="20">
        <v>41691</v>
      </c>
      <c r="J51" s="3">
        <f t="shared" si="7"/>
        <v>48.6</v>
      </c>
      <c r="K51" s="3">
        <f t="shared" si="7"/>
        <v>48.6</v>
      </c>
      <c r="L51" s="3">
        <f t="shared" si="7"/>
        <v>48.6</v>
      </c>
      <c r="M51" s="3">
        <f t="shared" si="7"/>
        <v>48.6</v>
      </c>
      <c r="P51" s="14" t="s">
        <v>93</v>
      </c>
      <c r="Q51" s="10" t="str">
        <f t="shared" si="8"/>
        <v>COELCE      -ON</v>
      </c>
      <c r="R51" s="46">
        <f t="shared" si="9"/>
        <v>41691</v>
      </c>
      <c r="S51" s="6">
        <f t="shared" si="10"/>
        <v>48.6</v>
      </c>
      <c r="T51" s="6">
        <f t="shared" si="11"/>
        <v>48.6</v>
      </c>
      <c r="U51" s="6">
        <f t="shared" si="12"/>
        <v>48.6</v>
      </c>
      <c r="V51" s="6">
        <f t="shared" si="13"/>
        <v>48.6</v>
      </c>
    </row>
    <row r="52" spans="1:22">
      <c r="A52" s="33" t="str">
        <f>IF(Tabela1[[#This Row],[Código]]="IBOV","^BVSP",IF(Tabela1[[#This Row],[Código]]="","",CONCATENATE(LEFT(Tabela1[[#This Row],[Código]],6),".SA")))</f>
        <v>COCE5.SA</v>
      </c>
      <c r="C52" s="3" t="s">
        <v>123</v>
      </c>
      <c r="D52" s="3" t="s">
        <v>1606</v>
      </c>
      <c r="E52" s="3" t="s">
        <v>1607</v>
      </c>
      <c r="F52" s="3" t="s">
        <v>1608</v>
      </c>
      <c r="G52" s="3" t="s">
        <v>1606</v>
      </c>
      <c r="H52" s="20">
        <v>41691</v>
      </c>
      <c r="J52" s="3">
        <f t="shared" si="7"/>
        <v>38.6</v>
      </c>
      <c r="K52" s="3">
        <f t="shared" si="7"/>
        <v>39.54</v>
      </c>
      <c r="L52" s="3">
        <f t="shared" si="7"/>
        <v>40.15</v>
      </c>
      <c r="M52" s="3">
        <f t="shared" si="7"/>
        <v>38.6</v>
      </c>
      <c r="P52" s="10" t="s">
        <v>81</v>
      </c>
      <c r="Q52" s="10" t="str">
        <f t="shared" si="8"/>
        <v>COELCE      -PNA</v>
      </c>
      <c r="R52" s="51">
        <f t="shared" si="9"/>
        <v>41691</v>
      </c>
      <c r="S52" s="5">
        <f t="shared" si="10"/>
        <v>38.6</v>
      </c>
      <c r="T52" s="5">
        <f t="shared" si="11"/>
        <v>39.54</v>
      </c>
      <c r="U52" s="5">
        <f t="shared" si="12"/>
        <v>40.15</v>
      </c>
      <c r="V52" s="5">
        <f t="shared" si="13"/>
        <v>38.6</v>
      </c>
    </row>
    <row r="53" spans="1:22">
      <c r="A53" s="33" t="str">
        <f>IF(Tabela1[[#This Row],[Código]]="IBOV","^BVSP",IF(Tabela1[[#This Row],[Código]]="","",CONCATENATE(LEFT(Tabela1[[#This Row],[Código]],6),".SA")))</f>
        <v>CPFE3.SA</v>
      </c>
      <c r="C53" s="3" t="s">
        <v>124</v>
      </c>
      <c r="D53" s="3" t="s">
        <v>1609</v>
      </c>
      <c r="E53" s="3" t="s">
        <v>1610</v>
      </c>
      <c r="F53" s="3" t="s">
        <v>1611</v>
      </c>
      <c r="G53" s="3" t="s">
        <v>1612</v>
      </c>
      <c r="H53" s="20">
        <v>41691</v>
      </c>
      <c r="J53" s="3">
        <f t="shared" si="7"/>
        <v>16.95</v>
      </c>
      <c r="K53" s="3">
        <f t="shared" si="7"/>
        <v>16.87</v>
      </c>
      <c r="L53" s="3">
        <f t="shared" si="7"/>
        <v>17.14</v>
      </c>
      <c r="M53" s="3">
        <f t="shared" si="7"/>
        <v>16.559999999999999</v>
      </c>
      <c r="P53" s="26" t="s">
        <v>32</v>
      </c>
      <c r="Q53" s="10" t="str">
        <f t="shared" si="8"/>
        <v xml:space="preserve">CPFL ENERGIA-ON  </v>
      </c>
      <c r="R53" s="51">
        <f t="shared" si="9"/>
        <v>41691</v>
      </c>
      <c r="S53" s="5">
        <f t="shared" si="10"/>
        <v>16.95</v>
      </c>
      <c r="T53" s="5">
        <f t="shared" si="11"/>
        <v>16.87</v>
      </c>
      <c r="U53" s="5">
        <f t="shared" si="12"/>
        <v>17.14</v>
      </c>
      <c r="V53" s="5">
        <f t="shared" si="13"/>
        <v>16.559999999999999</v>
      </c>
    </row>
    <row r="54" spans="1:22">
      <c r="A54" s="33" t="str">
        <f>IF(Tabela1[[#This Row],[Código]]="IBOV","^BVSP",IF(Tabela1[[#This Row],[Código]]="","",CONCATENATE(LEFT(Tabela1[[#This Row],[Código]],6),".SA")))</f>
        <v>CPLE3.SA</v>
      </c>
      <c r="C54" s="3" t="s">
        <v>125</v>
      </c>
      <c r="D54" s="3" t="s">
        <v>1613</v>
      </c>
      <c r="E54" s="3" t="s">
        <v>1410</v>
      </c>
      <c r="F54" s="3" t="s">
        <v>1614</v>
      </c>
      <c r="G54" s="3" t="s">
        <v>1491</v>
      </c>
      <c r="H54" s="20">
        <v>41691</v>
      </c>
      <c r="J54" s="3">
        <f t="shared" si="7"/>
        <v>17.93</v>
      </c>
      <c r="K54" s="3">
        <f t="shared" si="7"/>
        <v>17.8</v>
      </c>
      <c r="L54" s="3">
        <f t="shared" si="7"/>
        <v>18.12</v>
      </c>
      <c r="M54" s="3">
        <f t="shared" si="7"/>
        <v>17.5</v>
      </c>
      <c r="P54" s="26" t="s">
        <v>34</v>
      </c>
      <c r="Q54" s="10" t="str">
        <f t="shared" si="8"/>
        <v xml:space="preserve">COPEL       -ON  </v>
      </c>
      <c r="R54" s="51">
        <f t="shared" si="9"/>
        <v>41691</v>
      </c>
      <c r="S54" s="5">
        <f t="shared" si="10"/>
        <v>17.93</v>
      </c>
      <c r="T54" s="5">
        <f t="shared" si="11"/>
        <v>17.8</v>
      </c>
      <c r="U54" s="5">
        <f t="shared" si="12"/>
        <v>18.12</v>
      </c>
      <c r="V54" s="5">
        <f t="shared" si="13"/>
        <v>17.5</v>
      </c>
    </row>
    <row r="55" spans="1:22">
      <c r="A55" s="33" t="str">
        <f>IF(Tabela1[[#This Row],[Código]]="IBOV","^BVSP",IF(Tabela1[[#This Row],[Código]]="","",CONCATENATE(LEFT(Tabela1[[#This Row],[Código]],6),".SA")))</f>
        <v>CPLE5.SA</v>
      </c>
      <c r="C55" s="3" t="s">
        <v>126</v>
      </c>
      <c r="D55" s="3" t="s">
        <v>442</v>
      </c>
      <c r="E55" s="3" t="s">
        <v>127</v>
      </c>
      <c r="F55" s="3" t="s">
        <v>127</v>
      </c>
      <c r="G55" s="3" t="s">
        <v>127</v>
      </c>
      <c r="H55" s="20">
        <v>41691</v>
      </c>
      <c r="J55" s="3" t="e">
        <f t="shared" si="7"/>
        <v>#VALUE!</v>
      </c>
      <c r="K55" s="3">
        <f t="shared" si="7"/>
        <v>30</v>
      </c>
      <c r="L55" s="3">
        <f t="shared" si="7"/>
        <v>30</v>
      </c>
      <c r="M55" s="3">
        <f t="shared" si="7"/>
        <v>30</v>
      </c>
      <c r="P55" s="14" t="s">
        <v>99</v>
      </c>
      <c r="Q55" s="10" t="str">
        <f t="shared" si="8"/>
        <v xml:space="preserve">COPEL       -PNA </v>
      </c>
      <c r="R55" s="20">
        <f t="shared" si="9"/>
        <v>41691</v>
      </c>
      <c r="S55" s="5" t="e">
        <f t="shared" si="10"/>
        <v>#VALUE!</v>
      </c>
      <c r="T55" s="5">
        <f t="shared" si="11"/>
        <v>30</v>
      </c>
      <c r="U55" s="5">
        <f t="shared" si="12"/>
        <v>30</v>
      </c>
      <c r="V55" s="5">
        <f t="shared" si="13"/>
        <v>30</v>
      </c>
    </row>
    <row r="56" spans="1:22">
      <c r="A56" s="33" t="str">
        <f>IF(Tabela1[[#This Row],[Código]]="IBOV","^BVSP",IF(Tabela1[[#This Row],[Código]]="","",CONCATENATE(LEFT(Tabela1[[#This Row],[Código]],6),".SA")))</f>
        <v>CPLE6.SA</v>
      </c>
      <c r="C56" s="3" t="s">
        <v>128</v>
      </c>
      <c r="D56" s="3" t="s">
        <v>1530</v>
      </c>
      <c r="E56" s="3" t="s">
        <v>1615</v>
      </c>
      <c r="F56" s="3" t="s">
        <v>1530</v>
      </c>
      <c r="G56" s="3" t="s">
        <v>1616</v>
      </c>
      <c r="H56" s="20">
        <v>41691</v>
      </c>
      <c r="J56" s="3">
        <f t="shared" si="7"/>
        <v>25.1</v>
      </c>
      <c r="K56" s="3">
        <f t="shared" si="7"/>
        <v>24.79</v>
      </c>
      <c r="L56" s="3">
        <f t="shared" si="7"/>
        <v>25.1</v>
      </c>
      <c r="M56" s="3">
        <f t="shared" si="7"/>
        <v>24.55</v>
      </c>
      <c r="P56" s="14" t="s">
        <v>100</v>
      </c>
      <c r="Q56" s="10" t="str">
        <f t="shared" si="8"/>
        <v xml:space="preserve">COPEL       -PNB </v>
      </c>
      <c r="R56" s="51">
        <f t="shared" si="9"/>
        <v>41691</v>
      </c>
      <c r="S56" s="5">
        <f t="shared" si="10"/>
        <v>25.1</v>
      </c>
      <c r="T56" s="5">
        <f t="shared" si="11"/>
        <v>24.79</v>
      </c>
      <c r="U56" s="5">
        <f t="shared" si="12"/>
        <v>25.1</v>
      </c>
      <c r="V56" s="5">
        <f t="shared" si="13"/>
        <v>24.55</v>
      </c>
    </row>
    <row r="57" spans="1:22">
      <c r="A57" s="33" t="str">
        <f>IF(Tabela1[[#This Row],[Código]]="IBOV","^BVSP",IF(Tabela1[[#This Row],[Código]]="","",CONCATENATE(LEFT(Tabela1[[#This Row],[Código]],6),".SA")))</f>
        <v>CSMG3.SA</v>
      </c>
      <c r="C57" s="3" t="s">
        <v>181</v>
      </c>
      <c r="D57" s="3" t="s">
        <v>1052</v>
      </c>
      <c r="E57" s="3" t="s">
        <v>1617</v>
      </c>
      <c r="F57" s="3" t="s">
        <v>1618</v>
      </c>
      <c r="G57" s="3" t="s">
        <v>1617</v>
      </c>
      <c r="H57" s="20">
        <v>41691</v>
      </c>
      <c r="J57" s="3">
        <f t="shared" si="7"/>
        <v>31.86</v>
      </c>
      <c r="K57" s="3">
        <f t="shared" si="7"/>
        <v>31.32</v>
      </c>
      <c r="L57" s="3">
        <f t="shared" si="7"/>
        <v>31.88</v>
      </c>
      <c r="M57" s="3">
        <f t="shared" si="7"/>
        <v>31.32</v>
      </c>
      <c r="P57" s="14" t="s">
        <v>180</v>
      </c>
      <c r="Q57" s="10" t="str">
        <f t="shared" si="8"/>
        <v xml:space="preserve">COPASA      -ON  </v>
      </c>
      <c r="R57" s="20">
        <f t="shared" si="9"/>
        <v>41691</v>
      </c>
      <c r="S57" s="5">
        <f t="shared" si="10"/>
        <v>31.86</v>
      </c>
      <c r="T57" s="5">
        <f t="shared" si="11"/>
        <v>31.32</v>
      </c>
      <c r="U57" s="5">
        <f t="shared" si="12"/>
        <v>31.88</v>
      </c>
      <c r="V57" s="5">
        <f t="shared" si="13"/>
        <v>31.32</v>
      </c>
    </row>
    <row r="58" spans="1:22">
      <c r="A58" s="33" t="str">
        <f>IF(Tabela1[[#This Row],[Código]]="IBOV","^BVSP",IF(Tabela1[[#This Row],[Código]]="","",CONCATENATE(LEFT(Tabela1[[#This Row],[Código]],6),".SA")))</f>
        <v>CSRN3.SA</v>
      </c>
      <c r="C58" s="3" t="s">
        <v>658</v>
      </c>
      <c r="D58" s="3" t="s">
        <v>340</v>
      </c>
      <c r="E58" s="3" t="s">
        <v>340</v>
      </c>
      <c r="F58" s="3" t="s">
        <v>340</v>
      </c>
      <c r="G58" s="3" t="s">
        <v>340</v>
      </c>
      <c r="H58" s="20">
        <v>41691</v>
      </c>
      <c r="J58" s="3">
        <f t="shared" si="7"/>
        <v>9.5</v>
      </c>
      <c r="K58" s="3">
        <f t="shared" si="7"/>
        <v>9.5</v>
      </c>
      <c r="L58" s="3">
        <f t="shared" si="7"/>
        <v>9.5</v>
      </c>
      <c r="M58" s="3">
        <f t="shared" si="7"/>
        <v>9.5</v>
      </c>
      <c r="P58" s="14" t="s">
        <v>95</v>
      </c>
      <c r="Q58" s="10" t="str">
        <f t="shared" si="8"/>
        <v>COSERN      -ON</v>
      </c>
      <c r="R58" s="51">
        <f t="shared" si="9"/>
        <v>41691</v>
      </c>
      <c r="S58" s="5">
        <f t="shared" si="10"/>
        <v>9.5</v>
      </c>
      <c r="T58" s="5">
        <f t="shared" si="11"/>
        <v>9.5</v>
      </c>
      <c r="U58" s="5">
        <f t="shared" si="12"/>
        <v>9.5</v>
      </c>
      <c r="V58" s="5">
        <f t="shared" si="13"/>
        <v>9.5</v>
      </c>
    </row>
    <row r="59" spans="1:22">
      <c r="A59" s="33" t="str">
        <f>IF(Tabela1[[#This Row],[Código]]="IBOV","^BVSP",IF(Tabela1[[#This Row],[Código]]="","",CONCATENATE(LEFT(Tabela1[[#This Row],[Código]],6),".SA")))</f>
        <v>CSRN5.SA</v>
      </c>
      <c r="C59" s="3" t="s">
        <v>659</v>
      </c>
      <c r="D59" s="3" t="s">
        <v>129</v>
      </c>
      <c r="E59" s="3" t="s">
        <v>129</v>
      </c>
      <c r="F59" s="3" t="s">
        <v>129</v>
      </c>
      <c r="G59" s="3" t="s">
        <v>129</v>
      </c>
      <c r="H59" s="20">
        <v>41691</v>
      </c>
      <c r="J59" s="3">
        <f t="shared" si="7"/>
        <v>10.119999999999999</v>
      </c>
      <c r="K59" s="3">
        <f t="shared" si="7"/>
        <v>10.119999999999999</v>
      </c>
      <c r="L59" s="3">
        <f t="shared" si="7"/>
        <v>10.119999999999999</v>
      </c>
      <c r="M59" s="3">
        <f t="shared" si="7"/>
        <v>10.119999999999999</v>
      </c>
      <c r="P59" s="14" t="s">
        <v>96</v>
      </c>
      <c r="Q59" s="10" t="str">
        <f t="shared" si="8"/>
        <v>COSERN      -PNA</v>
      </c>
      <c r="R59" s="51">
        <f t="shared" si="9"/>
        <v>41691</v>
      </c>
      <c r="S59" s="5">
        <f t="shared" si="10"/>
        <v>10.119999999999999</v>
      </c>
      <c r="T59" s="5">
        <f t="shared" si="11"/>
        <v>10.119999999999999</v>
      </c>
      <c r="U59" s="5">
        <f t="shared" si="12"/>
        <v>10.119999999999999</v>
      </c>
      <c r="V59" s="5">
        <f t="shared" si="13"/>
        <v>10.119999999999999</v>
      </c>
    </row>
    <row r="60" spans="1:22">
      <c r="A60" s="33" t="str">
        <f>IF(Tabela1[[#This Row],[Código]]="IBOV","^BVSP",IF(Tabela1[[#This Row],[Código]]="","",CONCATENATE(LEFT(Tabela1[[#This Row],[Código]],6),".SA")))</f>
        <v>CSRN6.SA</v>
      </c>
      <c r="C60" s="3" t="s">
        <v>660</v>
      </c>
      <c r="D60" s="3" t="s">
        <v>106</v>
      </c>
      <c r="E60" s="3" t="s">
        <v>106</v>
      </c>
      <c r="F60" s="3" t="s">
        <v>106</v>
      </c>
      <c r="G60" s="3" t="s">
        <v>106</v>
      </c>
      <c r="H60" s="20">
        <v>41691</v>
      </c>
      <c r="J60" s="3">
        <f t="shared" si="7"/>
        <v>9</v>
      </c>
      <c r="K60" s="3">
        <f t="shared" si="7"/>
        <v>9</v>
      </c>
      <c r="L60" s="3">
        <f t="shared" si="7"/>
        <v>9</v>
      </c>
      <c r="M60" s="3">
        <f t="shared" si="7"/>
        <v>9</v>
      </c>
      <c r="P60" s="14" t="s">
        <v>68</v>
      </c>
      <c r="Q60" s="10" t="str">
        <f t="shared" si="8"/>
        <v>COSERN      -PNB</v>
      </c>
      <c r="R60" s="51">
        <f t="shared" si="9"/>
        <v>41691</v>
      </c>
      <c r="S60" s="5">
        <f t="shared" si="10"/>
        <v>9</v>
      </c>
      <c r="T60" s="5">
        <f t="shared" si="11"/>
        <v>9</v>
      </c>
      <c r="U60" s="5">
        <f t="shared" si="12"/>
        <v>9</v>
      </c>
      <c r="V60" s="5">
        <f t="shared" si="13"/>
        <v>9</v>
      </c>
    </row>
    <row r="61" spans="1:22">
      <c r="A61" s="33" t="str">
        <f>IF(Tabela1[[#This Row],[Código]]="IBOV","^BVSP",IF(Tabela1[[#This Row],[Código]]="","",CONCATENATE(LEFT(Tabela1[[#This Row],[Código]],6),".SA")))</f>
        <v>DAYC4.SA</v>
      </c>
      <c r="C61" s="3" t="s">
        <v>130</v>
      </c>
      <c r="D61" s="3" t="s">
        <v>978</v>
      </c>
      <c r="E61" s="3" t="s">
        <v>1411</v>
      </c>
      <c r="F61" s="3" t="s">
        <v>978</v>
      </c>
      <c r="G61" s="3" t="s">
        <v>1619</v>
      </c>
      <c r="H61" s="20">
        <v>41691</v>
      </c>
      <c r="J61" s="3">
        <f t="shared" si="7"/>
        <v>8.16</v>
      </c>
      <c r="K61" s="3">
        <f t="shared" si="7"/>
        <v>8.06</v>
      </c>
      <c r="L61" s="3">
        <f t="shared" si="7"/>
        <v>8.16</v>
      </c>
      <c r="M61" s="3">
        <f t="shared" si="7"/>
        <v>8.0500000000000007</v>
      </c>
      <c r="P61" s="10" t="s">
        <v>15</v>
      </c>
      <c r="Q61" s="10" t="str">
        <f t="shared" si="8"/>
        <v xml:space="preserve">DAYCOVAL    -PN  </v>
      </c>
      <c r="R61" s="51">
        <f t="shared" si="9"/>
        <v>41691</v>
      </c>
      <c r="S61" s="5">
        <f t="shared" si="10"/>
        <v>8.16</v>
      </c>
      <c r="T61" s="5">
        <f t="shared" si="11"/>
        <v>8.06</v>
      </c>
      <c r="U61" s="5">
        <f t="shared" si="12"/>
        <v>8.16</v>
      </c>
      <c r="V61" s="5">
        <f t="shared" si="13"/>
        <v>8.0500000000000007</v>
      </c>
    </row>
    <row r="62" spans="1:22">
      <c r="A62" s="33" t="str">
        <f>IF(Tabela1[[#This Row],[Código]]="IBOV","^BVSP",IF(Tabela1[[#This Row],[Código]]="","",CONCATENATE(LEFT(Tabela1[[#This Row],[Código]],6),".SA")))</f>
        <v>EEEL3.SA</v>
      </c>
      <c r="C62" s="3" t="s">
        <v>131</v>
      </c>
      <c r="D62" s="3" t="s">
        <v>981</v>
      </c>
      <c r="E62" s="3" t="s">
        <v>1404</v>
      </c>
      <c r="F62" s="3" t="s">
        <v>1404</v>
      </c>
      <c r="G62" s="3" t="s">
        <v>981</v>
      </c>
      <c r="H62" s="20">
        <v>41691</v>
      </c>
      <c r="J62" s="3">
        <f t="shared" si="7"/>
        <v>1.41</v>
      </c>
      <c r="K62" s="3">
        <f t="shared" si="7"/>
        <v>1.44</v>
      </c>
      <c r="L62" s="3">
        <f t="shared" si="7"/>
        <v>1.44</v>
      </c>
      <c r="M62" s="3">
        <f t="shared" si="7"/>
        <v>1.41</v>
      </c>
      <c r="P62" s="14" t="s">
        <v>97</v>
      </c>
      <c r="Q62" s="10" t="str">
        <f t="shared" si="8"/>
        <v xml:space="preserve">CEEE-GT     -ON  </v>
      </c>
      <c r="R62" s="51">
        <f t="shared" si="9"/>
        <v>41691</v>
      </c>
      <c r="S62" s="5">
        <f t="shared" si="10"/>
        <v>1.41</v>
      </c>
      <c r="T62" s="5">
        <f t="shared" si="11"/>
        <v>1.44</v>
      </c>
      <c r="U62" s="5">
        <f t="shared" si="12"/>
        <v>1.44</v>
      </c>
      <c r="V62" s="5">
        <f t="shared" si="13"/>
        <v>1.41</v>
      </c>
    </row>
    <row r="63" spans="1:22">
      <c r="A63" s="33" t="str">
        <f>IF(Tabela1[[#This Row],[Código]]="IBOV","^BVSP",IF(Tabela1[[#This Row],[Código]]="","",CONCATENATE(LEFT(Tabela1[[#This Row],[Código]],6),".SA")))</f>
        <v>EEEL4.SA</v>
      </c>
      <c r="C63" s="3" t="s">
        <v>132</v>
      </c>
      <c r="D63" s="3" t="s">
        <v>789</v>
      </c>
      <c r="E63" s="3" t="s">
        <v>789</v>
      </c>
      <c r="F63" s="3" t="s">
        <v>789</v>
      </c>
      <c r="G63" s="3" t="s">
        <v>789</v>
      </c>
      <c r="H63" s="20">
        <v>41691</v>
      </c>
      <c r="J63" s="3">
        <f t="shared" si="7"/>
        <v>1.79</v>
      </c>
      <c r="K63" s="3">
        <f t="shared" si="7"/>
        <v>1.79</v>
      </c>
      <c r="L63" s="3">
        <f t="shared" si="7"/>
        <v>1.79</v>
      </c>
      <c r="M63" s="3">
        <f t="shared" si="7"/>
        <v>1.79</v>
      </c>
      <c r="P63" s="14" t="s">
        <v>98</v>
      </c>
      <c r="Q63" s="10" t="str">
        <f t="shared" si="8"/>
        <v xml:space="preserve">CEEE-GT     -PN  </v>
      </c>
      <c r="R63" s="51">
        <f t="shared" si="9"/>
        <v>41691</v>
      </c>
      <c r="S63" s="5">
        <f t="shared" si="10"/>
        <v>1.79</v>
      </c>
      <c r="T63" s="5">
        <f t="shared" si="11"/>
        <v>1.79</v>
      </c>
      <c r="U63" s="5">
        <f t="shared" si="12"/>
        <v>1.79</v>
      </c>
      <c r="V63" s="5">
        <f t="shared" si="13"/>
        <v>1.79</v>
      </c>
    </row>
    <row r="64" spans="1:22">
      <c r="A64" s="33" t="str">
        <f>IF(Tabela1[[#This Row],[Código]]="IBOV","^BVSP",IF(Tabela1[[#This Row],[Código]]="","",CONCATENATE(LEFT(Tabela1[[#This Row],[Código]],6),".SA")))</f>
        <v>ELET3.SA</v>
      </c>
      <c r="C64" s="3" t="s">
        <v>133</v>
      </c>
      <c r="D64" s="3" t="s">
        <v>1620</v>
      </c>
      <c r="E64" s="3" t="s">
        <v>1621</v>
      </c>
      <c r="F64" s="3" t="s">
        <v>1407</v>
      </c>
      <c r="G64" s="3" t="s">
        <v>1622</v>
      </c>
      <c r="H64" s="20">
        <v>41691</v>
      </c>
      <c r="J64" s="3">
        <f t="shared" si="7"/>
        <v>4.8</v>
      </c>
      <c r="K64" s="3">
        <f t="shared" si="7"/>
        <v>4.8899999999999997</v>
      </c>
      <c r="L64" s="3">
        <f t="shared" si="7"/>
        <v>4.9400000000000004</v>
      </c>
      <c r="M64" s="3">
        <f t="shared" si="7"/>
        <v>4.7300000000000004</v>
      </c>
      <c r="P64" s="15" t="s">
        <v>2</v>
      </c>
      <c r="Q64" s="10" t="str">
        <f t="shared" si="8"/>
        <v xml:space="preserve">ELETROBRAS  -ON  </v>
      </c>
      <c r="R64" s="51">
        <f t="shared" si="9"/>
        <v>41691</v>
      </c>
      <c r="S64" s="5">
        <f t="shared" si="10"/>
        <v>4.8</v>
      </c>
      <c r="T64" s="5">
        <f t="shared" si="11"/>
        <v>4.8899999999999997</v>
      </c>
      <c r="U64" s="5">
        <f t="shared" si="12"/>
        <v>4.9400000000000004</v>
      </c>
      <c r="V64" s="5">
        <f t="shared" si="13"/>
        <v>4.7300000000000004</v>
      </c>
    </row>
    <row r="65" spans="1:22">
      <c r="A65" s="33" t="str">
        <f>IF(Tabela1[[#This Row],[Código]]="IBOV","^BVSP",IF(Tabela1[[#This Row],[Código]]="","",CONCATENATE(LEFT(Tabela1[[#This Row],[Código]],6),".SA")))</f>
        <v>ELET6.SA</v>
      </c>
      <c r="C65" s="3" t="s">
        <v>134</v>
      </c>
      <c r="D65" s="3" t="s">
        <v>1151</v>
      </c>
      <c r="E65" s="3" t="s">
        <v>1623</v>
      </c>
      <c r="F65" s="3" t="s">
        <v>1624</v>
      </c>
      <c r="G65" s="3" t="s">
        <v>1625</v>
      </c>
      <c r="H65" s="20">
        <v>41691</v>
      </c>
      <c r="J65" s="3">
        <f t="shared" si="7"/>
        <v>8.75</v>
      </c>
      <c r="K65" s="3">
        <f t="shared" si="7"/>
        <v>8.8800000000000008</v>
      </c>
      <c r="L65" s="3">
        <f t="shared" si="7"/>
        <v>8.94</v>
      </c>
      <c r="M65" s="3">
        <f t="shared" si="7"/>
        <v>8.6</v>
      </c>
      <c r="P65" s="26" t="s">
        <v>27</v>
      </c>
      <c r="Q65" s="10" t="str">
        <f t="shared" si="8"/>
        <v xml:space="preserve">ELETROBRAS  -PNB </v>
      </c>
      <c r="R65" s="51">
        <f t="shared" si="9"/>
        <v>41691</v>
      </c>
      <c r="S65" s="5">
        <f t="shared" si="10"/>
        <v>8.75</v>
      </c>
      <c r="T65" s="5">
        <f t="shared" si="11"/>
        <v>8.8800000000000008</v>
      </c>
      <c r="U65" s="5">
        <f t="shared" si="12"/>
        <v>8.94</v>
      </c>
      <c r="V65" s="5">
        <f t="shared" si="13"/>
        <v>8.6</v>
      </c>
    </row>
    <row r="66" spans="1:22">
      <c r="A66" s="33" t="str">
        <f>IF(Tabela1[[#This Row],[Código]]="IBOV","^BVSP",IF(Tabela1[[#This Row],[Código]]="","",CONCATENATE(LEFT(Tabela1[[#This Row],[Código]],6),".SA")))</f>
        <v>ELPL3.SA</v>
      </c>
      <c r="C66" s="3" t="s">
        <v>167</v>
      </c>
      <c r="D66" s="3" t="s">
        <v>736</v>
      </c>
      <c r="E66" s="3" t="s">
        <v>736</v>
      </c>
      <c r="F66" s="3" t="s">
        <v>736</v>
      </c>
      <c r="G66" s="3" t="s">
        <v>736</v>
      </c>
      <c r="H66" s="20">
        <v>41691</v>
      </c>
      <c r="J66" s="3">
        <f t="shared" si="7"/>
        <v>10.3</v>
      </c>
      <c r="K66" s="3">
        <f t="shared" si="7"/>
        <v>10.3</v>
      </c>
      <c r="L66" s="3">
        <f t="shared" si="7"/>
        <v>10.3</v>
      </c>
      <c r="M66" s="3">
        <f t="shared" si="7"/>
        <v>10.3</v>
      </c>
      <c r="P66" s="14" t="s">
        <v>166</v>
      </c>
      <c r="Q66" s="10" t="str">
        <f t="shared" si="8"/>
        <v xml:space="preserve">ELETROPAULO -ON  </v>
      </c>
      <c r="R66" s="51">
        <f t="shared" si="9"/>
        <v>41691</v>
      </c>
      <c r="S66" s="5">
        <f t="shared" si="10"/>
        <v>10.3</v>
      </c>
      <c r="T66" s="5">
        <f t="shared" si="11"/>
        <v>10.3</v>
      </c>
      <c r="U66" s="5">
        <f t="shared" si="12"/>
        <v>10.3</v>
      </c>
      <c r="V66" s="5">
        <f t="shared" si="13"/>
        <v>10.3</v>
      </c>
    </row>
    <row r="67" spans="1:22">
      <c r="A67" s="33" t="str">
        <f>IF(Tabela1[[#This Row],[Código]]="IBOV","^BVSP",IF(Tabela1[[#This Row],[Código]]="","",CONCATENATE(LEFT(Tabela1[[#This Row],[Código]],6),".SA")))</f>
        <v>ELPL4.SA</v>
      </c>
      <c r="C67" s="3" t="s">
        <v>135</v>
      </c>
      <c r="D67" s="3" t="s">
        <v>1626</v>
      </c>
      <c r="E67" s="3" t="s">
        <v>1627</v>
      </c>
      <c r="F67" s="3" t="s">
        <v>1628</v>
      </c>
      <c r="G67" s="3" t="s">
        <v>1134</v>
      </c>
      <c r="H67" s="20">
        <v>41691</v>
      </c>
      <c r="J67" s="3">
        <f t="shared" si="7"/>
        <v>8.2200000000000006</v>
      </c>
      <c r="K67" s="3">
        <f t="shared" si="7"/>
        <v>8.33</v>
      </c>
      <c r="L67" s="3">
        <f t="shared" si="7"/>
        <v>8.36</v>
      </c>
      <c r="M67" s="3">
        <f t="shared" si="7"/>
        <v>8.15</v>
      </c>
      <c r="P67" s="43" t="s">
        <v>1</v>
      </c>
      <c r="Q67" s="10" t="str">
        <f t="shared" si="8"/>
        <v xml:space="preserve">ELETROPAULO -PN  </v>
      </c>
      <c r="R67" s="51">
        <f t="shared" si="9"/>
        <v>41691</v>
      </c>
      <c r="S67" s="5">
        <f t="shared" si="10"/>
        <v>8.2200000000000006</v>
      </c>
      <c r="T67" s="5">
        <f t="shared" si="11"/>
        <v>8.33</v>
      </c>
      <c r="U67" s="5">
        <f t="shared" si="12"/>
        <v>8.36</v>
      </c>
      <c r="V67" s="5">
        <f t="shared" si="13"/>
        <v>8.15</v>
      </c>
    </row>
    <row r="68" spans="1:22">
      <c r="A68" s="33" t="str">
        <f>IF(Tabela1[[#This Row],[Código]]="IBOV","^BVSP",IF(Tabela1[[#This Row],[Código]]="","",CONCATENATE(LEFT(Tabela1[[#This Row],[Código]],6),".SA")))</f>
        <v>EMAE4.SA</v>
      </c>
      <c r="C68" s="3" t="s">
        <v>169</v>
      </c>
      <c r="D68" s="3" t="s">
        <v>768</v>
      </c>
      <c r="E68" s="3" t="s">
        <v>768</v>
      </c>
      <c r="F68" s="3" t="s">
        <v>768</v>
      </c>
      <c r="G68" s="3" t="s">
        <v>769</v>
      </c>
      <c r="H68" s="20">
        <v>41691</v>
      </c>
      <c r="J68" s="3">
        <f t="shared" si="7"/>
        <v>5.5</v>
      </c>
      <c r="K68" s="3">
        <f t="shared" si="7"/>
        <v>5.5</v>
      </c>
      <c r="L68" s="3">
        <f t="shared" si="7"/>
        <v>5.5</v>
      </c>
      <c r="M68" s="3">
        <f t="shared" si="7"/>
        <v>5.04</v>
      </c>
      <c r="P68" s="14" t="s">
        <v>168</v>
      </c>
      <c r="Q68" s="10" t="str">
        <f t="shared" si="8"/>
        <v>EMAE        -PN</v>
      </c>
      <c r="R68" s="46">
        <f t="shared" si="9"/>
        <v>41691</v>
      </c>
      <c r="S68" s="6">
        <f t="shared" si="10"/>
        <v>5.5</v>
      </c>
      <c r="T68" s="6">
        <f t="shared" si="11"/>
        <v>5.5</v>
      </c>
      <c r="U68" s="6">
        <f t="shared" si="12"/>
        <v>5.5</v>
      </c>
      <c r="V68" s="6">
        <f t="shared" si="13"/>
        <v>5.04</v>
      </c>
    </row>
    <row r="69" spans="1:22">
      <c r="A69" s="33" t="str">
        <f>IF(Tabela1[[#This Row],[Código]]="IBOV","^BVSP",IF(Tabela1[[#This Row],[Código]]="","",CONCATENATE(LEFT(Tabela1[[#This Row],[Código]],6),".SA")))</f>
        <v>ENBR3.SA</v>
      </c>
      <c r="C69" s="3" t="s">
        <v>137</v>
      </c>
      <c r="D69" s="3" t="s">
        <v>1502</v>
      </c>
      <c r="E69" s="3" t="s">
        <v>1629</v>
      </c>
      <c r="F69" s="3" t="s">
        <v>1630</v>
      </c>
      <c r="G69" s="3" t="s">
        <v>1127</v>
      </c>
      <c r="H69" s="20">
        <v>41691</v>
      </c>
      <c r="J69" s="3">
        <f t="shared" si="7"/>
        <v>9.1300000000000008</v>
      </c>
      <c r="K69" s="3">
        <f t="shared" si="7"/>
        <v>9.07</v>
      </c>
      <c r="L69" s="3">
        <f t="shared" si="7"/>
        <v>9.18</v>
      </c>
      <c r="M69" s="3">
        <f t="shared" si="7"/>
        <v>8.89</v>
      </c>
      <c r="P69" s="14" t="s">
        <v>28</v>
      </c>
      <c r="Q69" s="10" t="str">
        <f t="shared" si="8"/>
        <v xml:space="preserve">ENERGIAS BR -ON  </v>
      </c>
      <c r="R69" s="51">
        <f t="shared" si="9"/>
        <v>41691</v>
      </c>
      <c r="S69" s="5">
        <f t="shared" si="10"/>
        <v>9.1300000000000008</v>
      </c>
      <c r="T69" s="5">
        <f t="shared" si="11"/>
        <v>9.07</v>
      </c>
      <c r="U69" s="5">
        <f t="shared" si="12"/>
        <v>9.18</v>
      </c>
      <c r="V69" s="5">
        <f t="shared" si="13"/>
        <v>8.89</v>
      </c>
    </row>
    <row r="70" spans="1:22">
      <c r="A70" s="33" t="str">
        <f>IF(Tabela1[[#This Row],[Código]]="IBOV","^BVSP",IF(Tabela1[[#This Row],[Código]]="","",CONCATENATE(LEFT(Tabela1[[#This Row],[Código]],6),".SA")))</f>
        <v>ENGI11.SA</v>
      </c>
      <c r="C70" s="3" t="s">
        <v>138</v>
      </c>
      <c r="D70" s="3" t="s">
        <v>952</v>
      </c>
      <c r="E70" s="3" t="s">
        <v>952</v>
      </c>
      <c r="F70" s="3" t="s">
        <v>952</v>
      </c>
      <c r="G70" s="3" t="s">
        <v>952</v>
      </c>
      <c r="H70" s="20">
        <v>41691</v>
      </c>
      <c r="J70" s="3">
        <f t="shared" si="7"/>
        <v>12</v>
      </c>
      <c r="K70" s="3">
        <f t="shared" si="7"/>
        <v>12</v>
      </c>
      <c r="L70" s="3">
        <f t="shared" si="7"/>
        <v>12</v>
      </c>
      <c r="M70" s="3">
        <f t="shared" si="7"/>
        <v>12</v>
      </c>
      <c r="P70" s="14" t="s">
        <v>85</v>
      </c>
      <c r="Q70" s="10" t="str">
        <f t="shared" si="8"/>
        <v>ENERGISA    -UNT</v>
      </c>
      <c r="R70" s="51">
        <f t="shared" si="9"/>
        <v>41691</v>
      </c>
      <c r="S70" s="5">
        <f t="shared" si="10"/>
        <v>12</v>
      </c>
      <c r="T70" s="5">
        <f t="shared" si="11"/>
        <v>12</v>
      </c>
      <c r="U70" s="5">
        <f t="shared" si="12"/>
        <v>12</v>
      </c>
      <c r="V70" s="5">
        <f t="shared" si="13"/>
        <v>12</v>
      </c>
    </row>
    <row r="71" spans="1:22">
      <c r="A71" s="33" t="str">
        <f>IF(Tabela1[[#This Row],[Código]]="IBOV","^BVSP",IF(Tabela1[[#This Row],[Código]]="","",CONCATENATE(LEFT(Tabela1[[#This Row],[Código]],6),".SA")))</f>
        <v>ENGI3.SA</v>
      </c>
      <c r="C71" s="3" t="s">
        <v>171</v>
      </c>
      <c r="D71" s="3" t="s">
        <v>975</v>
      </c>
      <c r="E71" s="3" t="s">
        <v>975</v>
      </c>
      <c r="F71" s="3" t="s">
        <v>975</v>
      </c>
      <c r="G71" s="3" t="s">
        <v>975</v>
      </c>
      <c r="H71" s="20">
        <v>41691</v>
      </c>
      <c r="J71" s="3">
        <f t="shared" si="7"/>
        <v>2.75</v>
      </c>
      <c r="K71" s="3">
        <f t="shared" si="7"/>
        <v>2.75</v>
      </c>
      <c r="L71" s="3">
        <f t="shared" si="7"/>
        <v>2.75</v>
      </c>
      <c r="M71" s="3">
        <f t="shared" si="7"/>
        <v>2.75</v>
      </c>
      <c r="P71" s="14" t="s">
        <v>170</v>
      </c>
      <c r="Q71" s="10" t="str">
        <f t="shared" ref="Q71:Q102" si="14">IF(A71="","",C71)</f>
        <v>ENERGISA    -ON</v>
      </c>
      <c r="R71" s="51">
        <f t="shared" ref="R71:R102" si="15">IF(A71="","",H71)</f>
        <v>41691</v>
      </c>
      <c r="S71" s="5">
        <f t="shared" ref="S71:S102" si="16">J71</f>
        <v>2.75</v>
      </c>
      <c r="T71" s="5">
        <f t="shared" ref="T71:T102" si="17">K71</f>
        <v>2.75</v>
      </c>
      <c r="U71" s="5">
        <f t="shared" ref="U71:U102" si="18">L71</f>
        <v>2.75</v>
      </c>
      <c r="V71" s="5">
        <f t="shared" ref="V71:V102" si="19">M71</f>
        <v>2.75</v>
      </c>
    </row>
    <row r="72" spans="1:22">
      <c r="A72" s="33" t="str">
        <f>IF(Tabela1[[#This Row],[Código]]="IBOV","^BVSP",IF(Tabela1[[#This Row],[Código]]="","",CONCATENATE(LEFT(Tabela1[[#This Row],[Código]],6),".SA")))</f>
        <v>ENGI4.SA</v>
      </c>
      <c r="C72" s="3" t="s">
        <v>139</v>
      </c>
      <c r="D72" s="3" t="s">
        <v>1254</v>
      </c>
      <c r="E72" s="3" t="s">
        <v>682</v>
      </c>
      <c r="F72" s="3" t="s">
        <v>682</v>
      </c>
      <c r="G72" s="3" t="s">
        <v>1254</v>
      </c>
      <c r="H72" s="20">
        <v>41691</v>
      </c>
      <c r="J72" s="3">
        <f t="shared" ref="J72:M135" si="20">IF($A72="",0,VALUE(CONCATENATE(LEFT(D72,LEN(D72)-3),",",RIGHT(D72,2))))</f>
        <v>1.95</v>
      </c>
      <c r="K72" s="3">
        <f t="shared" si="20"/>
        <v>2</v>
      </c>
      <c r="L72" s="3">
        <f t="shared" si="20"/>
        <v>2</v>
      </c>
      <c r="M72" s="3">
        <f t="shared" si="20"/>
        <v>1.95</v>
      </c>
      <c r="P72" s="14" t="s">
        <v>64</v>
      </c>
      <c r="Q72" s="10" t="str">
        <f t="shared" si="14"/>
        <v>ENERGISA    -PN</v>
      </c>
      <c r="R72" s="46">
        <f t="shared" si="15"/>
        <v>41691</v>
      </c>
      <c r="S72" s="6">
        <f t="shared" si="16"/>
        <v>1.95</v>
      </c>
      <c r="T72" s="6">
        <f t="shared" si="17"/>
        <v>2</v>
      </c>
      <c r="U72" s="5">
        <f t="shared" si="18"/>
        <v>2</v>
      </c>
      <c r="V72" s="5">
        <f t="shared" si="19"/>
        <v>1.95</v>
      </c>
    </row>
    <row r="73" spans="1:22">
      <c r="A73" s="33" t="str">
        <f>IF(Tabela1[[#This Row],[Código]]="IBOV","^BVSP",IF(Tabela1[[#This Row],[Código]]="","",CONCATENATE(LEFT(Tabela1[[#This Row],[Código]],6),".SA")))</f>
        <v>ENMA3B.SA</v>
      </c>
      <c r="C73" s="3" t="s">
        <v>140</v>
      </c>
      <c r="D73" s="3" t="s">
        <v>1631</v>
      </c>
      <c r="E73" s="3" t="s">
        <v>1632</v>
      </c>
      <c r="F73" s="3" t="s">
        <v>1632</v>
      </c>
      <c r="G73" s="3" t="s">
        <v>1631</v>
      </c>
      <c r="H73" s="20">
        <v>41691</v>
      </c>
      <c r="J73" s="3">
        <f t="shared" si="20"/>
        <v>15.4</v>
      </c>
      <c r="K73" s="3">
        <f t="shared" si="20"/>
        <v>15.45</v>
      </c>
      <c r="L73" s="3">
        <f t="shared" si="20"/>
        <v>15.45</v>
      </c>
      <c r="M73" s="3">
        <f t="shared" si="20"/>
        <v>15.4</v>
      </c>
      <c r="P73" s="14" t="s">
        <v>94</v>
      </c>
      <c r="Q73" s="10" t="str">
        <f t="shared" si="14"/>
        <v xml:space="preserve">CEMAR       -ON  </v>
      </c>
      <c r="R73" s="51">
        <f t="shared" si="15"/>
        <v>41691</v>
      </c>
      <c r="S73" s="5">
        <f t="shared" si="16"/>
        <v>15.4</v>
      </c>
      <c r="T73" s="5">
        <f t="shared" si="17"/>
        <v>15.45</v>
      </c>
      <c r="U73" s="5">
        <f t="shared" si="18"/>
        <v>15.45</v>
      </c>
      <c r="V73" s="5">
        <f t="shared" si="19"/>
        <v>15.4</v>
      </c>
    </row>
    <row r="74" spans="1:22">
      <c r="A74" s="33" t="str">
        <f>IF(Tabela1[[#This Row],[Código]]="IBOV","^BVSP",IF(Tabela1[[#This Row],[Código]]="","",CONCATENATE(LEFT(Tabela1[[#This Row],[Código]],6),".SA")))</f>
        <v>EQTL3.SA</v>
      </c>
      <c r="C74" s="3" t="s">
        <v>141</v>
      </c>
      <c r="D74" s="3" t="s">
        <v>1633</v>
      </c>
      <c r="E74" s="3" t="s">
        <v>1006</v>
      </c>
      <c r="F74" s="3" t="s">
        <v>1634</v>
      </c>
      <c r="G74" s="3" t="s">
        <v>1560</v>
      </c>
      <c r="H74" s="20">
        <v>41691</v>
      </c>
      <c r="J74" s="3">
        <f t="shared" si="20"/>
        <v>20.09</v>
      </c>
      <c r="K74" s="3">
        <f t="shared" si="20"/>
        <v>20.38</v>
      </c>
      <c r="L74" s="3">
        <f t="shared" si="20"/>
        <v>20.57</v>
      </c>
      <c r="M74" s="3">
        <f t="shared" si="20"/>
        <v>19.829999999999998</v>
      </c>
      <c r="P74" s="26" t="s">
        <v>35</v>
      </c>
      <c r="Q74" s="10" t="str">
        <f t="shared" si="14"/>
        <v xml:space="preserve">EQUATORIAL  -ON  </v>
      </c>
      <c r="R74" s="51">
        <f t="shared" si="15"/>
        <v>41691</v>
      </c>
      <c r="S74" s="5">
        <f t="shared" si="16"/>
        <v>20.09</v>
      </c>
      <c r="T74" s="5">
        <f t="shared" si="17"/>
        <v>20.38</v>
      </c>
      <c r="U74" s="5">
        <f t="shared" si="18"/>
        <v>20.57</v>
      </c>
      <c r="V74" s="5">
        <f t="shared" si="19"/>
        <v>19.829999999999998</v>
      </c>
    </row>
    <row r="75" spans="1:22">
      <c r="A75" s="33" t="str">
        <f>IF(Tabela1[[#This Row],[Código]]="IBOV","^BVSP",IF(Tabela1[[#This Row],[Código]]="","",CONCATENATE(LEFT(Tabela1[[#This Row],[Código]],6),".SA")))</f>
        <v>FESA3.SA</v>
      </c>
      <c r="C75" s="3" t="s">
        <v>237</v>
      </c>
      <c r="D75" s="3" t="s">
        <v>234</v>
      </c>
      <c r="E75" s="3" t="s">
        <v>234</v>
      </c>
      <c r="F75" s="3" t="s">
        <v>234</v>
      </c>
      <c r="G75" s="3" t="s">
        <v>234</v>
      </c>
      <c r="H75" s="20">
        <v>41691</v>
      </c>
      <c r="J75" s="3">
        <f t="shared" si="20"/>
        <v>19</v>
      </c>
      <c r="K75" s="3">
        <f t="shared" si="20"/>
        <v>19</v>
      </c>
      <c r="L75" s="3">
        <f t="shared" si="20"/>
        <v>19</v>
      </c>
      <c r="M75" s="3">
        <f t="shared" si="20"/>
        <v>19</v>
      </c>
      <c r="P75" s="14" t="s">
        <v>235</v>
      </c>
      <c r="Q75" s="10" t="str">
        <f t="shared" si="14"/>
        <v xml:space="preserve">FERBASA     -ON  </v>
      </c>
      <c r="R75" s="51">
        <f t="shared" si="15"/>
        <v>41691</v>
      </c>
      <c r="S75" s="5">
        <f t="shared" si="16"/>
        <v>19</v>
      </c>
      <c r="T75" s="5">
        <f t="shared" si="17"/>
        <v>19</v>
      </c>
      <c r="U75" s="5">
        <f t="shared" si="18"/>
        <v>19</v>
      </c>
      <c r="V75" s="5">
        <f t="shared" si="19"/>
        <v>19</v>
      </c>
    </row>
    <row r="76" spans="1:22">
      <c r="A76" s="33" t="str">
        <f>IF(Tabela1[[#This Row],[Código]]="IBOV","^BVSP",IF(Tabela1[[#This Row],[Código]]="","",CONCATENATE(LEFT(Tabela1[[#This Row],[Código]],6),".SA")))</f>
        <v>FESA4.SA</v>
      </c>
      <c r="C76" s="3" t="s">
        <v>236</v>
      </c>
      <c r="D76" s="3" t="s">
        <v>1635</v>
      </c>
      <c r="E76" s="3" t="s">
        <v>1635</v>
      </c>
      <c r="F76" s="3" t="s">
        <v>1635</v>
      </c>
      <c r="G76" s="3" t="s">
        <v>1125</v>
      </c>
      <c r="H76" s="20">
        <v>41691</v>
      </c>
      <c r="J76" s="3">
        <f t="shared" si="20"/>
        <v>12.23</v>
      </c>
      <c r="K76" s="3">
        <f t="shared" si="20"/>
        <v>12.23</v>
      </c>
      <c r="L76" s="3">
        <f t="shared" si="20"/>
        <v>12.23</v>
      </c>
      <c r="M76" s="3">
        <f t="shared" si="20"/>
        <v>12.12</v>
      </c>
      <c r="P76" s="15" t="s">
        <v>79</v>
      </c>
      <c r="Q76" s="10" t="str">
        <f t="shared" si="14"/>
        <v xml:space="preserve">FERBASA     -PN  </v>
      </c>
      <c r="R76" s="51">
        <f t="shared" si="15"/>
        <v>41691</v>
      </c>
      <c r="S76" s="5">
        <f t="shared" si="16"/>
        <v>12.23</v>
      </c>
      <c r="T76" s="5">
        <f t="shared" si="17"/>
        <v>12.23</v>
      </c>
      <c r="U76" s="5">
        <f t="shared" si="18"/>
        <v>12.23</v>
      </c>
      <c r="V76" s="5">
        <f t="shared" si="19"/>
        <v>12.12</v>
      </c>
    </row>
    <row r="77" spans="1:22">
      <c r="A77" s="33" t="str">
        <f>IF(Tabela1[[#This Row],[Código]]="IBOV","^BVSP",IF(Tabela1[[#This Row],[Código]]="","",CONCATENATE(LEFT(Tabela1[[#This Row],[Código]],6),".SA")))</f>
        <v>GEPA3.SA</v>
      </c>
      <c r="C77" s="3" t="s">
        <v>341</v>
      </c>
      <c r="D77" s="3" t="s">
        <v>163</v>
      </c>
      <c r="E77" s="3" t="s">
        <v>163</v>
      </c>
      <c r="F77" s="3" t="s">
        <v>163</v>
      </c>
      <c r="G77" s="3" t="s">
        <v>163</v>
      </c>
      <c r="H77" s="20">
        <v>41691</v>
      </c>
      <c r="J77" s="3">
        <f t="shared" si="20"/>
        <v>62.04</v>
      </c>
      <c r="K77" s="3">
        <f t="shared" si="20"/>
        <v>62.04</v>
      </c>
      <c r="L77" s="3">
        <f t="shared" si="20"/>
        <v>62.04</v>
      </c>
      <c r="M77" s="3">
        <f t="shared" si="20"/>
        <v>62.04</v>
      </c>
      <c r="P77" s="14" t="s">
        <v>162</v>
      </c>
      <c r="Q77" s="10" t="str">
        <f t="shared" si="14"/>
        <v>GER PARANAP -ON</v>
      </c>
      <c r="R77" s="51">
        <f t="shared" si="15"/>
        <v>41691</v>
      </c>
      <c r="S77" s="5">
        <f t="shared" si="16"/>
        <v>62.04</v>
      </c>
      <c r="T77" s="5">
        <f t="shared" si="17"/>
        <v>62.04</v>
      </c>
      <c r="U77" s="5">
        <f t="shared" si="18"/>
        <v>62.04</v>
      </c>
      <c r="V77" s="5">
        <f t="shared" si="19"/>
        <v>62.04</v>
      </c>
    </row>
    <row r="78" spans="1:22">
      <c r="A78" s="33" t="str">
        <f>IF(Tabela1[[#This Row],[Código]]="IBOV","^BVSP",IF(Tabela1[[#This Row],[Código]]="","",CONCATENATE(LEFT(Tabela1[[#This Row],[Código]],6),".SA")))</f>
        <v>GEPA4.SA</v>
      </c>
      <c r="C78" s="3" t="s">
        <v>342</v>
      </c>
      <c r="D78" s="3" t="s">
        <v>651</v>
      </c>
      <c r="E78" s="3" t="s">
        <v>651</v>
      </c>
      <c r="F78" s="3" t="s">
        <v>651</v>
      </c>
      <c r="G78" s="3" t="s">
        <v>651</v>
      </c>
      <c r="H78" s="20">
        <v>41691</v>
      </c>
      <c r="J78" s="3">
        <f t="shared" si="20"/>
        <v>60</v>
      </c>
      <c r="K78" s="3">
        <f t="shared" si="20"/>
        <v>60</v>
      </c>
      <c r="L78" s="3">
        <f t="shared" si="20"/>
        <v>60</v>
      </c>
      <c r="M78" s="3">
        <f t="shared" si="20"/>
        <v>60</v>
      </c>
      <c r="P78" s="26" t="s">
        <v>38</v>
      </c>
      <c r="Q78" s="10" t="str">
        <f t="shared" si="14"/>
        <v>GER PARANAP -PN</v>
      </c>
      <c r="R78" s="51">
        <f t="shared" si="15"/>
        <v>41691</v>
      </c>
      <c r="S78" s="5">
        <f t="shared" si="16"/>
        <v>60</v>
      </c>
      <c r="T78" s="5">
        <f t="shared" si="17"/>
        <v>60</v>
      </c>
      <c r="U78" s="5">
        <f t="shared" si="18"/>
        <v>60</v>
      </c>
      <c r="V78" s="5">
        <f t="shared" si="19"/>
        <v>60</v>
      </c>
    </row>
    <row r="79" spans="1:22">
      <c r="A79" s="33" t="str">
        <f>IF(Tabela1[[#This Row],[Código]]="IBOV","^BVSP",IF(Tabela1[[#This Row],[Código]]="","",CONCATENATE(LEFT(Tabela1[[#This Row],[Código]],6),".SA")))</f>
        <v>GETI3.SA</v>
      </c>
      <c r="C79" s="3" t="s">
        <v>142</v>
      </c>
      <c r="D79" s="3" t="s">
        <v>410</v>
      </c>
      <c r="E79" s="3" t="s">
        <v>1636</v>
      </c>
      <c r="F79" s="3" t="s">
        <v>1637</v>
      </c>
      <c r="G79" s="3" t="s">
        <v>1638</v>
      </c>
      <c r="H79" s="20">
        <v>41691</v>
      </c>
      <c r="J79" s="3">
        <f t="shared" si="20"/>
        <v>15</v>
      </c>
      <c r="K79" s="3">
        <f t="shared" si="20"/>
        <v>14.68</v>
      </c>
      <c r="L79" s="3">
        <f t="shared" si="20"/>
        <v>15.14</v>
      </c>
      <c r="M79" s="3">
        <f t="shared" si="20"/>
        <v>14.66</v>
      </c>
      <c r="P79" s="26" t="s">
        <v>29</v>
      </c>
      <c r="Q79" s="10" t="str">
        <f t="shared" si="14"/>
        <v>AES TIETE   -ON</v>
      </c>
      <c r="R79" s="51">
        <f t="shared" si="15"/>
        <v>41691</v>
      </c>
      <c r="S79" s="5">
        <f t="shared" si="16"/>
        <v>15</v>
      </c>
      <c r="T79" s="5">
        <f t="shared" si="17"/>
        <v>14.68</v>
      </c>
      <c r="U79" s="5">
        <f t="shared" si="18"/>
        <v>15.14</v>
      </c>
      <c r="V79" s="5">
        <f t="shared" si="19"/>
        <v>14.66</v>
      </c>
    </row>
    <row r="80" spans="1:22">
      <c r="A80" s="33" t="str">
        <f>IF(Tabela1[[#This Row],[Código]]="IBOV","^BVSP",IF(Tabela1[[#This Row],[Código]]="","",CONCATENATE(LEFT(Tabela1[[#This Row],[Código]],6),".SA")))</f>
        <v>GETI4.SA</v>
      </c>
      <c r="C80" s="3" t="s">
        <v>143</v>
      </c>
      <c r="D80" s="3" t="s">
        <v>1639</v>
      </c>
      <c r="E80" s="3" t="s">
        <v>1640</v>
      </c>
      <c r="F80" s="3" t="s">
        <v>1641</v>
      </c>
      <c r="G80" s="3" t="s">
        <v>647</v>
      </c>
      <c r="H80" s="20">
        <v>41691</v>
      </c>
      <c r="J80" s="3">
        <f t="shared" si="20"/>
        <v>17.260000000000002</v>
      </c>
      <c r="K80" s="3">
        <f t="shared" si="20"/>
        <v>17.07</v>
      </c>
      <c r="L80" s="3">
        <f t="shared" si="20"/>
        <v>17.32</v>
      </c>
      <c r="M80" s="3">
        <f t="shared" si="20"/>
        <v>17</v>
      </c>
      <c r="P80" s="26" t="s">
        <v>33</v>
      </c>
      <c r="Q80" s="10" t="str">
        <f t="shared" si="14"/>
        <v>AES TIETE   -PN</v>
      </c>
      <c r="R80" s="51">
        <f t="shared" si="15"/>
        <v>41691</v>
      </c>
      <c r="S80" s="5">
        <f t="shared" si="16"/>
        <v>17.260000000000002</v>
      </c>
      <c r="T80" s="5">
        <f t="shared" si="17"/>
        <v>17.07</v>
      </c>
      <c r="U80" s="5">
        <f t="shared" si="18"/>
        <v>17.32</v>
      </c>
      <c r="V80" s="5">
        <f t="shared" si="19"/>
        <v>17</v>
      </c>
    </row>
    <row r="81" spans="1:22">
      <c r="A81" s="33" t="str">
        <f>IF(Tabela1[[#This Row],[Código]]="IBOV","^BVSP",IF(Tabela1[[#This Row],[Código]]="","",CONCATENATE(LEFT(Tabela1[[#This Row],[Código]],6),".SA")))</f>
        <v>GTDP3B.SA</v>
      </c>
      <c r="C81" s="3" t="s">
        <v>174</v>
      </c>
      <c r="D81" s="3" t="s">
        <v>1642</v>
      </c>
      <c r="E81" s="3" t="s">
        <v>1642</v>
      </c>
      <c r="F81" s="3" t="s">
        <v>1642</v>
      </c>
      <c r="G81" s="3" t="s">
        <v>1642</v>
      </c>
      <c r="H81" s="20">
        <v>41691</v>
      </c>
      <c r="J81" s="3">
        <f t="shared" si="20"/>
        <v>0.13</v>
      </c>
      <c r="K81" s="3">
        <f t="shared" si="20"/>
        <v>0.13</v>
      </c>
      <c r="L81" s="3">
        <f t="shared" si="20"/>
        <v>0.13</v>
      </c>
      <c r="M81" s="3">
        <f t="shared" si="20"/>
        <v>0.13</v>
      </c>
      <c r="P81" s="14" t="s">
        <v>172</v>
      </c>
      <c r="Q81" s="10" t="str">
        <f t="shared" si="14"/>
        <v xml:space="preserve">GTD PART    -ON  </v>
      </c>
      <c r="R81" s="51">
        <f t="shared" si="15"/>
        <v>41691</v>
      </c>
      <c r="S81" s="5">
        <f t="shared" si="16"/>
        <v>0.13</v>
      </c>
      <c r="T81" s="5">
        <f t="shared" si="17"/>
        <v>0.13</v>
      </c>
      <c r="U81" s="5">
        <f t="shared" si="18"/>
        <v>0.13</v>
      </c>
      <c r="V81" s="5">
        <f t="shared" si="19"/>
        <v>0.13</v>
      </c>
    </row>
    <row r="82" spans="1:22">
      <c r="A82" s="33" t="str">
        <f>IF(Tabela1[[#This Row],[Código]]="IBOV","^BVSP",IF(Tabela1[[#This Row],[Código]]="","",CONCATENATE(LEFT(Tabela1[[#This Row],[Código]],6),".SA")))</f>
        <v>GTDP4B.SA</v>
      </c>
      <c r="C82" s="3" t="s">
        <v>175</v>
      </c>
      <c r="D82" s="3" t="s">
        <v>411</v>
      </c>
      <c r="E82" s="3" t="s">
        <v>411</v>
      </c>
      <c r="F82" s="3" t="s">
        <v>411</v>
      </c>
      <c r="G82" s="3" t="s">
        <v>411</v>
      </c>
      <c r="H82" s="20">
        <v>41691</v>
      </c>
      <c r="J82" s="3">
        <f t="shared" si="20"/>
        <v>0.12</v>
      </c>
      <c r="K82" s="3">
        <f t="shared" si="20"/>
        <v>0.12</v>
      </c>
      <c r="L82" s="3">
        <f t="shared" si="20"/>
        <v>0.12</v>
      </c>
      <c r="M82" s="3">
        <f t="shared" si="20"/>
        <v>0.12</v>
      </c>
      <c r="P82" s="14" t="s">
        <v>173</v>
      </c>
      <c r="Q82" s="10" t="str">
        <f t="shared" si="14"/>
        <v xml:space="preserve">GTD PART    -PN  </v>
      </c>
      <c r="R82" s="51">
        <f t="shared" si="15"/>
        <v>41691</v>
      </c>
      <c r="S82" s="5">
        <f t="shared" si="16"/>
        <v>0.12</v>
      </c>
      <c r="T82" s="5">
        <f t="shared" si="17"/>
        <v>0.12</v>
      </c>
      <c r="U82" s="5">
        <f t="shared" si="18"/>
        <v>0.12</v>
      </c>
      <c r="V82" s="5">
        <f t="shared" si="19"/>
        <v>0.12</v>
      </c>
    </row>
    <row r="83" spans="1:22">
      <c r="A83" s="33" t="str">
        <f>IF(Tabela1[[#This Row],[Código]]="IBOV","^BVSP",IF(Tabela1[[#This Row],[Código]]="","",CONCATENATE(LEFT(Tabela1[[#This Row],[Código]],6),".SA")))</f>
        <v>ITSA3.SA</v>
      </c>
      <c r="C83" s="3" t="s">
        <v>231</v>
      </c>
      <c r="D83" s="3" t="s">
        <v>1643</v>
      </c>
      <c r="E83" s="3" t="s">
        <v>1630</v>
      </c>
      <c r="F83" s="3" t="s">
        <v>1630</v>
      </c>
      <c r="G83" s="3" t="s">
        <v>1643</v>
      </c>
      <c r="H83" s="20">
        <v>41691</v>
      </c>
      <c r="J83" s="3">
        <f t="shared" si="20"/>
        <v>9.16</v>
      </c>
      <c r="K83" s="3">
        <f t="shared" si="20"/>
        <v>9.18</v>
      </c>
      <c r="L83" s="3">
        <f t="shared" si="20"/>
        <v>9.18</v>
      </c>
      <c r="M83" s="3">
        <f t="shared" si="20"/>
        <v>9.16</v>
      </c>
      <c r="P83" s="15" t="s">
        <v>230</v>
      </c>
      <c r="Q83" s="10" t="str">
        <f t="shared" si="14"/>
        <v xml:space="preserve">ITAUSA      -ON  </v>
      </c>
      <c r="R83" s="51">
        <f t="shared" si="15"/>
        <v>41691</v>
      </c>
      <c r="S83" s="5">
        <f t="shared" si="16"/>
        <v>9.16</v>
      </c>
      <c r="T83" s="5">
        <f t="shared" si="17"/>
        <v>9.18</v>
      </c>
      <c r="U83" s="5">
        <f t="shared" si="18"/>
        <v>9.18</v>
      </c>
      <c r="V83" s="5">
        <f t="shared" si="19"/>
        <v>9.16</v>
      </c>
    </row>
    <row r="84" spans="1:22">
      <c r="A84" s="33" t="str">
        <f>IF(Tabela1[[#This Row],[Código]]="IBOV","^BVSP",IF(Tabela1[[#This Row],[Código]]="","",CONCATENATE(LEFT(Tabela1[[#This Row],[Código]],6),".SA")))</f>
        <v>ITSA4.SA</v>
      </c>
      <c r="C84" s="3" t="s">
        <v>144</v>
      </c>
      <c r="D84" s="3" t="s">
        <v>1644</v>
      </c>
      <c r="E84" s="3" t="s">
        <v>1361</v>
      </c>
      <c r="F84" s="3" t="s">
        <v>1645</v>
      </c>
      <c r="G84" s="3" t="s">
        <v>1628</v>
      </c>
      <c r="H84" s="45">
        <v>41691</v>
      </c>
      <c r="J84" s="3">
        <f t="shared" si="20"/>
        <v>8.43</v>
      </c>
      <c r="K84" s="3">
        <f t="shared" si="20"/>
        <v>8.44</v>
      </c>
      <c r="L84" s="3">
        <f t="shared" si="20"/>
        <v>8.48</v>
      </c>
      <c r="M84" s="3">
        <f t="shared" si="20"/>
        <v>8.36</v>
      </c>
      <c r="P84" s="15" t="s">
        <v>16</v>
      </c>
      <c r="Q84" s="10" t="str">
        <f t="shared" si="14"/>
        <v xml:space="preserve">ITAUSA      -PN  </v>
      </c>
      <c r="R84" s="51">
        <f t="shared" si="15"/>
        <v>41691</v>
      </c>
      <c r="S84" s="5">
        <f t="shared" si="16"/>
        <v>8.43</v>
      </c>
      <c r="T84" s="5">
        <f t="shared" si="17"/>
        <v>8.44</v>
      </c>
      <c r="U84" s="5">
        <f t="shared" si="18"/>
        <v>8.48</v>
      </c>
      <c r="V84" s="5">
        <f t="shared" si="19"/>
        <v>8.36</v>
      </c>
    </row>
    <row r="85" spans="1:22">
      <c r="A85" s="33" t="str">
        <f>IF(Tabela1[[#This Row],[Código]]="IBOV","^BVSP",IF(Tabela1[[#This Row],[Código]]="","",CONCATENATE(LEFT(Tabela1[[#This Row],[Código]],6),".SA")))</f>
        <v>ITUB3.SA</v>
      </c>
      <c r="C85" s="3" t="s">
        <v>229</v>
      </c>
      <c r="D85" s="3" t="s">
        <v>1646</v>
      </c>
      <c r="E85" s="3" t="s">
        <v>1647</v>
      </c>
      <c r="F85" s="3" t="s">
        <v>1648</v>
      </c>
      <c r="G85" s="3" t="s">
        <v>1649</v>
      </c>
      <c r="H85" s="45">
        <v>41691</v>
      </c>
      <c r="J85" s="3">
        <f t="shared" si="20"/>
        <v>28.67</v>
      </c>
      <c r="K85" s="3">
        <f t="shared" si="20"/>
        <v>28.93</v>
      </c>
      <c r="L85" s="3">
        <f t="shared" si="20"/>
        <v>29.04</v>
      </c>
      <c r="M85" s="3">
        <f t="shared" si="20"/>
        <v>28.64</v>
      </c>
      <c r="P85" s="10" t="s">
        <v>228</v>
      </c>
      <c r="Q85" s="10" t="str">
        <f t="shared" si="14"/>
        <v xml:space="preserve">ITAUUNIBANCO-ON  </v>
      </c>
      <c r="R85" s="51">
        <f t="shared" si="15"/>
        <v>41691</v>
      </c>
      <c r="S85" s="5">
        <f t="shared" si="16"/>
        <v>28.67</v>
      </c>
      <c r="T85" s="5">
        <f t="shared" si="17"/>
        <v>28.93</v>
      </c>
      <c r="U85" s="5">
        <f t="shared" si="18"/>
        <v>29.04</v>
      </c>
      <c r="V85" s="5">
        <f t="shared" si="19"/>
        <v>28.64</v>
      </c>
    </row>
    <row r="86" spans="1:22">
      <c r="A86" s="33" t="str">
        <f>IF(Tabela1[[#This Row],[Código]]="IBOV","^BVSP",IF(Tabela1[[#This Row],[Código]]="","",CONCATENATE(LEFT(Tabela1[[#This Row],[Código]],6),".SA")))</f>
        <v>ITUB4.SA</v>
      </c>
      <c r="C86" s="3" t="s">
        <v>145</v>
      </c>
      <c r="D86" s="3" t="s">
        <v>1650</v>
      </c>
      <c r="E86" s="3" t="s">
        <v>1651</v>
      </c>
      <c r="F86" s="3" t="s">
        <v>1652</v>
      </c>
      <c r="G86" s="3" t="s">
        <v>1653</v>
      </c>
      <c r="H86" s="45">
        <v>41691</v>
      </c>
      <c r="J86" s="3">
        <f t="shared" si="20"/>
        <v>31.1</v>
      </c>
      <c r="K86" s="3">
        <f t="shared" si="20"/>
        <v>31.08</v>
      </c>
      <c r="L86" s="3">
        <f t="shared" si="20"/>
        <v>31.3</v>
      </c>
      <c r="M86" s="3">
        <f t="shared" si="20"/>
        <v>30.87</v>
      </c>
      <c r="P86" s="10" t="s">
        <v>80</v>
      </c>
      <c r="Q86" s="10" t="str">
        <f t="shared" si="14"/>
        <v xml:space="preserve">ITAUUNIBANCO-PN  </v>
      </c>
      <c r="R86" s="51">
        <f t="shared" si="15"/>
        <v>41691</v>
      </c>
      <c r="S86" s="5">
        <f t="shared" si="16"/>
        <v>31.1</v>
      </c>
      <c r="T86" s="5">
        <f t="shared" si="17"/>
        <v>31.08</v>
      </c>
      <c r="U86" s="5">
        <f t="shared" si="18"/>
        <v>31.3</v>
      </c>
      <c r="V86" s="5">
        <f t="shared" si="19"/>
        <v>30.87</v>
      </c>
    </row>
    <row r="87" spans="1:22">
      <c r="A87" s="33" t="str">
        <f>IF(Tabela1[[#This Row],[Código]]="IBOV","^BVSP",IF(Tabela1[[#This Row],[Código]]="","",CONCATENATE(LEFT(Tabela1[[#This Row],[Código]],6),".SA")))</f>
        <v>KLBN3.SA</v>
      </c>
      <c r="C87" s="3" t="s">
        <v>187</v>
      </c>
      <c r="D87" s="3" t="s">
        <v>791</v>
      </c>
      <c r="E87" s="3" t="s">
        <v>791</v>
      </c>
      <c r="F87" s="3" t="s">
        <v>791</v>
      </c>
      <c r="G87" s="3" t="s">
        <v>791</v>
      </c>
      <c r="H87" s="45">
        <v>41691</v>
      </c>
      <c r="J87" s="3">
        <f t="shared" si="20"/>
        <v>12.52</v>
      </c>
      <c r="K87" s="3">
        <f t="shared" si="20"/>
        <v>12.52</v>
      </c>
      <c r="L87" s="3">
        <f t="shared" si="20"/>
        <v>12.52</v>
      </c>
      <c r="M87" s="3">
        <f t="shared" si="20"/>
        <v>12.52</v>
      </c>
      <c r="P87" s="15" t="s">
        <v>186</v>
      </c>
      <c r="Q87" s="10" t="str">
        <f t="shared" si="14"/>
        <v xml:space="preserve">KLABIN S/A  -ON  </v>
      </c>
      <c r="R87" s="51">
        <f t="shared" si="15"/>
        <v>41691</v>
      </c>
      <c r="S87" s="5">
        <f t="shared" si="16"/>
        <v>12.52</v>
      </c>
      <c r="T87" s="5">
        <f t="shared" si="17"/>
        <v>12.52</v>
      </c>
      <c r="U87" s="5">
        <f t="shared" si="18"/>
        <v>12.52</v>
      </c>
      <c r="V87" s="5">
        <f t="shared" si="19"/>
        <v>12.52</v>
      </c>
    </row>
    <row r="88" spans="1:22">
      <c r="A88" s="33" t="str">
        <f>IF(Tabela1[[#This Row],[Código]]="IBOV","^BVSP",IF(Tabela1[[#This Row],[Código]]="","",CONCATENATE(LEFT(Tabela1[[#This Row],[Código]],6),".SA")))</f>
        <v>KLBN4.SA</v>
      </c>
      <c r="C88" s="3" t="s">
        <v>146</v>
      </c>
      <c r="D88" s="3" t="s">
        <v>1414</v>
      </c>
      <c r="E88" s="3" t="s">
        <v>1123</v>
      </c>
      <c r="F88" s="3" t="s">
        <v>1145</v>
      </c>
      <c r="G88" s="3" t="s">
        <v>1654</v>
      </c>
      <c r="H88" s="45">
        <v>41691</v>
      </c>
      <c r="J88" s="3">
        <f t="shared" si="20"/>
        <v>12.1</v>
      </c>
      <c r="K88" s="3">
        <f t="shared" si="20"/>
        <v>12.25</v>
      </c>
      <c r="L88" s="3">
        <f t="shared" si="20"/>
        <v>12.36</v>
      </c>
      <c r="M88" s="3">
        <f t="shared" si="20"/>
        <v>12.05</v>
      </c>
      <c r="P88" s="15" t="s">
        <v>54</v>
      </c>
      <c r="Q88" s="10" t="str">
        <f t="shared" si="14"/>
        <v xml:space="preserve">KLABIN S/A  -PN  </v>
      </c>
      <c r="R88" s="51">
        <f t="shared" si="15"/>
        <v>41691</v>
      </c>
      <c r="S88" s="5">
        <f t="shared" si="16"/>
        <v>12.1</v>
      </c>
      <c r="T88" s="5">
        <f t="shared" si="17"/>
        <v>12.25</v>
      </c>
      <c r="U88" s="5">
        <f t="shared" si="18"/>
        <v>12.36</v>
      </c>
      <c r="V88" s="5">
        <f t="shared" si="19"/>
        <v>12.05</v>
      </c>
    </row>
    <row r="89" spans="1:22">
      <c r="A89" s="33" t="str">
        <f>IF(Tabela1[[#This Row],[Código]]="IBOV","^BVSP",IF(Tabela1[[#This Row],[Código]]="","",CONCATENATE(LEFT(Tabela1[[#This Row],[Código]],6),".SA")))</f>
        <v>LIGT3.SA</v>
      </c>
      <c r="C89" s="3" t="s">
        <v>147</v>
      </c>
      <c r="D89" s="3" t="s">
        <v>1655</v>
      </c>
      <c r="E89" s="3" t="s">
        <v>1656</v>
      </c>
      <c r="F89" s="3" t="s">
        <v>1657</v>
      </c>
      <c r="G89" s="3" t="s">
        <v>1658</v>
      </c>
      <c r="H89" s="45">
        <v>41691</v>
      </c>
      <c r="J89" s="3">
        <f t="shared" si="20"/>
        <v>16.190000000000001</v>
      </c>
      <c r="K89" s="3">
        <f t="shared" si="20"/>
        <v>16.04</v>
      </c>
      <c r="L89" s="3">
        <f t="shared" si="20"/>
        <v>16.39</v>
      </c>
      <c r="M89" s="3">
        <f t="shared" si="20"/>
        <v>15.93</v>
      </c>
      <c r="P89" s="43" t="s">
        <v>55</v>
      </c>
      <c r="Q89" s="10" t="str">
        <f t="shared" si="14"/>
        <v xml:space="preserve">LIGHT S/A   -ON  </v>
      </c>
      <c r="R89" s="51">
        <f t="shared" si="15"/>
        <v>41691</v>
      </c>
      <c r="S89" s="5">
        <f t="shared" si="16"/>
        <v>16.190000000000001</v>
      </c>
      <c r="T89" s="5">
        <f t="shared" si="17"/>
        <v>16.04</v>
      </c>
      <c r="U89" s="5">
        <f t="shared" si="18"/>
        <v>16.39</v>
      </c>
      <c r="V89" s="5">
        <f t="shared" si="19"/>
        <v>15.93</v>
      </c>
    </row>
    <row r="90" spans="1:22">
      <c r="A90" s="33" t="str">
        <f>IF(Tabela1[[#This Row],[Código]]="IBOV","^BVSP",IF(Tabela1[[#This Row],[Código]]="","",CONCATENATE(LEFT(Tabela1[[#This Row],[Código]],6),".SA")))</f>
        <v>LIPR3.SA</v>
      </c>
      <c r="C90" s="3" t="s">
        <v>165</v>
      </c>
      <c r="D90" s="3" t="s">
        <v>1659</v>
      </c>
      <c r="E90" s="3" t="s">
        <v>1660</v>
      </c>
      <c r="F90" s="3" t="s">
        <v>1659</v>
      </c>
      <c r="G90" s="3" t="s">
        <v>1661</v>
      </c>
      <c r="H90" s="45">
        <v>41691</v>
      </c>
      <c r="J90" s="3">
        <f t="shared" si="20"/>
        <v>51</v>
      </c>
      <c r="K90" s="3">
        <f t="shared" si="20"/>
        <v>49.78</v>
      </c>
      <c r="L90" s="3">
        <f t="shared" si="20"/>
        <v>51</v>
      </c>
      <c r="M90" s="3">
        <f t="shared" si="20"/>
        <v>49.5</v>
      </c>
      <c r="P90" s="14" t="s">
        <v>164</v>
      </c>
      <c r="Q90" s="10" t="str">
        <f t="shared" si="14"/>
        <v>ELETROPAR   -ON</v>
      </c>
      <c r="R90" s="51">
        <f t="shared" si="15"/>
        <v>41691</v>
      </c>
      <c r="S90" s="5">
        <f t="shared" si="16"/>
        <v>51</v>
      </c>
      <c r="T90" s="5">
        <f t="shared" si="17"/>
        <v>49.78</v>
      </c>
      <c r="U90" s="5">
        <f t="shared" si="18"/>
        <v>51</v>
      </c>
      <c r="V90" s="5">
        <f t="shared" si="19"/>
        <v>49.5</v>
      </c>
    </row>
    <row r="91" spans="1:22">
      <c r="A91" s="33" t="str">
        <f>IF(Tabela1[[#This Row],[Código]]="IBOV","^BVSP",IF(Tabela1[[#This Row],[Código]]="","",CONCATENATE(LEFT(Tabela1[[#This Row],[Código]],6),".SA")))</f>
        <v>PINE4.SA</v>
      </c>
      <c r="C91" s="3" t="s">
        <v>148</v>
      </c>
      <c r="D91" s="3" t="s">
        <v>960</v>
      </c>
      <c r="E91" s="61" t="s">
        <v>1527</v>
      </c>
      <c r="F91" s="61" t="s">
        <v>1662</v>
      </c>
      <c r="G91" s="3" t="s">
        <v>1217</v>
      </c>
      <c r="H91" s="45">
        <v>41691</v>
      </c>
      <c r="J91" s="3">
        <f t="shared" si="20"/>
        <v>7.3</v>
      </c>
      <c r="K91" s="3">
        <f t="shared" si="20"/>
        <v>7.32</v>
      </c>
      <c r="L91" s="3">
        <f t="shared" si="20"/>
        <v>7.39</v>
      </c>
      <c r="M91" s="3">
        <f t="shared" si="20"/>
        <v>7.17</v>
      </c>
      <c r="P91" s="10" t="s">
        <v>74</v>
      </c>
      <c r="Q91" s="10" t="str">
        <f t="shared" si="14"/>
        <v xml:space="preserve">PINE        -PN  </v>
      </c>
      <c r="R91" s="51">
        <f t="shared" si="15"/>
        <v>41691</v>
      </c>
      <c r="S91" s="5">
        <f t="shared" si="16"/>
        <v>7.3</v>
      </c>
      <c r="T91" s="5">
        <f t="shared" si="17"/>
        <v>7.32</v>
      </c>
      <c r="U91" s="5">
        <f t="shared" si="18"/>
        <v>7.39</v>
      </c>
      <c r="V91" s="5">
        <f t="shared" si="19"/>
        <v>7.17</v>
      </c>
    </row>
    <row r="92" spans="1:22">
      <c r="A92" s="33" t="str">
        <f>IF(Tabela1[[#This Row],[Código]]="IBOV","^BVSP",IF(Tabela1[[#This Row],[Código]]="","",CONCATENATE(LEFT(Tabela1[[#This Row],[Código]],6),".SA")))</f>
        <v>PRBC4.SA</v>
      </c>
      <c r="C92" s="3" t="s">
        <v>149</v>
      </c>
      <c r="D92" s="3" t="s">
        <v>736</v>
      </c>
      <c r="E92" s="3" t="s">
        <v>1663</v>
      </c>
      <c r="F92" s="3" t="s">
        <v>1663</v>
      </c>
      <c r="G92" s="3" t="s">
        <v>736</v>
      </c>
      <c r="H92" s="45">
        <v>41691</v>
      </c>
      <c r="J92" s="3">
        <f t="shared" si="20"/>
        <v>10.3</v>
      </c>
      <c r="K92" s="3">
        <f t="shared" si="20"/>
        <v>10.62</v>
      </c>
      <c r="L92" s="3">
        <f t="shared" si="20"/>
        <v>10.62</v>
      </c>
      <c r="M92" s="3">
        <f t="shared" si="20"/>
        <v>10.3</v>
      </c>
      <c r="P92" s="16" t="s">
        <v>82</v>
      </c>
      <c r="Q92" s="10" t="str">
        <f t="shared" si="14"/>
        <v xml:space="preserve">PARANA      -PN  </v>
      </c>
      <c r="R92" s="51">
        <f t="shared" si="15"/>
        <v>41691</v>
      </c>
      <c r="S92" s="5">
        <f t="shared" si="16"/>
        <v>10.3</v>
      </c>
      <c r="T92" s="5">
        <f t="shared" si="17"/>
        <v>10.62</v>
      </c>
      <c r="U92" s="5">
        <f t="shared" si="18"/>
        <v>10.62</v>
      </c>
      <c r="V92" s="5">
        <f t="shared" si="19"/>
        <v>10.3</v>
      </c>
    </row>
    <row r="93" spans="1:22">
      <c r="A93" s="33" t="str">
        <f>IF(Tabela1[[#This Row],[Código]]="IBOV","^BVSP",IF(Tabela1[[#This Row],[Código]]="","",CONCATENATE(LEFT(Tabela1[[#This Row],[Código]],6),".SA")))</f>
        <v>PSSA3.SA</v>
      </c>
      <c r="C93" s="3" t="s">
        <v>233</v>
      </c>
      <c r="D93" s="3" t="s">
        <v>1664</v>
      </c>
      <c r="E93" s="3" t="s">
        <v>1516</v>
      </c>
      <c r="F93" s="3" t="s">
        <v>1665</v>
      </c>
      <c r="G93" s="3" t="s">
        <v>1664</v>
      </c>
      <c r="H93" s="45">
        <v>41691</v>
      </c>
      <c r="J93" s="3">
        <f t="shared" si="20"/>
        <v>30.16</v>
      </c>
      <c r="K93" s="3">
        <f t="shared" si="20"/>
        <v>30.41</v>
      </c>
      <c r="L93" s="3">
        <f t="shared" si="20"/>
        <v>30.71</v>
      </c>
      <c r="M93" s="3">
        <f t="shared" si="20"/>
        <v>30.16</v>
      </c>
      <c r="P93" s="16" t="s">
        <v>232</v>
      </c>
      <c r="Q93" s="10" t="str">
        <f t="shared" si="14"/>
        <v xml:space="preserve">PORTO SEGURO-ON  </v>
      </c>
      <c r="R93" s="51">
        <f t="shared" si="15"/>
        <v>41691</v>
      </c>
      <c r="S93" s="5">
        <f t="shared" si="16"/>
        <v>30.16</v>
      </c>
      <c r="T93" s="5">
        <f t="shared" si="17"/>
        <v>30.41</v>
      </c>
      <c r="U93" s="5">
        <f t="shared" si="18"/>
        <v>30.71</v>
      </c>
      <c r="V93" s="5">
        <f t="shared" si="19"/>
        <v>30.16</v>
      </c>
    </row>
    <row r="94" spans="1:22">
      <c r="A94" s="33" t="str">
        <f>IF(Tabela1[[#This Row],[Código]]="IBOV","^BVSP",IF(Tabela1[[#This Row],[Código]]="","",CONCATENATE(LEFT(Tabela1[[#This Row],[Código]],6),".SA")))</f>
        <v>RANI3.SA</v>
      </c>
      <c r="C94" s="3" t="s">
        <v>995</v>
      </c>
      <c r="D94" s="3" t="s">
        <v>1534</v>
      </c>
      <c r="E94" s="3" t="s">
        <v>1534</v>
      </c>
      <c r="F94" s="3" t="s">
        <v>1534</v>
      </c>
      <c r="G94" s="3" t="s">
        <v>1534</v>
      </c>
      <c r="H94" s="45">
        <v>41691</v>
      </c>
      <c r="J94" s="3">
        <f t="shared" si="20"/>
        <v>3.13</v>
      </c>
      <c r="K94" s="3">
        <f t="shared" si="20"/>
        <v>3.13</v>
      </c>
      <c r="L94" s="3">
        <f t="shared" si="20"/>
        <v>3.13</v>
      </c>
      <c r="M94" s="3">
        <f t="shared" si="20"/>
        <v>3.13</v>
      </c>
      <c r="P94" s="14" t="s">
        <v>184</v>
      </c>
      <c r="Q94" s="10" t="str">
        <f t="shared" si="14"/>
        <v>CELUL IRANI -ON</v>
      </c>
      <c r="R94" s="51">
        <f t="shared" si="15"/>
        <v>41691</v>
      </c>
      <c r="S94" s="5">
        <f t="shared" si="16"/>
        <v>3.13</v>
      </c>
      <c r="T94" s="5">
        <f t="shared" si="17"/>
        <v>3.13</v>
      </c>
      <c r="U94" s="5">
        <f t="shared" si="18"/>
        <v>3.13</v>
      </c>
      <c r="V94" s="5">
        <f t="shared" si="19"/>
        <v>3.13</v>
      </c>
    </row>
    <row r="95" spans="1:22">
      <c r="A95" s="33" t="str">
        <f>IF(Tabela1[[#This Row],[Código]]="IBOV","^BVSP",IF(Tabela1[[#This Row],[Código]]="","",CONCATENATE(LEFT(Tabela1[[#This Row],[Código]],6),".SA")))</f>
        <v>RANI4.SA</v>
      </c>
      <c r="C95" s="3" t="s">
        <v>996</v>
      </c>
      <c r="D95" s="3" t="s">
        <v>937</v>
      </c>
      <c r="E95" s="3" t="s">
        <v>456</v>
      </c>
      <c r="F95" s="3" t="s">
        <v>937</v>
      </c>
      <c r="G95" s="3" t="s">
        <v>456</v>
      </c>
      <c r="H95" s="45">
        <v>41691</v>
      </c>
      <c r="J95" s="3">
        <f t="shared" si="20"/>
        <v>3.68</v>
      </c>
      <c r="K95" s="3">
        <f t="shared" si="20"/>
        <v>3.5</v>
      </c>
      <c r="L95" s="3">
        <f t="shared" si="20"/>
        <v>3.68</v>
      </c>
      <c r="M95" s="3">
        <f t="shared" si="20"/>
        <v>3.5</v>
      </c>
      <c r="P95" s="14" t="s">
        <v>185</v>
      </c>
      <c r="Q95" s="10" t="str">
        <f t="shared" si="14"/>
        <v>CELUL IRANI -PN</v>
      </c>
      <c r="R95" s="51">
        <f t="shared" si="15"/>
        <v>41691</v>
      </c>
      <c r="S95" s="5">
        <f t="shared" si="16"/>
        <v>3.68</v>
      </c>
      <c r="T95" s="5">
        <f t="shared" si="17"/>
        <v>3.5</v>
      </c>
      <c r="U95" s="5">
        <f t="shared" si="18"/>
        <v>3.68</v>
      </c>
      <c r="V95" s="5">
        <f t="shared" si="19"/>
        <v>3.5</v>
      </c>
    </row>
    <row r="96" spans="1:22">
      <c r="A96" s="33" t="str">
        <f>IF(Tabela1[[#This Row],[Código]]="IBOV","^BVSP",IF(Tabela1[[#This Row],[Código]]="","",CONCATENATE(LEFT(Tabela1[[#This Row],[Código]],6),".SA")))</f>
        <v>RDTR3.SA</v>
      </c>
      <c r="C96" s="3" t="s">
        <v>150</v>
      </c>
      <c r="D96" s="3" t="s">
        <v>1126</v>
      </c>
      <c r="E96" s="3" t="s">
        <v>1666</v>
      </c>
      <c r="F96" s="3" t="s">
        <v>965</v>
      </c>
      <c r="G96" s="3" t="s">
        <v>737</v>
      </c>
      <c r="H96" s="51">
        <v>41691</v>
      </c>
      <c r="J96" s="3">
        <f t="shared" si="20"/>
        <v>5.0999999999999996</v>
      </c>
      <c r="K96" s="3">
        <f t="shared" si="20"/>
        <v>5.25</v>
      </c>
      <c r="L96" s="3">
        <f t="shared" si="20"/>
        <v>5.3</v>
      </c>
      <c r="M96" s="3">
        <f t="shared" si="20"/>
        <v>5</v>
      </c>
      <c r="P96" s="14" t="s">
        <v>65</v>
      </c>
      <c r="Q96" s="10" t="str">
        <f t="shared" si="14"/>
        <v>REDENTOR    -ON</v>
      </c>
      <c r="R96" s="51">
        <f t="shared" si="15"/>
        <v>41691</v>
      </c>
      <c r="S96" s="5">
        <f t="shared" si="16"/>
        <v>5.0999999999999996</v>
      </c>
      <c r="T96" s="5">
        <f t="shared" si="17"/>
        <v>5.25</v>
      </c>
      <c r="U96" s="5">
        <f t="shared" si="18"/>
        <v>5.3</v>
      </c>
      <c r="V96" s="5">
        <f t="shared" si="19"/>
        <v>5</v>
      </c>
    </row>
    <row r="97" spans="1:22">
      <c r="A97" s="33" t="str">
        <f>IF(Tabela1[[#This Row],[Código]]="IBOV","^BVSP",IF(Tabela1[[#This Row],[Código]]="","",CONCATENATE(LEFT(Tabela1[[#This Row],[Código]],6),".SA")))</f>
        <v>RPAD3.SA</v>
      </c>
      <c r="C97" s="3" t="s">
        <v>193</v>
      </c>
      <c r="D97" s="3" t="s">
        <v>194</v>
      </c>
      <c r="E97" s="3" t="s">
        <v>194</v>
      </c>
      <c r="F97" s="3" t="s">
        <v>194</v>
      </c>
      <c r="G97" s="3" t="s">
        <v>194</v>
      </c>
      <c r="H97" s="51">
        <v>41691</v>
      </c>
      <c r="J97" s="3">
        <f t="shared" si="20"/>
        <v>3.08</v>
      </c>
      <c r="K97" s="3">
        <f t="shared" si="20"/>
        <v>3.08</v>
      </c>
      <c r="L97" s="3">
        <f t="shared" si="20"/>
        <v>3.08</v>
      </c>
      <c r="M97" s="3">
        <f t="shared" si="20"/>
        <v>3.08</v>
      </c>
      <c r="P97" s="15" t="s">
        <v>191</v>
      </c>
      <c r="Q97" s="10" t="str">
        <f t="shared" si="14"/>
        <v>ALFA HOLDING-ON</v>
      </c>
      <c r="R97" s="51">
        <f t="shared" si="15"/>
        <v>41691</v>
      </c>
      <c r="S97" s="5">
        <f t="shared" si="16"/>
        <v>3.08</v>
      </c>
      <c r="T97" s="5">
        <f t="shared" si="17"/>
        <v>3.08</v>
      </c>
      <c r="U97" s="5">
        <f t="shared" si="18"/>
        <v>3.08</v>
      </c>
      <c r="V97" s="5">
        <f t="shared" si="19"/>
        <v>3.08</v>
      </c>
    </row>
    <row r="98" spans="1:22">
      <c r="A98" s="33" t="str">
        <f>IF(Tabela1[[#This Row],[Código]]="IBOV","^BVSP",IF(Tabela1[[#This Row],[Código]]="","",CONCATENATE(LEFT(Tabela1[[#This Row],[Código]],6),".SA")))</f>
        <v>RPAD5.SA</v>
      </c>
      <c r="C98" s="3" t="s">
        <v>793</v>
      </c>
      <c r="D98" s="3" t="s">
        <v>1667</v>
      </c>
      <c r="E98" s="3" t="s">
        <v>1667</v>
      </c>
      <c r="F98" s="3" t="s">
        <v>1667</v>
      </c>
      <c r="G98" s="3" t="s">
        <v>1667</v>
      </c>
      <c r="H98" s="51">
        <v>41691</v>
      </c>
      <c r="J98" s="3">
        <f t="shared" si="20"/>
        <v>5.38</v>
      </c>
      <c r="K98" s="3">
        <f t="shared" si="20"/>
        <v>5.38</v>
      </c>
      <c r="L98" s="3">
        <f t="shared" si="20"/>
        <v>5.38</v>
      </c>
      <c r="M98" s="3">
        <f t="shared" si="20"/>
        <v>5.38</v>
      </c>
      <c r="P98" s="15" t="s">
        <v>76</v>
      </c>
      <c r="Q98" s="10" t="str">
        <f t="shared" si="14"/>
        <v>ALFA HOLDING-PNA</v>
      </c>
      <c r="R98" s="51">
        <f t="shared" si="15"/>
        <v>41691</v>
      </c>
      <c r="S98" s="5">
        <f t="shared" si="16"/>
        <v>5.38</v>
      </c>
      <c r="T98" s="5">
        <f t="shared" si="17"/>
        <v>5.38</v>
      </c>
      <c r="U98" s="5">
        <f t="shared" si="18"/>
        <v>5.38</v>
      </c>
      <c r="V98" s="5">
        <f t="shared" si="19"/>
        <v>5.38</v>
      </c>
    </row>
    <row r="99" spans="1:22">
      <c r="A99" s="33" t="str">
        <f>IF(Tabela1[[#This Row],[Código]]="IBOV","^BVSP",IF(Tabela1[[#This Row],[Código]]="","",CONCATENATE(LEFT(Tabela1[[#This Row],[Código]],6),".SA")))</f>
        <v>RPAD6.SA</v>
      </c>
      <c r="C99" s="3" t="s">
        <v>195</v>
      </c>
      <c r="D99" s="3" t="s">
        <v>966</v>
      </c>
      <c r="E99" s="3" t="s">
        <v>966</v>
      </c>
      <c r="F99" s="3" t="s">
        <v>966</v>
      </c>
      <c r="G99" s="3" t="s">
        <v>966</v>
      </c>
      <c r="H99" s="51">
        <v>41691</v>
      </c>
      <c r="J99" s="3">
        <f t="shared" si="20"/>
        <v>2.23</v>
      </c>
      <c r="K99" s="3">
        <f t="shared" si="20"/>
        <v>2.23</v>
      </c>
      <c r="L99" s="3">
        <f t="shared" si="20"/>
        <v>2.23</v>
      </c>
      <c r="M99" s="3">
        <f t="shared" si="20"/>
        <v>2.23</v>
      </c>
      <c r="P99" s="15" t="s">
        <v>192</v>
      </c>
      <c r="Q99" s="10" t="str">
        <f t="shared" si="14"/>
        <v>ALFA HOLDING-PNB</v>
      </c>
      <c r="R99" s="51">
        <f t="shared" si="15"/>
        <v>41691</v>
      </c>
      <c r="S99" s="5">
        <f t="shared" si="16"/>
        <v>2.23</v>
      </c>
      <c r="T99" s="5">
        <f t="shared" si="17"/>
        <v>2.23</v>
      </c>
      <c r="U99" s="5">
        <f t="shared" si="18"/>
        <v>2.23</v>
      </c>
      <c r="V99" s="5">
        <f t="shared" si="19"/>
        <v>2.23</v>
      </c>
    </row>
    <row r="100" spans="1:22">
      <c r="A100" s="33" t="str">
        <f>IF(Tabela1[[#This Row],[Código]]="IBOV","^BVSP",IF(Tabela1[[#This Row],[Código]]="","",CONCATENATE(LEFT(Tabela1[[#This Row],[Código]],6),".SA")))</f>
        <v>SAPR3.SA</v>
      </c>
      <c r="C100" s="3" t="s">
        <v>661</v>
      </c>
      <c r="D100" s="3" t="s">
        <v>183</v>
      </c>
      <c r="E100" s="3" t="s">
        <v>183</v>
      </c>
      <c r="F100" s="3" t="s">
        <v>183</v>
      </c>
      <c r="G100" s="3" t="s">
        <v>183</v>
      </c>
      <c r="H100" s="51">
        <v>41691</v>
      </c>
      <c r="J100" s="3">
        <f t="shared" si="20"/>
        <v>8.19</v>
      </c>
      <c r="K100" s="3">
        <f t="shared" si="20"/>
        <v>8.19</v>
      </c>
      <c r="L100" s="3">
        <f t="shared" si="20"/>
        <v>8.19</v>
      </c>
      <c r="M100" s="3">
        <f t="shared" si="20"/>
        <v>8.19</v>
      </c>
      <c r="P100" s="14" t="s">
        <v>182</v>
      </c>
      <c r="Q100" s="10" t="str">
        <f t="shared" si="14"/>
        <v>SANEPAR     -ON</v>
      </c>
      <c r="R100" s="51">
        <f t="shared" si="15"/>
        <v>41691</v>
      </c>
      <c r="S100" s="5">
        <f t="shared" si="16"/>
        <v>8.19</v>
      </c>
      <c r="T100" s="5">
        <f t="shared" si="17"/>
        <v>8.19</v>
      </c>
      <c r="U100" s="5">
        <f t="shared" si="18"/>
        <v>8.19</v>
      </c>
      <c r="V100" s="5">
        <f t="shared" si="19"/>
        <v>8.19</v>
      </c>
    </row>
    <row r="101" spans="1:22">
      <c r="A101" s="33" t="str">
        <f>IF(Tabela1[[#This Row],[Código]]="IBOV","^BVSP",IF(Tabela1[[#This Row],[Código]]="","",CONCATENATE(LEFT(Tabela1[[#This Row],[Código]],6),".SA")))</f>
        <v>SAPR4.SA</v>
      </c>
      <c r="C101" s="3" t="s">
        <v>662</v>
      </c>
      <c r="D101" s="3" t="s">
        <v>1668</v>
      </c>
      <c r="E101" s="3" t="s">
        <v>1126</v>
      </c>
      <c r="F101" s="3" t="s">
        <v>1511</v>
      </c>
      <c r="G101" s="3" t="s">
        <v>737</v>
      </c>
      <c r="H101" s="51">
        <v>41691</v>
      </c>
      <c r="J101" s="3">
        <f t="shared" si="20"/>
        <v>5.1100000000000003</v>
      </c>
      <c r="K101" s="3">
        <f t="shared" si="20"/>
        <v>5.0999999999999996</v>
      </c>
      <c r="L101" s="3">
        <f t="shared" si="20"/>
        <v>5.15</v>
      </c>
      <c r="M101" s="3">
        <f t="shared" si="20"/>
        <v>5</v>
      </c>
      <c r="P101" s="14" t="s">
        <v>66</v>
      </c>
      <c r="Q101" s="10" t="str">
        <f t="shared" si="14"/>
        <v>SANEPAR     -PN</v>
      </c>
      <c r="R101" s="51">
        <f t="shared" si="15"/>
        <v>41691</v>
      </c>
      <c r="S101" s="5">
        <f t="shared" si="16"/>
        <v>5.1100000000000003</v>
      </c>
      <c r="T101" s="5">
        <f t="shared" si="17"/>
        <v>5.0999999999999996</v>
      </c>
      <c r="U101" s="5">
        <f t="shared" si="18"/>
        <v>5.15</v>
      </c>
      <c r="V101" s="5">
        <f t="shared" si="19"/>
        <v>5</v>
      </c>
    </row>
    <row r="102" spans="1:22">
      <c r="A102" s="33" t="str">
        <f>IF(Tabela1[[#This Row],[Código]]="IBOV","^BVSP",IF(Tabela1[[#This Row],[Código]]="","",CONCATENATE(LEFT(Tabela1[[#This Row],[Código]],6),".SA")))</f>
        <v>SBSP3.SA</v>
      </c>
      <c r="C102" s="3" t="s">
        <v>151</v>
      </c>
      <c r="D102" s="3" t="s">
        <v>1669</v>
      </c>
      <c r="E102" s="3" t="s">
        <v>1670</v>
      </c>
      <c r="F102" s="3" t="s">
        <v>1671</v>
      </c>
      <c r="G102" s="3" t="s">
        <v>1672</v>
      </c>
      <c r="H102" s="51">
        <v>41691</v>
      </c>
      <c r="J102" s="3">
        <f t="shared" si="20"/>
        <v>21.8</v>
      </c>
      <c r="K102" s="3">
        <f t="shared" si="20"/>
        <v>21.99</v>
      </c>
      <c r="L102" s="3">
        <f t="shared" si="20"/>
        <v>22.15</v>
      </c>
      <c r="M102" s="3">
        <f t="shared" si="20"/>
        <v>21.45</v>
      </c>
      <c r="P102" s="14" t="s">
        <v>36</v>
      </c>
      <c r="Q102" s="10" t="str">
        <f t="shared" si="14"/>
        <v xml:space="preserve">SABESP      -ON  </v>
      </c>
      <c r="R102" s="51">
        <f t="shared" si="15"/>
        <v>41691</v>
      </c>
      <c r="S102" s="5">
        <f t="shared" si="16"/>
        <v>21.8</v>
      </c>
      <c r="T102" s="5">
        <f t="shared" si="17"/>
        <v>21.99</v>
      </c>
      <c r="U102" s="5">
        <f t="shared" si="18"/>
        <v>22.15</v>
      </c>
      <c r="V102" s="5">
        <f t="shared" si="19"/>
        <v>21.45</v>
      </c>
    </row>
    <row r="103" spans="1:22">
      <c r="A103" s="33" t="str">
        <f>IF(Tabela1[[#This Row],[Código]]="IBOV","^BVSP",IF(Tabela1[[#This Row],[Código]]="","",CONCATENATE(LEFT(Tabela1[[#This Row],[Código]],6),".SA")))</f>
        <v>SFSA4.SA</v>
      </c>
      <c r="C103" s="3" t="s">
        <v>152</v>
      </c>
      <c r="D103" s="3" t="s">
        <v>1673</v>
      </c>
      <c r="E103" s="3" t="s">
        <v>1674</v>
      </c>
      <c r="F103" s="3" t="s">
        <v>1673</v>
      </c>
      <c r="G103" s="3" t="s">
        <v>1674</v>
      </c>
      <c r="H103" s="51">
        <v>41691</v>
      </c>
      <c r="J103" s="3">
        <f t="shared" si="20"/>
        <v>2.88</v>
      </c>
      <c r="K103" s="3">
        <f t="shared" si="20"/>
        <v>2.85</v>
      </c>
      <c r="L103" s="3">
        <f t="shared" si="20"/>
        <v>2.88</v>
      </c>
      <c r="M103" s="3">
        <f t="shared" si="20"/>
        <v>2.85</v>
      </c>
      <c r="P103" s="15" t="s">
        <v>75</v>
      </c>
      <c r="Q103" s="10" t="str">
        <f t="shared" ref="Q103:Q112" si="21">IF(A103="","",C103)</f>
        <v xml:space="preserve">SOFISA      -PN  </v>
      </c>
      <c r="R103" s="51">
        <f t="shared" ref="R103:R112" si="22">IF(A103="","",H103)</f>
        <v>41691</v>
      </c>
      <c r="S103" s="5">
        <f t="shared" ref="S103:S112" si="23">J103</f>
        <v>2.88</v>
      </c>
      <c r="T103" s="5">
        <f t="shared" ref="T103:T112" si="24">K103</f>
        <v>2.85</v>
      </c>
      <c r="U103" s="5">
        <f t="shared" ref="U103:U112" si="25">L103</f>
        <v>2.88</v>
      </c>
      <c r="V103" s="5">
        <f t="shared" ref="V103:V112" si="26">M103</f>
        <v>2.85</v>
      </c>
    </row>
    <row r="104" spans="1:22">
      <c r="A104" s="33" t="str">
        <f>IF(Tabela1[[#This Row],[Código]]="IBOV","^BVSP",IF(Tabela1[[#This Row],[Código]]="","",CONCATENATE(LEFT(Tabela1[[#This Row],[Código]],6),".SA")))</f>
        <v>SUZB5.SA</v>
      </c>
      <c r="C104" s="3" t="s">
        <v>153</v>
      </c>
      <c r="D104" s="3" t="s">
        <v>1675</v>
      </c>
      <c r="E104" s="3" t="s">
        <v>1676</v>
      </c>
      <c r="F104" s="3" t="s">
        <v>1677</v>
      </c>
      <c r="G104" s="3" t="s">
        <v>1624</v>
      </c>
      <c r="H104" s="51">
        <v>41691</v>
      </c>
      <c r="J104" s="3">
        <f t="shared" si="20"/>
        <v>9.0299999999999994</v>
      </c>
      <c r="K104" s="3">
        <f t="shared" si="20"/>
        <v>9.0399999999999991</v>
      </c>
      <c r="L104" s="3">
        <f t="shared" si="20"/>
        <v>9.08</v>
      </c>
      <c r="M104" s="3">
        <f t="shared" si="20"/>
        <v>8.94</v>
      </c>
      <c r="P104" s="15" t="s">
        <v>18</v>
      </c>
      <c r="Q104" s="10" t="str">
        <f t="shared" si="21"/>
        <v xml:space="preserve">SUZANO PAPEL-PNA </v>
      </c>
      <c r="R104" s="51">
        <f t="shared" si="22"/>
        <v>41691</v>
      </c>
      <c r="S104" s="5">
        <f t="shared" si="23"/>
        <v>9.0299999999999994</v>
      </c>
      <c r="T104" s="5">
        <f t="shared" si="24"/>
        <v>9.0399999999999991</v>
      </c>
      <c r="U104" s="5">
        <f t="shared" si="25"/>
        <v>9.08</v>
      </c>
      <c r="V104" s="5">
        <f t="shared" si="26"/>
        <v>8.94</v>
      </c>
    </row>
    <row r="105" spans="1:22">
      <c r="A105" s="33" t="str">
        <f>IF(Tabela1[[#This Row],[Código]]="IBOV","^BVSP",IF(Tabela1[[#This Row],[Código]]="","",CONCATENATE(LEFT(Tabela1[[#This Row],[Código]],6),".SA")))</f>
        <v>SUZB6.SA</v>
      </c>
      <c r="C105" s="3" t="s">
        <v>190</v>
      </c>
      <c r="D105" s="3" t="s">
        <v>1409</v>
      </c>
      <c r="E105" s="3" t="s">
        <v>1409</v>
      </c>
      <c r="F105" s="3" t="s">
        <v>1409</v>
      </c>
      <c r="G105" s="3" t="s">
        <v>1409</v>
      </c>
      <c r="H105" s="51">
        <v>41691</v>
      </c>
      <c r="J105" s="3">
        <f t="shared" si="20"/>
        <v>7.8</v>
      </c>
      <c r="K105" s="3">
        <f t="shared" si="20"/>
        <v>7.8</v>
      </c>
      <c r="L105" s="3">
        <f t="shared" si="20"/>
        <v>7.8</v>
      </c>
      <c r="M105" s="3">
        <f t="shared" si="20"/>
        <v>7.8</v>
      </c>
      <c r="P105" s="15" t="s">
        <v>188</v>
      </c>
      <c r="Q105" s="10" t="str">
        <f t="shared" si="21"/>
        <v xml:space="preserve">SUZANO PAPEL-PNB </v>
      </c>
      <c r="R105" s="51">
        <f t="shared" si="22"/>
        <v>41691</v>
      </c>
      <c r="S105" s="5">
        <f t="shared" si="23"/>
        <v>7.8</v>
      </c>
      <c r="T105" s="5">
        <f t="shared" si="24"/>
        <v>7.8</v>
      </c>
      <c r="U105" s="5">
        <f t="shared" si="25"/>
        <v>7.8</v>
      </c>
      <c r="V105" s="5">
        <f t="shared" si="26"/>
        <v>7.8</v>
      </c>
    </row>
    <row r="106" spans="1:22">
      <c r="A106" s="33" t="str">
        <f>IF(Tabela1[[#This Row],[Código]]="IBOV","^BVSP",IF(Tabela1[[#This Row],[Código]]="","",CONCATENATE(LEFT(Tabela1[[#This Row],[Código]],6),".SA")))</f>
        <v>TAEE11.SA</v>
      </c>
      <c r="C106" s="3" t="s">
        <v>154</v>
      </c>
      <c r="D106" s="3" t="s">
        <v>1678</v>
      </c>
      <c r="E106" s="3" t="s">
        <v>1679</v>
      </c>
      <c r="F106" s="3" t="s">
        <v>1680</v>
      </c>
      <c r="G106" s="3" t="s">
        <v>1681</v>
      </c>
      <c r="H106" s="51">
        <v>41691</v>
      </c>
      <c r="J106" s="3">
        <f t="shared" si="20"/>
        <v>17.350000000000001</v>
      </c>
      <c r="K106" s="3">
        <f t="shared" si="20"/>
        <v>17.399999999999999</v>
      </c>
      <c r="L106" s="3">
        <f t="shared" si="20"/>
        <v>17.52</v>
      </c>
      <c r="M106" s="3">
        <f t="shared" si="20"/>
        <v>17.329999999999998</v>
      </c>
      <c r="P106" s="14" t="s">
        <v>56</v>
      </c>
      <c r="Q106" s="10" t="str">
        <f t="shared" si="21"/>
        <v xml:space="preserve">TAESA       -UNT </v>
      </c>
      <c r="R106" s="51">
        <f t="shared" si="22"/>
        <v>41691</v>
      </c>
      <c r="S106" s="5">
        <f t="shared" si="23"/>
        <v>17.350000000000001</v>
      </c>
      <c r="T106" s="5">
        <f t="shared" si="24"/>
        <v>17.399999999999999</v>
      </c>
      <c r="U106" s="5">
        <f t="shared" si="25"/>
        <v>17.52</v>
      </c>
      <c r="V106" s="5">
        <f t="shared" si="26"/>
        <v>17.329999999999998</v>
      </c>
    </row>
    <row r="107" spans="1:22">
      <c r="A107" s="33" t="str">
        <f>IF(Tabela1[[#This Row],[Código]]="IBOV","^BVSP",IF(Tabela1[[#This Row],[Código]]="","",CONCATENATE(LEFT(Tabela1[[#This Row],[Código]],6),".SA")))</f>
        <v>TBLE3.SA</v>
      </c>
      <c r="C107" s="3" t="s">
        <v>177</v>
      </c>
      <c r="D107" s="3" t="s">
        <v>1682</v>
      </c>
      <c r="E107" s="3" t="s">
        <v>1683</v>
      </c>
      <c r="F107" s="3" t="s">
        <v>1684</v>
      </c>
      <c r="G107" s="3" t="s">
        <v>1685</v>
      </c>
      <c r="H107" s="51">
        <v>41691</v>
      </c>
      <c r="J107" s="3">
        <f t="shared" si="20"/>
        <v>33.979999999999997</v>
      </c>
      <c r="K107" s="3">
        <f t="shared" si="20"/>
        <v>33.92</v>
      </c>
      <c r="L107" s="3">
        <f t="shared" si="20"/>
        <v>34.32</v>
      </c>
      <c r="M107" s="3">
        <f t="shared" si="20"/>
        <v>33.69</v>
      </c>
      <c r="P107" s="14" t="s">
        <v>176</v>
      </c>
      <c r="Q107" s="10" t="str">
        <f t="shared" si="21"/>
        <v xml:space="preserve">TRACTEBEL   -ON  </v>
      </c>
      <c r="R107" s="51">
        <f t="shared" si="22"/>
        <v>41691</v>
      </c>
      <c r="S107" s="5">
        <f t="shared" si="23"/>
        <v>33.979999999999997</v>
      </c>
      <c r="T107" s="5">
        <f t="shared" si="24"/>
        <v>33.92</v>
      </c>
      <c r="U107" s="5">
        <f t="shared" si="25"/>
        <v>34.32</v>
      </c>
      <c r="V107" s="5">
        <f t="shared" si="26"/>
        <v>33.69</v>
      </c>
    </row>
    <row r="108" spans="1:22">
      <c r="A108" s="33" t="str">
        <f>IF(Tabela1[[#This Row],[Código]]="IBOV","^BVSP",IF(Tabela1[[#This Row],[Código]]="","",CONCATENATE(LEFT(Tabela1[[#This Row],[Código]],6),".SA")))</f>
        <v>TRPL3.SA</v>
      </c>
      <c r="C108" s="3" t="s">
        <v>160</v>
      </c>
      <c r="D108" s="3" t="s">
        <v>745</v>
      </c>
      <c r="E108" s="3" t="s">
        <v>745</v>
      </c>
      <c r="F108" s="3" t="s">
        <v>745</v>
      </c>
      <c r="G108" s="3" t="s">
        <v>745</v>
      </c>
      <c r="H108" s="51">
        <v>41691</v>
      </c>
      <c r="J108" s="3">
        <f t="shared" si="20"/>
        <v>45.8</v>
      </c>
      <c r="K108" s="3">
        <f t="shared" si="20"/>
        <v>45.8</v>
      </c>
      <c r="L108" s="3">
        <f t="shared" si="20"/>
        <v>45.8</v>
      </c>
      <c r="M108" s="3">
        <f t="shared" si="20"/>
        <v>45.8</v>
      </c>
      <c r="P108" s="14" t="s">
        <v>157</v>
      </c>
      <c r="Q108" s="10" t="str">
        <f t="shared" si="21"/>
        <v xml:space="preserve">TRAN PAULIST-ON  </v>
      </c>
      <c r="R108" s="51">
        <f t="shared" si="22"/>
        <v>41691</v>
      </c>
      <c r="S108" s="5">
        <f t="shared" si="23"/>
        <v>45.8</v>
      </c>
      <c r="T108" s="5">
        <f t="shared" si="24"/>
        <v>45.8</v>
      </c>
      <c r="U108" s="5">
        <f t="shared" si="25"/>
        <v>45.8</v>
      </c>
      <c r="V108" s="5">
        <f t="shared" si="26"/>
        <v>45.8</v>
      </c>
    </row>
    <row r="109" spans="1:22">
      <c r="A109" s="33" t="str">
        <f>IF(Tabela1[[#This Row],[Código]]="IBOV","^BVSP",IF(Tabela1[[#This Row],[Código]]="","",CONCATENATE(LEFT(Tabela1[[#This Row],[Código]],6),".SA")))</f>
        <v>TRPL4.SA</v>
      </c>
      <c r="C109" s="3" t="s">
        <v>161</v>
      </c>
      <c r="D109" s="3" t="s">
        <v>1686</v>
      </c>
      <c r="E109" s="3" t="s">
        <v>1687</v>
      </c>
      <c r="F109" s="3" t="s">
        <v>1688</v>
      </c>
      <c r="G109" s="3" t="s">
        <v>1689</v>
      </c>
      <c r="H109" s="51">
        <v>41691</v>
      </c>
      <c r="J109" s="3">
        <f t="shared" si="20"/>
        <v>24.7</v>
      </c>
      <c r="K109" s="3">
        <f t="shared" si="20"/>
        <v>25.13</v>
      </c>
      <c r="L109" s="3">
        <f t="shared" si="20"/>
        <v>25.45</v>
      </c>
      <c r="M109" s="3">
        <f t="shared" si="20"/>
        <v>24.67</v>
      </c>
      <c r="P109" s="14" t="s">
        <v>158</v>
      </c>
      <c r="Q109" s="10" t="str">
        <f t="shared" si="21"/>
        <v xml:space="preserve">TRAN PAULIST-PN  </v>
      </c>
      <c r="R109" s="51">
        <f t="shared" si="22"/>
        <v>41691</v>
      </c>
      <c r="S109" s="5">
        <f t="shared" si="23"/>
        <v>24.7</v>
      </c>
      <c r="T109" s="5">
        <f t="shared" si="24"/>
        <v>25.13</v>
      </c>
      <c r="U109" s="5">
        <f t="shared" si="25"/>
        <v>25.45</v>
      </c>
      <c r="V109" s="5">
        <f t="shared" si="26"/>
        <v>24.67</v>
      </c>
    </row>
    <row r="110" spans="1:22">
      <c r="A110" s="33" t="str">
        <f>IF(Tabela1[[#This Row],[Código]]="IBOV","^BVSP",IF(Tabela1[[#This Row],[Código]]="","",CONCATENATE(LEFT(Tabela1[[#This Row],[Código]],6),".SA")))</f>
        <v>UNIP5.SA</v>
      </c>
      <c r="C110" s="3" t="s">
        <v>155</v>
      </c>
      <c r="D110" s="3" t="s">
        <v>955</v>
      </c>
      <c r="E110" s="3" t="s">
        <v>678</v>
      </c>
      <c r="F110" s="3" t="s">
        <v>678</v>
      </c>
      <c r="G110" s="3" t="s">
        <v>1690</v>
      </c>
      <c r="H110" s="51">
        <v>41691</v>
      </c>
      <c r="J110" s="3">
        <f t="shared" si="20"/>
        <v>0.6</v>
      </c>
      <c r="K110" s="3">
        <f t="shared" si="20"/>
        <v>0.61</v>
      </c>
      <c r="L110" s="3">
        <f t="shared" si="20"/>
        <v>0.61</v>
      </c>
      <c r="M110" s="3">
        <f t="shared" si="20"/>
        <v>0.56999999999999995</v>
      </c>
      <c r="P110" s="15" t="s">
        <v>73</v>
      </c>
      <c r="Q110" s="10" t="str">
        <f t="shared" si="21"/>
        <v>UNIPAR      -PNA</v>
      </c>
      <c r="R110" s="51">
        <f t="shared" si="22"/>
        <v>41691</v>
      </c>
      <c r="S110" s="5">
        <f t="shared" si="23"/>
        <v>0.6</v>
      </c>
      <c r="T110" s="5">
        <f t="shared" si="24"/>
        <v>0.61</v>
      </c>
      <c r="U110" s="5">
        <f t="shared" si="25"/>
        <v>0.61</v>
      </c>
      <c r="V110" s="5">
        <f t="shared" si="26"/>
        <v>0.56999999999999995</v>
      </c>
    </row>
    <row r="111" spans="1:22">
      <c r="A111" s="33" t="str">
        <f>IF(Tabela1[[#This Row],[Código]]="IBOV","^BVSP",IF(Tabela1[[#This Row],[Código]]="","",CONCATENATE(LEFT(Tabela1[[#This Row],[Código]],6),".SA")))</f>
        <v>UNIP6.SA</v>
      </c>
      <c r="C111" s="3" t="s">
        <v>156</v>
      </c>
      <c r="D111" s="3" t="s">
        <v>704</v>
      </c>
      <c r="E111" s="3" t="s">
        <v>704</v>
      </c>
      <c r="F111" s="3" t="s">
        <v>704</v>
      </c>
      <c r="G111" s="3" t="s">
        <v>1401</v>
      </c>
      <c r="H111" s="51">
        <v>41691</v>
      </c>
      <c r="J111" s="3">
        <f t="shared" si="20"/>
        <v>0.45</v>
      </c>
      <c r="K111" s="3">
        <f t="shared" si="20"/>
        <v>0.45</v>
      </c>
      <c r="L111" s="3">
        <f t="shared" si="20"/>
        <v>0.45</v>
      </c>
      <c r="M111" s="3">
        <f t="shared" si="20"/>
        <v>0.44</v>
      </c>
      <c r="P111" s="14" t="s">
        <v>39</v>
      </c>
      <c r="Q111" s="10" t="str">
        <f t="shared" si="21"/>
        <v>UNIPAR      -PNB</v>
      </c>
      <c r="R111" s="51">
        <f t="shared" si="22"/>
        <v>41691</v>
      </c>
      <c r="S111" s="5">
        <f t="shared" si="23"/>
        <v>0.45</v>
      </c>
      <c r="T111" s="5">
        <f t="shared" si="24"/>
        <v>0.45</v>
      </c>
      <c r="U111" s="5">
        <f t="shared" si="25"/>
        <v>0.45</v>
      </c>
      <c r="V111" s="5">
        <f t="shared" si="26"/>
        <v>0.44</v>
      </c>
    </row>
    <row r="112" spans="1:22">
      <c r="A112" s="33" t="str">
        <f>IF(Tabela1[[#This Row],[Código]]="IBOV","^BVSP",IF(Tabela1[[#This Row],[Código]]="","",CONCATENATE(LEFT(Tabela1[[#This Row],[Código]],6),".SA")))</f>
        <v>PATI3.SA</v>
      </c>
      <c r="C112" s="3" t="s">
        <v>422</v>
      </c>
      <c r="D112" s="3" t="s">
        <v>412</v>
      </c>
      <c r="E112" s="3" t="s">
        <v>412</v>
      </c>
      <c r="F112" s="3" t="s">
        <v>412</v>
      </c>
      <c r="G112" s="3" t="s">
        <v>412</v>
      </c>
      <c r="H112" s="51">
        <v>41691</v>
      </c>
      <c r="J112" s="3">
        <f t="shared" ref="J112:J121" si="27">IF($A112="",0,VALUE(CONCATENATE(LEFT(D112,LEN(D112)-3),",",RIGHT(D112,2))))</f>
        <v>20</v>
      </c>
      <c r="K112" s="3">
        <f t="shared" si="20"/>
        <v>20</v>
      </c>
      <c r="L112" s="3">
        <f t="shared" si="20"/>
        <v>20</v>
      </c>
      <c r="M112" s="3">
        <f t="shared" si="20"/>
        <v>20</v>
      </c>
      <c r="P112" s="3" t="s">
        <v>419</v>
      </c>
      <c r="Q112" s="10" t="str">
        <f t="shared" si="21"/>
        <v>PANATLANTICA-ON</v>
      </c>
      <c r="R112" s="51">
        <f t="shared" si="22"/>
        <v>41691</v>
      </c>
      <c r="S112" s="5">
        <f t="shared" si="23"/>
        <v>20</v>
      </c>
      <c r="T112" s="5">
        <f t="shared" si="24"/>
        <v>20</v>
      </c>
      <c r="U112" s="5">
        <f t="shared" si="25"/>
        <v>20</v>
      </c>
      <c r="V112" s="5">
        <f t="shared" si="26"/>
        <v>20</v>
      </c>
    </row>
    <row r="113" spans="1:22">
      <c r="A113" s="33"/>
      <c r="C113" s="3" t="s">
        <v>101</v>
      </c>
      <c r="H113" s="51"/>
      <c r="J113" s="3">
        <f t="shared" si="27"/>
        <v>0</v>
      </c>
      <c r="K113" s="3">
        <f t="shared" si="20"/>
        <v>0</v>
      </c>
      <c r="L113" s="3">
        <f t="shared" si="20"/>
        <v>0</v>
      </c>
      <c r="M113" s="3">
        <f t="shared" si="20"/>
        <v>0</v>
      </c>
      <c r="Q113" s="10" t="str">
        <f t="shared" ref="Q113:Q131" si="28">IF(A117="","",C117)</f>
        <v/>
      </c>
      <c r="R113" s="51" t="str">
        <f t="shared" ref="R113:R131" si="29">IF(A117="","",H117)</f>
        <v/>
      </c>
      <c r="S113" s="5">
        <f t="shared" ref="S113:S131" si="30">J117</f>
        <v>0</v>
      </c>
      <c r="T113" s="5">
        <f t="shared" ref="T113:T131" si="31">K117</f>
        <v>0</v>
      </c>
      <c r="U113" s="5">
        <f t="shared" ref="U113:U131" si="32">L117</f>
        <v>0</v>
      </c>
      <c r="V113" s="5">
        <f t="shared" ref="V113:V131" si="33">M117</f>
        <v>0</v>
      </c>
    </row>
    <row r="114" spans="1:22">
      <c r="A114" s="33"/>
      <c r="J114" s="3">
        <f t="shared" si="27"/>
        <v>0</v>
      </c>
      <c r="K114" s="3">
        <f>IF($A114="",0,VALUE(CONCATENATE(LEFT(E114,LEN(E114)-3),",",RIGHT(E114,2))))</f>
        <v>0</v>
      </c>
      <c r="L114" s="3">
        <f t="shared" si="20"/>
        <v>0</v>
      </c>
      <c r="M114" s="3">
        <f t="shared" si="20"/>
        <v>0</v>
      </c>
      <c r="Q114" s="10" t="str">
        <f t="shared" si="28"/>
        <v/>
      </c>
      <c r="R114" s="51" t="str">
        <f t="shared" si="29"/>
        <v/>
      </c>
      <c r="S114" s="5">
        <f t="shared" si="30"/>
        <v>0</v>
      </c>
      <c r="T114" s="5">
        <f t="shared" si="31"/>
        <v>0</v>
      </c>
      <c r="U114" s="5">
        <f t="shared" si="32"/>
        <v>0</v>
      </c>
      <c r="V114" s="5">
        <f t="shared" si="33"/>
        <v>0</v>
      </c>
    </row>
    <row r="115" spans="1:22">
      <c r="A115" s="33"/>
      <c r="J115" s="3">
        <f t="shared" si="27"/>
        <v>0</v>
      </c>
      <c r="K115" s="3">
        <f t="shared" si="20"/>
        <v>0</v>
      </c>
      <c r="L115" s="3">
        <f t="shared" si="20"/>
        <v>0</v>
      </c>
      <c r="M115" s="3">
        <f t="shared" si="20"/>
        <v>0</v>
      </c>
      <c r="Q115" s="10" t="str">
        <f t="shared" si="28"/>
        <v/>
      </c>
      <c r="R115" s="51" t="str">
        <f t="shared" si="29"/>
        <v/>
      </c>
      <c r="S115" s="5">
        <f t="shared" si="30"/>
        <v>0</v>
      </c>
      <c r="T115" s="5">
        <f t="shared" si="31"/>
        <v>0</v>
      </c>
      <c r="U115" s="5">
        <f t="shared" si="32"/>
        <v>0</v>
      </c>
      <c r="V115" s="5">
        <f t="shared" si="33"/>
        <v>0</v>
      </c>
    </row>
    <row r="116" spans="1:22">
      <c r="A116" s="33"/>
      <c r="J116" s="3">
        <f t="shared" si="27"/>
        <v>0</v>
      </c>
      <c r="K116" s="3">
        <f t="shared" ref="K116:M172" si="34">IF($A116="",0,VALUE(CONCATENATE(LEFT(E116,LEN(E116)-3),",",RIGHT(E116,2))))</f>
        <v>0</v>
      </c>
      <c r="L116" s="3">
        <f t="shared" si="34"/>
        <v>0</v>
      </c>
      <c r="M116" s="3">
        <f t="shared" si="34"/>
        <v>0</v>
      </c>
      <c r="Q116" s="10" t="str">
        <f t="shared" si="28"/>
        <v/>
      </c>
      <c r="R116" s="51" t="str">
        <f t="shared" si="29"/>
        <v/>
      </c>
      <c r="S116" s="5">
        <f t="shared" si="30"/>
        <v>0</v>
      </c>
      <c r="T116" s="5">
        <f t="shared" si="31"/>
        <v>0</v>
      </c>
      <c r="U116" s="5">
        <f t="shared" si="32"/>
        <v>0</v>
      </c>
      <c r="V116" s="5">
        <f t="shared" si="33"/>
        <v>0</v>
      </c>
    </row>
    <row r="117" spans="1:22">
      <c r="A117" s="33"/>
      <c r="J117" s="3">
        <f t="shared" si="27"/>
        <v>0</v>
      </c>
      <c r="K117" s="3">
        <f t="shared" si="34"/>
        <v>0</v>
      </c>
      <c r="L117" s="3">
        <f t="shared" si="34"/>
        <v>0</v>
      </c>
      <c r="M117" s="3">
        <f t="shared" si="34"/>
        <v>0</v>
      </c>
      <c r="Q117" s="10" t="e">
        <f t="shared" si="28"/>
        <v>#VALUE!</v>
      </c>
      <c r="R117" s="51" t="e">
        <f t="shared" si="29"/>
        <v>#VALUE!</v>
      </c>
      <c r="S117" s="5" t="e">
        <f t="shared" si="30"/>
        <v>#VALUE!</v>
      </c>
      <c r="T117" s="5" t="e">
        <f t="shared" si="31"/>
        <v>#VALUE!</v>
      </c>
      <c r="U117" s="5" t="e">
        <f t="shared" si="32"/>
        <v>#VALUE!</v>
      </c>
      <c r="V117" s="5" t="e">
        <f t="shared" si="33"/>
        <v>#VALUE!</v>
      </c>
    </row>
    <row r="118" spans="1:22">
      <c r="A118" s="33"/>
      <c r="J118" s="3">
        <f t="shared" si="27"/>
        <v>0</v>
      </c>
      <c r="K118" s="3">
        <f t="shared" si="34"/>
        <v>0</v>
      </c>
      <c r="L118" s="3">
        <f t="shared" si="34"/>
        <v>0</v>
      </c>
      <c r="M118" s="3">
        <f t="shared" si="34"/>
        <v>0</v>
      </c>
      <c r="Q118" s="10" t="e">
        <f t="shared" si="28"/>
        <v>#VALUE!</v>
      </c>
      <c r="R118" s="51" t="e">
        <f t="shared" si="29"/>
        <v>#VALUE!</v>
      </c>
      <c r="S118" s="5" t="e">
        <f t="shared" si="30"/>
        <v>#VALUE!</v>
      </c>
      <c r="T118" s="5" t="e">
        <f t="shared" si="31"/>
        <v>#VALUE!</v>
      </c>
      <c r="U118" s="5" t="e">
        <f t="shared" si="32"/>
        <v>#VALUE!</v>
      </c>
      <c r="V118" s="5" t="e">
        <f t="shared" si="33"/>
        <v>#VALUE!</v>
      </c>
    </row>
    <row r="119" spans="1:22">
      <c r="A119" s="33"/>
      <c r="J119" s="3">
        <f t="shared" si="27"/>
        <v>0</v>
      </c>
      <c r="K119" s="3">
        <f t="shared" si="34"/>
        <v>0</v>
      </c>
      <c r="L119" s="3">
        <f t="shared" si="34"/>
        <v>0</v>
      </c>
      <c r="M119" s="3">
        <f t="shared" si="34"/>
        <v>0</v>
      </c>
      <c r="Q119" s="10" t="e">
        <f t="shared" si="28"/>
        <v>#VALUE!</v>
      </c>
      <c r="R119" s="51" t="e">
        <f t="shared" si="29"/>
        <v>#VALUE!</v>
      </c>
      <c r="S119" s="5" t="e">
        <f t="shared" si="30"/>
        <v>#VALUE!</v>
      </c>
      <c r="T119" s="5" t="e">
        <f t="shared" si="31"/>
        <v>#VALUE!</v>
      </c>
      <c r="U119" s="5" t="e">
        <f t="shared" si="32"/>
        <v>#VALUE!</v>
      </c>
      <c r="V119" s="5" t="e">
        <f t="shared" si="33"/>
        <v>#VALUE!</v>
      </c>
    </row>
    <row r="120" spans="1:22">
      <c r="A120" s="33"/>
      <c r="J120" s="3">
        <f t="shared" si="27"/>
        <v>0</v>
      </c>
      <c r="K120" s="3">
        <f t="shared" si="34"/>
        <v>0</v>
      </c>
      <c r="L120" s="3">
        <f t="shared" si="34"/>
        <v>0</v>
      </c>
      <c r="M120" s="3">
        <f t="shared" si="34"/>
        <v>0</v>
      </c>
      <c r="Q120" s="10" t="e">
        <f t="shared" si="28"/>
        <v>#VALUE!</v>
      </c>
      <c r="R120" s="51" t="e">
        <f t="shared" si="29"/>
        <v>#VALUE!</v>
      </c>
      <c r="S120" s="5" t="e">
        <f t="shared" si="30"/>
        <v>#VALUE!</v>
      </c>
      <c r="T120" s="5" t="e">
        <f t="shared" si="31"/>
        <v>#VALUE!</v>
      </c>
      <c r="U120" s="5" t="e">
        <f t="shared" si="32"/>
        <v>#VALUE!</v>
      </c>
      <c r="V120" s="5" t="e">
        <f t="shared" si="33"/>
        <v>#VALUE!</v>
      </c>
    </row>
    <row r="121" spans="1:22">
      <c r="A121" s="33" t="e">
        <f>IF(Tabela1[[#This Row],[Código]]="IBOV","^BVSP",IF(Tabela1[[#This Row],[Código]]="","",CONCATENATE(LEFT(Tabela1[[#This Row],[Código]],6),".SA")))</f>
        <v>#VALUE!</v>
      </c>
      <c r="J121" s="3" t="e">
        <f t="shared" si="27"/>
        <v>#VALUE!</v>
      </c>
      <c r="K121" s="3" t="e">
        <f t="shared" si="34"/>
        <v>#VALUE!</v>
      </c>
      <c r="L121" s="3" t="e">
        <f t="shared" si="34"/>
        <v>#VALUE!</v>
      </c>
      <c r="M121" s="3" t="e">
        <f t="shared" si="34"/>
        <v>#VALUE!</v>
      </c>
      <c r="Q121" s="10" t="e">
        <f t="shared" si="28"/>
        <v>#VALUE!</v>
      </c>
      <c r="R121" s="51" t="e">
        <f t="shared" si="29"/>
        <v>#VALUE!</v>
      </c>
      <c r="S121" s="5" t="e">
        <f t="shared" si="30"/>
        <v>#VALUE!</v>
      </c>
      <c r="T121" s="5" t="e">
        <f t="shared" si="31"/>
        <v>#VALUE!</v>
      </c>
      <c r="U121" s="5" t="e">
        <f t="shared" si="32"/>
        <v>#VALUE!</v>
      </c>
      <c r="V121" s="5" t="e">
        <f t="shared" si="33"/>
        <v>#VALUE!</v>
      </c>
    </row>
    <row r="122" spans="1:22">
      <c r="A122" s="33" t="e">
        <f>IF(Tabela1[[#This Row],[Código]]="IBOV","^BVSP",IF(Tabela1[[#This Row],[Código]]="","",CONCATENATE(LEFT(Tabela1[[#This Row],[Código]],6),".SA")))</f>
        <v>#VALUE!</v>
      </c>
      <c r="J122" s="3" t="e">
        <f t="shared" si="20"/>
        <v>#VALUE!</v>
      </c>
      <c r="K122" s="3" t="e">
        <f t="shared" si="34"/>
        <v>#VALUE!</v>
      </c>
      <c r="L122" s="3" t="e">
        <f t="shared" si="34"/>
        <v>#VALUE!</v>
      </c>
      <c r="M122" s="3" t="e">
        <f t="shared" si="34"/>
        <v>#VALUE!</v>
      </c>
      <c r="Q122" s="10" t="e">
        <f t="shared" si="28"/>
        <v>#VALUE!</v>
      </c>
      <c r="R122" s="51" t="e">
        <f t="shared" si="29"/>
        <v>#VALUE!</v>
      </c>
      <c r="S122" s="5" t="e">
        <f t="shared" si="30"/>
        <v>#VALUE!</v>
      </c>
      <c r="T122" s="5" t="e">
        <f t="shared" si="31"/>
        <v>#VALUE!</v>
      </c>
      <c r="U122" s="5" t="e">
        <f t="shared" si="32"/>
        <v>#VALUE!</v>
      </c>
      <c r="V122" s="5" t="e">
        <f t="shared" si="33"/>
        <v>#VALUE!</v>
      </c>
    </row>
    <row r="123" spans="1:22">
      <c r="A123" s="33" t="e">
        <f>IF(Tabela1[[#This Row],[Código]]="IBOV","^BVSP",IF(Tabela1[[#This Row],[Código]]="","",CONCATENATE(LEFT(Tabela1[[#This Row],[Código]],6),".SA")))</f>
        <v>#VALUE!</v>
      </c>
      <c r="J123" s="3" t="e">
        <f>IF($A123="",0,VALUE(CONCATENATE(LEFT(D123,LEN(D123)-3),",",RIGHT(D123,2))))</f>
        <v>#VALUE!</v>
      </c>
      <c r="K123" s="3" t="e">
        <f t="shared" si="34"/>
        <v>#VALUE!</v>
      </c>
      <c r="L123" s="3" t="e">
        <f t="shared" si="34"/>
        <v>#VALUE!</v>
      </c>
      <c r="M123" s="3" t="e">
        <f t="shared" si="34"/>
        <v>#VALUE!</v>
      </c>
      <c r="Q123" s="10" t="e">
        <f t="shared" si="28"/>
        <v>#VALUE!</v>
      </c>
      <c r="R123" s="51" t="e">
        <f t="shared" si="29"/>
        <v>#VALUE!</v>
      </c>
      <c r="S123" s="5" t="e">
        <f t="shared" si="30"/>
        <v>#VALUE!</v>
      </c>
      <c r="T123" s="5" t="e">
        <f t="shared" si="31"/>
        <v>#VALUE!</v>
      </c>
      <c r="U123" s="5" t="e">
        <f t="shared" si="32"/>
        <v>#VALUE!</v>
      </c>
      <c r="V123" s="5" t="e">
        <f t="shared" si="33"/>
        <v>#VALUE!</v>
      </c>
    </row>
    <row r="124" spans="1:22">
      <c r="A124" s="33" t="e">
        <f>IF(Tabela1[[#This Row],[Código]]="IBOV","^BVSP",IF(Tabela1[[#This Row],[Código]]="","",CONCATENATE(LEFT(Tabela1[[#This Row],[Código]],6),".SA")))</f>
        <v>#VALUE!</v>
      </c>
      <c r="J124" s="3" t="e">
        <f t="shared" si="20"/>
        <v>#VALUE!</v>
      </c>
      <c r="K124" s="3" t="e">
        <f t="shared" si="34"/>
        <v>#VALUE!</v>
      </c>
      <c r="L124" s="3" t="e">
        <f t="shared" si="34"/>
        <v>#VALUE!</v>
      </c>
      <c r="M124" s="3" t="e">
        <f t="shared" si="34"/>
        <v>#VALUE!</v>
      </c>
      <c r="Q124" s="10" t="e">
        <f t="shared" si="28"/>
        <v>#VALUE!</v>
      </c>
      <c r="R124" s="51" t="e">
        <f t="shared" si="29"/>
        <v>#VALUE!</v>
      </c>
      <c r="S124" s="5" t="e">
        <f t="shared" si="30"/>
        <v>#VALUE!</v>
      </c>
      <c r="T124" s="5" t="e">
        <f t="shared" si="31"/>
        <v>#VALUE!</v>
      </c>
      <c r="U124" s="5" t="e">
        <f t="shared" si="32"/>
        <v>#VALUE!</v>
      </c>
      <c r="V124" s="5" t="e">
        <f t="shared" si="33"/>
        <v>#VALUE!</v>
      </c>
    </row>
    <row r="125" spans="1:22">
      <c r="A125" s="33" t="e">
        <f>IF(Tabela1[[#This Row],[Código]]="IBOV","^BVSP",IF(Tabela1[[#This Row],[Código]]="","",CONCATENATE(LEFT(Tabela1[[#This Row],[Código]],6),".SA")))</f>
        <v>#VALUE!</v>
      </c>
      <c r="J125" s="3" t="e">
        <f t="shared" si="20"/>
        <v>#VALUE!</v>
      </c>
      <c r="K125" s="3" t="e">
        <f t="shared" si="34"/>
        <v>#VALUE!</v>
      </c>
      <c r="L125" s="3" t="e">
        <f t="shared" si="34"/>
        <v>#VALUE!</v>
      </c>
      <c r="M125" s="3" t="e">
        <f t="shared" si="34"/>
        <v>#VALUE!</v>
      </c>
      <c r="Q125" s="10" t="e">
        <f t="shared" si="28"/>
        <v>#VALUE!</v>
      </c>
      <c r="R125" s="51" t="e">
        <f t="shared" si="29"/>
        <v>#VALUE!</v>
      </c>
      <c r="S125" s="5" t="e">
        <f t="shared" si="30"/>
        <v>#VALUE!</v>
      </c>
      <c r="T125" s="5" t="e">
        <f t="shared" si="31"/>
        <v>#VALUE!</v>
      </c>
      <c r="U125" s="5" t="e">
        <f t="shared" si="32"/>
        <v>#VALUE!</v>
      </c>
      <c r="V125" s="5" t="e">
        <f t="shared" si="33"/>
        <v>#VALUE!</v>
      </c>
    </row>
    <row r="126" spans="1:22">
      <c r="A126" s="33" t="e">
        <f>IF(Tabela1[[#This Row],[Código]]="IBOV","^BVSP",IF(Tabela1[[#This Row],[Código]]="","",CONCATENATE(LEFT(Tabela1[[#This Row],[Código]],6),".SA")))</f>
        <v>#VALUE!</v>
      </c>
      <c r="J126" s="3" t="e">
        <f t="shared" si="20"/>
        <v>#VALUE!</v>
      </c>
      <c r="K126" s="3" t="e">
        <f t="shared" si="34"/>
        <v>#VALUE!</v>
      </c>
      <c r="L126" s="3" t="e">
        <f t="shared" si="34"/>
        <v>#VALUE!</v>
      </c>
      <c r="M126" s="3" t="e">
        <f t="shared" si="34"/>
        <v>#VALUE!</v>
      </c>
      <c r="Q126" s="10" t="e">
        <f t="shared" si="28"/>
        <v>#VALUE!</v>
      </c>
      <c r="R126" s="51" t="e">
        <f t="shared" si="29"/>
        <v>#VALUE!</v>
      </c>
      <c r="S126" s="5" t="e">
        <f t="shared" si="30"/>
        <v>#VALUE!</v>
      </c>
      <c r="T126" s="5" t="e">
        <f t="shared" si="31"/>
        <v>#VALUE!</v>
      </c>
      <c r="U126" s="5" t="e">
        <f t="shared" si="32"/>
        <v>#VALUE!</v>
      </c>
      <c r="V126" s="5" t="e">
        <f t="shared" si="33"/>
        <v>#VALUE!</v>
      </c>
    </row>
    <row r="127" spans="1:22">
      <c r="A127" s="33" t="e">
        <f>IF(Tabela1[[#This Row],[Código]]="IBOV","^BVSP",IF(Tabela1[[#This Row],[Código]]="","",CONCATENATE(LEFT(Tabela1[[#This Row],[Código]],6),".SA")))</f>
        <v>#VALUE!</v>
      </c>
      <c r="J127" s="3" t="e">
        <f t="shared" si="20"/>
        <v>#VALUE!</v>
      </c>
      <c r="K127" s="3" t="e">
        <f t="shared" si="34"/>
        <v>#VALUE!</v>
      </c>
      <c r="L127" s="3" t="e">
        <f t="shared" si="34"/>
        <v>#VALUE!</v>
      </c>
      <c r="M127" s="3" t="e">
        <f t="shared" si="34"/>
        <v>#VALUE!</v>
      </c>
      <c r="Q127" s="10" t="e">
        <f t="shared" si="28"/>
        <v>#VALUE!</v>
      </c>
      <c r="R127" s="51" t="e">
        <f t="shared" si="29"/>
        <v>#VALUE!</v>
      </c>
      <c r="S127" s="5" t="e">
        <f t="shared" si="30"/>
        <v>#VALUE!</v>
      </c>
      <c r="T127" s="5" t="e">
        <f t="shared" si="31"/>
        <v>#VALUE!</v>
      </c>
      <c r="U127" s="5" t="e">
        <f t="shared" si="32"/>
        <v>#VALUE!</v>
      </c>
      <c r="V127" s="5" t="e">
        <f t="shared" si="33"/>
        <v>#VALUE!</v>
      </c>
    </row>
    <row r="128" spans="1:22">
      <c r="A128" s="33" t="e">
        <f>IF(Tabela1[[#This Row],[Código]]="IBOV","^BVSP",IF(Tabela1[[#This Row],[Código]]="","",CONCATENATE(LEFT(Tabela1[[#This Row],[Código]],6),".SA")))</f>
        <v>#VALUE!</v>
      </c>
      <c r="J128" s="3" t="e">
        <f t="shared" si="20"/>
        <v>#VALUE!</v>
      </c>
      <c r="K128" s="3" t="e">
        <f t="shared" si="34"/>
        <v>#VALUE!</v>
      </c>
      <c r="L128" s="3" t="e">
        <f t="shared" si="34"/>
        <v>#VALUE!</v>
      </c>
      <c r="M128" s="3" t="e">
        <f t="shared" si="34"/>
        <v>#VALUE!</v>
      </c>
      <c r="Q128" s="10" t="e">
        <f t="shared" si="28"/>
        <v>#VALUE!</v>
      </c>
      <c r="R128" s="51" t="e">
        <f t="shared" si="29"/>
        <v>#VALUE!</v>
      </c>
      <c r="S128" s="5" t="e">
        <f t="shared" si="30"/>
        <v>#VALUE!</v>
      </c>
      <c r="T128" s="5" t="e">
        <f t="shared" si="31"/>
        <v>#VALUE!</v>
      </c>
      <c r="U128" s="5" t="e">
        <f t="shared" si="32"/>
        <v>#VALUE!</v>
      </c>
      <c r="V128" s="5" t="e">
        <f t="shared" si="33"/>
        <v>#VALUE!</v>
      </c>
    </row>
    <row r="129" spans="1:22">
      <c r="A129" s="33" t="e">
        <f>IF(Tabela1[[#This Row],[Código]]="IBOV","^BVSP",IF(Tabela1[[#This Row],[Código]]="","",CONCATENATE(LEFT(Tabela1[[#This Row],[Código]],6),".SA")))</f>
        <v>#VALUE!</v>
      </c>
      <c r="J129" s="3" t="e">
        <f t="shared" si="20"/>
        <v>#VALUE!</v>
      </c>
      <c r="K129" s="3" t="e">
        <f t="shared" si="34"/>
        <v>#VALUE!</v>
      </c>
      <c r="L129" s="3" t="e">
        <f t="shared" si="34"/>
        <v>#VALUE!</v>
      </c>
      <c r="M129" s="3" t="e">
        <f t="shared" si="34"/>
        <v>#VALUE!</v>
      </c>
      <c r="P129" s="4"/>
      <c r="Q129" s="10" t="e">
        <f t="shared" si="28"/>
        <v>#VALUE!</v>
      </c>
      <c r="R129" s="51" t="e">
        <f t="shared" si="29"/>
        <v>#VALUE!</v>
      </c>
      <c r="S129" s="5" t="e">
        <f t="shared" si="30"/>
        <v>#VALUE!</v>
      </c>
      <c r="T129" s="5" t="e">
        <f t="shared" si="31"/>
        <v>#VALUE!</v>
      </c>
      <c r="U129" s="5" t="e">
        <f t="shared" si="32"/>
        <v>#VALUE!</v>
      </c>
      <c r="V129" s="5" t="e">
        <f t="shared" si="33"/>
        <v>#VALUE!</v>
      </c>
    </row>
    <row r="130" spans="1:22">
      <c r="A130" s="33" t="e">
        <f>IF(Tabela1[[#This Row],[Código]]="IBOV","^BVSP",IF(Tabela1[[#This Row],[Código]]="","",CONCATENATE(LEFT(Tabela1[[#This Row],[Código]],6),".SA")))</f>
        <v>#VALUE!</v>
      </c>
      <c r="J130" s="3" t="e">
        <f t="shared" si="20"/>
        <v>#VALUE!</v>
      </c>
      <c r="K130" s="3" t="e">
        <f t="shared" si="34"/>
        <v>#VALUE!</v>
      </c>
      <c r="L130" s="3" t="e">
        <f t="shared" si="34"/>
        <v>#VALUE!</v>
      </c>
      <c r="M130" s="3" t="e">
        <f t="shared" si="34"/>
        <v>#VALUE!</v>
      </c>
      <c r="P130" s="10"/>
      <c r="Q130" s="10" t="str">
        <f t="shared" si="28"/>
        <v/>
      </c>
      <c r="R130" s="51" t="str">
        <f t="shared" si="29"/>
        <v/>
      </c>
      <c r="S130" s="5">
        <f t="shared" si="30"/>
        <v>0</v>
      </c>
      <c r="T130" s="5">
        <f t="shared" si="31"/>
        <v>0</v>
      </c>
      <c r="U130" s="5">
        <f t="shared" si="32"/>
        <v>0</v>
      </c>
      <c r="V130" s="5">
        <f t="shared" si="33"/>
        <v>0</v>
      </c>
    </row>
    <row r="131" spans="1:22">
      <c r="A131" s="33" t="e">
        <f>IF(Tabela1[[#This Row],[Código]]="IBOV","^BVSP",IF(Tabela1[[#This Row],[Código]]="","",CONCATENATE(LEFT(Tabela1[[#This Row],[Código]],6),".SA")))</f>
        <v>#VALUE!</v>
      </c>
      <c r="J131" s="3" t="e">
        <f t="shared" si="20"/>
        <v>#VALUE!</v>
      </c>
      <c r="K131" s="3" t="e">
        <f t="shared" si="34"/>
        <v>#VALUE!</v>
      </c>
      <c r="L131" s="3" t="e">
        <f t="shared" si="34"/>
        <v>#VALUE!</v>
      </c>
      <c r="M131" s="3" t="e">
        <f t="shared" si="34"/>
        <v>#VALUE!</v>
      </c>
      <c r="Q131" s="10" t="str">
        <f t="shared" si="28"/>
        <v/>
      </c>
      <c r="R131" s="51" t="str">
        <f t="shared" si="29"/>
        <v/>
      </c>
      <c r="S131" s="5">
        <f t="shared" si="30"/>
        <v>0</v>
      </c>
      <c r="T131" s="5">
        <f t="shared" si="31"/>
        <v>0</v>
      </c>
      <c r="U131" s="5">
        <f t="shared" si="32"/>
        <v>0</v>
      </c>
      <c r="V131" s="5">
        <f t="shared" si="33"/>
        <v>0</v>
      </c>
    </row>
    <row r="132" spans="1:22">
      <c r="A132" s="33" t="e">
        <f>IF(Tabela1[[#This Row],[Código]]="IBOV","^BVSP",IF(Tabela1[[#This Row],[Código]]="","",CONCATENATE(LEFT(Tabela1[[#This Row],[Código]],6),".SA")))</f>
        <v>#VALUE!</v>
      </c>
      <c r="J132" s="3" t="e">
        <f t="shared" si="20"/>
        <v>#VALUE!</v>
      </c>
      <c r="K132" s="3" t="e">
        <f t="shared" si="34"/>
        <v>#VALUE!</v>
      </c>
      <c r="L132" s="3" t="e">
        <f t="shared" si="34"/>
        <v>#VALUE!</v>
      </c>
      <c r="M132" s="3" t="e">
        <f t="shared" si="34"/>
        <v>#VALUE!</v>
      </c>
      <c r="P132" s="3" t="str">
        <f>IF([1]Patrimonio!C143="","",[1]Patrimonio!C143)</f>
        <v/>
      </c>
      <c r="Q132" s="3" t="str">
        <f t="shared" ref="Q132:Q144" si="35">IF(A148="","",C149)</f>
        <v/>
      </c>
      <c r="R132" s="20" t="str">
        <f t="shared" ref="R132:R158" si="36">IF(A148="","",H148)</f>
        <v/>
      </c>
      <c r="S132" s="5">
        <f t="shared" ref="S132:V135" si="37">J148</f>
        <v>0</v>
      </c>
      <c r="T132" s="5">
        <f t="shared" si="37"/>
        <v>0</v>
      </c>
      <c r="U132" s="5">
        <f t="shared" si="37"/>
        <v>0</v>
      </c>
      <c r="V132" s="5">
        <f t="shared" si="37"/>
        <v>0</v>
      </c>
    </row>
    <row r="133" spans="1:22">
      <c r="A133" s="33" t="e">
        <f>IF(Tabela1[[#This Row],[Código]]="IBOV","^BVSP",IF(Tabela1[[#This Row],[Código]]="","",CONCATENATE(LEFT(Tabela1[[#This Row],[Código]],6),".SA")))</f>
        <v>#VALUE!</v>
      </c>
      <c r="J133" s="3" t="e">
        <f t="shared" si="20"/>
        <v>#VALUE!</v>
      </c>
      <c r="K133" s="3" t="e">
        <f t="shared" si="34"/>
        <v>#VALUE!</v>
      </c>
      <c r="L133" s="3" t="e">
        <f t="shared" si="34"/>
        <v>#VALUE!</v>
      </c>
      <c r="M133" s="3" t="e">
        <f t="shared" si="34"/>
        <v>#VALUE!</v>
      </c>
      <c r="P133" s="3" t="str">
        <f>IF([1]Patrimonio!C144="","",[1]Patrimonio!C144)</f>
        <v/>
      </c>
      <c r="Q133" s="3" t="str">
        <f t="shared" si="35"/>
        <v/>
      </c>
      <c r="R133" s="20" t="str">
        <f t="shared" si="36"/>
        <v/>
      </c>
      <c r="S133" s="5">
        <f t="shared" si="37"/>
        <v>0</v>
      </c>
      <c r="T133" s="5">
        <f t="shared" si="37"/>
        <v>0</v>
      </c>
      <c r="U133" s="5">
        <f t="shared" si="37"/>
        <v>0</v>
      </c>
      <c r="V133" s="5">
        <f t="shared" si="37"/>
        <v>0</v>
      </c>
    </row>
    <row r="134" spans="1:22">
      <c r="A134" s="33"/>
      <c r="J134" s="3">
        <f t="shared" si="20"/>
        <v>0</v>
      </c>
      <c r="K134" s="3">
        <f t="shared" si="34"/>
        <v>0</v>
      </c>
      <c r="L134" s="3">
        <f t="shared" si="34"/>
        <v>0</v>
      </c>
      <c r="M134" s="3">
        <f t="shared" si="34"/>
        <v>0</v>
      </c>
      <c r="P134" s="3" t="str">
        <f>IF([1]Patrimonio!C145="","",[1]Patrimonio!C145)</f>
        <v/>
      </c>
      <c r="Q134" s="3" t="str">
        <f t="shared" si="35"/>
        <v/>
      </c>
      <c r="R134" s="20" t="str">
        <f t="shared" si="36"/>
        <v/>
      </c>
      <c r="S134" s="5">
        <f t="shared" si="37"/>
        <v>0</v>
      </c>
      <c r="T134" s="5">
        <f t="shared" si="37"/>
        <v>0</v>
      </c>
      <c r="U134" s="5">
        <f t="shared" si="37"/>
        <v>0</v>
      </c>
      <c r="V134" s="5">
        <f t="shared" si="37"/>
        <v>0</v>
      </c>
    </row>
    <row r="135" spans="1:22">
      <c r="A135" s="33"/>
      <c r="J135" s="3">
        <f t="shared" si="20"/>
        <v>0</v>
      </c>
      <c r="K135" s="3">
        <f t="shared" si="34"/>
        <v>0</v>
      </c>
      <c r="L135" s="3">
        <f t="shared" si="34"/>
        <v>0</v>
      </c>
      <c r="M135" s="3">
        <f t="shared" si="34"/>
        <v>0</v>
      </c>
      <c r="P135" s="3" t="str">
        <f>IF([1]Patrimonio!C146="","",[1]Patrimonio!C146)</f>
        <v/>
      </c>
      <c r="Q135" s="3" t="str">
        <f t="shared" si="35"/>
        <v/>
      </c>
      <c r="R135" s="20" t="str">
        <f t="shared" si="36"/>
        <v/>
      </c>
      <c r="S135" s="5">
        <f t="shared" si="37"/>
        <v>0</v>
      </c>
      <c r="T135" s="5">
        <f t="shared" si="37"/>
        <v>0</v>
      </c>
      <c r="U135" s="5">
        <f t="shared" si="37"/>
        <v>0</v>
      </c>
      <c r="V135" s="5">
        <f t="shared" si="37"/>
        <v>0</v>
      </c>
    </row>
    <row r="136" spans="1:22">
      <c r="A136" s="33"/>
      <c r="J136" s="3">
        <f t="shared" ref="J136:J172" si="38">IF($A136="",0,VALUE(CONCATENATE(LEFT(D136,LEN(D136)-3),",",RIGHT(D136,2))))</f>
        <v>0</v>
      </c>
      <c r="K136" s="3">
        <f t="shared" si="34"/>
        <v>0</v>
      </c>
      <c r="L136" s="3">
        <f t="shared" si="34"/>
        <v>0</v>
      </c>
      <c r="M136" s="3">
        <f t="shared" si="34"/>
        <v>0</v>
      </c>
      <c r="P136" s="3" t="str">
        <f>IF([1]Patrimonio!C147="","",[1]Patrimonio!C147)</f>
        <v/>
      </c>
      <c r="Q136" s="3" t="str">
        <f t="shared" si="35"/>
        <v/>
      </c>
      <c r="R136" s="20" t="str">
        <f t="shared" si="36"/>
        <v/>
      </c>
      <c r="S136" s="5">
        <f t="shared" ref="S136:V158" si="39">J152</f>
        <v>0</v>
      </c>
      <c r="T136" s="5">
        <f t="shared" si="39"/>
        <v>0</v>
      </c>
      <c r="U136" s="5">
        <f t="shared" si="39"/>
        <v>0</v>
      </c>
      <c r="V136" s="5">
        <f t="shared" si="39"/>
        <v>0</v>
      </c>
    </row>
    <row r="137" spans="1:22">
      <c r="A137" s="33"/>
      <c r="J137" s="3">
        <f t="shared" si="38"/>
        <v>0</v>
      </c>
      <c r="K137" s="3">
        <f t="shared" si="34"/>
        <v>0</v>
      </c>
      <c r="L137" s="3">
        <f t="shared" si="34"/>
        <v>0</v>
      </c>
      <c r="M137" s="3">
        <f t="shared" si="34"/>
        <v>0</v>
      </c>
      <c r="P137" s="3" t="str">
        <f>IF([1]Patrimonio!C148="","",[1]Patrimonio!C148)</f>
        <v/>
      </c>
      <c r="Q137" s="3" t="str">
        <f t="shared" si="35"/>
        <v/>
      </c>
      <c r="R137" s="20" t="str">
        <f t="shared" si="36"/>
        <v/>
      </c>
      <c r="S137" s="5">
        <f t="shared" si="39"/>
        <v>0</v>
      </c>
      <c r="T137" s="5">
        <f t="shared" si="39"/>
        <v>0</v>
      </c>
      <c r="U137" s="5">
        <f t="shared" si="39"/>
        <v>0</v>
      </c>
      <c r="V137" s="5">
        <f t="shared" si="39"/>
        <v>0</v>
      </c>
    </row>
    <row r="138" spans="1:22">
      <c r="A138" s="33"/>
      <c r="J138" s="3">
        <f t="shared" si="38"/>
        <v>0</v>
      </c>
      <c r="K138" s="3">
        <f t="shared" si="34"/>
        <v>0</v>
      </c>
      <c r="L138" s="3">
        <f t="shared" si="34"/>
        <v>0</v>
      </c>
      <c r="M138" s="3">
        <f t="shared" si="34"/>
        <v>0</v>
      </c>
      <c r="P138" s="3" t="str">
        <f>IF([1]Patrimonio!C149="","",[1]Patrimonio!C149)</f>
        <v/>
      </c>
      <c r="Q138" s="3" t="str">
        <f t="shared" si="35"/>
        <v/>
      </c>
      <c r="R138" s="20" t="str">
        <f t="shared" si="36"/>
        <v/>
      </c>
      <c r="S138" s="5">
        <f t="shared" si="39"/>
        <v>0</v>
      </c>
      <c r="T138" s="5">
        <f t="shared" si="39"/>
        <v>0</v>
      </c>
      <c r="U138" s="5">
        <f t="shared" si="39"/>
        <v>0</v>
      </c>
      <c r="V138" s="5">
        <f t="shared" si="39"/>
        <v>0</v>
      </c>
    </row>
    <row r="139" spans="1:22">
      <c r="A139" s="33"/>
      <c r="J139" s="3">
        <f t="shared" si="38"/>
        <v>0</v>
      </c>
      <c r="K139" s="3">
        <f t="shared" si="34"/>
        <v>0</v>
      </c>
      <c r="L139" s="3">
        <f t="shared" si="34"/>
        <v>0</v>
      </c>
      <c r="M139" s="3">
        <f t="shared" si="34"/>
        <v>0</v>
      </c>
      <c r="P139" s="3" t="str">
        <f>IF([1]Patrimonio!C150="","",[1]Patrimonio!C150)</f>
        <v/>
      </c>
      <c r="Q139" s="3" t="str">
        <f t="shared" si="35"/>
        <v/>
      </c>
      <c r="R139" s="20" t="str">
        <f t="shared" si="36"/>
        <v/>
      </c>
      <c r="S139" s="5">
        <f t="shared" si="39"/>
        <v>0</v>
      </c>
      <c r="T139" s="5">
        <f t="shared" si="39"/>
        <v>0</v>
      </c>
      <c r="U139" s="5">
        <f t="shared" si="39"/>
        <v>0</v>
      </c>
      <c r="V139" s="5">
        <f t="shared" si="39"/>
        <v>0</v>
      </c>
    </row>
    <row r="140" spans="1:22">
      <c r="A140" s="33"/>
      <c r="J140" s="3">
        <f t="shared" si="38"/>
        <v>0</v>
      </c>
      <c r="K140" s="3">
        <f t="shared" si="34"/>
        <v>0</v>
      </c>
      <c r="L140" s="3">
        <f t="shared" si="34"/>
        <v>0</v>
      </c>
      <c r="M140" s="3">
        <f t="shared" si="34"/>
        <v>0</v>
      </c>
      <c r="P140" s="3" t="str">
        <f>IF([1]Patrimonio!C151="","",[1]Patrimonio!C151)</f>
        <v/>
      </c>
      <c r="Q140" s="3" t="str">
        <f t="shared" si="35"/>
        <v/>
      </c>
      <c r="R140" s="20" t="str">
        <f t="shared" si="36"/>
        <v/>
      </c>
      <c r="S140" s="5">
        <f t="shared" si="39"/>
        <v>0</v>
      </c>
      <c r="T140" s="5">
        <f t="shared" si="39"/>
        <v>0</v>
      </c>
      <c r="U140" s="5">
        <f t="shared" si="39"/>
        <v>0</v>
      </c>
      <c r="V140" s="5">
        <f t="shared" si="39"/>
        <v>0</v>
      </c>
    </row>
    <row r="141" spans="1:22">
      <c r="A141" s="33"/>
      <c r="J141" s="3">
        <f t="shared" si="38"/>
        <v>0</v>
      </c>
      <c r="K141" s="3">
        <f t="shared" si="34"/>
        <v>0</v>
      </c>
      <c r="L141" s="3">
        <f t="shared" si="34"/>
        <v>0</v>
      </c>
      <c r="M141" s="3">
        <f t="shared" si="34"/>
        <v>0</v>
      </c>
      <c r="P141" s="3" t="str">
        <f>IF([1]Patrimonio!C152="","",[1]Patrimonio!C152)</f>
        <v/>
      </c>
      <c r="Q141" s="3" t="str">
        <f t="shared" si="35"/>
        <v/>
      </c>
      <c r="R141" s="20" t="str">
        <f t="shared" si="36"/>
        <v/>
      </c>
      <c r="S141" s="5">
        <f t="shared" si="39"/>
        <v>0</v>
      </c>
      <c r="T141" s="5">
        <f t="shared" si="39"/>
        <v>0</v>
      </c>
      <c r="U141" s="5">
        <f t="shared" si="39"/>
        <v>0</v>
      </c>
      <c r="V141" s="5">
        <f t="shared" si="39"/>
        <v>0</v>
      </c>
    </row>
    <row r="142" spans="1:22">
      <c r="A142" s="33"/>
      <c r="J142" s="3">
        <f t="shared" si="38"/>
        <v>0</v>
      </c>
      <c r="K142" s="3">
        <f t="shared" si="34"/>
        <v>0</v>
      </c>
      <c r="L142" s="3">
        <f t="shared" si="34"/>
        <v>0</v>
      </c>
      <c r="M142" s="3">
        <f t="shared" si="34"/>
        <v>0</v>
      </c>
      <c r="P142" s="3" t="str">
        <f>IF([1]Patrimonio!C153="","",[1]Patrimonio!C153)</f>
        <v/>
      </c>
      <c r="Q142" s="3" t="str">
        <f t="shared" si="35"/>
        <v/>
      </c>
      <c r="R142" s="20" t="str">
        <f t="shared" si="36"/>
        <v/>
      </c>
      <c r="S142" s="5">
        <f t="shared" si="39"/>
        <v>0</v>
      </c>
      <c r="T142" s="5">
        <f t="shared" si="39"/>
        <v>0</v>
      </c>
      <c r="U142" s="5">
        <f t="shared" si="39"/>
        <v>0</v>
      </c>
      <c r="V142" s="5">
        <f t="shared" si="39"/>
        <v>0</v>
      </c>
    </row>
    <row r="143" spans="1:22">
      <c r="A143" s="33"/>
      <c r="J143" s="3">
        <f t="shared" si="38"/>
        <v>0</v>
      </c>
      <c r="K143" s="3">
        <f t="shared" si="34"/>
        <v>0</v>
      </c>
      <c r="L143" s="3">
        <f t="shared" si="34"/>
        <v>0</v>
      </c>
      <c r="M143" s="3">
        <f t="shared" si="34"/>
        <v>0</v>
      </c>
      <c r="P143" s="3" t="str">
        <f>IF([1]Patrimonio!C154="","",[1]Patrimonio!C154)</f>
        <v/>
      </c>
      <c r="Q143" s="3" t="str">
        <f t="shared" si="35"/>
        <v/>
      </c>
      <c r="R143" s="20" t="str">
        <f t="shared" si="36"/>
        <v/>
      </c>
      <c r="S143" s="5">
        <f t="shared" si="39"/>
        <v>0</v>
      </c>
      <c r="T143" s="5">
        <f t="shared" si="39"/>
        <v>0</v>
      </c>
      <c r="U143" s="5">
        <f t="shared" si="39"/>
        <v>0</v>
      </c>
      <c r="V143" s="5">
        <f t="shared" si="39"/>
        <v>0</v>
      </c>
    </row>
    <row r="144" spans="1:22">
      <c r="A144" s="33"/>
      <c r="J144" s="3">
        <f t="shared" si="38"/>
        <v>0</v>
      </c>
      <c r="K144" s="3">
        <f t="shared" si="34"/>
        <v>0</v>
      </c>
      <c r="L144" s="3">
        <f t="shared" si="34"/>
        <v>0</v>
      </c>
      <c r="M144" s="3">
        <f t="shared" si="34"/>
        <v>0</v>
      </c>
      <c r="P144" s="3" t="str">
        <f>IF([1]Patrimonio!C155="","",[1]Patrimonio!C155)</f>
        <v/>
      </c>
      <c r="Q144" s="3" t="str">
        <f t="shared" si="35"/>
        <v/>
      </c>
      <c r="R144" s="20" t="str">
        <f t="shared" si="36"/>
        <v/>
      </c>
      <c r="S144" s="5">
        <f t="shared" si="39"/>
        <v>0</v>
      </c>
      <c r="T144" s="5">
        <f t="shared" si="39"/>
        <v>0</v>
      </c>
      <c r="U144" s="5">
        <f t="shared" si="39"/>
        <v>0</v>
      </c>
      <c r="V144" s="5">
        <f t="shared" si="39"/>
        <v>0</v>
      </c>
    </row>
    <row r="145" spans="1:22">
      <c r="A145" s="33"/>
      <c r="J145" s="3">
        <f t="shared" si="38"/>
        <v>0</v>
      </c>
      <c r="K145" s="3">
        <f t="shared" si="34"/>
        <v>0</v>
      </c>
      <c r="L145" s="3">
        <f t="shared" si="34"/>
        <v>0</v>
      </c>
      <c r="M145" s="3">
        <f t="shared" si="34"/>
        <v>0</v>
      </c>
      <c r="P145" s="3" t="str">
        <f>IF([1]Patrimonio!C156="","",[1]Patrimonio!C156)</f>
        <v/>
      </c>
      <c r="Q145" s="3" t="str">
        <f t="shared" ref="Q145:Q158" si="40">IF(A161="","",C162)</f>
        <v/>
      </c>
      <c r="R145" s="20" t="str">
        <f t="shared" si="36"/>
        <v/>
      </c>
      <c r="S145" s="5">
        <f t="shared" si="39"/>
        <v>0</v>
      </c>
      <c r="T145" s="5">
        <f t="shared" si="39"/>
        <v>0</v>
      </c>
      <c r="U145" s="5">
        <f t="shared" si="39"/>
        <v>0</v>
      </c>
      <c r="V145" s="5">
        <f t="shared" si="39"/>
        <v>0</v>
      </c>
    </row>
    <row r="146" spans="1:22">
      <c r="A146" s="33"/>
      <c r="J146" s="3">
        <f t="shared" si="38"/>
        <v>0</v>
      </c>
      <c r="K146" s="3">
        <f t="shared" si="34"/>
        <v>0</v>
      </c>
      <c r="L146" s="3">
        <f t="shared" si="34"/>
        <v>0</v>
      </c>
      <c r="M146" s="3">
        <f t="shared" si="34"/>
        <v>0</v>
      </c>
      <c r="P146" s="3" t="str">
        <f>IF([1]Patrimonio!C157="","",[1]Patrimonio!C157)</f>
        <v/>
      </c>
      <c r="Q146" s="3" t="str">
        <f t="shared" si="40"/>
        <v/>
      </c>
      <c r="R146" s="20" t="str">
        <f t="shared" si="36"/>
        <v/>
      </c>
      <c r="S146" s="5">
        <f t="shared" si="39"/>
        <v>0</v>
      </c>
      <c r="T146" s="5">
        <f t="shared" si="39"/>
        <v>0</v>
      </c>
      <c r="U146" s="5">
        <f t="shared" si="39"/>
        <v>0</v>
      </c>
      <c r="V146" s="5">
        <f t="shared" si="39"/>
        <v>0</v>
      </c>
    </row>
    <row r="147" spans="1:22">
      <c r="A147" s="33"/>
      <c r="J147" s="3">
        <f t="shared" si="38"/>
        <v>0</v>
      </c>
      <c r="K147" s="3">
        <f t="shared" si="34"/>
        <v>0</v>
      </c>
      <c r="L147" s="3">
        <f t="shared" si="34"/>
        <v>0</v>
      </c>
      <c r="M147" s="3">
        <f t="shared" si="34"/>
        <v>0</v>
      </c>
      <c r="P147" s="3" t="str">
        <f>IF([1]Patrimonio!C158="","",[1]Patrimonio!C158)</f>
        <v/>
      </c>
      <c r="Q147" s="3" t="str">
        <f t="shared" si="40"/>
        <v/>
      </c>
      <c r="R147" s="20" t="str">
        <f t="shared" si="36"/>
        <v/>
      </c>
      <c r="S147" s="5">
        <f t="shared" si="39"/>
        <v>0</v>
      </c>
      <c r="T147" s="5">
        <f t="shared" si="39"/>
        <v>0</v>
      </c>
      <c r="U147" s="5">
        <f t="shared" si="39"/>
        <v>0</v>
      </c>
      <c r="V147" s="5">
        <f t="shared" si="39"/>
        <v>0</v>
      </c>
    </row>
    <row r="148" spans="1:22">
      <c r="A148" s="33"/>
      <c r="J148" s="3">
        <f t="shared" si="38"/>
        <v>0</v>
      </c>
      <c r="K148" s="3">
        <f t="shared" si="34"/>
        <v>0</v>
      </c>
      <c r="L148" s="3">
        <f t="shared" si="34"/>
        <v>0</v>
      </c>
      <c r="M148" s="3">
        <f t="shared" si="34"/>
        <v>0</v>
      </c>
      <c r="P148" s="3" t="str">
        <f>IF([1]Patrimonio!C159="","",[1]Patrimonio!C159)</f>
        <v/>
      </c>
      <c r="Q148" s="3" t="str">
        <f t="shared" si="40"/>
        <v/>
      </c>
      <c r="R148" s="20" t="str">
        <f t="shared" si="36"/>
        <v/>
      </c>
      <c r="S148" s="5">
        <f t="shared" si="39"/>
        <v>0</v>
      </c>
      <c r="T148" s="5">
        <f t="shared" si="39"/>
        <v>0</v>
      </c>
      <c r="U148" s="5">
        <f t="shared" si="39"/>
        <v>0</v>
      </c>
      <c r="V148" s="5">
        <f t="shared" si="39"/>
        <v>0</v>
      </c>
    </row>
    <row r="149" spans="1:22">
      <c r="A149" s="33"/>
      <c r="J149" s="3">
        <f t="shared" si="38"/>
        <v>0</v>
      </c>
      <c r="K149" s="3">
        <f t="shared" si="34"/>
        <v>0</v>
      </c>
      <c r="L149" s="3">
        <f t="shared" si="34"/>
        <v>0</v>
      </c>
      <c r="M149" s="3">
        <f t="shared" si="34"/>
        <v>0</v>
      </c>
      <c r="P149" s="3" t="str">
        <f>IF([1]Patrimonio!C160="","",[1]Patrimonio!C160)</f>
        <v/>
      </c>
      <c r="Q149" s="3" t="str">
        <f t="shared" si="40"/>
        <v/>
      </c>
      <c r="R149" s="20" t="str">
        <f t="shared" si="36"/>
        <v/>
      </c>
      <c r="S149" s="5">
        <f t="shared" si="39"/>
        <v>0</v>
      </c>
      <c r="T149" s="5">
        <f t="shared" si="39"/>
        <v>0</v>
      </c>
      <c r="U149" s="5">
        <f t="shared" si="39"/>
        <v>0</v>
      </c>
      <c r="V149" s="5">
        <f t="shared" si="39"/>
        <v>0</v>
      </c>
    </row>
    <row r="150" spans="1:22">
      <c r="A150" s="33"/>
      <c r="J150" s="3">
        <f t="shared" si="38"/>
        <v>0</v>
      </c>
      <c r="K150" s="3">
        <f t="shared" si="34"/>
        <v>0</v>
      </c>
      <c r="L150" s="3">
        <f t="shared" si="34"/>
        <v>0</v>
      </c>
      <c r="M150" s="3">
        <f t="shared" si="34"/>
        <v>0</v>
      </c>
      <c r="P150" s="3" t="str">
        <f>IF([1]Patrimonio!C161="","",[1]Patrimonio!C161)</f>
        <v/>
      </c>
      <c r="Q150" s="3" t="str">
        <f t="shared" si="40"/>
        <v/>
      </c>
      <c r="R150" s="20" t="str">
        <f t="shared" si="36"/>
        <v/>
      </c>
      <c r="S150" s="5">
        <f t="shared" si="39"/>
        <v>0</v>
      </c>
      <c r="T150" s="5">
        <f t="shared" si="39"/>
        <v>0</v>
      </c>
      <c r="U150" s="5">
        <f t="shared" si="39"/>
        <v>0</v>
      </c>
      <c r="V150" s="5">
        <f t="shared" si="39"/>
        <v>0</v>
      </c>
    </row>
    <row r="151" spans="1:22">
      <c r="A151" s="33"/>
      <c r="J151" s="3">
        <f t="shared" si="38"/>
        <v>0</v>
      </c>
      <c r="K151" s="3">
        <f t="shared" si="34"/>
        <v>0</v>
      </c>
      <c r="L151" s="3">
        <f t="shared" si="34"/>
        <v>0</v>
      </c>
      <c r="M151" s="3">
        <f t="shared" si="34"/>
        <v>0</v>
      </c>
      <c r="P151" s="3" t="str">
        <f>IF([1]Patrimonio!C162="","",[1]Patrimonio!C162)</f>
        <v/>
      </c>
      <c r="Q151" s="3" t="str">
        <f t="shared" si="40"/>
        <v/>
      </c>
      <c r="R151" s="20" t="str">
        <f t="shared" si="36"/>
        <v/>
      </c>
      <c r="S151" s="5">
        <f t="shared" si="39"/>
        <v>0</v>
      </c>
      <c r="T151" s="5">
        <f t="shared" si="39"/>
        <v>0</v>
      </c>
      <c r="U151" s="5">
        <f t="shared" si="39"/>
        <v>0</v>
      </c>
      <c r="V151" s="5">
        <f t="shared" si="39"/>
        <v>0</v>
      </c>
    </row>
    <row r="152" spans="1:22">
      <c r="A152" s="33"/>
      <c r="J152" s="3">
        <f t="shared" si="38"/>
        <v>0</v>
      </c>
      <c r="K152" s="3">
        <f t="shared" si="34"/>
        <v>0</v>
      </c>
      <c r="L152" s="3">
        <f t="shared" si="34"/>
        <v>0</v>
      </c>
      <c r="M152" s="3">
        <f t="shared" si="34"/>
        <v>0</v>
      </c>
      <c r="P152" s="3" t="str">
        <f>IF([1]Patrimonio!C163="","",[1]Patrimonio!C163)</f>
        <v/>
      </c>
      <c r="Q152" s="3" t="str">
        <f t="shared" si="40"/>
        <v/>
      </c>
      <c r="R152" s="20" t="str">
        <f t="shared" si="36"/>
        <v/>
      </c>
      <c r="S152" s="5">
        <f t="shared" si="39"/>
        <v>0</v>
      </c>
      <c r="T152" s="5">
        <f t="shared" si="39"/>
        <v>0</v>
      </c>
      <c r="U152" s="5">
        <f t="shared" si="39"/>
        <v>0</v>
      </c>
      <c r="V152" s="5">
        <f t="shared" si="39"/>
        <v>0</v>
      </c>
    </row>
    <row r="153" spans="1:22">
      <c r="A153" s="33"/>
      <c r="J153" s="3">
        <f t="shared" si="38"/>
        <v>0</v>
      </c>
      <c r="K153" s="3">
        <f t="shared" si="34"/>
        <v>0</v>
      </c>
      <c r="L153" s="3">
        <f t="shared" si="34"/>
        <v>0</v>
      </c>
      <c r="M153" s="3">
        <f t="shared" si="34"/>
        <v>0</v>
      </c>
      <c r="P153" s="3" t="str">
        <f>IF([1]Patrimonio!C164="","",[1]Patrimonio!C164)</f>
        <v/>
      </c>
      <c r="Q153" s="3" t="str">
        <f t="shared" si="40"/>
        <v/>
      </c>
      <c r="R153" s="20" t="str">
        <f t="shared" si="36"/>
        <v/>
      </c>
      <c r="S153" s="5">
        <f t="shared" si="39"/>
        <v>0</v>
      </c>
      <c r="T153" s="5">
        <f t="shared" si="39"/>
        <v>0</v>
      </c>
      <c r="U153" s="5">
        <f t="shared" si="39"/>
        <v>0</v>
      </c>
      <c r="V153" s="5">
        <f t="shared" si="39"/>
        <v>0</v>
      </c>
    </row>
    <row r="154" spans="1:22">
      <c r="A154" s="33"/>
      <c r="J154" s="3">
        <f t="shared" si="38"/>
        <v>0</v>
      </c>
      <c r="K154" s="3">
        <f t="shared" si="34"/>
        <v>0</v>
      </c>
      <c r="L154" s="3">
        <f t="shared" si="34"/>
        <v>0</v>
      </c>
      <c r="M154" s="3">
        <f t="shared" si="34"/>
        <v>0</v>
      </c>
      <c r="P154" s="3" t="str">
        <f>IF([1]Patrimonio!C165="","",[1]Patrimonio!C165)</f>
        <v/>
      </c>
      <c r="Q154" s="3" t="str">
        <f t="shared" si="40"/>
        <v/>
      </c>
      <c r="R154" s="20" t="str">
        <f t="shared" si="36"/>
        <v/>
      </c>
      <c r="S154" s="5">
        <f t="shared" si="39"/>
        <v>0</v>
      </c>
      <c r="T154" s="5">
        <f t="shared" si="39"/>
        <v>0</v>
      </c>
      <c r="U154" s="5">
        <f t="shared" si="39"/>
        <v>0</v>
      </c>
      <c r="V154" s="5">
        <f t="shared" si="39"/>
        <v>0</v>
      </c>
    </row>
    <row r="155" spans="1:22">
      <c r="A155" s="33"/>
      <c r="J155" s="3">
        <f t="shared" si="38"/>
        <v>0</v>
      </c>
      <c r="K155" s="3">
        <f t="shared" si="34"/>
        <v>0</v>
      </c>
      <c r="L155" s="3">
        <f t="shared" si="34"/>
        <v>0</v>
      </c>
      <c r="M155" s="3">
        <f t="shared" si="34"/>
        <v>0</v>
      </c>
      <c r="P155" s="3" t="str">
        <f>IF([1]Patrimonio!C166="","",[1]Patrimonio!C166)</f>
        <v/>
      </c>
      <c r="Q155" s="3" t="str">
        <f t="shared" si="40"/>
        <v/>
      </c>
      <c r="R155" s="20" t="str">
        <f t="shared" si="36"/>
        <v/>
      </c>
      <c r="S155" s="5">
        <f t="shared" si="39"/>
        <v>0</v>
      </c>
      <c r="T155" s="5">
        <f t="shared" si="39"/>
        <v>0</v>
      </c>
      <c r="U155" s="5">
        <f t="shared" si="39"/>
        <v>0</v>
      </c>
      <c r="V155" s="5">
        <f t="shared" si="39"/>
        <v>0</v>
      </c>
    </row>
    <row r="156" spans="1:22">
      <c r="A156" s="33"/>
      <c r="J156" s="3">
        <f t="shared" si="38"/>
        <v>0</v>
      </c>
      <c r="K156" s="3">
        <f t="shared" si="34"/>
        <v>0</v>
      </c>
      <c r="L156" s="3">
        <f t="shared" si="34"/>
        <v>0</v>
      </c>
      <c r="M156" s="3">
        <f t="shared" si="34"/>
        <v>0</v>
      </c>
      <c r="P156" s="3" t="str">
        <f>IF([1]Patrimonio!C167="","",[1]Patrimonio!C167)</f>
        <v/>
      </c>
      <c r="Q156" s="3" t="str">
        <f t="shared" si="40"/>
        <v/>
      </c>
      <c r="R156" s="20" t="str">
        <f t="shared" si="36"/>
        <v/>
      </c>
      <c r="S156" s="5">
        <f t="shared" si="39"/>
        <v>0</v>
      </c>
      <c r="T156" s="5">
        <f t="shared" si="39"/>
        <v>0</v>
      </c>
      <c r="U156" s="5">
        <f t="shared" si="39"/>
        <v>0</v>
      </c>
      <c r="V156" s="5">
        <f t="shared" si="39"/>
        <v>0</v>
      </c>
    </row>
    <row r="157" spans="1:22">
      <c r="A157" s="33"/>
      <c r="J157" s="3">
        <f t="shared" si="38"/>
        <v>0</v>
      </c>
      <c r="K157" s="3">
        <f t="shared" si="34"/>
        <v>0</v>
      </c>
      <c r="L157" s="3">
        <f t="shared" si="34"/>
        <v>0</v>
      </c>
      <c r="M157" s="3">
        <f t="shared" si="34"/>
        <v>0</v>
      </c>
      <c r="P157" s="3" t="str">
        <f>IF([1]Patrimonio!C168="","",[1]Patrimonio!C168)</f>
        <v/>
      </c>
      <c r="Q157" s="3" t="str">
        <f t="shared" si="40"/>
        <v/>
      </c>
      <c r="R157" s="20" t="str">
        <f t="shared" si="36"/>
        <v/>
      </c>
      <c r="S157" s="5">
        <f t="shared" si="39"/>
        <v>0</v>
      </c>
      <c r="T157" s="5">
        <f t="shared" si="39"/>
        <v>0</v>
      </c>
      <c r="U157" s="5">
        <f t="shared" si="39"/>
        <v>0</v>
      </c>
      <c r="V157" s="5">
        <f t="shared" si="39"/>
        <v>0</v>
      </c>
    </row>
    <row r="158" spans="1:22">
      <c r="A158" s="33"/>
      <c r="J158" s="3">
        <f t="shared" si="38"/>
        <v>0</v>
      </c>
      <c r="K158" s="3">
        <f t="shared" si="34"/>
        <v>0</v>
      </c>
      <c r="L158" s="3">
        <f t="shared" si="34"/>
        <v>0</v>
      </c>
      <c r="M158" s="3">
        <f t="shared" si="34"/>
        <v>0</v>
      </c>
      <c r="P158" s="3" t="str">
        <f>IF([1]Patrimonio!C169="","",[1]Patrimonio!C169)</f>
        <v/>
      </c>
      <c r="Q158" s="3" t="str">
        <f t="shared" si="40"/>
        <v/>
      </c>
      <c r="R158" s="20" t="str">
        <f t="shared" si="36"/>
        <v/>
      </c>
      <c r="S158" s="5">
        <f t="shared" si="39"/>
        <v>0</v>
      </c>
      <c r="T158" s="5">
        <f t="shared" si="39"/>
        <v>0</v>
      </c>
      <c r="U158" s="5">
        <f t="shared" si="39"/>
        <v>0</v>
      </c>
      <c r="V158" s="5">
        <f t="shared" si="39"/>
        <v>0</v>
      </c>
    </row>
    <row r="159" spans="1:22">
      <c r="A159" s="33"/>
      <c r="J159" s="3">
        <f t="shared" si="38"/>
        <v>0</v>
      </c>
      <c r="K159" s="3">
        <f t="shared" si="34"/>
        <v>0</v>
      </c>
      <c r="L159" s="3">
        <f t="shared" si="34"/>
        <v>0</v>
      </c>
      <c r="M159" s="3">
        <f t="shared" si="34"/>
        <v>0</v>
      </c>
    </row>
    <row r="160" spans="1:22">
      <c r="A160" s="33"/>
      <c r="J160" s="3">
        <f t="shared" si="38"/>
        <v>0</v>
      </c>
      <c r="K160" s="3">
        <f t="shared" si="34"/>
        <v>0</v>
      </c>
      <c r="L160" s="3">
        <f t="shared" si="34"/>
        <v>0</v>
      </c>
      <c r="M160" s="3">
        <f t="shared" si="34"/>
        <v>0</v>
      </c>
    </row>
    <row r="161" spans="1:13">
      <c r="A161" s="33"/>
      <c r="J161" s="3">
        <f t="shared" si="38"/>
        <v>0</v>
      </c>
      <c r="K161" s="3">
        <f t="shared" si="34"/>
        <v>0</v>
      </c>
      <c r="L161" s="3">
        <f t="shared" si="34"/>
        <v>0</v>
      </c>
      <c r="M161" s="3">
        <f t="shared" si="34"/>
        <v>0</v>
      </c>
    </row>
    <row r="162" spans="1:13">
      <c r="A162" s="33"/>
      <c r="J162" s="3">
        <f t="shared" si="38"/>
        <v>0</v>
      </c>
      <c r="K162" s="3">
        <f t="shared" si="34"/>
        <v>0</v>
      </c>
      <c r="L162" s="3">
        <f t="shared" si="34"/>
        <v>0</v>
      </c>
      <c r="M162" s="3">
        <f t="shared" si="34"/>
        <v>0</v>
      </c>
    </row>
    <row r="163" spans="1:13">
      <c r="A163" s="33"/>
      <c r="J163" s="3">
        <f t="shared" si="38"/>
        <v>0</v>
      </c>
      <c r="K163" s="3">
        <f t="shared" si="34"/>
        <v>0</v>
      </c>
      <c r="L163" s="3">
        <f t="shared" si="34"/>
        <v>0</v>
      </c>
      <c r="M163" s="3">
        <f t="shared" si="34"/>
        <v>0</v>
      </c>
    </row>
    <row r="164" spans="1:13">
      <c r="A164" s="33"/>
      <c r="J164" s="3">
        <f t="shared" si="38"/>
        <v>0</v>
      </c>
      <c r="K164" s="3">
        <f t="shared" si="34"/>
        <v>0</v>
      </c>
      <c r="L164" s="3">
        <f t="shared" si="34"/>
        <v>0</v>
      </c>
      <c r="M164" s="3">
        <f t="shared" si="34"/>
        <v>0</v>
      </c>
    </row>
    <row r="165" spans="1:13">
      <c r="A165" s="33"/>
      <c r="J165" s="3">
        <f t="shared" si="38"/>
        <v>0</v>
      </c>
      <c r="K165" s="3">
        <f t="shared" si="34"/>
        <v>0</v>
      </c>
      <c r="L165" s="3">
        <f t="shared" si="34"/>
        <v>0</v>
      </c>
      <c r="M165" s="3">
        <f t="shared" si="34"/>
        <v>0</v>
      </c>
    </row>
    <row r="166" spans="1:13">
      <c r="A166" s="33"/>
      <c r="J166" s="3">
        <f t="shared" si="38"/>
        <v>0</v>
      </c>
      <c r="K166" s="3">
        <f t="shared" si="34"/>
        <v>0</v>
      </c>
      <c r="L166" s="3">
        <f t="shared" si="34"/>
        <v>0</v>
      </c>
      <c r="M166" s="3">
        <f t="shared" si="34"/>
        <v>0</v>
      </c>
    </row>
    <row r="167" spans="1:13">
      <c r="A167" s="33"/>
      <c r="J167" s="3">
        <f t="shared" si="38"/>
        <v>0</v>
      </c>
      <c r="K167" s="3">
        <f t="shared" si="34"/>
        <v>0</v>
      </c>
      <c r="L167" s="3">
        <f t="shared" si="34"/>
        <v>0</v>
      </c>
      <c r="M167" s="3">
        <f t="shared" si="34"/>
        <v>0</v>
      </c>
    </row>
    <row r="168" spans="1:13">
      <c r="A168" s="33"/>
      <c r="J168" s="3">
        <f t="shared" si="38"/>
        <v>0</v>
      </c>
      <c r="K168" s="3">
        <f t="shared" si="34"/>
        <v>0</v>
      </c>
      <c r="L168" s="3">
        <f t="shared" si="34"/>
        <v>0</v>
      </c>
      <c r="M168" s="3">
        <f t="shared" si="34"/>
        <v>0</v>
      </c>
    </row>
    <row r="169" spans="1:13">
      <c r="A169" s="33"/>
      <c r="J169" s="3">
        <f t="shared" si="38"/>
        <v>0</v>
      </c>
      <c r="K169" s="3">
        <f t="shared" si="34"/>
        <v>0</v>
      </c>
      <c r="L169" s="3">
        <f t="shared" si="34"/>
        <v>0</v>
      </c>
      <c r="M169" s="3">
        <f t="shared" si="34"/>
        <v>0</v>
      </c>
    </row>
    <row r="170" spans="1:13">
      <c r="A170" s="33"/>
      <c r="J170" s="3">
        <f t="shared" si="38"/>
        <v>0</v>
      </c>
      <c r="K170" s="3">
        <f t="shared" si="34"/>
        <v>0</v>
      </c>
      <c r="L170" s="3">
        <f t="shared" si="34"/>
        <v>0</v>
      </c>
      <c r="M170" s="3">
        <f t="shared" si="34"/>
        <v>0</v>
      </c>
    </row>
    <row r="171" spans="1:13">
      <c r="A171" s="33"/>
      <c r="J171" s="3">
        <f t="shared" si="38"/>
        <v>0</v>
      </c>
      <c r="K171" s="3">
        <f t="shared" si="34"/>
        <v>0</v>
      </c>
      <c r="L171" s="3">
        <f t="shared" si="34"/>
        <v>0</v>
      </c>
      <c r="M171" s="3">
        <f t="shared" si="34"/>
        <v>0</v>
      </c>
    </row>
    <row r="172" spans="1:13">
      <c r="A172" s="33"/>
      <c r="J172" s="3">
        <f t="shared" si="38"/>
        <v>0</v>
      </c>
      <c r="K172" s="3">
        <f t="shared" si="34"/>
        <v>0</v>
      </c>
      <c r="L172" s="3">
        <f t="shared" si="34"/>
        <v>0</v>
      </c>
      <c r="M172" s="3">
        <f t="shared" si="34"/>
        <v>0</v>
      </c>
    </row>
    <row r="173" spans="1:13">
      <c r="A173" s="33"/>
    </row>
    <row r="174" spans="1:13">
      <c r="A174" s="33"/>
    </row>
    <row r="175" spans="1:13">
      <c r="A175" s="33"/>
    </row>
    <row r="176" spans="1:13">
      <c r="A176" s="33"/>
    </row>
    <row r="177" spans="1:1">
      <c r="A177" s="33"/>
    </row>
    <row r="178" spans="1:1">
      <c r="A178" s="33"/>
    </row>
    <row r="179" spans="1:1">
      <c r="A179" s="33"/>
    </row>
    <row r="180" spans="1:1">
      <c r="A180" s="33"/>
    </row>
    <row r="181" spans="1:1">
      <c r="A181" s="33"/>
    </row>
    <row r="182" spans="1:1">
      <c r="A182" s="33"/>
    </row>
    <row r="183" spans="1:1">
      <c r="A183" s="33"/>
    </row>
    <row r="184" spans="1:1">
      <c r="A184" s="33"/>
    </row>
    <row r="185" spans="1:1">
      <c r="A185" s="33"/>
    </row>
    <row r="186" spans="1:1">
      <c r="A186" s="33"/>
    </row>
    <row r="187" spans="1:1">
      <c r="A187" s="33"/>
    </row>
    <row r="188" spans="1:1">
      <c r="A188" s="33"/>
    </row>
    <row r="189" spans="1:1">
      <c r="A189" s="33"/>
    </row>
    <row r="190" spans="1:1">
      <c r="A190" s="33"/>
    </row>
    <row r="191" spans="1:1">
      <c r="A191" s="33"/>
    </row>
    <row r="192" spans="1:1">
      <c r="A192" s="33"/>
    </row>
    <row r="193" spans="1:1">
      <c r="A193" s="33"/>
    </row>
    <row r="194" spans="1:1">
      <c r="A194" s="33"/>
    </row>
    <row r="195" spans="1:1">
      <c r="A195" s="33"/>
    </row>
    <row r="196" spans="1:1">
      <c r="A196" s="33"/>
    </row>
    <row r="197" spans="1:1">
      <c r="A197" s="33"/>
    </row>
    <row r="198" spans="1:1">
      <c r="A198" s="33"/>
    </row>
    <row r="199" spans="1:1">
      <c r="A199" s="33"/>
    </row>
    <row r="200" spans="1:1">
      <c r="A200" s="33"/>
    </row>
    <row r="201" spans="1:1">
      <c r="A201" s="33"/>
    </row>
    <row r="202" spans="1:1">
      <c r="A202" s="33"/>
    </row>
    <row r="203" spans="1:1">
      <c r="A203" s="33"/>
    </row>
    <row r="204" spans="1:1">
      <c r="A204" s="33"/>
    </row>
    <row r="205" spans="1:1">
      <c r="A205" s="33"/>
    </row>
    <row r="206" spans="1:1">
      <c r="A206" s="33"/>
    </row>
    <row r="207" spans="1:1">
      <c r="A207" s="33"/>
    </row>
    <row r="208" spans="1:1">
      <c r="A208" s="33"/>
    </row>
    <row r="209" spans="1:1">
      <c r="A209" s="33"/>
    </row>
    <row r="210" spans="1:1">
      <c r="A210" s="33"/>
    </row>
    <row r="211" spans="1:1">
      <c r="A211" s="33"/>
    </row>
    <row r="212" spans="1:1">
      <c r="A212" s="33"/>
    </row>
    <row r="213" spans="1:1">
      <c r="A213" s="33"/>
    </row>
    <row r="214" spans="1:1">
      <c r="A214" s="33"/>
    </row>
    <row r="215" spans="1:1">
      <c r="A215" s="33"/>
    </row>
    <row r="216" spans="1:1">
      <c r="A216" s="33"/>
    </row>
    <row r="217" spans="1:1">
      <c r="A217" s="33"/>
    </row>
    <row r="218" spans="1:1">
      <c r="A218" s="33"/>
    </row>
    <row r="219" spans="1:1">
      <c r="A219" s="33"/>
    </row>
    <row r="220" spans="1:1">
      <c r="A220" s="33"/>
    </row>
    <row r="221" spans="1:1">
      <c r="A221" s="33"/>
    </row>
    <row r="222" spans="1:1">
      <c r="A222" s="33"/>
    </row>
    <row r="223" spans="1:1">
      <c r="A223" s="33"/>
    </row>
    <row r="224" spans="1:1">
      <c r="A224" s="33"/>
    </row>
    <row r="225" spans="1:1">
      <c r="A225" s="33"/>
    </row>
    <row r="226" spans="1:1">
      <c r="A226" s="33"/>
    </row>
    <row r="227" spans="1:1">
      <c r="A227" s="33"/>
    </row>
    <row r="228" spans="1:1">
      <c r="A228" s="33"/>
    </row>
    <row r="229" spans="1:1">
      <c r="A229" s="33"/>
    </row>
    <row r="230" spans="1:1">
      <c r="A230" s="33"/>
    </row>
    <row r="231" spans="1:1">
      <c r="A231" s="33"/>
    </row>
    <row r="232" spans="1:1">
      <c r="A232" s="33"/>
    </row>
    <row r="233" spans="1:1">
      <c r="A233" s="33"/>
    </row>
    <row r="234" spans="1:1">
      <c r="A234" s="33"/>
    </row>
    <row r="235" spans="1:1">
      <c r="A235" s="33"/>
    </row>
    <row r="236" spans="1:1">
      <c r="A236" s="33"/>
    </row>
    <row r="237" spans="1:1">
      <c r="A237" s="33"/>
    </row>
    <row r="238" spans="1:1">
      <c r="A238" s="33"/>
    </row>
    <row r="239" spans="1:1">
      <c r="A239" s="33"/>
    </row>
    <row r="240" spans="1:1">
      <c r="A240" s="33"/>
    </row>
    <row r="241" spans="1:1">
      <c r="A241" s="33"/>
    </row>
    <row r="242" spans="1:1">
      <c r="A242" s="33"/>
    </row>
    <row r="243" spans="1:1">
      <c r="A243" s="33"/>
    </row>
    <row r="244" spans="1:1">
      <c r="A244" s="33"/>
    </row>
    <row r="245" spans="1:1">
      <c r="A245" s="33"/>
    </row>
    <row r="246" spans="1:1">
      <c r="A246" s="33"/>
    </row>
    <row r="247" spans="1:1">
      <c r="A247" s="33"/>
    </row>
    <row r="248" spans="1:1">
      <c r="A248" s="33"/>
    </row>
    <row r="249" spans="1:1">
      <c r="A249" s="33"/>
    </row>
    <row r="250" spans="1:1">
      <c r="A250" s="33"/>
    </row>
    <row r="251" spans="1:1">
      <c r="A251" s="33"/>
    </row>
    <row r="252" spans="1:1">
      <c r="A252" s="33"/>
    </row>
    <row r="253" spans="1:1">
      <c r="A253" s="33"/>
    </row>
    <row r="254" spans="1:1">
      <c r="A254" s="33"/>
    </row>
    <row r="255" spans="1:1">
      <c r="A255" s="33"/>
    </row>
    <row r="256" spans="1:1">
      <c r="A256" s="33"/>
    </row>
    <row r="257" spans="1:1">
      <c r="A257" s="33"/>
    </row>
    <row r="258" spans="1:1">
      <c r="A258" s="33"/>
    </row>
    <row r="259" spans="1:1">
      <c r="A259" s="33"/>
    </row>
    <row r="260" spans="1:1">
      <c r="A260" s="33"/>
    </row>
    <row r="261" spans="1:1">
      <c r="A261" s="33"/>
    </row>
    <row r="262" spans="1:1">
      <c r="A262" s="33"/>
    </row>
    <row r="263" spans="1:1">
      <c r="A263" s="33"/>
    </row>
    <row r="264" spans="1:1">
      <c r="A264" s="33"/>
    </row>
    <row r="265" spans="1:1">
      <c r="A265" s="33"/>
    </row>
    <row r="266" spans="1:1">
      <c r="A266" s="33"/>
    </row>
    <row r="267" spans="1:1">
      <c r="A267" s="33"/>
    </row>
    <row r="268" spans="1:1">
      <c r="A268" s="33"/>
    </row>
    <row r="269" spans="1:1">
      <c r="A269" s="33"/>
    </row>
    <row r="270" spans="1:1">
      <c r="A270" s="33"/>
    </row>
    <row r="271" spans="1:1">
      <c r="A271" s="33"/>
    </row>
    <row r="272" spans="1:1">
      <c r="A272" s="33"/>
    </row>
    <row r="273" spans="1:1">
      <c r="A273" s="33"/>
    </row>
    <row r="274" spans="1:1">
      <c r="A274" s="33"/>
    </row>
    <row r="275" spans="1:1">
      <c r="A275" s="33"/>
    </row>
    <row r="276" spans="1:1">
      <c r="A276" s="33"/>
    </row>
    <row r="277" spans="1:1">
      <c r="A277" s="33"/>
    </row>
    <row r="278" spans="1:1">
      <c r="A278" s="33"/>
    </row>
    <row r="279" spans="1:1">
      <c r="A279" s="33"/>
    </row>
    <row r="280" spans="1:1">
      <c r="A280" s="33"/>
    </row>
    <row r="281" spans="1:1">
      <c r="A281" s="33"/>
    </row>
    <row r="282" spans="1:1">
      <c r="A282" s="33"/>
    </row>
    <row r="283" spans="1:1">
      <c r="A283" s="33"/>
    </row>
    <row r="284" spans="1:1">
      <c r="A284" s="33"/>
    </row>
    <row r="285" spans="1:1">
      <c r="A285" s="33"/>
    </row>
    <row r="286" spans="1:1">
      <c r="A286" s="33"/>
    </row>
    <row r="287" spans="1:1">
      <c r="A287" s="33"/>
    </row>
    <row r="288" spans="1:1">
      <c r="A288" s="33"/>
    </row>
    <row r="289" spans="1:1">
      <c r="A289" s="33"/>
    </row>
    <row r="290" spans="1:1">
      <c r="A290" s="33"/>
    </row>
    <row r="291" spans="1:1">
      <c r="A291" s="33"/>
    </row>
    <row r="292" spans="1:1">
      <c r="A292" s="33"/>
    </row>
    <row r="293" spans="1:1">
      <c r="A293" s="33"/>
    </row>
    <row r="294" spans="1:1">
      <c r="A294" s="33"/>
    </row>
    <row r="295" spans="1:1">
      <c r="A295" s="33"/>
    </row>
    <row r="296" spans="1:1">
      <c r="A296" s="33"/>
    </row>
    <row r="297" spans="1:1">
      <c r="A297" s="33"/>
    </row>
    <row r="298" spans="1:1">
      <c r="A298" s="33"/>
    </row>
    <row r="299" spans="1:1">
      <c r="A299" s="33"/>
    </row>
    <row r="300" spans="1:1">
      <c r="A300" s="33"/>
    </row>
    <row r="301" spans="1:1">
      <c r="A301" s="33"/>
    </row>
    <row r="302" spans="1:1">
      <c r="A302" s="33"/>
    </row>
    <row r="303" spans="1:1">
      <c r="A303" s="33"/>
    </row>
    <row r="304" spans="1:1">
      <c r="A304" s="33"/>
    </row>
    <row r="305" spans="1:1">
      <c r="A305" s="33"/>
    </row>
    <row r="306" spans="1:1">
      <c r="A306" s="33"/>
    </row>
    <row r="307" spans="1:1">
      <c r="A307" s="33"/>
    </row>
    <row r="308" spans="1:1">
      <c r="A308" s="33"/>
    </row>
    <row r="309" spans="1:1">
      <c r="A309" s="33"/>
    </row>
    <row r="310" spans="1:1">
      <c r="A310" s="33"/>
    </row>
    <row r="311" spans="1:1">
      <c r="A311" s="33"/>
    </row>
    <row r="312" spans="1:1">
      <c r="A312" s="33"/>
    </row>
    <row r="313" spans="1:1">
      <c r="A313" s="33"/>
    </row>
    <row r="314" spans="1:1">
      <c r="A314" s="33"/>
    </row>
    <row r="315" spans="1:1">
      <c r="A315" s="33"/>
    </row>
    <row r="316" spans="1:1">
      <c r="A316" s="33"/>
    </row>
    <row r="317" spans="1:1">
      <c r="A317" s="33"/>
    </row>
    <row r="318" spans="1:1">
      <c r="A318" s="33"/>
    </row>
    <row r="319" spans="1:1">
      <c r="A319" s="33"/>
    </row>
    <row r="320" spans="1:1">
      <c r="A320" s="33"/>
    </row>
    <row r="321" spans="1:1">
      <c r="A321" s="33"/>
    </row>
    <row r="322" spans="1:1">
      <c r="A322" s="33"/>
    </row>
    <row r="323" spans="1:1">
      <c r="A323" s="33"/>
    </row>
    <row r="324" spans="1:1">
      <c r="A324" s="33"/>
    </row>
    <row r="325" spans="1:1">
      <c r="A325" s="33"/>
    </row>
    <row r="326" spans="1:1">
      <c r="A326" s="33"/>
    </row>
    <row r="327" spans="1:1">
      <c r="A327" s="33"/>
    </row>
    <row r="328" spans="1:1">
      <c r="A328" s="33"/>
    </row>
    <row r="329" spans="1:1">
      <c r="A329" s="33"/>
    </row>
    <row r="330" spans="1:1">
      <c r="A330" s="33"/>
    </row>
  </sheetData>
  <pageMargins left="0.511811024" right="0.511811024" top="0.78740157499999996" bottom="0.78740157499999996" header="0.31496062000000002" footer="0.31496062000000002"/>
  <pageSetup paperSize="9" orientation="portrait" r:id="rId1"/>
  <legacyDrawing r:id="rId2"/>
  <tableParts count="1">
    <tablePart r:id="rId3"/>
  </tableParts>
</worksheet>
</file>

<file path=xl/worksheets/sheet3.xml><?xml version="1.0" encoding="utf-8"?>
<worksheet xmlns="http://schemas.openxmlformats.org/spreadsheetml/2006/main" xmlns:r="http://schemas.openxmlformats.org/officeDocument/2006/relationships">
  <sheetPr codeName="Plan7"/>
  <dimension ref="A1:V330"/>
  <sheetViews>
    <sheetView workbookViewId="0">
      <selection activeCell="H2" sqref="H2"/>
    </sheetView>
  </sheetViews>
  <sheetFormatPr defaultRowHeight="11.25"/>
  <cols>
    <col min="1" max="1" width="9.140625" style="3" customWidth="1"/>
    <col min="2" max="2" width="9.140625" style="3" hidden="1" customWidth="1"/>
    <col min="3" max="3" width="41.7109375" style="3" hidden="1" customWidth="1"/>
    <col min="4" max="14" width="9.140625" style="3" hidden="1" customWidth="1"/>
    <col min="15" max="15" width="9.140625" style="3"/>
    <col min="16" max="16" width="9.28515625" style="3" bestFit="1" customWidth="1"/>
    <col min="17" max="17" width="15.42578125" style="3" customWidth="1"/>
    <col min="18" max="18" width="10.7109375" style="3" bestFit="1" customWidth="1"/>
    <col min="19" max="19" width="11" style="5" bestFit="1" customWidth="1"/>
    <col min="20" max="20" width="14.140625" style="5" bestFit="1" customWidth="1"/>
    <col min="21" max="21" width="10.28515625" style="5" bestFit="1" customWidth="1"/>
    <col min="22" max="22" width="10" style="5" bestFit="1" customWidth="1"/>
    <col min="23" max="16384" width="9.140625" style="3"/>
  </cols>
  <sheetData>
    <row r="1" spans="1:22">
      <c r="A1" s="3" t="s">
        <v>42</v>
      </c>
      <c r="C1" s="3" t="s">
        <v>544</v>
      </c>
    </row>
    <row r="2" spans="1:22">
      <c r="A2" s="3" t="s">
        <v>43</v>
      </c>
      <c r="C2" s="3" t="s">
        <v>46</v>
      </c>
    </row>
    <row r="3" spans="1:22">
      <c r="A3" s="3" t="s">
        <v>44</v>
      </c>
    </row>
    <row r="4" spans="1:22">
      <c r="A4" s="3" t="s">
        <v>45</v>
      </c>
    </row>
    <row r="6" spans="1:22">
      <c r="P6" s="31" t="s">
        <v>45</v>
      </c>
      <c r="Q6" s="31" t="s">
        <v>0</v>
      </c>
      <c r="R6" s="32" t="s">
        <v>47</v>
      </c>
      <c r="S6" s="12" t="s">
        <v>48</v>
      </c>
      <c r="T6" s="12" t="s">
        <v>49</v>
      </c>
      <c r="U6" s="12" t="s">
        <v>50</v>
      </c>
      <c r="V6" s="12" t="s">
        <v>51</v>
      </c>
    </row>
    <row r="7" spans="1:22">
      <c r="A7" s="33" t="str">
        <f>IF(Tabela17[[#This Row],[Código]]="IBOV","^BVSP",IF(Tabela17[[#This Row],[Código]]="","",CONCATENATE(LEFT(Tabela17[[#This Row],[Código]],6),".SA")))</f>
        <v>ABCB3.SA</v>
      </c>
      <c r="C7" s="3" t="s">
        <v>441</v>
      </c>
      <c r="D7" s="3" t="s">
        <v>442</v>
      </c>
      <c r="E7" s="3" t="s">
        <v>443</v>
      </c>
      <c r="F7" s="3" t="s">
        <v>442</v>
      </c>
      <c r="G7" s="3" t="s">
        <v>442</v>
      </c>
      <c r="H7" s="51" t="s">
        <v>442</v>
      </c>
      <c r="J7" s="3" t="e">
        <f>IF($A7="",0,VALUE(CONCATENATE(LEFT(D7,LEN(D7)-3),",",RIGHT(D7,2))))</f>
        <v>#VALUE!</v>
      </c>
      <c r="K7" s="3">
        <f t="shared" ref="K7:M22" si="0">IF($A7="",0,VALUE(CONCATENATE(LEFT(E7,LEN(E7)-3),",",RIGHT(E7,2))))</f>
        <v>0</v>
      </c>
      <c r="L7" s="3" t="e">
        <f t="shared" si="0"/>
        <v>#VALUE!</v>
      </c>
      <c r="M7" s="3" t="e">
        <f t="shared" si="0"/>
        <v>#VALUE!</v>
      </c>
      <c r="P7" s="14" t="s">
        <v>439</v>
      </c>
      <c r="Q7" s="10" t="str">
        <f t="shared" ref="Q7:Q38" si="1">IF(A7="","",C7)</f>
        <v xml:space="preserve">ABC BRASIL  -ON  </v>
      </c>
      <c r="R7" s="51" t="str">
        <f t="shared" ref="R7:R38" si="2">IF(A7="","",H7)</f>
        <v>N/A</v>
      </c>
      <c r="S7" s="5" t="e">
        <f t="shared" ref="S7:S38" si="3">J7</f>
        <v>#VALUE!</v>
      </c>
      <c r="T7" s="5">
        <f t="shared" ref="T7:T38" si="4">K7</f>
        <v>0</v>
      </c>
      <c r="U7" s="5" t="e">
        <f t="shared" ref="U7:U38" si="5">L7</f>
        <v>#VALUE!</v>
      </c>
      <c r="V7" s="5" t="e">
        <f t="shared" ref="V7:V38" si="6">M7</f>
        <v>#VALUE!</v>
      </c>
    </row>
    <row r="8" spans="1:22">
      <c r="A8" s="33" t="str">
        <f>IF(Tabela17[[#This Row],[Código]]="IBOV","^BVSP",IF(Tabela17[[#This Row],[Código]]="","",CONCATENATE(LEFT(Tabela17[[#This Row],[Código]],6),".SA")))</f>
        <v>AFLT3.SA</v>
      </c>
      <c r="C8" s="3" t="s">
        <v>455</v>
      </c>
      <c r="D8" s="3" t="s">
        <v>456</v>
      </c>
      <c r="E8" s="3" t="s">
        <v>456</v>
      </c>
      <c r="F8" s="3" t="s">
        <v>456</v>
      </c>
      <c r="G8" s="3" t="s">
        <v>456</v>
      </c>
      <c r="H8" s="51">
        <v>41691</v>
      </c>
      <c r="J8" s="3">
        <f t="shared" ref="J8:M71" si="7">IF($A8="",0,VALUE(CONCATENATE(LEFT(D8,LEN(D8)-3),",",RIGHT(D8,2))))</f>
        <v>3.5</v>
      </c>
      <c r="K8" s="3">
        <f t="shared" si="0"/>
        <v>3.5</v>
      </c>
      <c r="L8" s="3">
        <f t="shared" si="0"/>
        <v>3.5</v>
      </c>
      <c r="M8" s="3">
        <f t="shared" si="0"/>
        <v>3.5</v>
      </c>
      <c r="P8" s="15" t="s">
        <v>454</v>
      </c>
      <c r="Q8" s="10" t="str">
        <f t="shared" si="1"/>
        <v>AFLUENTE T  -ON</v>
      </c>
      <c r="R8" s="51">
        <f t="shared" si="2"/>
        <v>41691</v>
      </c>
      <c r="S8" s="5">
        <f t="shared" si="3"/>
        <v>3.5</v>
      </c>
      <c r="T8" s="5">
        <f t="shared" si="4"/>
        <v>3.5</v>
      </c>
      <c r="U8" s="5">
        <f t="shared" si="5"/>
        <v>3.5</v>
      </c>
      <c r="V8" s="5">
        <f t="shared" si="6"/>
        <v>3.5</v>
      </c>
    </row>
    <row r="9" spans="1:22">
      <c r="A9" s="33" t="str">
        <f>IF(Tabela17[[#This Row],[Código]]="IBOV","^BVSP",IF(Tabela17[[#This Row],[Código]]="","",CONCATENATE(LEFT(Tabela17[[#This Row],[Código]],6),".SA")))</f>
        <v>AFLU3.SA</v>
      </c>
      <c r="C9" s="3" t="s">
        <v>450</v>
      </c>
      <c r="D9" s="3" t="s">
        <v>451</v>
      </c>
      <c r="E9" s="3" t="s">
        <v>451</v>
      </c>
      <c r="F9" s="3" t="s">
        <v>451</v>
      </c>
      <c r="G9" s="3" t="s">
        <v>451</v>
      </c>
      <c r="H9" s="51">
        <v>41691</v>
      </c>
      <c r="J9" s="3">
        <f t="shared" si="7"/>
        <v>5.55</v>
      </c>
      <c r="K9" s="3">
        <f t="shared" si="0"/>
        <v>5.55</v>
      </c>
      <c r="L9" s="3">
        <f t="shared" si="0"/>
        <v>5.55</v>
      </c>
      <c r="M9" s="3">
        <f t="shared" si="0"/>
        <v>5.55</v>
      </c>
      <c r="P9" s="14" t="s">
        <v>447</v>
      </c>
      <c r="Q9" s="10" t="str">
        <f t="shared" si="1"/>
        <v>AFLUENTE    -ON</v>
      </c>
      <c r="R9" s="51">
        <f t="shared" si="2"/>
        <v>41691</v>
      </c>
      <c r="S9" s="5">
        <f t="shared" si="3"/>
        <v>5.55</v>
      </c>
      <c r="T9" s="5">
        <f t="shared" si="4"/>
        <v>5.55</v>
      </c>
      <c r="U9" s="5">
        <f t="shared" si="5"/>
        <v>5.55</v>
      </c>
      <c r="V9" s="5">
        <f t="shared" si="6"/>
        <v>5.55</v>
      </c>
    </row>
    <row r="10" spans="1:22">
      <c r="A10" s="33" t="str">
        <f>IF(Tabela17[[#This Row],[Código]]="IBOV","^BVSP",IF(Tabela17[[#This Row],[Código]]="","",CONCATENATE(LEFT(Tabela17[[#This Row],[Código]],6),".SA")))</f>
        <v>AFLU5.SA</v>
      </c>
      <c r="C10" s="3" t="s">
        <v>452</v>
      </c>
      <c r="D10" s="3" t="s">
        <v>442</v>
      </c>
      <c r="E10" s="3" t="s">
        <v>443</v>
      </c>
      <c r="F10" s="3" t="s">
        <v>442</v>
      </c>
      <c r="G10" s="3" t="s">
        <v>442</v>
      </c>
      <c r="H10" s="51" t="s">
        <v>442</v>
      </c>
      <c r="J10" s="3" t="e">
        <f t="shared" si="7"/>
        <v>#VALUE!</v>
      </c>
      <c r="K10" s="3">
        <f t="shared" si="0"/>
        <v>0</v>
      </c>
      <c r="L10" s="3" t="e">
        <f t="shared" si="0"/>
        <v>#VALUE!</v>
      </c>
      <c r="M10" s="3" t="e">
        <f t="shared" si="0"/>
        <v>#VALUE!</v>
      </c>
      <c r="P10" s="14" t="s">
        <v>448</v>
      </c>
      <c r="Q10" s="10" t="str">
        <f t="shared" si="1"/>
        <v>AFLUENTE    -PNA</v>
      </c>
      <c r="R10" s="46" t="str">
        <f t="shared" si="2"/>
        <v>N/A</v>
      </c>
      <c r="S10" s="6" t="e">
        <f t="shared" si="3"/>
        <v>#VALUE!</v>
      </c>
      <c r="T10" s="6">
        <f t="shared" si="4"/>
        <v>0</v>
      </c>
      <c r="U10" s="5" t="e">
        <f t="shared" si="5"/>
        <v>#VALUE!</v>
      </c>
      <c r="V10" s="5" t="e">
        <f t="shared" si="6"/>
        <v>#VALUE!</v>
      </c>
    </row>
    <row r="11" spans="1:22">
      <c r="A11" s="33" t="str">
        <f>IF(Tabela17[[#This Row],[Código]]="IBOV","^BVSP",IF(Tabela17[[#This Row],[Código]]="","",CONCATENATE(LEFT(Tabela17[[#This Row],[Código]],6),".SA")))</f>
        <v>AFLU6.SA</v>
      </c>
      <c r="C11" s="3" t="s">
        <v>453</v>
      </c>
      <c r="D11" s="3" t="s">
        <v>442</v>
      </c>
      <c r="E11" s="3" t="s">
        <v>443</v>
      </c>
      <c r="F11" s="3" t="s">
        <v>442</v>
      </c>
      <c r="G11" s="3" t="s">
        <v>442</v>
      </c>
      <c r="H11" s="51" t="s">
        <v>442</v>
      </c>
      <c r="J11" s="3" t="e">
        <f t="shared" si="7"/>
        <v>#VALUE!</v>
      </c>
      <c r="K11" s="3">
        <f t="shared" si="0"/>
        <v>0</v>
      </c>
      <c r="L11" s="3" t="e">
        <f t="shared" si="0"/>
        <v>#VALUE!</v>
      </c>
      <c r="M11" s="3" t="e">
        <f t="shared" si="0"/>
        <v>#VALUE!</v>
      </c>
      <c r="P11" s="14" t="s">
        <v>449</v>
      </c>
      <c r="Q11" s="10" t="str">
        <f t="shared" si="1"/>
        <v>AFLUENTE    -PNB</v>
      </c>
      <c r="R11" s="51" t="str">
        <f t="shared" si="2"/>
        <v>N/A</v>
      </c>
      <c r="S11" s="5" t="e">
        <f t="shared" si="3"/>
        <v>#VALUE!</v>
      </c>
      <c r="T11" s="5">
        <f t="shared" si="4"/>
        <v>0</v>
      </c>
      <c r="U11" s="5" t="e">
        <f t="shared" si="5"/>
        <v>#VALUE!</v>
      </c>
      <c r="V11" s="5" t="e">
        <f t="shared" si="6"/>
        <v>#VALUE!</v>
      </c>
    </row>
    <row r="12" spans="1:22">
      <c r="A12" s="33" t="str">
        <f>IF(Tabela17[[#This Row],[Código]]="IBOV","^BVSP",IF(Tabela17[[#This Row],[Código]]="","",CONCATENATE(LEFT(Tabela17[[#This Row],[Código]],6),".SA")))</f>
        <v>ALSC3.SA</v>
      </c>
      <c r="C12" s="3" t="s">
        <v>345</v>
      </c>
      <c r="D12" s="3" t="s">
        <v>1691</v>
      </c>
      <c r="E12" s="3" t="s">
        <v>1692</v>
      </c>
      <c r="F12" s="3" t="s">
        <v>1641</v>
      </c>
      <c r="G12" s="3" t="s">
        <v>1691</v>
      </c>
      <c r="H12" s="51">
        <v>41691</v>
      </c>
      <c r="J12" s="3">
        <f t="shared" si="7"/>
        <v>16.809999999999999</v>
      </c>
      <c r="K12" s="3">
        <f t="shared" si="0"/>
        <v>17.29</v>
      </c>
      <c r="L12" s="3">
        <f t="shared" si="0"/>
        <v>17.32</v>
      </c>
      <c r="M12" s="3">
        <f t="shared" si="0"/>
        <v>16.809999999999999</v>
      </c>
      <c r="P12" s="14" t="s">
        <v>344</v>
      </c>
      <c r="Q12" s="10" t="str">
        <f t="shared" si="1"/>
        <v xml:space="preserve">ALIANSCE    -ON  </v>
      </c>
      <c r="R12" s="46">
        <f t="shared" si="2"/>
        <v>41691</v>
      </c>
      <c r="S12" s="6">
        <f t="shared" si="3"/>
        <v>16.809999999999999</v>
      </c>
      <c r="T12" s="6">
        <f t="shared" si="4"/>
        <v>17.29</v>
      </c>
      <c r="U12" s="6">
        <f t="shared" si="5"/>
        <v>17.32</v>
      </c>
      <c r="V12" s="6">
        <f t="shared" si="6"/>
        <v>16.809999999999999</v>
      </c>
    </row>
    <row r="13" spans="1:22">
      <c r="A13" s="33" t="str">
        <f>IF(Tabela17[[#This Row],[Código]]="IBOV","^BVSP",IF(Tabela17[[#This Row],[Código]]="","",CONCATENATE(LEFT(Tabela17[[#This Row],[Código]],6),".SA")))</f>
        <v>ALUP11.SA</v>
      </c>
      <c r="C13" s="3" t="s">
        <v>460</v>
      </c>
      <c r="D13" s="3" t="s">
        <v>1124</v>
      </c>
      <c r="E13" s="3" t="s">
        <v>1693</v>
      </c>
      <c r="F13" s="3" t="s">
        <v>1694</v>
      </c>
      <c r="G13" s="3" t="s">
        <v>993</v>
      </c>
      <c r="H13" s="51">
        <v>41691</v>
      </c>
      <c r="J13" s="3">
        <f t="shared" si="7"/>
        <v>16.7</v>
      </c>
      <c r="K13" s="3">
        <f t="shared" si="0"/>
        <v>16.93</v>
      </c>
      <c r="L13" s="3">
        <f t="shared" si="0"/>
        <v>17.170000000000002</v>
      </c>
      <c r="M13" s="3">
        <f t="shared" si="0"/>
        <v>16.59</v>
      </c>
      <c r="P13" s="14" t="s">
        <v>457</v>
      </c>
      <c r="Q13" s="10" t="str">
        <f t="shared" si="1"/>
        <v xml:space="preserve">ALUPAR      -UNT </v>
      </c>
      <c r="R13" s="51">
        <f t="shared" si="2"/>
        <v>41691</v>
      </c>
      <c r="S13" s="5">
        <f t="shared" si="3"/>
        <v>16.7</v>
      </c>
      <c r="T13" s="5">
        <f t="shared" si="4"/>
        <v>16.93</v>
      </c>
      <c r="U13" s="5">
        <f t="shared" si="5"/>
        <v>17.170000000000002</v>
      </c>
      <c r="V13" s="5">
        <f t="shared" si="6"/>
        <v>16.59</v>
      </c>
    </row>
    <row r="14" spans="1:22">
      <c r="A14" s="33" t="str">
        <f>IF(Tabela17[[#This Row],[Código]]="IBOV","^BVSP",IF(Tabela17[[#This Row],[Código]]="","",CONCATENATE(LEFT(Tabela17[[#This Row],[Código]],6),".SA")))</f>
        <v>ALUP3.SA</v>
      </c>
      <c r="C14" s="3" t="s">
        <v>461</v>
      </c>
      <c r="D14" s="3" t="s">
        <v>442</v>
      </c>
      <c r="E14" s="3" t="s">
        <v>443</v>
      </c>
      <c r="F14" s="3" t="s">
        <v>442</v>
      </c>
      <c r="G14" s="3" t="s">
        <v>442</v>
      </c>
      <c r="H14" s="51" t="s">
        <v>442</v>
      </c>
      <c r="J14" s="3" t="e">
        <f t="shared" si="7"/>
        <v>#VALUE!</v>
      </c>
      <c r="K14" s="3">
        <f t="shared" si="0"/>
        <v>0</v>
      </c>
      <c r="L14" s="3" t="e">
        <f t="shared" si="0"/>
        <v>#VALUE!</v>
      </c>
      <c r="M14" s="3" t="e">
        <f t="shared" si="0"/>
        <v>#VALUE!</v>
      </c>
      <c r="P14" s="15" t="s">
        <v>458</v>
      </c>
      <c r="Q14" s="10" t="str">
        <f t="shared" si="1"/>
        <v xml:space="preserve">ALUPAR      -ON  </v>
      </c>
      <c r="R14" s="51" t="str">
        <f t="shared" si="2"/>
        <v>N/A</v>
      </c>
      <c r="S14" s="5" t="e">
        <f t="shared" si="3"/>
        <v>#VALUE!</v>
      </c>
      <c r="T14" s="5">
        <f t="shared" si="4"/>
        <v>0</v>
      </c>
      <c r="U14" s="5" t="e">
        <f t="shared" si="5"/>
        <v>#VALUE!</v>
      </c>
      <c r="V14" s="5" t="e">
        <f t="shared" si="6"/>
        <v>#VALUE!</v>
      </c>
    </row>
    <row r="15" spans="1:22">
      <c r="A15" s="33" t="str">
        <f>IF(Tabela17[[#This Row],[Código]]="IBOV","^BVSP",IF(Tabela17[[#This Row],[Código]]="","",CONCATENATE(LEFT(Tabela17[[#This Row],[Código]],6),".SA")))</f>
        <v>ALUP4.SA</v>
      </c>
      <c r="C15" s="3" t="s">
        <v>462</v>
      </c>
      <c r="D15" s="3" t="s">
        <v>442</v>
      </c>
      <c r="E15" s="3" t="s">
        <v>443</v>
      </c>
      <c r="F15" s="3" t="s">
        <v>442</v>
      </c>
      <c r="G15" s="3" t="s">
        <v>442</v>
      </c>
      <c r="H15" s="51" t="s">
        <v>442</v>
      </c>
      <c r="J15" s="3" t="e">
        <f t="shared" si="7"/>
        <v>#VALUE!</v>
      </c>
      <c r="K15" s="3">
        <f t="shared" si="0"/>
        <v>0</v>
      </c>
      <c r="L15" s="3" t="e">
        <f t="shared" si="0"/>
        <v>#VALUE!</v>
      </c>
      <c r="M15" s="3" t="e">
        <f t="shared" si="0"/>
        <v>#VALUE!</v>
      </c>
      <c r="P15" s="14" t="s">
        <v>459</v>
      </c>
      <c r="Q15" s="10" t="str">
        <f t="shared" si="1"/>
        <v xml:space="preserve">ALUPAR      -PN  </v>
      </c>
      <c r="R15" s="51" t="str">
        <f t="shared" si="2"/>
        <v>N/A</v>
      </c>
      <c r="S15" s="5" t="e">
        <f t="shared" si="3"/>
        <v>#VALUE!</v>
      </c>
      <c r="T15" s="5">
        <f t="shared" si="4"/>
        <v>0</v>
      </c>
      <c r="U15" s="5" t="e">
        <f t="shared" si="5"/>
        <v>#VALUE!</v>
      </c>
      <c r="V15" s="5" t="e">
        <f t="shared" si="6"/>
        <v>#VALUE!</v>
      </c>
    </row>
    <row r="16" spans="1:22">
      <c r="A16" s="33" t="str">
        <f>IF(Tabela17[[#This Row],[Código]]="IBOV","^BVSP",IF(Tabela17[[#This Row],[Código]]="","",CONCATENATE(LEFT(Tabela17[[#This Row],[Código]],6),".SA")))</f>
        <v>BAHI3.SA</v>
      </c>
      <c r="C16" s="3" t="s">
        <v>306</v>
      </c>
      <c r="D16" s="3" t="s">
        <v>1695</v>
      </c>
      <c r="E16" s="3" t="s">
        <v>1518</v>
      </c>
      <c r="F16" s="3" t="s">
        <v>1518</v>
      </c>
      <c r="G16" s="3" t="s">
        <v>1695</v>
      </c>
      <c r="H16" s="51">
        <v>41691</v>
      </c>
      <c r="J16" s="3">
        <f t="shared" si="7"/>
        <v>5.26</v>
      </c>
      <c r="K16" s="3">
        <f t="shared" si="0"/>
        <v>5.27</v>
      </c>
      <c r="L16" s="3">
        <f t="shared" si="0"/>
        <v>5.27</v>
      </c>
      <c r="M16" s="3">
        <f t="shared" si="0"/>
        <v>5.26</v>
      </c>
      <c r="P16" s="14" t="s">
        <v>305</v>
      </c>
      <c r="Q16" s="10" t="str">
        <f t="shared" si="1"/>
        <v>BAHEMA      -ON</v>
      </c>
      <c r="R16" s="51">
        <f t="shared" si="2"/>
        <v>41691</v>
      </c>
      <c r="S16" s="5">
        <f t="shared" si="3"/>
        <v>5.26</v>
      </c>
      <c r="T16" s="5">
        <f t="shared" si="4"/>
        <v>5.27</v>
      </c>
      <c r="U16" s="5">
        <f t="shared" si="5"/>
        <v>5.27</v>
      </c>
      <c r="V16" s="5">
        <f t="shared" si="6"/>
        <v>5.26</v>
      </c>
    </row>
    <row r="17" spans="1:22">
      <c r="A17" s="33" t="str">
        <f>IF(Tabela17[[#This Row],[Código]]="IBOV","^BVSP",IF(Tabela17[[#This Row],[Código]]="","",CONCATENATE(LEFT(Tabela17[[#This Row],[Código]],6),".SA")))</f>
        <v>BBSE3.SA</v>
      </c>
      <c r="C17" s="3" t="s">
        <v>251</v>
      </c>
      <c r="D17" s="3" t="s">
        <v>1696</v>
      </c>
      <c r="E17" s="3" t="s">
        <v>1697</v>
      </c>
      <c r="F17" s="3" t="s">
        <v>1698</v>
      </c>
      <c r="G17" s="3" t="s">
        <v>1699</v>
      </c>
      <c r="H17" s="51">
        <v>41691</v>
      </c>
      <c r="J17" s="3">
        <f t="shared" si="7"/>
        <v>23.45</v>
      </c>
      <c r="K17" s="3">
        <f t="shared" si="0"/>
        <v>23.39</v>
      </c>
      <c r="L17" s="3">
        <f t="shared" si="0"/>
        <v>23.69</v>
      </c>
      <c r="M17" s="3">
        <f t="shared" si="0"/>
        <v>23.31</v>
      </c>
      <c r="P17" s="15" t="s">
        <v>25</v>
      </c>
      <c r="Q17" s="10" t="str">
        <f t="shared" si="1"/>
        <v xml:space="preserve">BBSEGURIDADE-ON  </v>
      </c>
      <c r="R17" s="51">
        <f t="shared" si="2"/>
        <v>41691</v>
      </c>
      <c r="S17" s="5">
        <f t="shared" si="3"/>
        <v>23.45</v>
      </c>
      <c r="T17" s="5">
        <f t="shared" si="4"/>
        <v>23.39</v>
      </c>
      <c r="U17" s="5">
        <f t="shared" si="5"/>
        <v>23.69</v>
      </c>
      <c r="V17" s="5">
        <f t="shared" si="6"/>
        <v>23.31</v>
      </c>
    </row>
    <row r="18" spans="1:22">
      <c r="A18" s="33" t="str">
        <f>IF(Tabela17[[#This Row],[Código]]="IBOV","^BVSP",IF(Tabela17[[#This Row],[Código]]="","",CONCATENATE(LEFT(Tabela17[[#This Row],[Código]],6),".SA")))</f>
        <v>BRAP3.SA</v>
      </c>
      <c r="C18" s="3" t="s">
        <v>297</v>
      </c>
      <c r="D18" s="3" t="s">
        <v>1114</v>
      </c>
      <c r="E18" s="3" t="s">
        <v>1700</v>
      </c>
      <c r="F18" s="3" t="s">
        <v>1114</v>
      </c>
      <c r="G18" s="3" t="s">
        <v>1701</v>
      </c>
      <c r="H18" s="51">
        <v>41691</v>
      </c>
      <c r="J18" s="3">
        <f t="shared" si="7"/>
        <v>18.48</v>
      </c>
      <c r="K18" s="3">
        <f t="shared" si="0"/>
        <v>18.34</v>
      </c>
      <c r="L18" s="3">
        <f t="shared" si="0"/>
        <v>18.48</v>
      </c>
      <c r="M18" s="3">
        <f t="shared" si="0"/>
        <v>18.059999999999999</v>
      </c>
      <c r="P18" s="10" t="s">
        <v>294</v>
      </c>
      <c r="Q18" s="10" t="str">
        <f t="shared" si="1"/>
        <v xml:space="preserve">BRADESPAR   -ON  </v>
      </c>
      <c r="R18" s="51">
        <f t="shared" si="2"/>
        <v>41691</v>
      </c>
      <c r="S18" s="5">
        <f t="shared" si="3"/>
        <v>18.48</v>
      </c>
      <c r="T18" s="5">
        <f t="shared" si="4"/>
        <v>18.34</v>
      </c>
      <c r="U18" s="5">
        <f t="shared" si="5"/>
        <v>18.48</v>
      </c>
      <c r="V18" s="5">
        <f t="shared" si="6"/>
        <v>18.059999999999999</v>
      </c>
    </row>
    <row r="19" spans="1:22">
      <c r="A19" s="33" t="str">
        <f>IF(Tabela17[[#This Row],[Código]]="IBOV","^BVSP",IF(Tabela17[[#This Row],[Código]]="","",CONCATENATE(LEFT(Tabela17[[#This Row],[Código]],6),".SA")))</f>
        <v>BRAP4.SA</v>
      </c>
      <c r="C19" s="3" t="s">
        <v>298</v>
      </c>
      <c r="D19" s="3" t="s">
        <v>1702</v>
      </c>
      <c r="E19" s="3" t="s">
        <v>1703</v>
      </c>
      <c r="F19" s="3" t="s">
        <v>1704</v>
      </c>
      <c r="G19" s="3" t="s">
        <v>1705</v>
      </c>
      <c r="H19" s="51">
        <v>41691</v>
      </c>
      <c r="J19" s="3">
        <f t="shared" si="7"/>
        <v>22.21</v>
      </c>
      <c r="K19" s="3">
        <f t="shared" si="0"/>
        <v>22.22</v>
      </c>
      <c r="L19" s="3">
        <f t="shared" si="0"/>
        <v>22.39</v>
      </c>
      <c r="M19" s="3">
        <f t="shared" si="0"/>
        <v>22.05</v>
      </c>
      <c r="P19" s="10" t="s">
        <v>295</v>
      </c>
      <c r="Q19" s="10" t="str">
        <f t="shared" si="1"/>
        <v xml:space="preserve">BRADESPAR   -PN  </v>
      </c>
      <c r="R19" s="51">
        <f t="shared" si="2"/>
        <v>41691</v>
      </c>
      <c r="S19" s="5">
        <f t="shared" si="3"/>
        <v>22.21</v>
      </c>
      <c r="T19" s="5">
        <f t="shared" si="4"/>
        <v>22.22</v>
      </c>
      <c r="U19" s="5">
        <f t="shared" si="5"/>
        <v>22.39</v>
      </c>
      <c r="V19" s="5">
        <f t="shared" si="6"/>
        <v>22.05</v>
      </c>
    </row>
    <row r="20" spans="1:22">
      <c r="A20" s="33" t="str">
        <f>IF(Tabela17[[#This Row],[Código]]="IBOV","^BVSP",IF(Tabela17[[#This Row],[Código]]="","",CONCATENATE(LEFT(Tabela17[[#This Row],[Código]],6),".SA")))</f>
        <v>BRFS3.SA</v>
      </c>
      <c r="C20" s="3" t="s">
        <v>278</v>
      </c>
      <c r="D20" s="3" t="s">
        <v>1706</v>
      </c>
      <c r="E20" s="3" t="s">
        <v>1707</v>
      </c>
      <c r="F20" s="3" t="s">
        <v>1708</v>
      </c>
      <c r="G20" s="3" t="s">
        <v>1709</v>
      </c>
      <c r="H20" s="51">
        <v>41691</v>
      </c>
      <c r="J20" s="3">
        <f t="shared" si="7"/>
        <v>40.85</v>
      </c>
      <c r="K20" s="3">
        <f t="shared" si="0"/>
        <v>40.96</v>
      </c>
      <c r="L20" s="3">
        <f t="shared" si="0"/>
        <v>41.15</v>
      </c>
      <c r="M20" s="3">
        <f t="shared" si="0"/>
        <v>40.450000000000003</v>
      </c>
      <c r="P20" s="10" t="s">
        <v>276</v>
      </c>
      <c r="Q20" s="10" t="str">
        <f t="shared" si="1"/>
        <v xml:space="preserve">BRF SA      -ON  </v>
      </c>
      <c r="R20" s="51">
        <f t="shared" si="2"/>
        <v>41691</v>
      </c>
      <c r="S20" s="5">
        <f t="shared" si="3"/>
        <v>40.85</v>
      </c>
      <c r="T20" s="5">
        <f t="shared" si="4"/>
        <v>40.96</v>
      </c>
      <c r="U20" s="5">
        <f t="shared" si="5"/>
        <v>41.15</v>
      </c>
      <c r="V20" s="5">
        <f t="shared" si="6"/>
        <v>40.450000000000003</v>
      </c>
    </row>
    <row r="21" spans="1:22">
      <c r="A21" s="33" t="str">
        <f>IF(Tabela17[[#This Row],[Código]]="IBOV","^BVSP",IF(Tabela17[[#This Row],[Código]]="","",CONCATENATE(LEFT(Tabela17[[#This Row],[Código]],6),".SA")))</f>
        <v>BRIN3.SA</v>
      </c>
      <c r="C21" s="3" t="s">
        <v>371</v>
      </c>
      <c r="D21" s="3" t="s">
        <v>1710</v>
      </c>
      <c r="E21" s="3" t="s">
        <v>1693</v>
      </c>
      <c r="F21" s="3" t="s">
        <v>1611</v>
      </c>
      <c r="G21" s="3" t="s">
        <v>1711</v>
      </c>
      <c r="H21" s="51">
        <v>41691</v>
      </c>
      <c r="J21" s="3">
        <f t="shared" si="7"/>
        <v>16.98</v>
      </c>
      <c r="K21" s="3">
        <f t="shared" si="0"/>
        <v>16.93</v>
      </c>
      <c r="L21" s="3">
        <f t="shared" si="0"/>
        <v>17.14</v>
      </c>
      <c r="M21" s="3">
        <f t="shared" si="0"/>
        <v>16.899999999999999</v>
      </c>
      <c r="P21" s="14" t="s">
        <v>369</v>
      </c>
      <c r="Q21" s="10" t="str">
        <f t="shared" si="1"/>
        <v xml:space="preserve">BR INSURANCE-ON  </v>
      </c>
      <c r="R21" s="51">
        <f t="shared" si="2"/>
        <v>41691</v>
      </c>
      <c r="S21" s="5">
        <f t="shared" si="3"/>
        <v>16.98</v>
      </c>
      <c r="T21" s="5">
        <f t="shared" si="4"/>
        <v>16.93</v>
      </c>
      <c r="U21" s="5">
        <f t="shared" si="5"/>
        <v>17.14</v>
      </c>
      <c r="V21" s="5">
        <f t="shared" si="6"/>
        <v>16.899999999999999</v>
      </c>
    </row>
    <row r="22" spans="1:22">
      <c r="A22" s="33" t="str">
        <f>IF(Tabela17[[#This Row],[Código]]="IBOV","^BVSP",IF(Tabela17[[#This Row],[Código]]="","",CONCATENATE(LEFT(Tabela17[[#This Row],[Código]],6),".SA")))</f>
        <v>BRKM3.SA</v>
      </c>
      <c r="C22" s="3" t="s">
        <v>264</v>
      </c>
      <c r="D22" s="3" t="s">
        <v>1712</v>
      </c>
      <c r="E22" s="3" t="s">
        <v>1713</v>
      </c>
      <c r="F22" s="3" t="s">
        <v>1714</v>
      </c>
      <c r="G22" s="3" t="s">
        <v>1715</v>
      </c>
      <c r="H22" s="51">
        <v>41691</v>
      </c>
      <c r="J22" s="3">
        <f t="shared" si="7"/>
        <v>13.9</v>
      </c>
      <c r="K22" s="3">
        <f t="shared" si="0"/>
        <v>14.2</v>
      </c>
      <c r="L22" s="3">
        <f t="shared" si="0"/>
        <v>14.24</v>
      </c>
      <c r="M22" s="3">
        <f t="shared" si="0"/>
        <v>13.85</v>
      </c>
      <c r="P22" s="14" t="s">
        <v>261</v>
      </c>
      <c r="Q22" s="10" t="str">
        <f t="shared" si="1"/>
        <v xml:space="preserve">BRASKEM     -ON  </v>
      </c>
      <c r="R22" s="51">
        <f t="shared" si="2"/>
        <v>41691</v>
      </c>
      <c r="S22" s="5">
        <f t="shared" si="3"/>
        <v>13.9</v>
      </c>
      <c r="T22" s="5">
        <f t="shared" si="4"/>
        <v>14.2</v>
      </c>
      <c r="U22" s="5">
        <f t="shared" si="5"/>
        <v>14.24</v>
      </c>
      <c r="V22" s="5">
        <f t="shared" si="6"/>
        <v>13.85</v>
      </c>
    </row>
    <row r="23" spans="1:22">
      <c r="A23" s="33" t="str">
        <f>IF(Tabela17[[#This Row],[Código]]="IBOV","^BVSP",IF(Tabela17[[#This Row],[Código]]="","",CONCATENATE(LEFT(Tabela17[[#This Row],[Código]],6),".SA")))</f>
        <v>BRKM5.SA</v>
      </c>
      <c r="C23" s="3" t="s">
        <v>265</v>
      </c>
      <c r="D23" s="3" t="s">
        <v>1716</v>
      </c>
      <c r="E23" s="3" t="s">
        <v>1717</v>
      </c>
      <c r="F23" s="3" t="s">
        <v>1718</v>
      </c>
      <c r="G23" s="3" t="s">
        <v>1719</v>
      </c>
      <c r="H23" s="51">
        <v>41691</v>
      </c>
      <c r="J23" s="3">
        <f t="shared" si="7"/>
        <v>18</v>
      </c>
      <c r="K23" s="3">
        <f t="shared" si="7"/>
        <v>17.97</v>
      </c>
      <c r="L23" s="3">
        <f t="shared" si="7"/>
        <v>18.25</v>
      </c>
      <c r="M23" s="3">
        <f t="shared" si="7"/>
        <v>17.7</v>
      </c>
      <c r="P23" s="14" t="s">
        <v>262</v>
      </c>
      <c r="Q23" s="10" t="str">
        <f t="shared" si="1"/>
        <v xml:space="preserve">BRASKEM     -PNA </v>
      </c>
      <c r="R23" s="51">
        <f t="shared" si="2"/>
        <v>41691</v>
      </c>
      <c r="S23" s="5">
        <f t="shared" si="3"/>
        <v>18</v>
      </c>
      <c r="T23" s="5">
        <f t="shared" si="4"/>
        <v>17.97</v>
      </c>
      <c r="U23" s="5">
        <f t="shared" si="5"/>
        <v>18.25</v>
      </c>
      <c r="V23" s="5">
        <f t="shared" si="6"/>
        <v>17.7</v>
      </c>
    </row>
    <row r="24" spans="1:22">
      <c r="A24" s="33" t="str">
        <f>IF(Tabela17[[#This Row],[Código]]="IBOV","^BVSP",IF(Tabela17[[#This Row],[Código]]="","",CONCATENATE(LEFT(Tabela17[[#This Row],[Código]],6),".SA")))</f>
        <v>BRKM6.SA</v>
      </c>
      <c r="C24" s="3" t="s">
        <v>266</v>
      </c>
      <c r="D24" s="3" t="s">
        <v>746</v>
      </c>
      <c r="E24" s="3" t="s">
        <v>746</v>
      </c>
      <c r="F24" s="3" t="s">
        <v>746</v>
      </c>
      <c r="G24" s="3" t="s">
        <v>746</v>
      </c>
      <c r="H24" s="51">
        <v>41691</v>
      </c>
      <c r="J24" s="3">
        <f t="shared" si="7"/>
        <v>10.15</v>
      </c>
      <c r="K24" s="3">
        <f t="shared" si="7"/>
        <v>10.15</v>
      </c>
      <c r="L24" s="3">
        <f t="shared" si="7"/>
        <v>10.15</v>
      </c>
      <c r="M24" s="3">
        <f t="shared" si="7"/>
        <v>10.15</v>
      </c>
      <c r="P24" s="15" t="s">
        <v>263</v>
      </c>
      <c r="Q24" s="10" t="str">
        <f t="shared" si="1"/>
        <v xml:space="preserve">BRASKEM     -PNB </v>
      </c>
      <c r="R24" s="51">
        <f t="shared" si="2"/>
        <v>41691</v>
      </c>
      <c r="S24" s="5">
        <f t="shared" si="3"/>
        <v>10.15</v>
      </c>
      <c r="T24" s="5">
        <f t="shared" si="4"/>
        <v>10.15</v>
      </c>
      <c r="U24" s="5">
        <f t="shared" si="5"/>
        <v>10.15</v>
      </c>
      <c r="V24" s="5">
        <f t="shared" si="6"/>
        <v>10.15</v>
      </c>
    </row>
    <row r="25" spans="1:22">
      <c r="A25" s="33" t="str">
        <f>IF(Tabela17[[#This Row],[Código]]="IBOV","^BVSP",IF(Tabela17[[#This Row],[Código]]="","",CONCATENATE(LEFT(Tabela17[[#This Row],[Código]],6),".SA")))</f>
        <v>BRML3.SA</v>
      </c>
      <c r="C25" s="3" t="s">
        <v>347</v>
      </c>
      <c r="D25" s="3" t="s">
        <v>1720</v>
      </c>
      <c r="E25" s="3" t="s">
        <v>1535</v>
      </c>
      <c r="F25" s="3" t="s">
        <v>997</v>
      </c>
      <c r="G25" s="3" t="s">
        <v>1721</v>
      </c>
      <c r="H25" s="51">
        <v>41691</v>
      </c>
      <c r="J25" s="3">
        <f t="shared" si="7"/>
        <v>17.34</v>
      </c>
      <c r="K25" s="3">
        <f t="shared" si="7"/>
        <v>17.48</v>
      </c>
      <c r="L25" s="3">
        <f t="shared" si="7"/>
        <v>17.559999999999999</v>
      </c>
      <c r="M25" s="3">
        <f t="shared" si="7"/>
        <v>17.04</v>
      </c>
      <c r="P25" s="10" t="s">
        <v>346</v>
      </c>
      <c r="Q25" s="10" t="str">
        <f t="shared" si="1"/>
        <v xml:space="preserve">BR MALLS PAR-ON  </v>
      </c>
      <c r="R25" s="51">
        <f t="shared" si="2"/>
        <v>41691</v>
      </c>
      <c r="S25" s="5">
        <f t="shared" si="3"/>
        <v>17.34</v>
      </c>
      <c r="T25" s="5">
        <f t="shared" si="4"/>
        <v>17.48</v>
      </c>
      <c r="U25" s="5">
        <f t="shared" si="5"/>
        <v>17.559999999999999</v>
      </c>
      <c r="V25" s="5">
        <f t="shared" si="6"/>
        <v>17.04</v>
      </c>
    </row>
    <row r="26" spans="1:22">
      <c r="A26" s="33" t="str">
        <f>IF(Tabela17[[#This Row],[Código]]="IBOV","^BVSP",IF(Tabela17[[#This Row],[Código]]="","",CONCATENATE(LEFT(Tabela17[[#This Row],[Código]],6),".SA")))</f>
        <v>BRPR3.SA</v>
      </c>
      <c r="C26" s="3" t="s">
        <v>349</v>
      </c>
      <c r="D26" s="3" t="s">
        <v>967</v>
      </c>
      <c r="E26" s="3" t="s">
        <v>1721</v>
      </c>
      <c r="F26" s="3" t="s">
        <v>1722</v>
      </c>
      <c r="G26" s="3" t="s">
        <v>1723</v>
      </c>
      <c r="H26" s="51">
        <v>41691</v>
      </c>
      <c r="J26" s="3">
        <f t="shared" si="7"/>
        <v>16.57</v>
      </c>
      <c r="K26" s="3">
        <f t="shared" si="7"/>
        <v>17.04</v>
      </c>
      <c r="L26" s="3">
        <f t="shared" si="7"/>
        <v>17.02</v>
      </c>
      <c r="M26" s="3">
        <f t="shared" si="7"/>
        <v>16.29</v>
      </c>
      <c r="P26" s="15" t="s">
        <v>348</v>
      </c>
      <c r="Q26" s="10" t="str">
        <f t="shared" si="1"/>
        <v xml:space="preserve">BR PROPERT  -ON  </v>
      </c>
      <c r="R26" s="51">
        <f t="shared" si="2"/>
        <v>41691</v>
      </c>
      <c r="S26" s="5">
        <f t="shared" si="3"/>
        <v>16.57</v>
      </c>
      <c r="T26" s="5">
        <f t="shared" si="4"/>
        <v>17.04</v>
      </c>
      <c r="U26" s="5">
        <f t="shared" si="5"/>
        <v>17.02</v>
      </c>
      <c r="V26" s="5">
        <f t="shared" si="6"/>
        <v>16.29</v>
      </c>
    </row>
    <row r="27" spans="1:22">
      <c r="A27" s="33" t="str">
        <f>IF(Tabela17[[#This Row],[Código]]="IBOV","^BVSP",IF(Tabela17[[#This Row],[Código]]="","",CONCATENATE(LEFT(Tabela17[[#This Row],[Código]],6),".SA")))</f>
        <v>BVMF3.SA</v>
      </c>
      <c r="C27" s="3" t="s">
        <v>377</v>
      </c>
      <c r="D27" s="3" t="s">
        <v>1553</v>
      </c>
      <c r="E27" s="3" t="s">
        <v>1724</v>
      </c>
      <c r="F27" s="3" t="s">
        <v>1725</v>
      </c>
      <c r="G27" s="3" t="s">
        <v>1553</v>
      </c>
      <c r="H27" s="51">
        <v>41691</v>
      </c>
      <c r="J27" s="3">
        <f t="shared" si="7"/>
        <v>9.4700000000000006</v>
      </c>
      <c r="K27" s="3">
        <f t="shared" si="7"/>
        <v>9.58</v>
      </c>
      <c r="L27" s="3">
        <f t="shared" si="7"/>
        <v>9.7200000000000006</v>
      </c>
      <c r="M27" s="3">
        <f t="shared" si="7"/>
        <v>9.4700000000000006</v>
      </c>
      <c r="P27" s="15" t="s">
        <v>375</v>
      </c>
      <c r="Q27" s="10" t="str">
        <f t="shared" si="1"/>
        <v xml:space="preserve">BMFBOVESPA  -ON  </v>
      </c>
      <c r="R27" s="51">
        <f t="shared" si="2"/>
        <v>41691</v>
      </c>
      <c r="S27" s="5">
        <f t="shared" si="3"/>
        <v>9.4700000000000006</v>
      </c>
      <c r="T27" s="5">
        <f t="shared" si="4"/>
        <v>9.58</v>
      </c>
      <c r="U27" s="5">
        <f t="shared" si="5"/>
        <v>9.7200000000000006</v>
      </c>
      <c r="V27" s="5">
        <f t="shared" si="6"/>
        <v>9.4700000000000006</v>
      </c>
    </row>
    <row r="28" spans="1:22">
      <c r="A28" s="33" t="str">
        <f>IF(Tabela17[[#This Row],[Código]]="IBOV","^BVSP",IF(Tabela17[[#This Row],[Código]]="","",CONCATENATE(LEFT(Tabela17[[#This Row],[Código]],6),".SA")))</f>
        <v>CBEE3.SA</v>
      </c>
      <c r="C28" s="3" t="s">
        <v>464</v>
      </c>
      <c r="D28" s="3" t="s">
        <v>1261</v>
      </c>
      <c r="E28" s="3" t="s">
        <v>1261</v>
      </c>
      <c r="F28" s="3" t="s">
        <v>1261</v>
      </c>
      <c r="G28" s="3" t="s">
        <v>1261</v>
      </c>
      <c r="H28" s="51">
        <v>41691</v>
      </c>
      <c r="J28" s="3">
        <f t="shared" si="7"/>
        <v>1.1499999999999999</v>
      </c>
      <c r="K28" s="3">
        <f t="shared" si="7"/>
        <v>1.1499999999999999</v>
      </c>
      <c r="L28" s="3">
        <f t="shared" si="7"/>
        <v>1.1499999999999999</v>
      </c>
      <c r="M28" s="3">
        <f t="shared" si="7"/>
        <v>1.1499999999999999</v>
      </c>
      <c r="P28" s="15" t="s">
        <v>463</v>
      </c>
      <c r="Q28" s="10" t="str">
        <f t="shared" si="1"/>
        <v>AMPLA ENERG -ON *</v>
      </c>
      <c r="R28" s="51">
        <f t="shared" si="2"/>
        <v>41691</v>
      </c>
      <c r="S28" s="5">
        <f t="shared" si="3"/>
        <v>1.1499999999999999</v>
      </c>
      <c r="T28" s="5">
        <f t="shared" si="4"/>
        <v>1.1499999999999999</v>
      </c>
      <c r="U28" s="5">
        <f t="shared" si="5"/>
        <v>1.1499999999999999</v>
      </c>
      <c r="V28" s="5">
        <f t="shared" si="6"/>
        <v>1.1499999999999999</v>
      </c>
    </row>
    <row r="29" spans="1:22">
      <c r="A29" s="33" t="str">
        <f>IF(Tabela17[[#This Row],[Código]]="IBOV","^BVSP",IF(Tabela17[[#This Row],[Código]]="","",CONCATENATE(LEFT(Tabela17[[#This Row],[Código]],6),".SA")))</f>
        <v>CCPR3.SA</v>
      </c>
      <c r="C29" s="3" t="s">
        <v>351</v>
      </c>
      <c r="D29" s="3" t="s">
        <v>1536</v>
      </c>
      <c r="E29" s="3" t="s">
        <v>1726</v>
      </c>
      <c r="F29" s="3" t="s">
        <v>1726</v>
      </c>
      <c r="G29" s="3" t="s">
        <v>1536</v>
      </c>
      <c r="H29" s="51">
        <v>41691</v>
      </c>
      <c r="J29" s="3">
        <f>IF($A29="",0,VALUE(CONCATENATE(LEFT(D29,LEN(D29)-3),",",RIGHT(D29,2))))</f>
        <v>19.010000000000002</v>
      </c>
      <c r="K29" s="3">
        <f t="shared" si="7"/>
        <v>19.55</v>
      </c>
      <c r="L29" s="3">
        <f t="shared" si="7"/>
        <v>19.55</v>
      </c>
      <c r="M29" s="3">
        <f t="shared" si="7"/>
        <v>19.010000000000002</v>
      </c>
      <c r="P29" s="15" t="s">
        <v>350</v>
      </c>
      <c r="Q29" s="10" t="str">
        <f t="shared" si="1"/>
        <v xml:space="preserve">CYRE COM-CCP-ON  </v>
      </c>
      <c r="R29" s="51">
        <f t="shared" si="2"/>
        <v>41691</v>
      </c>
      <c r="S29" s="5">
        <f t="shared" si="3"/>
        <v>19.010000000000002</v>
      </c>
      <c r="T29" s="5">
        <f t="shared" si="4"/>
        <v>19.55</v>
      </c>
      <c r="U29" s="5">
        <f t="shared" si="5"/>
        <v>19.55</v>
      </c>
      <c r="V29" s="5">
        <f t="shared" si="6"/>
        <v>19.010000000000002</v>
      </c>
    </row>
    <row r="30" spans="1:22">
      <c r="A30" s="33" t="str">
        <f>IF(Tabela17[[#This Row],[Código]]="IBOV","^BVSP",IF(Tabela17[[#This Row],[Código]]="","",CONCATENATE(LEFT(Tabela17[[#This Row],[Código]],6),".SA")))</f>
        <v>CEEB6.SA</v>
      </c>
      <c r="C30" s="3" t="s">
        <v>648</v>
      </c>
      <c r="D30" s="3" t="s">
        <v>442</v>
      </c>
      <c r="E30" s="3" t="s">
        <v>443</v>
      </c>
      <c r="F30" s="3" t="s">
        <v>442</v>
      </c>
      <c r="G30" s="3" t="s">
        <v>442</v>
      </c>
      <c r="H30" s="51" t="s">
        <v>442</v>
      </c>
      <c r="J30" s="3" t="e">
        <f t="shared" si="7"/>
        <v>#VALUE!</v>
      </c>
      <c r="K30" s="3">
        <f t="shared" si="7"/>
        <v>0</v>
      </c>
      <c r="L30" s="3" t="e">
        <f t="shared" si="7"/>
        <v>#VALUE!</v>
      </c>
      <c r="M30" s="3" t="e">
        <f t="shared" si="7"/>
        <v>#VALUE!</v>
      </c>
      <c r="P30" s="10" t="s">
        <v>484</v>
      </c>
      <c r="Q30" s="10" t="str">
        <f t="shared" si="1"/>
        <v>COELBA      -PNB</v>
      </c>
      <c r="R30" s="51" t="str">
        <f t="shared" si="2"/>
        <v>N/A</v>
      </c>
      <c r="S30" s="5" t="e">
        <f t="shared" si="3"/>
        <v>#VALUE!</v>
      </c>
      <c r="T30" s="5">
        <f t="shared" si="4"/>
        <v>0</v>
      </c>
      <c r="U30" s="5" t="e">
        <f t="shared" si="5"/>
        <v>#VALUE!</v>
      </c>
      <c r="V30" s="5" t="e">
        <f t="shared" si="6"/>
        <v>#VALUE!</v>
      </c>
    </row>
    <row r="31" spans="1:22">
      <c r="A31" s="33" t="str">
        <f>IF(Tabela17[[#This Row],[Código]]="IBOV","^BVSP",IF(Tabela17[[#This Row],[Código]]="","",CONCATENATE(LEFT(Tabela17[[#This Row],[Código]],6),".SA")))</f>
        <v>CELP3.SA</v>
      </c>
      <c r="C31" s="3" t="s">
        <v>476</v>
      </c>
      <c r="D31" s="3" t="s">
        <v>953</v>
      </c>
      <c r="E31" s="3" t="s">
        <v>953</v>
      </c>
      <c r="F31" s="3" t="s">
        <v>953</v>
      </c>
      <c r="G31" s="3" t="s">
        <v>953</v>
      </c>
      <c r="H31" s="51">
        <v>41691</v>
      </c>
      <c r="J31" s="3">
        <f t="shared" si="7"/>
        <v>1.25</v>
      </c>
      <c r="K31" s="3">
        <f t="shared" si="7"/>
        <v>1.25</v>
      </c>
      <c r="L31" s="3">
        <f t="shared" si="7"/>
        <v>1.25</v>
      </c>
      <c r="M31" s="3">
        <f t="shared" si="7"/>
        <v>1.25</v>
      </c>
      <c r="P31" s="14" t="s">
        <v>472</v>
      </c>
      <c r="Q31" s="10" t="str">
        <f t="shared" si="1"/>
        <v>CELPA       -ON</v>
      </c>
      <c r="R31" s="51">
        <f t="shared" si="2"/>
        <v>41691</v>
      </c>
      <c r="S31" s="5">
        <f t="shared" si="3"/>
        <v>1.25</v>
      </c>
      <c r="T31" s="5">
        <f t="shared" si="4"/>
        <v>1.25</v>
      </c>
      <c r="U31" s="5">
        <f t="shared" si="5"/>
        <v>1.25</v>
      </c>
      <c r="V31" s="5">
        <f t="shared" si="6"/>
        <v>1.25</v>
      </c>
    </row>
    <row r="32" spans="1:22">
      <c r="A32" s="33" t="str">
        <f>IF(Tabela17[[#This Row],[Código]]="IBOV","^BVSP",IF(Tabela17[[#This Row],[Código]]="","",CONCATENATE(LEFT(Tabela17[[#This Row],[Código]],6),".SA")))</f>
        <v>CELP5.SA</v>
      </c>
      <c r="C32" s="3" t="s">
        <v>477</v>
      </c>
      <c r="D32" s="3" t="s">
        <v>478</v>
      </c>
      <c r="E32" s="3" t="s">
        <v>478</v>
      </c>
      <c r="F32" s="3" t="s">
        <v>478</v>
      </c>
      <c r="G32" s="3" t="s">
        <v>478</v>
      </c>
      <c r="H32" s="51">
        <v>41691</v>
      </c>
      <c r="J32" s="3">
        <f t="shared" si="7"/>
        <v>1</v>
      </c>
      <c r="K32" s="3">
        <f t="shared" si="7"/>
        <v>1</v>
      </c>
      <c r="L32" s="3">
        <f t="shared" si="7"/>
        <v>1</v>
      </c>
      <c r="M32" s="3">
        <f t="shared" si="7"/>
        <v>1</v>
      </c>
      <c r="P32" s="14" t="s">
        <v>473</v>
      </c>
      <c r="Q32" s="10" t="str">
        <f t="shared" si="1"/>
        <v>CELPA       -PNA</v>
      </c>
      <c r="R32" s="51">
        <f t="shared" si="2"/>
        <v>41691</v>
      </c>
      <c r="S32" s="5">
        <f t="shared" si="3"/>
        <v>1</v>
      </c>
      <c r="T32" s="5">
        <f t="shared" si="4"/>
        <v>1</v>
      </c>
      <c r="U32" s="5">
        <f t="shared" si="5"/>
        <v>1</v>
      </c>
      <c r="V32" s="5">
        <f t="shared" si="6"/>
        <v>1</v>
      </c>
    </row>
    <row r="33" spans="1:22">
      <c r="A33" s="33" t="str">
        <f>IF(Tabela17[[#This Row],[Código]]="IBOV","^BVSP",IF(Tabela17[[#This Row],[Código]]="","",CONCATENATE(LEFT(Tabela17[[#This Row],[Código]],6),".SA")))</f>
        <v>CELP6.SA</v>
      </c>
      <c r="C33" s="3" t="s">
        <v>479</v>
      </c>
      <c r="D33" s="3" t="s">
        <v>480</v>
      </c>
      <c r="E33" s="3" t="s">
        <v>480</v>
      </c>
      <c r="F33" s="3" t="s">
        <v>480</v>
      </c>
      <c r="G33" s="3" t="s">
        <v>480</v>
      </c>
      <c r="H33" s="51">
        <v>41691</v>
      </c>
      <c r="J33" s="3">
        <f t="shared" si="7"/>
        <v>0.75</v>
      </c>
      <c r="K33" s="3">
        <f t="shared" si="7"/>
        <v>0.75</v>
      </c>
      <c r="L33" s="3">
        <f t="shared" si="7"/>
        <v>0.75</v>
      </c>
      <c r="M33" s="3">
        <f t="shared" si="7"/>
        <v>0.75</v>
      </c>
      <c r="P33" s="15" t="s">
        <v>474</v>
      </c>
      <c r="Q33" s="10" t="str">
        <f t="shared" si="1"/>
        <v>CELPA       -PNB</v>
      </c>
      <c r="R33" s="51">
        <f t="shared" si="2"/>
        <v>41691</v>
      </c>
      <c r="S33" s="5">
        <f t="shared" si="3"/>
        <v>0.75</v>
      </c>
      <c r="T33" s="5">
        <f t="shared" si="4"/>
        <v>0.75</v>
      </c>
      <c r="U33" s="5">
        <f t="shared" si="5"/>
        <v>0.75</v>
      </c>
      <c r="V33" s="5">
        <f t="shared" si="6"/>
        <v>0.75</v>
      </c>
    </row>
    <row r="34" spans="1:22">
      <c r="A34" s="33" t="str">
        <f>IF(Tabela17[[#This Row],[Código]]="IBOV","^BVSP",IF(Tabela17[[#This Row],[Código]]="","",CONCATENATE(LEFT(Tabela17[[#This Row],[Código]],6),".SA")))</f>
        <v>CELP7.SA</v>
      </c>
      <c r="C34" s="3" t="s">
        <v>481</v>
      </c>
      <c r="D34" s="3" t="s">
        <v>955</v>
      </c>
      <c r="E34" s="3" t="s">
        <v>955</v>
      </c>
      <c r="F34" s="3" t="s">
        <v>955</v>
      </c>
      <c r="G34" s="3" t="s">
        <v>955</v>
      </c>
      <c r="H34" s="51">
        <v>41691</v>
      </c>
      <c r="J34" s="3">
        <f t="shared" si="7"/>
        <v>0.6</v>
      </c>
      <c r="K34" s="3">
        <f t="shared" si="7"/>
        <v>0.6</v>
      </c>
      <c r="L34" s="3">
        <f t="shared" si="7"/>
        <v>0.6</v>
      </c>
      <c r="M34" s="3">
        <f t="shared" si="7"/>
        <v>0.6</v>
      </c>
      <c r="P34" s="15" t="s">
        <v>475</v>
      </c>
      <c r="Q34" s="10" t="str">
        <f t="shared" si="1"/>
        <v>CELPA       -PNC</v>
      </c>
      <c r="R34" s="51">
        <f t="shared" si="2"/>
        <v>41691</v>
      </c>
      <c r="S34" s="5">
        <f t="shared" si="3"/>
        <v>0.6</v>
      </c>
      <c r="T34" s="5">
        <f t="shared" si="4"/>
        <v>0.6</v>
      </c>
      <c r="U34" s="5">
        <f t="shared" si="5"/>
        <v>0.6</v>
      </c>
      <c r="V34" s="5">
        <f t="shared" si="6"/>
        <v>0.6</v>
      </c>
    </row>
    <row r="35" spans="1:22">
      <c r="A35" s="33" t="str">
        <f>IF(Tabela17[[#This Row],[Código]]="IBOV","^BVSP",IF(Tabela17[[#This Row],[Código]]="","",CONCATENATE(LEFT(Tabela17[[#This Row],[Código]],6),".SA")))</f>
        <v>CIEL3.SA</v>
      </c>
      <c r="C35" s="3" t="s">
        <v>381</v>
      </c>
      <c r="D35" s="3" t="s">
        <v>1727</v>
      </c>
      <c r="E35" s="3" t="s">
        <v>1728</v>
      </c>
      <c r="F35" s="3" t="s">
        <v>1729</v>
      </c>
      <c r="G35" s="3" t="s">
        <v>1730</v>
      </c>
      <c r="H35" s="51">
        <v>41691</v>
      </c>
      <c r="J35" s="3">
        <f t="shared" si="7"/>
        <v>64.55</v>
      </c>
      <c r="K35" s="3">
        <f t="shared" si="7"/>
        <v>64.790000000000006</v>
      </c>
      <c r="L35" s="3">
        <f t="shared" si="7"/>
        <v>65.08</v>
      </c>
      <c r="M35" s="3">
        <f t="shared" si="7"/>
        <v>64.25</v>
      </c>
      <c r="P35" s="43" t="s">
        <v>379</v>
      </c>
      <c r="Q35" s="10" t="str">
        <f t="shared" si="1"/>
        <v xml:space="preserve">CIELO       -ON  </v>
      </c>
      <c r="R35" s="51">
        <f t="shared" si="2"/>
        <v>41691</v>
      </c>
      <c r="S35" s="5">
        <f t="shared" si="3"/>
        <v>64.55</v>
      </c>
      <c r="T35" s="5">
        <f t="shared" si="4"/>
        <v>64.790000000000006</v>
      </c>
      <c r="U35" s="5">
        <f t="shared" si="5"/>
        <v>65.08</v>
      </c>
      <c r="V35" s="5">
        <f t="shared" si="6"/>
        <v>64.25</v>
      </c>
    </row>
    <row r="36" spans="1:22">
      <c r="A36" s="33" t="str">
        <f>IF(Tabela17[[#This Row],[Código]]="IBOV","^BVSP",IF(Tabela17[[#This Row],[Código]]="","",CONCATENATE(LEFT(Tabela17[[#This Row],[Código]],6),".SA")))</f>
        <v>CIQU3.SA</v>
      </c>
      <c r="C36" s="3" t="s">
        <v>649</v>
      </c>
      <c r="D36" s="3" t="s">
        <v>274</v>
      </c>
      <c r="E36" s="3" t="s">
        <v>274</v>
      </c>
      <c r="F36" s="3" t="s">
        <v>274</v>
      </c>
      <c r="G36" s="3" t="s">
        <v>274</v>
      </c>
      <c r="H36" s="51">
        <v>41691</v>
      </c>
      <c r="J36" s="3">
        <f t="shared" si="7"/>
        <v>7.08</v>
      </c>
      <c r="K36" s="3">
        <f t="shared" si="7"/>
        <v>7.08</v>
      </c>
      <c r="L36" s="3">
        <f t="shared" si="7"/>
        <v>7.08</v>
      </c>
      <c r="M36" s="3">
        <f t="shared" si="7"/>
        <v>7.08</v>
      </c>
      <c r="P36" s="10" t="s">
        <v>272</v>
      </c>
      <c r="Q36" s="10" t="str">
        <f t="shared" si="1"/>
        <v>CACIQUE     -ON</v>
      </c>
      <c r="R36" s="51">
        <f t="shared" si="2"/>
        <v>41691</v>
      </c>
      <c r="S36" s="5">
        <f t="shared" si="3"/>
        <v>7.08</v>
      </c>
      <c r="T36" s="5">
        <f t="shared" si="4"/>
        <v>7.08</v>
      </c>
      <c r="U36" s="5">
        <f t="shared" si="5"/>
        <v>7.08</v>
      </c>
      <c r="V36" s="5">
        <f t="shared" si="6"/>
        <v>7.08</v>
      </c>
    </row>
    <row r="37" spans="1:22">
      <c r="A37" s="33" t="str">
        <f>IF(Tabela17[[#This Row],[Código]]="IBOV","^BVSP",IF(Tabela17[[#This Row],[Código]]="","",CONCATENATE(LEFT(Tabela17[[#This Row],[Código]],6),".SA")))</f>
        <v>CIQU4.SA</v>
      </c>
      <c r="C37" s="3" t="s">
        <v>650</v>
      </c>
      <c r="D37" s="3" t="s">
        <v>938</v>
      </c>
      <c r="E37" s="3" t="s">
        <v>938</v>
      </c>
      <c r="F37" s="3" t="s">
        <v>938</v>
      </c>
      <c r="G37" s="3" t="s">
        <v>938</v>
      </c>
      <c r="H37" s="51">
        <v>41691</v>
      </c>
      <c r="J37" s="3">
        <f t="shared" si="7"/>
        <v>12.5</v>
      </c>
      <c r="K37" s="3">
        <f t="shared" si="7"/>
        <v>12.5</v>
      </c>
      <c r="L37" s="3">
        <f t="shared" si="7"/>
        <v>12.5</v>
      </c>
      <c r="M37" s="3">
        <f t="shared" si="7"/>
        <v>12.5</v>
      </c>
      <c r="P37" s="15" t="s">
        <v>273</v>
      </c>
      <c r="Q37" s="10" t="str">
        <f t="shared" si="1"/>
        <v>CACIQUE     -PN</v>
      </c>
      <c r="R37" s="51">
        <f t="shared" si="2"/>
        <v>41691</v>
      </c>
      <c r="S37" s="5">
        <f t="shared" si="3"/>
        <v>12.5</v>
      </c>
      <c r="T37" s="5">
        <f t="shared" si="4"/>
        <v>12.5</v>
      </c>
      <c r="U37" s="5">
        <f t="shared" si="5"/>
        <v>12.5</v>
      </c>
      <c r="V37" s="5">
        <f t="shared" si="6"/>
        <v>12.5</v>
      </c>
    </row>
    <row r="38" spans="1:22">
      <c r="A38" s="33" t="str">
        <f>IF(Tabela17[[#This Row],[Código]]="IBOV","^BVSP",IF(Tabela17[[#This Row],[Código]]="","",CONCATENATE(LEFT(Tabela17[[#This Row],[Código]],6),".SA")))</f>
        <v>clsc3.SA</v>
      </c>
      <c r="C38" s="3" t="s">
        <v>471</v>
      </c>
      <c r="D38" s="3" t="s">
        <v>775</v>
      </c>
      <c r="E38" s="3" t="s">
        <v>775</v>
      </c>
      <c r="F38" s="3" t="s">
        <v>775</v>
      </c>
      <c r="G38" s="3" t="s">
        <v>775</v>
      </c>
      <c r="H38" s="51">
        <v>41691</v>
      </c>
      <c r="J38" s="3">
        <f t="shared" si="7"/>
        <v>40</v>
      </c>
      <c r="K38" s="3">
        <f t="shared" si="7"/>
        <v>40</v>
      </c>
      <c r="L38" s="3">
        <f t="shared" si="7"/>
        <v>40</v>
      </c>
      <c r="M38" s="3">
        <f t="shared" si="7"/>
        <v>40</v>
      </c>
      <c r="P38" s="15" t="s">
        <v>470</v>
      </c>
      <c r="Q38" s="10" t="str">
        <f t="shared" si="1"/>
        <v xml:space="preserve">CELESC      -ON  </v>
      </c>
      <c r="R38" s="51">
        <f t="shared" si="2"/>
        <v>41691</v>
      </c>
      <c r="S38" s="5">
        <f t="shared" si="3"/>
        <v>40</v>
      </c>
      <c r="T38" s="5">
        <f t="shared" si="4"/>
        <v>40</v>
      </c>
      <c r="U38" s="5">
        <f t="shared" si="5"/>
        <v>40</v>
      </c>
      <c r="V38" s="5">
        <f t="shared" si="6"/>
        <v>40</v>
      </c>
    </row>
    <row r="39" spans="1:22">
      <c r="A39" s="33" t="str">
        <f>IF(Tabela17[[#This Row],[Código]]="IBOV","^BVSP",IF(Tabela17[[#This Row],[Código]]="","",CONCATENATE(LEFT(Tabela17[[#This Row],[Código]],6),".SA")))</f>
        <v>CRIV3.SA</v>
      </c>
      <c r="C39" s="3" t="s">
        <v>368</v>
      </c>
      <c r="D39" s="3" t="s">
        <v>807</v>
      </c>
      <c r="E39" s="3" t="s">
        <v>1508</v>
      </c>
      <c r="F39" s="3" t="s">
        <v>1508</v>
      </c>
      <c r="G39" s="3" t="s">
        <v>807</v>
      </c>
      <c r="H39" s="51">
        <v>41691</v>
      </c>
      <c r="J39" s="3">
        <f t="shared" si="7"/>
        <v>3.9</v>
      </c>
      <c r="K39" s="3">
        <f t="shared" si="7"/>
        <v>3.98</v>
      </c>
      <c r="L39" s="3">
        <f t="shared" si="7"/>
        <v>3.98</v>
      </c>
      <c r="M39" s="3">
        <f t="shared" si="7"/>
        <v>3.9</v>
      </c>
      <c r="P39" s="10" t="s">
        <v>366</v>
      </c>
      <c r="Q39" s="10" t="str">
        <f t="shared" ref="Q39:Q70" si="8">IF(A39="","",C39)</f>
        <v>ALFA FINANC -ON</v>
      </c>
      <c r="R39" s="51">
        <f t="shared" ref="R39:R70" si="9">IF(A39="","",H39)</f>
        <v>41691</v>
      </c>
      <c r="S39" s="5">
        <f t="shared" ref="S39:S70" si="10">J39</f>
        <v>3.9</v>
      </c>
      <c r="T39" s="5">
        <f t="shared" ref="T39:T70" si="11">K39</f>
        <v>3.98</v>
      </c>
      <c r="U39" s="5">
        <f t="shared" ref="U39:U70" si="12">L39</f>
        <v>3.98</v>
      </c>
      <c r="V39" s="5">
        <f t="shared" ref="V39:V70" si="13">M39</f>
        <v>3.9</v>
      </c>
    </row>
    <row r="40" spans="1:22">
      <c r="A40" s="33" t="str">
        <f>IF(Tabela17[[#This Row],[Código]]="IBOV","^BVSP",IF(Tabela17[[#This Row],[Código]]="","",CONCATENATE(LEFT(Tabela17[[#This Row],[Código]],6),".SA")))</f>
        <v>CRIV4.SA</v>
      </c>
      <c r="C40" s="3" t="s">
        <v>794</v>
      </c>
      <c r="D40" s="3" t="s">
        <v>807</v>
      </c>
      <c r="E40" s="3" t="s">
        <v>807</v>
      </c>
      <c r="F40" s="3" t="s">
        <v>807</v>
      </c>
      <c r="G40" s="3" t="s">
        <v>807</v>
      </c>
      <c r="H40" s="51">
        <v>41691</v>
      </c>
      <c r="J40" s="3">
        <f t="shared" si="7"/>
        <v>3.9</v>
      </c>
      <c r="K40" s="3">
        <f t="shared" si="7"/>
        <v>3.9</v>
      </c>
      <c r="L40" s="3">
        <f t="shared" si="7"/>
        <v>3.9</v>
      </c>
      <c r="M40" s="3">
        <f t="shared" si="7"/>
        <v>3.9</v>
      </c>
      <c r="P40" s="14" t="s">
        <v>367</v>
      </c>
      <c r="Q40" s="10" t="str">
        <f t="shared" si="8"/>
        <v>ALFA FINANC -PN</v>
      </c>
      <c r="R40" s="51">
        <f t="shared" si="9"/>
        <v>41691</v>
      </c>
      <c r="S40" s="5">
        <f t="shared" si="10"/>
        <v>3.9</v>
      </c>
      <c r="T40" s="5">
        <f t="shared" si="11"/>
        <v>3.9</v>
      </c>
      <c r="U40" s="5">
        <f t="shared" si="12"/>
        <v>3.9</v>
      </c>
      <c r="V40" s="5">
        <f t="shared" si="13"/>
        <v>3.9</v>
      </c>
    </row>
    <row r="41" spans="1:22">
      <c r="A41" s="33" t="str">
        <f>IF(Tabela17[[#This Row],[Código]]="IBOV","^BVSP",IF(Tabela17[[#This Row],[Código]]="","",CONCATENATE(LEFT(Tabela17[[#This Row],[Código]],6),".SA")))</f>
        <v>CSAB3.SA</v>
      </c>
      <c r="C41" s="3" t="s">
        <v>249</v>
      </c>
      <c r="D41" s="3" t="s">
        <v>127</v>
      </c>
      <c r="E41" s="3" t="s">
        <v>127</v>
      </c>
      <c r="F41" s="3" t="s">
        <v>127</v>
      </c>
      <c r="G41" s="3" t="s">
        <v>127</v>
      </c>
      <c r="H41" s="51">
        <v>41691</v>
      </c>
      <c r="J41" s="3">
        <f t="shared" si="7"/>
        <v>30</v>
      </c>
      <c r="K41" s="3">
        <f t="shared" si="7"/>
        <v>30</v>
      </c>
      <c r="L41" s="3">
        <f t="shared" si="7"/>
        <v>30</v>
      </c>
      <c r="M41" s="3">
        <f t="shared" si="7"/>
        <v>30</v>
      </c>
      <c r="P41" s="14" t="s">
        <v>247</v>
      </c>
      <c r="Q41" s="10" t="str">
        <f t="shared" si="8"/>
        <v>SEG AL BAHIA-ON</v>
      </c>
      <c r="R41" s="51">
        <f t="shared" si="9"/>
        <v>41691</v>
      </c>
      <c r="S41" s="5">
        <f t="shared" si="10"/>
        <v>30</v>
      </c>
      <c r="T41" s="5">
        <f t="shared" si="11"/>
        <v>30</v>
      </c>
      <c r="U41" s="5">
        <f t="shared" si="12"/>
        <v>30</v>
      </c>
      <c r="V41" s="5">
        <f t="shared" si="13"/>
        <v>30</v>
      </c>
    </row>
    <row r="42" spans="1:22">
      <c r="A42" s="33" t="str">
        <f>IF(Tabela17[[#This Row],[Código]]="IBOV","^BVSP",IF(Tabela17[[#This Row],[Código]]="","",CONCATENATE(LEFT(Tabela17[[#This Row],[Código]],6),".SA")))</f>
        <v>CSAB4.SA</v>
      </c>
      <c r="C42" s="3" t="s">
        <v>250</v>
      </c>
      <c r="D42" s="3" t="s">
        <v>1133</v>
      </c>
      <c r="E42" s="3" t="s">
        <v>1133</v>
      </c>
      <c r="F42" s="3" t="s">
        <v>1133</v>
      </c>
      <c r="G42" s="3" t="s">
        <v>1133</v>
      </c>
      <c r="H42" s="51">
        <v>41691</v>
      </c>
      <c r="J42" s="3">
        <f t="shared" si="7"/>
        <v>30.12</v>
      </c>
      <c r="K42" s="3">
        <f t="shared" si="7"/>
        <v>30.12</v>
      </c>
      <c r="L42" s="3">
        <f t="shared" si="7"/>
        <v>30.12</v>
      </c>
      <c r="M42" s="3">
        <f t="shared" si="7"/>
        <v>30.12</v>
      </c>
      <c r="P42" s="14" t="s">
        <v>248</v>
      </c>
      <c r="Q42" s="10" t="str">
        <f t="shared" si="8"/>
        <v>SEG AL BAHIA-PN</v>
      </c>
      <c r="R42" s="51">
        <f t="shared" si="9"/>
        <v>41691</v>
      </c>
      <c r="S42" s="5">
        <f t="shared" si="10"/>
        <v>30.12</v>
      </c>
      <c r="T42" s="5">
        <f t="shared" si="11"/>
        <v>30.12</v>
      </c>
      <c r="U42" s="5">
        <f t="shared" si="12"/>
        <v>30.12</v>
      </c>
      <c r="V42" s="5">
        <f t="shared" si="13"/>
        <v>30.12</v>
      </c>
    </row>
    <row r="43" spans="1:22">
      <c r="A43" s="33" t="str">
        <f>IF(Tabela17[[#This Row],[Código]]="IBOV","^BVSP",IF(Tabela17[[#This Row],[Código]]="","",CONCATENATE(LEFT(Tabela17[[#This Row],[Código]],6),".SA")))</f>
        <v>CSAN3.SA</v>
      </c>
      <c r="C43" s="3" t="s">
        <v>269</v>
      </c>
      <c r="D43" s="3" t="s">
        <v>1731</v>
      </c>
      <c r="E43" s="3" t="s">
        <v>1732</v>
      </c>
      <c r="F43" s="3" t="s">
        <v>1733</v>
      </c>
      <c r="G43" s="3" t="s">
        <v>1734</v>
      </c>
      <c r="H43" s="51">
        <v>41691</v>
      </c>
      <c r="J43" s="3">
        <f t="shared" si="7"/>
        <v>34.69</v>
      </c>
      <c r="K43" s="3">
        <f t="shared" si="7"/>
        <v>34.450000000000003</v>
      </c>
      <c r="L43" s="3">
        <f t="shared" si="7"/>
        <v>34.74</v>
      </c>
      <c r="M43" s="3">
        <f t="shared" si="7"/>
        <v>34</v>
      </c>
      <c r="P43" s="14" t="s">
        <v>268</v>
      </c>
      <c r="Q43" s="10" t="str">
        <f t="shared" si="8"/>
        <v xml:space="preserve">COSAN       -ON  </v>
      </c>
      <c r="R43" s="51">
        <f t="shared" si="9"/>
        <v>41691</v>
      </c>
      <c r="S43" s="5">
        <f t="shared" si="10"/>
        <v>34.69</v>
      </c>
      <c r="T43" s="5">
        <f t="shared" si="11"/>
        <v>34.450000000000003</v>
      </c>
      <c r="U43" s="5">
        <f t="shared" si="12"/>
        <v>34.74</v>
      </c>
      <c r="V43" s="5">
        <f t="shared" si="13"/>
        <v>34</v>
      </c>
    </row>
    <row r="44" spans="1:22">
      <c r="A44" s="33" t="str">
        <f>IF(Tabela17[[#This Row],[Código]]="IBOV","^BVSP",IF(Tabela17[[#This Row],[Código]]="","",CONCATENATE(LEFT(Tabela17[[#This Row],[Código]],6),".SA")))</f>
        <v>CTIP3.SA</v>
      </c>
      <c r="C44" s="3" t="s">
        <v>380</v>
      </c>
      <c r="D44" s="3" t="s">
        <v>1735</v>
      </c>
      <c r="E44" s="3" t="s">
        <v>1509</v>
      </c>
      <c r="F44" s="3" t="s">
        <v>1736</v>
      </c>
      <c r="G44" s="3" t="s">
        <v>1737</v>
      </c>
      <c r="H44" s="51">
        <v>41691</v>
      </c>
      <c r="J44" s="3">
        <f t="shared" si="7"/>
        <v>24.69</v>
      </c>
      <c r="K44" s="3">
        <f t="shared" si="7"/>
        <v>24.68</v>
      </c>
      <c r="L44" s="3">
        <f t="shared" si="7"/>
        <v>24.9</v>
      </c>
      <c r="M44" s="3">
        <f t="shared" si="7"/>
        <v>24.64</v>
      </c>
      <c r="P44" s="14" t="s">
        <v>378</v>
      </c>
      <c r="Q44" s="10" t="str">
        <f t="shared" si="8"/>
        <v xml:space="preserve">CETIP       -ON  </v>
      </c>
      <c r="R44" s="51">
        <f t="shared" si="9"/>
        <v>41691</v>
      </c>
      <c r="S44" s="5">
        <f t="shared" si="10"/>
        <v>24.69</v>
      </c>
      <c r="T44" s="5">
        <f t="shared" si="11"/>
        <v>24.68</v>
      </c>
      <c r="U44" s="5">
        <f t="shared" si="12"/>
        <v>24.9</v>
      </c>
      <c r="V44" s="5">
        <f t="shared" si="13"/>
        <v>24.64</v>
      </c>
    </row>
    <row r="45" spans="1:22">
      <c r="A45" s="33" t="str">
        <f>IF(Tabela17[[#This Row],[Código]]="IBOV","^BVSP",IF(Tabela17[[#This Row],[Código]]="","",CONCATENATE(LEFT(Tabela17[[#This Row],[Código]],6),".SA")))</f>
        <v>DTEX3.SA</v>
      </c>
      <c r="C45" s="3" t="s">
        <v>319</v>
      </c>
      <c r="D45" s="3" t="s">
        <v>1738</v>
      </c>
      <c r="E45" s="3" t="s">
        <v>1542</v>
      </c>
      <c r="F45" s="3" t="s">
        <v>1739</v>
      </c>
      <c r="G45" s="3" t="s">
        <v>1532</v>
      </c>
      <c r="H45" s="51">
        <v>41691</v>
      </c>
      <c r="J45" s="3">
        <f t="shared" si="7"/>
        <v>11.24</v>
      </c>
      <c r="K45" s="3">
        <f t="shared" si="7"/>
        <v>11.47</v>
      </c>
      <c r="L45" s="3">
        <f t="shared" si="7"/>
        <v>11.51</v>
      </c>
      <c r="M45" s="3">
        <f t="shared" si="7"/>
        <v>11.07</v>
      </c>
      <c r="P45" s="14" t="s">
        <v>317</v>
      </c>
      <c r="Q45" s="10" t="str">
        <f t="shared" si="8"/>
        <v xml:space="preserve">DURATEX     -ON  </v>
      </c>
      <c r="R45" s="51">
        <f t="shared" si="9"/>
        <v>41691</v>
      </c>
      <c r="S45" s="5">
        <f t="shared" si="10"/>
        <v>11.24</v>
      </c>
      <c r="T45" s="5">
        <f t="shared" si="11"/>
        <v>11.47</v>
      </c>
      <c r="U45" s="5">
        <f t="shared" si="12"/>
        <v>11.51</v>
      </c>
      <c r="V45" s="5">
        <f t="shared" si="13"/>
        <v>11.07</v>
      </c>
    </row>
    <row r="46" spans="1:22">
      <c r="A46" s="33" t="str">
        <f>IF(Tabela17[[#This Row],[Código]]="IBOV","^BVSP",IF(Tabela17[[#This Row],[Código]]="","",CONCATENATE(LEFT(Tabela17[[#This Row],[Código]],6),".SA")))</f>
        <v>EBTP4.SA</v>
      </c>
      <c r="C46" s="3" t="s">
        <v>384</v>
      </c>
      <c r="D46" s="3" t="s">
        <v>1740</v>
      </c>
      <c r="E46" s="3" t="s">
        <v>1740</v>
      </c>
      <c r="F46" s="3" t="s">
        <v>1740</v>
      </c>
      <c r="G46" s="3" t="s">
        <v>1740</v>
      </c>
      <c r="H46" s="51">
        <v>41691</v>
      </c>
      <c r="J46" s="3">
        <f t="shared" si="7"/>
        <v>7.94</v>
      </c>
      <c r="K46" s="3">
        <f t="shared" si="7"/>
        <v>7.94</v>
      </c>
      <c r="L46" s="3">
        <f t="shared" si="7"/>
        <v>7.94</v>
      </c>
      <c r="M46" s="3">
        <f t="shared" si="7"/>
        <v>7.94</v>
      </c>
      <c r="P46" s="14" t="s">
        <v>383</v>
      </c>
      <c r="Q46" s="10" t="str">
        <f t="shared" si="8"/>
        <v>EMBRATEL PAR-PN *</v>
      </c>
      <c r="R46" s="46">
        <f t="shared" si="9"/>
        <v>41691</v>
      </c>
      <c r="S46" s="6">
        <f t="shared" si="10"/>
        <v>7.94</v>
      </c>
      <c r="T46" s="6">
        <f t="shared" si="11"/>
        <v>7.94</v>
      </c>
      <c r="U46" s="6">
        <f t="shared" si="12"/>
        <v>7.94</v>
      </c>
      <c r="V46" s="6">
        <f t="shared" si="13"/>
        <v>7.94</v>
      </c>
    </row>
    <row r="47" spans="1:22">
      <c r="A47" s="33" t="str">
        <f>IF(Tabela17[[#This Row],[Código]]="IBOV","^BVSP",IF(Tabela17[[#This Row],[Código]]="","",CONCATENATE(LEFT(Tabela17[[#This Row],[Código]],6),".SA")))</f>
        <v>ELEK3.SA</v>
      </c>
      <c r="C47" s="3" t="s">
        <v>406</v>
      </c>
      <c r="D47" s="3" t="s">
        <v>1741</v>
      </c>
      <c r="E47" s="3" t="s">
        <v>1742</v>
      </c>
      <c r="F47" s="3" t="s">
        <v>1741</v>
      </c>
      <c r="G47" s="3" t="s">
        <v>1742</v>
      </c>
      <c r="H47" s="51">
        <v>41691</v>
      </c>
      <c r="J47" s="3">
        <f t="shared" si="7"/>
        <v>9.4</v>
      </c>
      <c r="K47" s="3">
        <f t="shared" si="7"/>
        <v>9.1</v>
      </c>
      <c r="L47" s="3">
        <f t="shared" si="7"/>
        <v>9.4</v>
      </c>
      <c r="M47" s="3">
        <f t="shared" si="7"/>
        <v>9.1</v>
      </c>
      <c r="P47" s="14" t="s">
        <v>258</v>
      </c>
      <c r="Q47" s="10" t="str">
        <f t="shared" si="8"/>
        <v>ELEKEIROZ   -ON</v>
      </c>
      <c r="R47" s="51">
        <f t="shared" si="9"/>
        <v>41691</v>
      </c>
      <c r="S47" s="5">
        <f t="shared" si="10"/>
        <v>9.4</v>
      </c>
      <c r="T47" s="5">
        <f t="shared" si="11"/>
        <v>9.1</v>
      </c>
      <c r="U47" s="5">
        <f t="shared" si="12"/>
        <v>9.4</v>
      </c>
      <c r="V47" s="5">
        <f t="shared" si="13"/>
        <v>9.1</v>
      </c>
    </row>
    <row r="48" spans="1:22">
      <c r="A48" s="33" t="str">
        <f>IF(Tabela17[[#This Row],[Código]]="IBOV","^BVSP",IF(Tabela17[[#This Row],[Código]]="","",CONCATENATE(LEFT(Tabela17[[#This Row],[Código]],6),".SA")))</f>
        <v>ELEK4.SA</v>
      </c>
      <c r="C48" s="3" t="s">
        <v>407</v>
      </c>
      <c r="D48" s="3" t="s">
        <v>1742</v>
      </c>
      <c r="E48" s="3" t="s">
        <v>1742</v>
      </c>
      <c r="F48" s="3" t="s">
        <v>1743</v>
      </c>
      <c r="G48" s="3" t="s">
        <v>1742</v>
      </c>
      <c r="H48" s="51">
        <v>41691</v>
      </c>
      <c r="J48" s="3">
        <f t="shared" si="7"/>
        <v>9.1</v>
      </c>
      <c r="K48" s="3">
        <f t="shared" si="7"/>
        <v>9.1</v>
      </c>
      <c r="L48" s="3">
        <f t="shared" si="7"/>
        <v>9.6</v>
      </c>
      <c r="M48" s="3">
        <f t="shared" si="7"/>
        <v>9.1</v>
      </c>
      <c r="P48" s="14" t="s">
        <v>259</v>
      </c>
      <c r="Q48" s="10" t="str">
        <f t="shared" si="8"/>
        <v>ELEKEIROZ   -PN</v>
      </c>
      <c r="R48" s="51">
        <f t="shared" si="9"/>
        <v>41691</v>
      </c>
      <c r="S48" s="5">
        <f t="shared" si="10"/>
        <v>9.1</v>
      </c>
      <c r="T48" s="5">
        <f t="shared" si="11"/>
        <v>9.1</v>
      </c>
      <c r="U48" s="5">
        <f t="shared" si="12"/>
        <v>9.6</v>
      </c>
      <c r="V48" s="5">
        <f t="shared" si="13"/>
        <v>9.1</v>
      </c>
    </row>
    <row r="49" spans="1:22">
      <c r="A49" s="33" t="str">
        <f>IF(Tabela17[[#This Row],[Código]]="IBOV","^BVSP",IF(Tabela17[[#This Row],[Código]]="","",CONCATENATE(LEFT(Tabela17[[#This Row],[Código]],6),".SA")))</f>
        <v>elet5.SA</v>
      </c>
      <c r="C49" s="3" t="s">
        <v>466</v>
      </c>
      <c r="D49" s="3" t="s">
        <v>467</v>
      </c>
      <c r="E49" s="3" t="s">
        <v>467</v>
      </c>
      <c r="F49" s="3" t="s">
        <v>467</v>
      </c>
      <c r="G49" s="3" t="s">
        <v>467</v>
      </c>
      <c r="H49" s="51">
        <v>41691</v>
      </c>
      <c r="J49" s="3">
        <f t="shared" si="7"/>
        <v>23.01</v>
      </c>
      <c r="K49" s="3">
        <f t="shared" si="7"/>
        <v>23.01</v>
      </c>
      <c r="L49" s="3">
        <f t="shared" si="7"/>
        <v>23.01</v>
      </c>
      <c r="M49" s="3">
        <f t="shared" si="7"/>
        <v>23.01</v>
      </c>
      <c r="P49" s="15" t="s">
        <v>465</v>
      </c>
      <c r="Q49" s="10" t="str">
        <f t="shared" si="8"/>
        <v xml:space="preserve">ELETROBRAS  -PNA </v>
      </c>
      <c r="R49" s="51">
        <f t="shared" si="9"/>
        <v>41691</v>
      </c>
      <c r="S49" s="5">
        <f t="shared" si="10"/>
        <v>23.01</v>
      </c>
      <c r="T49" s="5">
        <f t="shared" si="11"/>
        <v>23.01</v>
      </c>
      <c r="U49" s="5">
        <f t="shared" si="12"/>
        <v>23.01</v>
      </c>
      <c r="V49" s="5">
        <f t="shared" si="13"/>
        <v>23.01</v>
      </c>
    </row>
    <row r="50" spans="1:22">
      <c r="A50" s="33" t="str">
        <f>IF(Tabela17[[#This Row],[Código]]="IBOV","^BVSP",IF(Tabela17[[#This Row],[Código]]="","",CONCATENATE(LEFT(Tabela17[[#This Row],[Código]],6),".SA")))</f>
        <v>ETER3.SA</v>
      </c>
      <c r="C50" s="3" t="s">
        <v>339</v>
      </c>
      <c r="D50" s="3" t="s">
        <v>1626</v>
      </c>
      <c r="E50" s="3" t="s">
        <v>1136</v>
      </c>
      <c r="F50" s="3" t="s">
        <v>1744</v>
      </c>
      <c r="G50" s="3" t="s">
        <v>1745</v>
      </c>
      <c r="H50" s="51">
        <v>41691</v>
      </c>
      <c r="J50" s="3">
        <f t="shared" si="7"/>
        <v>8.2200000000000006</v>
      </c>
      <c r="K50" s="3">
        <f t="shared" si="7"/>
        <v>8.1999999999999993</v>
      </c>
      <c r="L50" s="3">
        <f t="shared" si="7"/>
        <v>8.25</v>
      </c>
      <c r="M50" s="3">
        <f t="shared" si="7"/>
        <v>8.18</v>
      </c>
      <c r="P50" s="15" t="s">
        <v>337</v>
      </c>
      <c r="Q50" s="10" t="str">
        <f t="shared" si="8"/>
        <v xml:space="preserve">ETERNIT     -ON  </v>
      </c>
      <c r="R50" s="46">
        <f t="shared" si="9"/>
        <v>41691</v>
      </c>
      <c r="S50" s="6">
        <f t="shared" si="10"/>
        <v>8.2200000000000006</v>
      </c>
      <c r="T50" s="6">
        <f t="shared" si="11"/>
        <v>8.1999999999999993</v>
      </c>
      <c r="U50" s="6">
        <f t="shared" si="12"/>
        <v>8.25</v>
      </c>
      <c r="V50" s="6">
        <f t="shared" si="13"/>
        <v>8.18</v>
      </c>
    </row>
    <row r="51" spans="1:22">
      <c r="A51" s="33" t="str">
        <f>IF(Tabela17[[#This Row],[Código]]="IBOV","^BVSP",IF(Tabela17[[#This Row],[Código]]="","",CONCATENATE(LEFT(Tabela17[[#This Row],[Código]],6),".SA")))</f>
        <v>EUCA4.SA</v>
      </c>
      <c r="C51" s="3" t="s">
        <v>321</v>
      </c>
      <c r="D51" s="3" t="s">
        <v>1746</v>
      </c>
      <c r="E51" s="3" t="s">
        <v>1428</v>
      </c>
      <c r="F51" s="3" t="s">
        <v>1746</v>
      </c>
      <c r="G51" s="3" t="s">
        <v>1428</v>
      </c>
      <c r="H51" s="51">
        <v>41691</v>
      </c>
      <c r="J51" s="3">
        <f t="shared" si="7"/>
        <v>5.87</v>
      </c>
      <c r="K51" s="3">
        <f t="shared" si="7"/>
        <v>5.65</v>
      </c>
      <c r="L51" s="3">
        <f t="shared" si="7"/>
        <v>5.87</v>
      </c>
      <c r="M51" s="3">
        <f t="shared" si="7"/>
        <v>5.65</v>
      </c>
      <c r="P51" s="14" t="s">
        <v>320</v>
      </c>
      <c r="Q51" s="10" t="str">
        <f t="shared" si="8"/>
        <v xml:space="preserve">EUCATEX     -PN  </v>
      </c>
      <c r="R51" s="51">
        <f t="shared" si="9"/>
        <v>41691</v>
      </c>
      <c r="S51" s="5">
        <f t="shared" si="10"/>
        <v>5.87</v>
      </c>
      <c r="T51" s="5">
        <f t="shared" si="11"/>
        <v>5.65</v>
      </c>
      <c r="U51" s="5">
        <f t="shared" si="12"/>
        <v>5.87</v>
      </c>
      <c r="V51" s="5">
        <f t="shared" si="13"/>
        <v>5.65</v>
      </c>
    </row>
    <row r="52" spans="1:22">
      <c r="A52" s="33" t="str">
        <f>IF(Tabela17[[#This Row],[Código]]="IBOV","^BVSP",IF(Tabela17[[#This Row],[Código]]="","",CONCATENATE(LEFT(Tabela17[[#This Row],[Código]],6),".SA")))</f>
        <v>GPAR3.SA</v>
      </c>
      <c r="C52" s="3" t="s">
        <v>483</v>
      </c>
      <c r="D52" s="3" t="s">
        <v>410</v>
      </c>
      <c r="E52" s="3" t="s">
        <v>410</v>
      </c>
      <c r="F52" s="3" t="s">
        <v>410</v>
      </c>
      <c r="G52" s="3" t="s">
        <v>410</v>
      </c>
      <c r="H52" s="51">
        <v>41691</v>
      </c>
      <c r="J52" s="3">
        <f t="shared" si="7"/>
        <v>15</v>
      </c>
      <c r="K52" s="3">
        <f t="shared" si="7"/>
        <v>15</v>
      </c>
      <c r="L52" s="3">
        <f t="shared" si="7"/>
        <v>15</v>
      </c>
      <c r="M52" s="3">
        <f t="shared" si="7"/>
        <v>15</v>
      </c>
      <c r="P52" s="10" t="s">
        <v>482</v>
      </c>
      <c r="Q52" s="10" t="str">
        <f t="shared" si="8"/>
        <v>CELGPAR     -ON</v>
      </c>
      <c r="R52" s="51">
        <f t="shared" si="9"/>
        <v>41691</v>
      </c>
      <c r="S52" s="5">
        <f t="shared" si="10"/>
        <v>15</v>
      </c>
      <c r="T52" s="5">
        <f t="shared" si="11"/>
        <v>15</v>
      </c>
      <c r="U52" s="5">
        <f t="shared" si="12"/>
        <v>15</v>
      </c>
      <c r="V52" s="5">
        <f t="shared" si="13"/>
        <v>15</v>
      </c>
    </row>
    <row r="53" spans="1:22">
      <c r="A53" s="33" t="str">
        <f>IF(Tabela17[[#This Row],[Código]]="IBOV","^BVSP",IF(Tabela17[[#This Row],[Código]]="","",CONCATENATE(LEFT(Tabela17[[#This Row],[Código]],6),".SA")))</f>
        <v>HBTS5.SA</v>
      </c>
      <c r="C53" s="3" t="s">
        <v>301</v>
      </c>
      <c r="D53" s="3" t="s">
        <v>1155</v>
      </c>
      <c r="E53" s="3" t="s">
        <v>1747</v>
      </c>
      <c r="F53" s="3" t="s">
        <v>1155</v>
      </c>
      <c r="G53" s="3" t="s">
        <v>1747</v>
      </c>
      <c r="H53" s="51">
        <v>41691</v>
      </c>
      <c r="J53" s="3">
        <f t="shared" si="7"/>
        <v>13.21</v>
      </c>
      <c r="K53" s="3">
        <f t="shared" si="7"/>
        <v>13.2</v>
      </c>
      <c r="L53" s="3">
        <f t="shared" si="7"/>
        <v>13.21</v>
      </c>
      <c r="M53" s="3">
        <f t="shared" si="7"/>
        <v>13.2</v>
      </c>
      <c r="P53" s="14" t="s">
        <v>300</v>
      </c>
      <c r="Q53" s="10" t="str">
        <f t="shared" si="8"/>
        <v>HABITASUL   -PNA</v>
      </c>
      <c r="R53" s="51">
        <f t="shared" si="9"/>
        <v>41691</v>
      </c>
      <c r="S53" s="5">
        <f t="shared" si="10"/>
        <v>13.21</v>
      </c>
      <c r="T53" s="5">
        <f t="shared" si="11"/>
        <v>13.2</v>
      </c>
      <c r="U53" s="5">
        <f t="shared" si="12"/>
        <v>13.21</v>
      </c>
      <c r="V53" s="5">
        <f t="shared" si="13"/>
        <v>13.2</v>
      </c>
    </row>
    <row r="54" spans="1:22">
      <c r="A54" s="33" t="str">
        <f>IF(Tabela17[[#This Row],[Código]]="IBOV","^BVSP",IF(Tabela17[[#This Row],[Código]]="","",CONCATENATE(LEFT(Tabela17[[#This Row],[Código]],6),".SA")))</f>
        <v>IGTA3.SA</v>
      </c>
      <c r="C54" s="3" t="s">
        <v>353</v>
      </c>
      <c r="D54" s="3" t="s">
        <v>1748</v>
      </c>
      <c r="E54" s="61" t="s">
        <v>1749</v>
      </c>
      <c r="F54" s="61" t="s">
        <v>1634</v>
      </c>
      <c r="G54" s="61" t="s">
        <v>1750</v>
      </c>
      <c r="H54" s="51">
        <v>41691</v>
      </c>
      <c r="J54" s="3">
        <f t="shared" si="7"/>
        <v>20.3</v>
      </c>
      <c r="K54" s="3">
        <f t="shared" si="7"/>
        <v>20.52</v>
      </c>
      <c r="L54" s="3">
        <f t="shared" si="7"/>
        <v>20.57</v>
      </c>
      <c r="M54" s="3">
        <f t="shared" si="7"/>
        <v>20.23</v>
      </c>
      <c r="P54" s="14" t="s">
        <v>352</v>
      </c>
      <c r="Q54" s="10" t="str">
        <f t="shared" si="8"/>
        <v xml:space="preserve">IGUATEMI    -ON  </v>
      </c>
      <c r="R54" s="51">
        <f t="shared" si="9"/>
        <v>41691</v>
      </c>
      <c r="S54" s="5">
        <f t="shared" si="10"/>
        <v>20.3</v>
      </c>
      <c r="T54" s="5">
        <f t="shared" si="11"/>
        <v>20.52</v>
      </c>
      <c r="U54" s="5">
        <f t="shared" si="12"/>
        <v>20.57</v>
      </c>
      <c r="V54" s="5">
        <f t="shared" si="13"/>
        <v>20.23</v>
      </c>
    </row>
    <row r="55" spans="1:22">
      <c r="A55" s="33" t="str">
        <f>IF(Tabela17[[#This Row],[Código]]="IBOV","^BVSP",IF(Tabela17[[#This Row],[Código]]="","",CONCATENATE(LEFT(Tabela17[[#This Row],[Código]],6),".SA")))</f>
        <v>JBSS3.SA</v>
      </c>
      <c r="C55" s="3" t="s">
        <v>280</v>
      </c>
      <c r="D55" s="3" t="s">
        <v>1751</v>
      </c>
      <c r="E55" s="3" t="s">
        <v>1752</v>
      </c>
      <c r="F55" s="3" t="s">
        <v>1004</v>
      </c>
      <c r="G55" s="3" t="s">
        <v>1003</v>
      </c>
      <c r="H55" s="51">
        <v>41691</v>
      </c>
      <c r="J55" s="3">
        <f t="shared" si="7"/>
        <v>7.7</v>
      </c>
      <c r="K55" s="3">
        <f t="shared" si="7"/>
        <v>7.67</v>
      </c>
      <c r="L55" s="3">
        <f t="shared" si="7"/>
        <v>7.77</v>
      </c>
      <c r="M55" s="3">
        <f t="shared" si="7"/>
        <v>7.44</v>
      </c>
      <c r="P55" s="43" t="s">
        <v>279</v>
      </c>
      <c r="Q55" s="10" t="str">
        <f t="shared" si="8"/>
        <v xml:space="preserve">JBS         -ON  </v>
      </c>
      <c r="R55" s="51">
        <f t="shared" si="9"/>
        <v>41691</v>
      </c>
      <c r="S55" s="5">
        <f t="shared" si="10"/>
        <v>7.7</v>
      </c>
      <c r="T55" s="5">
        <f t="shared" si="11"/>
        <v>7.67</v>
      </c>
      <c r="U55" s="5">
        <f t="shared" si="12"/>
        <v>7.77</v>
      </c>
      <c r="V55" s="5">
        <f t="shared" si="13"/>
        <v>7.44</v>
      </c>
    </row>
    <row r="56" spans="1:22">
      <c r="A56" s="33" t="str">
        <f>IF(Tabela17[[#This Row],[Código]]="IBOV","^BVSP",IF(Tabela17[[#This Row],[Código]]="","",CONCATENATE(LEFT(Tabela17[[#This Row],[Código]],6),".SA")))</f>
        <v>JOPA3.SA</v>
      </c>
      <c r="C56" s="3" t="s">
        <v>254</v>
      </c>
      <c r="D56" s="3" t="s">
        <v>796</v>
      </c>
      <c r="E56" s="3" t="s">
        <v>796</v>
      </c>
      <c r="F56" s="3" t="s">
        <v>796</v>
      </c>
      <c r="G56" s="3" t="s">
        <v>796</v>
      </c>
      <c r="H56" s="51">
        <v>41691</v>
      </c>
      <c r="J56" s="3">
        <f t="shared" si="7"/>
        <v>17.010000000000002</v>
      </c>
      <c r="K56" s="3">
        <f t="shared" si="7"/>
        <v>17.010000000000002</v>
      </c>
      <c r="L56" s="3">
        <f t="shared" si="7"/>
        <v>17.010000000000002</v>
      </c>
      <c r="M56" s="3">
        <f t="shared" si="7"/>
        <v>17.010000000000002</v>
      </c>
      <c r="P56" s="15" t="s">
        <v>252</v>
      </c>
      <c r="Q56" s="10" t="str">
        <f t="shared" si="8"/>
        <v>JOSAPAR     -ON</v>
      </c>
      <c r="R56" s="51">
        <f t="shared" si="9"/>
        <v>41691</v>
      </c>
      <c r="S56" s="5">
        <f t="shared" si="10"/>
        <v>17.010000000000002</v>
      </c>
      <c r="T56" s="5">
        <f t="shared" si="11"/>
        <v>17.010000000000002</v>
      </c>
      <c r="U56" s="5">
        <f t="shared" si="12"/>
        <v>17.010000000000002</v>
      </c>
      <c r="V56" s="5">
        <f t="shared" si="13"/>
        <v>17.010000000000002</v>
      </c>
    </row>
    <row r="57" spans="1:22">
      <c r="A57" s="33" t="str">
        <f>IF(Tabela17[[#This Row],[Código]]="IBOV","^BVSP",IF(Tabela17[[#This Row],[Código]]="","",CONCATENATE(LEFT(Tabela17[[#This Row],[Código]],6),".SA")))</f>
        <v>JOPA4.SA</v>
      </c>
      <c r="C57" s="3" t="s">
        <v>255</v>
      </c>
      <c r="D57" s="3" t="s">
        <v>412</v>
      </c>
      <c r="E57" s="3" t="s">
        <v>412</v>
      </c>
      <c r="F57" s="3" t="s">
        <v>412</v>
      </c>
      <c r="G57" s="3" t="s">
        <v>412</v>
      </c>
      <c r="H57" s="51">
        <v>41691</v>
      </c>
      <c r="J57" s="3">
        <f t="shared" si="7"/>
        <v>20</v>
      </c>
      <c r="K57" s="3">
        <f t="shared" si="7"/>
        <v>20</v>
      </c>
      <c r="L57" s="3">
        <f t="shared" si="7"/>
        <v>20</v>
      </c>
      <c r="M57" s="3">
        <f t="shared" si="7"/>
        <v>20</v>
      </c>
      <c r="P57" s="10" t="s">
        <v>253</v>
      </c>
      <c r="Q57" s="10" t="str">
        <f t="shared" si="8"/>
        <v>JOSAPAR     -PN</v>
      </c>
      <c r="R57" s="51">
        <f t="shared" si="9"/>
        <v>41691</v>
      </c>
      <c r="S57" s="5">
        <f t="shared" si="10"/>
        <v>20</v>
      </c>
      <c r="T57" s="5">
        <f t="shared" si="11"/>
        <v>20</v>
      </c>
      <c r="U57" s="5">
        <f t="shared" si="12"/>
        <v>20</v>
      </c>
      <c r="V57" s="5">
        <f t="shared" si="13"/>
        <v>20</v>
      </c>
    </row>
    <row r="58" spans="1:22">
      <c r="A58" s="33" t="str">
        <f>IF(Tabela17[[#This Row],[Código]]="IBOV","^BVSP",IF(Tabela17[[#This Row],[Código]]="","",CONCATENATE(LEFT(Tabela17[[#This Row],[Código]],6),".SA")))</f>
        <v>LCAM3.SA</v>
      </c>
      <c r="C58" s="3" t="s">
        <v>314</v>
      </c>
      <c r="D58" s="3" t="s">
        <v>963</v>
      </c>
      <c r="E58" s="3" t="s">
        <v>807</v>
      </c>
      <c r="F58" s="3" t="s">
        <v>1753</v>
      </c>
      <c r="G58" s="3" t="s">
        <v>963</v>
      </c>
      <c r="H58" s="51">
        <v>41691</v>
      </c>
      <c r="J58" s="3">
        <f t="shared" si="7"/>
        <v>3.87</v>
      </c>
      <c r="K58" s="3">
        <f t="shared" si="7"/>
        <v>3.9</v>
      </c>
      <c r="L58" s="3">
        <f t="shared" si="7"/>
        <v>3.95</v>
      </c>
      <c r="M58" s="3">
        <f t="shared" si="7"/>
        <v>3.87</v>
      </c>
      <c r="P58" s="14" t="s">
        <v>313</v>
      </c>
      <c r="Q58" s="10" t="str">
        <f t="shared" si="8"/>
        <v xml:space="preserve">LOCAMERICA  -ON  </v>
      </c>
      <c r="R58" s="51">
        <f t="shared" si="9"/>
        <v>41691</v>
      </c>
      <c r="S58" s="5">
        <f t="shared" si="10"/>
        <v>3.87</v>
      </c>
      <c r="T58" s="5">
        <f t="shared" si="11"/>
        <v>3.9</v>
      </c>
      <c r="U58" s="5">
        <f t="shared" si="12"/>
        <v>3.95</v>
      </c>
      <c r="V58" s="5">
        <f t="shared" si="13"/>
        <v>3.87</v>
      </c>
    </row>
    <row r="59" spans="1:22">
      <c r="A59" s="33" t="str">
        <f>IF(Tabela17[[#This Row],[Código]]="IBOV","^BVSP",IF(Tabela17[[#This Row],[Código]]="","",CONCATENATE(LEFT(Tabela17[[#This Row],[Código]],6),".SA")))</f>
        <v>MAGG3.SA</v>
      </c>
      <c r="C59" s="3" t="s">
        <v>326</v>
      </c>
      <c r="D59" s="3" t="s">
        <v>1126</v>
      </c>
      <c r="E59" s="61" t="s">
        <v>1537</v>
      </c>
      <c r="F59" s="61" t="s">
        <v>1537</v>
      </c>
      <c r="G59" s="61" t="s">
        <v>1754</v>
      </c>
      <c r="H59" s="51">
        <v>41691</v>
      </c>
      <c r="J59" s="3">
        <f t="shared" si="7"/>
        <v>5.0999999999999996</v>
      </c>
      <c r="K59" s="3">
        <f t="shared" si="7"/>
        <v>5.14</v>
      </c>
      <c r="L59" s="3">
        <f t="shared" si="7"/>
        <v>5.14</v>
      </c>
      <c r="M59" s="3">
        <f t="shared" si="7"/>
        <v>4.99</v>
      </c>
      <c r="P59" s="14" t="s">
        <v>325</v>
      </c>
      <c r="Q59" s="10" t="str">
        <f t="shared" si="8"/>
        <v xml:space="preserve">MAGNESITA SA-ON  </v>
      </c>
      <c r="R59" s="46">
        <f t="shared" si="9"/>
        <v>41691</v>
      </c>
      <c r="S59" s="6">
        <f t="shared" si="10"/>
        <v>5.0999999999999996</v>
      </c>
      <c r="T59" s="6">
        <f t="shared" si="11"/>
        <v>5.14</v>
      </c>
      <c r="U59" s="6">
        <f t="shared" si="12"/>
        <v>5.14</v>
      </c>
      <c r="V59" s="6">
        <f t="shared" si="13"/>
        <v>4.99</v>
      </c>
    </row>
    <row r="60" spans="1:22">
      <c r="A60" s="33" t="str">
        <f>IF(Tabela17[[#This Row],[Código]]="IBOV","^BVSP",IF(Tabela17[[#This Row],[Código]]="","",CONCATENATE(LEFT(Tabela17[[#This Row],[Código]],6),".SA")))</f>
        <v>MERC3.SA</v>
      </c>
      <c r="C60" s="3" t="s">
        <v>363</v>
      </c>
      <c r="D60" s="3" t="s">
        <v>364</v>
      </c>
      <c r="E60" s="61">
        <v>83591</v>
      </c>
      <c r="F60" s="61">
        <v>83591</v>
      </c>
      <c r="G60" s="61">
        <v>83591</v>
      </c>
      <c r="H60" s="51">
        <v>41691</v>
      </c>
      <c r="J60" s="3">
        <f t="shared" si="7"/>
        <v>8.5500000000000007</v>
      </c>
      <c r="K60" s="3">
        <f t="shared" si="7"/>
        <v>83.91</v>
      </c>
      <c r="L60" s="3">
        <f t="shared" si="7"/>
        <v>83.91</v>
      </c>
      <c r="M60" s="3">
        <f t="shared" si="7"/>
        <v>83.91</v>
      </c>
      <c r="P60" s="14" t="s">
        <v>360</v>
      </c>
      <c r="Q60" s="10" t="str">
        <f t="shared" si="8"/>
        <v>MERC FINANC -ON</v>
      </c>
      <c r="R60" s="51">
        <f t="shared" si="9"/>
        <v>41691</v>
      </c>
      <c r="S60" s="5">
        <f t="shared" si="10"/>
        <v>8.5500000000000007</v>
      </c>
      <c r="T60" s="5">
        <f t="shared" si="11"/>
        <v>83.91</v>
      </c>
      <c r="U60" s="5">
        <f t="shared" si="12"/>
        <v>83.91</v>
      </c>
      <c r="V60" s="5">
        <f t="shared" si="13"/>
        <v>83.91</v>
      </c>
    </row>
    <row r="61" spans="1:22">
      <c r="A61" s="33" t="str">
        <f>IF(Tabela17[[#This Row],[Código]]="IBOV","^BVSP",IF(Tabela17[[#This Row],[Código]]="","",CONCATENATE(LEFT(Tabela17[[#This Row],[Código]],6),".SA")))</f>
        <v>MERC4.SA</v>
      </c>
      <c r="C61" s="3" t="s">
        <v>365</v>
      </c>
      <c r="D61" s="3" t="s">
        <v>1405</v>
      </c>
      <c r="E61" s="3" t="s">
        <v>1405</v>
      </c>
      <c r="F61" s="3" t="s">
        <v>1405</v>
      </c>
      <c r="G61" s="3" t="s">
        <v>1405</v>
      </c>
      <c r="H61" s="51">
        <v>41691</v>
      </c>
      <c r="J61" s="3">
        <f t="shared" si="7"/>
        <v>8.5</v>
      </c>
      <c r="K61" s="3">
        <f t="shared" si="7"/>
        <v>8.5</v>
      </c>
      <c r="L61" s="3">
        <f t="shared" si="7"/>
        <v>8.5</v>
      </c>
      <c r="M61" s="3">
        <f t="shared" si="7"/>
        <v>8.5</v>
      </c>
      <c r="P61" s="14" t="s">
        <v>361</v>
      </c>
      <c r="Q61" s="10" t="str">
        <f t="shared" si="8"/>
        <v>MERC FINANC -PN</v>
      </c>
      <c r="R61" s="51">
        <f t="shared" si="9"/>
        <v>41691</v>
      </c>
      <c r="S61" s="5">
        <f t="shared" si="10"/>
        <v>8.5</v>
      </c>
      <c r="T61" s="5">
        <f t="shared" si="11"/>
        <v>8.5</v>
      </c>
      <c r="U61" s="5">
        <f t="shared" si="12"/>
        <v>8.5</v>
      </c>
      <c r="V61" s="5">
        <f t="shared" si="13"/>
        <v>8.5</v>
      </c>
    </row>
    <row r="62" spans="1:22">
      <c r="A62" s="33" t="str">
        <f>IF(Tabela17[[#This Row],[Código]]="IBOV","^BVSP",IF(Tabela17[[#This Row],[Código]]="","",CONCATENATE(LEFT(Tabela17[[#This Row],[Código]],6),".SA")))</f>
        <v>MOAR3.SA</v>
      </c>
      <c r="C62" s="3" t="s">
        <v>998</v>
      </c>
      <c r="D62" s="3" t="s">
        <v>797</v>
      </c>
      <c r="E62" s="3" t="s">
        <v>797</v>
      </c>
      <c r="F62" s="3" t="s">
        <v>797</v>
      </c>
      <c r="G62" s="3" t="s">
        <v>797</v>
      </c>
      <c r="H62" s="51">
        <v>41691</v>
      </c>
      <c r="J62" s="3">
        <f t="shared" si="7"/>
        <v>156</v>
      </c>
      <c r="K62" s="3">
        <f t="shared" si="7"/>
        <v>156</v>
      </c>
      <c r="L62" s="3">
        <f t="shared" si="7"/>
        <v>156</v>
      </c>
      <c r="M62" s="3">
        <f t="shared" si="7"/>
        <v>156</v>
      </c>
      <c r="P62" s="14" t="s">
        <v>302</v>
      </c>
      <c r="Q62" s="10" t="str">
        <f t="shared" si="8"/>
        <v>MONT ARANHA -ON</v>
      </c>
      <c r="R62" s="51">
        <f t="shared" si="9"/>
        <v>41691</v>
      </c>
      <c r="S62" s="5">
        <f t="shared" si="10"/>
        <v>156</v>
      </c>
      <c r="T62" s="5">
        <f t="shared" si="11"/>
        <v>156</v>
      </c>
      <c r="U62" s="5">
        <f t="shared" si="12"/>
        <v>156</v>
      </c>
      <c r="V62" s="5">
        <f t="shared" si="13"/>
        <v>156</v>
      </c>
    </row>
    <row r="63" spans="1:22">
      <c r="A63" s="33" t="str">
        <f>IF(Tabela17[[#This Row],[Código]]="IBOV","^BVSP",IF(Tabela17[[#This Row],[Código]]="","",CONCATENATE(LEFT(Tabela17[[#This Row],[Código]],6),".SA")))</f>
        <v>MULT3.SA</v>
      </c>
      <c r="C63" s="3" t="s">
        <v>355</v>
      </c>
      <c r="D63" s="3" t="s">
        <v>1755</v>
      </c>
      <c r="E63" s="3" t="s">
        <v>1756</v>
      </c>
      <c r="F63" s="3" t="s">
        <v>1757</v>
      </c>
      <c r="G63" s="3" t="s">
        <v>1758</v>
      </c>
      <c r="H63" s="51">
        <v>41691</v>
      </c>
      <c r="J63" s="3">
        <f t="shared" si="7"/>
        <v>43.9</v>
      </c>
      <c r="K63" s="3">
        <f t="shared" si="7"/>
        <v>44.97</v>
      </c>
      <c r="L63" s="3">
        <f t="shared" si="7"/>
        <v>45.04</v>
      </c>
      <c r="M63" s="3">
        <f t="shared" si="7"/>
        <v>43.57</v>
      </c>
      <c r="P63" s="14" t="s">
        <v>354</v>
      </c>
      <c r="Q63" s="10" t="str">
        <f t="shared" si="8"/>
        <v xml:space="preserve">MULTIPLAN   -ON  </v>
      </c>
      <c r="R63" s="51">
        <f t="shared" si="9"/>
        <v>41691</v>
      </c>
      <c r="S63" s="5">
        <f t="shared" si="10"/>
        <v>43.9</v>
      </c>
      <c r="T63" s="5">
        <f t="shared" si="11"/>
        <v>44.97</v>
      </c>
      <c r="U63" s="5">
        <f t="shared" si="12"/>
        <v>45.04</v>
      </c>
      <c r="V63" s="5">
        <f t="shared" si="13"/>
        <v>43.57</v>
      </c>
    </row>
    <row r="64" spans="1:22">
      <c r="A64" s="33" t="str">
        <f>IF(Tabela17[[#This Row],[Código]]="IBOV","^BVSP",IF(Tabela17[[#This Row],[Código]]="","",CONCATENATE(LEFT(Tabela17[[#This Row],[Código]],6),".SA")))</f>
        <v>NUTR3M.SA</v>
      </c>
      <c r="C64" s="3" t="s">
        <v>331</v>
      </c>
      <c r="D64" s="3" t="s">
        <v>707</v>
      </c>
      <c r="E64" s="3" t="s">
        <v>707</v>
      </c>
      <c r="F64" s="3" t="s">
        <v>707</v>
      </c>
      <c r="G64" s="3" t="s">
        <v>707</v>
      </c>
      <c r="H64" s="51">
        <v>41670</v>
      </c>
      <c r="J64" s="3">
        <f t="shared" si="7"/>
        <v>1.51</v>
      </c>
      <c r="K64" s="3">
        <f t="shared" si="7"/>
        <v>1.51</v>
      </c>
      <c r="L64" s="3">
        <f t="shared" si="7"/>
        <v>1.51</v>
      </c>
      <c r="M64" s="3">
        <f t="shared" si="7"/>
        <v>1.51</v>
      </c>
      <c r="P64" s="14" t="s">
        <v>330</v>
      </c>
      <c r="Q64" s="10" t="str">
        <f t="shared" si="8"/>
        <v xml:space="preserve">NUTRIPLANT  -ON  </v>
      </c>
      <c r="R64" s="51">
        <f t="shared" si="9"/>
        <v>41670</v>
      </c>
      <c r="S64" s="5">
        <f t="shared" si="10"/>
        <v>1.51</v>
      </c>
      <c r="T64" s="5">
        <f t="shared" si="11"/>
        <v>1.51</v>
      </c>
      <c r="U64" s="5">
        <f t="shared" si="12"/>
        <v>1.51</v>
      </c>
      <c r="V64" s="5">
        <f t="shared" si="13"/>
        <v>1.51</v>
      </c>
    </row>
    <row r="65" spans="1:22">
      <c r="A65" s="33" t="str">
        <f>IF(Tabela17[[#This Row],[Código]]="IBOV","^BVSP",IF(Tabela17[[#This Row],[Código]]="","",CONCATENATE(LEFT(Tabela17[[#This Row],[Código]],6),".SA")))</f>
        <v>OIBR3.SA</v>
      </c>
      <c r="C65" s="3" t="s">
        <v>289</v>
      </c>
      <c r="D65" s="3" t="s">
        <v>1759</v>
      </c>
      <c r="E65" s="3" t="s">
        <v>1529</v>
      </c>
      <c r="F65" s="3" t="s">
        <v>1760</v>
      </c>
      <c r="G65" s="3" t="s">
        <v>1761</v>
      </c>
      <c r="H65" s="51">
        <v>41691</v>
      </c>
      <c r="J65" s="3">
        <f t="shared" si="7"/>
        <v>4.0999999999999996</v>
      </c>
      <c r="K65" s="3">
        <f t="shared" si="7"/>
        <v>4.05</v>
      </c>
      <c r="L65" s="3">
        <f t="shared" si="7"/>
        <v>4.16</v>
      </c>
      <c r="M65" s="3">
        <f t="shared" si="7"/>
        <v>4.01</v>
      </c>
      <c r="P65" s="14" t="s">
        <v>287</v>
      </c>
      <c r="Q65" s="10" t="str">
        <f t="shared" si="8"/>
        <v xml:space="preserve">OI          -ON  </v>
      </c>
      <c r="R65" s="51">
        <f t="shared" si="9"/>
        <v>41691</v>
      </c>
      <c r="S65" s="5">
        <f t="shared" si="10"/>
        <v>4.0999999999999996</v>
      </c>
      <c r="T65" s="5">
        <f t="shared" si="11"/>
        <v>4.05</v>
      </c>
      <c r="U65" s="5">
        <f t="shared" si="12"/>
        <v>4.16</v>
      </c>
      <c r="V65" s="5">
        <f t="shared" si="13"/>
        <v>4.01</v>
      </c>
    </row>
    <row r="66" spans="1:22">
      <c r="A66" s="33" t="str">
        <f>IF(Tabela17[[#This Row],[Código]]="IBOV","^BVSP",IF(Tabela17[[#This Row],[Código]]="","",CONCATENATE(LEFT(Tabela17[[#This Row],[Código]],6),".SA")))</f>
        <v>OIBR4.SA</v>
      </c>
      <c r="C66" s="3" t="s">
        <v>290</v>
      </c>
      <c r="D66" s="3" t="s">
        <v>1762</v>
      </c>
      <c r="E66" s="3" t="s">
        <v>1146</v>
      </c>
      <c r="F66" s="3" t="s">
        <v>1763</v>
      </c>
      <c r="G66" s="3" t="s">
        <v>783</v>
      </c>
      <c r="H66" s="51">
        <v>41691</v>
      </c>
      <c r="J66" s="3">
        <f t="shared" si="7"/>
        <v>3.84</v>
      </c>
      <c r="K66" s="3">
        <f t="shared" si="7"/>
        <v>3.8</v>
      </c>
      <c r="L66" s="3">
        <f t="shared" si="7"/>
        <v>3.92</v>
      </c>
      <c r="M66" s="3">
        <f t="shared" si="7"/>
        <v>3.78</v>
      </c>
      <c r="P66" s="10" t="s">
        <v>288</v>
      </c>
      <c r="Q66" s="10" t="str">
        <f t="shared" si="8"/>
        <v xml:space="preserve">OI          -PN  </v>
      </c>
      <c r="R66" s="51">
        <f t="shared" si="9"/>
        <v>41691</v>
      </c>
      <c r="S66" s="5">
        <f t="shared" si="10"/>
        <v>3.84</v>
      </c>
      <c r="T66" s="5">
        <f t="shared" si="11"/>
        <v>3.8</v>
      </c>
      <c r="U66" s="5">
        <f t="shared" si="12"/>
        <v>3.92</v>
      </c>
      <c r="V66" s="5">
        <f t="shared" si="13"/>
        <v>3.78</v>
      </c>
    </row>
    <row r="67" spans="1:22">
      <c r="A67" s="33" t="str">
        <f>IF(Tabela17[[#This Row],[Código]]="IBOV","^BVSP",IF(Tabela17[[#This Row],[Código]]="","",CONCATENATE(LEFT(Tabela17[[#This Row],[Código]],6),".SA")))</f>
        <v>PATI4.SA</v>
      </c>
      <c r="C67" s="3" t="s">
        <v>334</v>
      </c>
      <c r="D67" s="3" t="s">
        <v>954</v>
      </c>
      <c r="E67" s="3" t="s">
        <v>954</v>
      </c>
      <c r="F67" s="3" t="s">
        <v>954</v>
      </c>
      <c r="G67" s="3" t="s">
        <v>954</v>
      </c>
      <c r="H67" s="51">
        <v>41691</v>
      </c>
      <c r="J67" s="3">
        <f t="shared" si="7"/>
        <v>18.989999999999998</v>
      </c>
      <c r="K67" s="3">
        <f t="shared" si="7"/>
        <v>18.989999999999998</v>
      </c>
      <c r="L67" s="3">
        <f t="shared" si="7"/>
        <v>18.989999999999998</v>
      </c>
      <c r="M67" s="3">
        <f t="shared" si="7"/>
        <v>18.989999999999998</v>
      </c>
      <c r="P67" s="14" t="s">
        <v>332</v>
      </c>
      <c r="Q67" s="10" t="str">
        <f t="shared" si="8"/>
        <v>PANATLANTICA-PN</v>
      </c>
      <c r="R67" s="51">
        <f t="shared" si="9"/>
        <v>41691</v>
      </c>
      <c r="S67" s="5">
        <f t="shared" si="10"/>
        <v>18.989999999999998</v>
      </c>
      <c r="T67" s="5">
        <f t="shared" si="11"/>
        <v>18.989999999999998</v>
      </c>
      <c r="U67" s="5">
        <f t="shared" si="12"/>
        <v>18.989999999999998</v>
      </c>
      <c r="V67" s="5">
        <f t="shared" si="13"/>
        <v>18.989999999999998</v>
      </c>
    </row>
    <row r="68" spans="1:22">
      <c r="A68" s="33" t="str">
        <f>IF(Tabela17[[#This Row],[Código]]="IBOV","^BVSP",IF(Tabela17[[#This Row],[Código]]="","",CONCATENATE(LEFT(Tabela17[[#This Row],[Código]],6),".SA")))</f>
        <v>PETR3.SA</v>
      </c>
      <c r="C68" s="3" t="s">
        <v>242</v>
      </c>
      <c r="D68" s="3" t="s">
        <v>1512</v>
      </c>
      <c r="E68" s="3" t="s">
        <v>1009</v>
      </c>
      <c r="F68" s="3" t="s">
        <v>1764</v>
      </c>
      <c r="G68" s="3" t="s">
        <v>992</v>
      </c>
      <c r="H68" s="51">
        <v>41691</v>
      </c>
      <c r="J68" s="3">
        <f t="shared" si="7"/>
        <v>13.4</v>
      </c>
      <c r="K68" s="3">
        <f t="shared" si="7"/>
        <v>13.41</v>
      </c>
      <c r="L68" s="3">
        <f t="shared" si="7"/>
        <v>13.5</v>
      </c>
      <c r="M68" s="3">
        <f t="shared" si="7"/>
        <v>13.29</v>
      </c>
      <c r="P68" s="14" t="s">
        <v>20</v>
      </c>
      <c r="Q68" s="10" t="str">
        <f t="shared" si="8"/>
        <v>PETROBRAS   -ON</v>
      </c>
      <c r="R68" s="51">
        <f t="shared" si="9"/>
        <v>41691</v>
      </c>
      <c r="S68" s="5">
        <f t="shared" si="10"/>
        <v>13.4</v>
      </c>
      <c r="T68" s="5">
        <f t="shared" si="11"/>
        <v>13.41</v>
      </c>
      <c r="U68" s="5">
        <f t="shared" si="12"/>
        <v>13.5</v>
      </c>
      <c r="V68" s="5">
        <f t="shared" si="13"/>
        <v>13.29</v>
      </c>
    </row>
    <row r="69" spans="1:22">
      <c r="A69" s="33" t="str">
        <f>IF(Tabela17[[#This Row],[Código]]="IBOV","^BVSP",IF(Tabela17[[#This Row],[Código]]="","",CONCATENATE(LEFT(Tabela17[[#This Row],[Código]],6),".SA")))</f>
        <v>PETR4.SA</v>
      </c>
      <c r="C69" s="3" t="s">
        <v>239</v>
      </c>
      <c r="D69" s="3" t="s">
        <v>1713</v>
      </c>
      <c r="E69" s="3" t="s">
        <v>1765</v>
      </c>
      <c r="F69" s="3" t="s">
        <v>1153</v>
      </c>
      <c r="G69" s="3" t="s">
        <v>1139</v>
      </c>
      <c r="H69" s="51">
        <v>41691</v>
      </c>
      <c r="J69" s="3">
        <f t="shared" si="7"/>
        <v>14.2</v>
      </c>
      <c r="K69" s="3">
        <f t="shared" si="7"/>
        <v>14.23</v>
      </c>
      <c r="L69" s="3">
        <f t="shared" si="7"/>
        <v>14.32</v>
      </c>
      <c r="M69" s="3">
        <f t="shared" si="7"/>
        <v>14.12</v>
      </c>
      <c r="P69" s="14" t="s">
        <v>21</v>
      </c>
      <c r="Q69" s="10" t="str">
        <f t="shared" si="8"/>
        <v>PETROBRAS   -PN</v>
      </c>
      <c r="R69" s="51">
        <f t="shared" si="9"/>
        <v>41691</v>
      </c>
      <c r="S69" s="5">
        <f t="shared" si="10"/>
        <v>14.2</v>
      </c>
      <c r="T69" s="5">
        <f t="shared" si="11"/>
        <v>14.23</v>
      </c>
      <c r="U69" s="5">
        <f t="shared" si="12"/>
        <v>14.32</v>
      </c>
      <c r="V69" s="5">
        <f t="shared" si="13"/>
        <v>14.12</v>
      </c>
    </row>
    <row r="70" spans="1:22">
      <c r="A70" s="33" t="str">
        <f>IF(Tabela17[[#This Row],[Código]]="IBOV","^BVSP",IF(Tabela17[[#This Row],[Código]]="","",CONCATENATE(LEFT(Tabela17[[#This Row],[Código]],6),".SA")))</f>
        <v>PRVI3.SA</v>
      </c>
      <c r="C70" s="3" t="s">
        <v>324</v>
      </c>
      <c r="D70" s="3" t="s">
        <v>1745</v>
      </c>
      <c r="E70" s="3" t="s">
        <v>1136</v>
      </c>
      <c r="F70" s="3" t="s">
        <v>1136</v>
      </c>
      <c r="G70" s="3" t="s">
        <v>978</v>
      </c>
      <c r="H70" s="51">
        <v>41691</v>
      </c>
      <c r="J70" s="3">
        <f t="shared" si="7"/>
        <v>8.18</v>
      </c>
      <c r="K70" s="3">
        <f t="shared" si="7"/>
        <v>8.1999999999999993</v>
      </c>
      <c r="L70" s="3">
        <f t="shared" si="7"/>
        <v>8.1999999999999993</v>
      </c>
      <c r="M70" s="3">
        <f t="shared" si="7"/>
        <v>8.16</v>
      </c>
      <c r="P70" s="14" t="s">
        <v>323</v>
      </c>
      <c r="Q70" s="10" t="str">
        <f t="shared" si="8"/>
        <v xml:space="preserve">PROVIDENCIA -ON  </v>
      </c>
      <c r="R70" s="51">
        <f t="shared" si="9"/>
        <v>41691</v>
      </c>
      <c r="S70" s="5">
        <f t="shared" si="10"/>
        <v>8.18</v>
      </c>
      <c r="T70" s="5">
        <f t="shared" si="11"/>
        <v>8.1999999999999993</v>
      </c>
      <c r="U70" s="5">
        <f t="shared" si="12"/>
        <v>8.1999999999999993</v>
      </c>
      <c r="V70" s="5">
        <f t="shared" si="13"/>
        <v>8.16</v>
      </c>
    </row>
    <row r="71" spans="1:22">
      <c r="A71" s="33" t="str">
        <f>IF(Tabela17[[#This Row],[Código]]="IBOV","^BVSP",IF(Tabela17[[#This Row],[Código]]="","",CONCATENATE(LEFT(Tabela17[[#This Row],[Código]],6),".SA")))</f>
        <v>PTPA4.SA</v>
      </c>
      <c r="C71" s="3" t="s">
        <v>408</v>
      </c>
      <c r="D71" s="3" t="s">
        <v>651</v>
      </c>
      <c r="E71" s="3" t="s">
        <v>651</v>
      </c>
      <c r="F71" s="3" t="s">
        <v>651</v>
      </c>
      <c r="G71" s="3" t="s">
        <v>651</v>
      </c>
      <c r="H71" s="51">
        <v>41691</v>
      </c>
      <c r="J71" s="3">
        <f t="shared" si="7"/>
        <v>60</v>
      </c>
      <c r="K71" s="3">
        <f t="shared" si="7"/>
        <v>60</v>
      </c>
      <c r="L71" s="3">
        <f t="shared" si="7"/>
        <v>60</v>
      </c>
      <c r="M71" s="3">
        <f t="shared" si="7"/>
        <v>60</v>
      </c>
      <c r="P71" s="14" t="s">
        <v>315</v>
      </c>
      <c r="Q71" s="10" t="str">
        <f t="shared" ref="Q71:Q102" si="14">IF(A71="","",C71)</f>
        <v>EVORA       -PN</v>
      </c>
      <c r="R71" s="46">
        <f t="shared" ref="R71:R102" si="15">IF(A71="","",H71)</f>
        <v>41691</v>
      </c>
      <c r="S71" s="6">
        <f t="shared" ref="S71:S102" si="16">J71</f>
        <v>60</v>
      </c>
      <c r="T71" s="6">
        <f t="shared" ref="T71:T102" si="17">K71</f>
        <v>60</v>
      </c>
      <c r="U71" s="6">
        <f t="shared" ref="U71:U102" si="18">L71</f>
        <v>60</v>
      </c>
      <c r="V71" s="6">
        <f t="shared" ref="V71:V102" si="19">M71</f>
        <v>60</v>
      </c>
    </row>
    <row r="72" spans="1:22">
      <c r="A72" s="33" t="str">
        <f>IF(Tabela17[[#This Row],[Código]]="IBOV","^BVSP",IF(Tabela17[[#This Row],[Código]]="","",CONCATENATE(LEFT(Tabela17[[#This Row],[Código]],6),".SA")))</f>
        <v>QGEP3.SA</v>
      </c>
      <c r="C72" s="3" t="s">
        <v>245</v>
      </c>
      <c r="D72" s="3" t="s">
        <v>1644</v>
      </c>
      <c r="E72" s="3" t="s">
        <v>1766</v>
      </c>
      <c r="F72" s="3" t="s">
        <v>1767</v>
      </c>
      <c r="G72" s="3" t="s">
        <v>1122</v>
      </c>
      <c r="H72" s="51">
        <v>41691</v>
      </c>
      <c r="J72" s="3">
        <f t="shared" ref="J72:M135" si="20">IF($A72="",0,VALUE(CONCATENATE(LEFT(D72,LEN(D72)-3),",",RIGHT(D72,2))))</f>
        <v>8.43</v>
      </c>
      <c r="K72" s="3">
        <f t="shared" si="20"/>
        <v>8.17</v>
      </c>
      <c r="L72" s="3">
        <f t="shared" si="20"/>
        <v>8.64</v>
      </c>
      <c r="M72" s="3">
        <f t="shared" si="20"/>
        <v>8.11</v>
      </c>
      <c r="P72" s="15" t="s">
        <v>244</v>
      </c>
      <c r="Q72" s="10" t="str">
        <f t="shared" si="14"/>
        <v xml:space="preserve">QGEP PART   -ON  </v>
      </c>
      <c r="R72" s="51">
        <f t="shared" si="15"/>
        <v>41691</v>
      </c>
      <c r="S72" s="5">
        <f t="shared" si="16"/>
        <v>8.43</v>
      </c>
      <c r="T72" s="5">
        <f t="shared" si="17"/>
        <v>8.17</v>
      </c>
      <c r="U72" s="5">
        <f t="shared" si="18"/>
        <v>8.64</v>
      </c>
      <c r="V72" s="5">
        <f t="shared" si="19"/>
        <v>8.11</v>
      </c>
    </row>
    <row r="73" spans="1:22">
      <c r="A73" s="33" t="str">
        <f>IF(Tabela17[[#This Row],[Código]]="IBOV","^BVSP",IF(Tabela17[[#This Row],[Código]]="","",CONCATENATE(LEFT(Tabela17[[#This Row],[Código]],6),".SA")))</f>
        <v>SCAR3.SA</v>
      </c>
      <c r="C73" s="3" t="s">
        <v>359</v>
      </c>
      <c r="D73" s="3" t="s">
        <v>1685</v>
      </c>
      <c r="E73" s="3" t="s">
        <v>1768</v>
      </c>
      <c r="F73" s="3" t="s">
        <v>1769</v>
      </c>
      <c r="G73" s="3" t="s">
        <v>1685</v>
      </c>
      <c r="H73" s="51">
        <v>41691</v>
      </c>
      <c r="J73" s="3">
        <f t="shared" si="20"/>
        <v>33.69</v>
      </c>
      <c r="K73" s="3">
        <f t="shared" si="20"/>
        <v>33.71</v>
      </c>
      <c r="L73" s="3">
        <f t="shared" si="20"/>
        <v>33.85</v>
      </c>
      <c r="M73" s="3">
        <f t="shared" si="20"/>
        <v>33.69</v>
      </c>
      <c r="P73" s="14" t="s">
        <v>357</v>
      </c>
      <c r="Q73" s="10" t="str">
        <f t="shared" si="14"/>
        <v xml:space="preserve">SAO CARLOS  -ON  </v>
      </c>
      <c r="R73" s="51">
        <f t="shared" si="15"/>
        <v>41691</v>
      </c>
      <c r="S73" s="5">
        <f t="shared" si="16"/>
        <v>33.69</v>
      </c>
      <c r="T73" s="5">
        <f t="shared" si="17"/>
        <v>33.71</v>
      </c>
      <c r="U73" s="5">
        <f t="shared" si="18"/>
        <v>33.85</v>
      </c>
      <c r="V73" s="5">
        <f t="shared" si="19"/>
        <v>33.69</v>
      </c>
    </row>
    <row r="74" spans="1:22">
      <c r="A74" s="33" t="str">
        <f>IF(Tabela17[[#This Row],[Código]]="IBOV","^BVSP",IF(Tabela17[[#This Row],[Código]]="","",CONCATENATE(LEFT(Tabela17[[#This Row],[Código]],6),".SA")))</f>
        <v>SMTO3.SA</v>
      </c>
      <c r="C74" s="3" t="s">
        <v>271</v>
      </c>
      <c r="D74" s="3" t="s">
        <v>1138</v>
      </c>
      <c r="E74" s="3" t="s">
        <v>1770</v>
      </c>
      <c r="F74" s="3" t="s">
        <v>1138</v>
      </c>
      <c r="G74" s="3" t="s">
        <v>1771</v>
      </c>
      <c r="H74" s="51">
        <v>41691</v>
      </c>
      <c r="J74" s="3">
        <f t="shared" si="20"/>
        <v>27.1</v>
      </c>
      <c r="K74" s="3">
        <f t="shared" si="20"/>
        <v>27.02</v>
      </c>
      <c r="L74" s="3">
        <f t="shared" si="20"/>
        <v>27.1</v>
      </c>
      <c r="M74" s="3">
        <f t="shared" si="20"/>
        <v>26.98</v>
      </c>
      <c r="P74" s="15" t="s">
        <v>270</v>
      </c>
      <c r="Q74" s="10" t="str">
        <f t="shared" si="14"/>
        <v xml:space="preserve">SAO MARTINHO-ON  </v>
      </c>
      <c r="R74" s="51">
        <f t="shared" si="15"/>
        <v>41691</v>
      </c>
      <c r="S74" s="5">
        <f t="shared" si="16"/>
        <v>27.1</v>
      </c>
      <c r="T74" s="5">
        <f t="shared" si="17"/>
        <v>27.02</v>
      </c>
      <c r="U74" s="5">
        <f t="shared" si="18"/>
        <v>27.1</v>
      </c>
      <c r="V74" s="5">
        <f t="shared" si="19"/>
        <v>26.98</v>
      </c>
    </row>
    <row r="75" spans="1:22">
      <c r="A75" s="33" t="str">
        <f>IF(Tabela17[[#This Row],[Código]]="IBOV","^BVSP",IF(Tabela17[[#This Row],[Código]]="","",CONCATENATE(LEFT(Tabela17[[#This Row],[Código]],6),".SA")))</f>
        <v>SSBR3.SA</v>
      </c>
      <c r="C75" s="3" t="s">
        <v>358</v>
      </c>
      <c r="D75" s="3" t="s">
        <v>1772</v>
      </c>
      <c r="E75" s="3" t="s">
        <v>1773</v>
      </c>
      <c r="F75" s="3" t="s">
        <v>979</v>
      </c>
      <c r="G75" s="3" t="s">
        <v>1774</v>
      </c>
      <c r="H75" s="51">
        <v>41691</v>
      </c>
      <c r="J75" s="3">
        <f t="shared" si="20"/>
        <v>16.72</v>
      </c>
      <c r="K75" s="3">
        <f t="shared" si="20"/>
        <v>16.55</v>
      </c>
      <c r="L75" s="3">
        <f t="shared" si="20"/>
        <v>16.8</v>
      </c>
      <c r="M75" s="3">
        <f t="shared" si="20"/>
        <v>16.53</v>
      </c>
      <c r="P75" s="14" t="s">
        <v>356</v>
      </c>
      <c r="Q75" s="10" t="str">
        <f t="shared" si="14"/>
        <v xml:space="preserve">SIERRABRASIL-ON  </v>
      </c>
      <c r="R75" s="51">
        <f t="shared" si="15"/>
        <v>41691</v>
      </c>
      <c r="S75" s="5">
        <f t="shared" si="16"/>
        <v>16.72</v>
      </c>
      <c r="T75" s="5">
        <f t="shared" si="17"/>
        <v>16.55</v>
      </c>
      <c r="U75" s="5">
        <f t="shared" si="18"/>
        <v>16.8</v>
      </c>
      <c r="V75" s="5">
        <f t="shared" si="19"/>
        <v>16.53</v>
      </c>
    </row>
    <row r="76" spans="1:22">
      <c r="A76" s="33" t="str">
        <f>IF(Tabela17[[#This Row],[Código]]="IBOV","^BVSP",IF(Tabela17[[#This Row],[Código]]="","",CONCATENATE(LEFT(Tabela17[[#This Row],[Código]],6),".SA")))</f>
        <v>SULA11.SA</v>
      </c>
      <c r="C76" s="3" t="s">
        <v>246</v>
      </c>
      <c r="D76" s="3" t="s">
        <v>1775</v>
      </c>
      <c r="E76" s="3" t="s">
        <v>1776</v>
      </c>
      <c r="F76" s="3" t="s">
        <v>1638</v>
      </c>
      <c r="G76" s="3" t="s">
        <v>1406</v>
      </c>
      <c r="H76" s="51">
        <v>41691</v>
      </c>
      <c r="J76" s="3">
        <f t="shared" si="20"/>
        <v>14.56</v>
      </c>
      <c r="K76" s="3">
        <f t="shared" si="20"/>
        <v>14.45</v>
      </c>
      <c r="L76" s="3">
        <f t="shared" si="20"/>
        <v>14.66</v>
      </c>
      <c r="M76" s="3">
        <f t="shared" si="20"/>
        <v>14.4</v>
      </c>
      <c r="P76" s="14" t="s">
        <v>57</v>
      </c>
      <c r="Q76" s="10" t="str">
        <f t="shared" si="14"/>
        <v xml:space="preserve">SUL AMERICA -UNT </v>
      </c>
      <c r="R76" s="51">
        <f t="shared" si="15"/>
        <v>41691</v>
      </c>
      <c r="S76" s="5">
        <f t="shared" si="16"/>
        <v>14.56</v>
      </c>
      <c r="T76" s="5">
        <f t="shared" si="17"/>
        <v>14.45</v>
      </c>
      <c r="U76" s="5">
        <f t="shared" si="18"/>
        <v>14.66</v>
      </c>
      <c r="V76" s="5">
        <f t="shared" si="19"/>
        <v>14.4</v>
      </c>
    </row>
    <row r="77" spans="1:22">
      <c r="A77" s="33" t="str">
        <f>IF(Tabela17[[#This Row],[Código]]="IBOV","^BVSP",IF(Tabela17[[#This Row],[Código]]="","",CONCATENATE(LEFT(Tabela17[[#This Row],[Código]],6),".SA")))</f>
        <v>TERI3.SA</v>
      </c>
      <c r="C77" s="3" t="s">
        <v>256</v>
      </c>
      <c r="D77" s="3" t="s">
        <v>1777</v>
      </c>
      <c r="E77" s="3" t="s">
        <v>1514</v>
      </c>
      <c r="F77" s="3" t="s">
        <v>1778</v>
      </c>
      <c r="G77" s="3" t="s">
        <v>969</v>
      </c>
      <c r="H77" s="51">
        <v>41691</v>
      </c>
      <c r="J77" s="3">
        <f t="shared" si="20"/>
        <v>2.0699999999999998</v>
      </c>
      <c r="K77" s="3">
        <f t="shared" si="20"/>
        <v>2.08</v>
      </c>
      <c r="L77" s="3">
        <f t="shared" si="20"/>
        <v>2.09</v>
      </c>
      <c r="M77" s="3">
        <f t="shared" si="20"/>
        <v>2.04</v>
      </c>
      <c r="P77" s="15" t="s">
        <v>78</v>
      </c>
      <c r="Q77" s="10" t="str">
        <f t="shared" si="14"/>
        <v xml:space="preserve">TEREOS      -ON  </v>
      </c>
      <c r="R77" s="51">
        <f t="shared" si="15"/>
        <v>41691</v>
      </c>
      <c r="S77" s="5">
        <f t="shared" si="16"/>
        <v>2.0699999999999998</v>
      </c>
      <c r="T77" s="5">
        <f t="shared" si="17"/>
        <v>2.08</v>
      </c>
      <c r="U77" s="5">
        <f t="shared" si="18"/>
        <v>2.09</v>
      </c>
      <c r="V77" s="5">
        <f t="shared" si="19"/>
        <v>2.04</v>
      </c>
    </row>
    <row r="78" spans="1:22">
      <c r="A78" s="33" t="str">
        <f>IF(Tabela17[[#This Row],[Código]]="IBOV","^BVSP",IF(Tabela17[[#This Row],[Código]]="","",CONCATENATE(LEFT(Tabela17[[#This Row],[Código]],6),".SA")))</f>
        <v>TIMP3.SA</v>
      </c>
      <c r="C78" s="3" t="s">
        <v>286</v>
      </c>
      <c r="D78" s="3" t="s">
        <v>1779</v>
      </c>
      <c r="E78" s="3" t="s">
        <v>1780</v>
      </c>
      <c r="F78" s="3" t="s">
        <v>1426</v>
      </c>
      <c r="G78" s="3" t="s">
        <v>1781</v>
      </c>
      <c r="H78" s="51">
        <v>41691</v>
      </c>
      <c r="J78" s="3">
        <f t="shared" si="20"/>
        <v>12.06</v>
      </c>
      <c r="K78" s="3">
        <f t="shared" si="20"/>
        <v>11.95</v>
      </c>
      <c r="L78" s="3">
        <f t="shared" si="20"/>
        <v>12.11</v>
      </c>
      <c r="M78" s="3">
        <f t="shared" si="20"/>
        <v>11.86</v>
      </c>
      <c r="P78" s="15" t="s">
        <v>284</v>
      </c>
      <c r="Q78" s="10" t="str">
        <f t="shared" si="14"/>
        <v xml:space="preserve">TIM PART S/A-ON  </v>
      </c>
      <c r="R78" s="51">
        <f t="shared" si="15"/>
        <v>41691</v>
      </c>
      <c r="S78" s="5">
        <f t="shared" si="16"/>
        <v>12.06</v>
      </c>
      <c r="T78" s="5">
        <f t="shared" si="17"/>
        <v>11.95</v>
      </c>
      <c r="U78" s="5">
        <f t="shared" si="18"/>
        <v>12.11</v>
      </c>
      <c r="V78" s="5">
        <f t="shared" si="19"/>
        <v>11.86</v>
      </c>
    </row>
    <row r="79" spans="1:22">
      <c r="A79" s="33" t="str">
        <f>IF(Tabela17[[#This Row],[Código]]="IBOV","^BVSP",IF(Tabela17[[#This Row],[Código]]="","",CONCATENATE(LEFT(Tabela17[[#This Row],[Código]],6),".SA")))</f>
        <v>TKNO4.SA</v>
      </c>
      <c r="C79" s="3" t="s">
        <v>336</v>
      </c>
      <c r="D79" s="3" t="s">
        <v>1140</v>
      </c>
      <c r="E79" s="3" t="s">
        <v>1412</v>
      </c>
      <c r="F79" s="3" t="s">
        <v>1412</v>
      </c>
      <c r="G79" s="3" t="s">
        <v>1140</v>
      </c>
      <c r="H79" s="51">
        <v>41691</v>
      </c>
      <c r="J79" s="3">
        <f t="shared" si="20"/>
        <v>89.99</v>
      </c>
      <c r="K79" s="3">
        <f t="shared" si="20"/>
        <v>92</v>
      </c>
      <c r="L79" s="3">
        <f t="shared" si="20"/>
        <v>92</v>
      </c>
      <c r="M79" s="3">
        <f t="shared" si="20"/>
        <v>89.99</v>
      </c>
      <c r="P79" s="15" t="s">
        <v>335</v>
      </c>
      <c r="Q79" s="10" t="str">
        <f t="shared" si="14"/>
        <v>TEKNO       -PN</v>
      </c>
      <c r="R79" s="51">
        <f t="shared" si="15"/>
        <v>41691</v>
      </c>
      <c r="S79" s="5">
        <f t="shared" si="16"/>
        <v>89.99</v>
      </c>
      <c r="T79" s="5">
        <f t="shared" si="17"/>
        <v>92</v>
      </c>
      <c r="U79" s="5">
        <f t="shared" si="18"/>
        <v>92</v>
      </c>
      <c r="V79" s="5">
        <f t="shared" si="19"/>
        <v>89.99</v>
      </c>
    </row>
    <row r="80" spans="1:22">
      <c r="A80" s="33" t="str">
        <f>IF(Tabela17[[#This Row],[Código]]="IBOV","^BVSP",IF(Tabela17[[#This Row],[Código]]="","",CONCATENATE(LEFT(Tabela17[[#This Row],[Código]],6),".SA")))</f>
        <v>TRPN3.SA</v>
      </c>
      <c r="C80" s="3" t="s">
        <v>374</v>
      </c>
      <c r="D80" s="3" t="s">
        <v>1782</v>
      </c>
      <c r="E80" s="3" t="s">
        <v>1782</v>
      </c>
      <c r="F80" s="3" t="s">
        <v>1782</v>
      </c>
      <c r="G80" s="3" t="s">
        <v>1782</v>
      </c>
      <c r="H80" s="51">
        <v>41691</v>
      </c>
      <c r="J80" s="3">
        <f t="shared" si="20"/>
        <v>13.78</v>
      </c>
      <c r="K80" s="3">
        <f t="shared" si="20"/>
        <v>13.78</v>
      </c>
      <c r="L80" s="3">
        <f t="shared" si="20"/>
        <v>13.78</v>
      </c>
      <c r="M80" s="3">
        <f t="shared" si="20"/>
        <v>13.78</v>
      </c>
      <c r="P80" s="15" t="s">
        <v>372</v>
      </c>
      <c r="Q80" s="10" t="str">
        <f t="shared" si="14"/>
        <v xml:space="preserve">TARPON INV  -ON  </v>
      </c>
      <c r="R80" s="51">
        <f t="shared" si="15"/>
        <v>41691</v>
      </c>
      <c r="S80" s="5">
        <f t="shared" si="16"/>
        <v>13.78</v>
      </c>
      <c r="T80" s="5">
        <f t="shared" si="17"/>
        <v>13.78</v>
      </c>
      <c r="U80" s="5">
        <f t="shared" si="18"/>
        <v>13.78</v>
      </c>
      <c r="V80" s="5">
        <f t="shared" si="19"/>
        <v>13.78</v>
      </c>
    </row>
    <row r="81" spans="1:22">
      <c r="A81" s="33" t="str">
        <f>IF(Tabela17[[#This Row],[Código]]="IBOV","^BVSP",IF(Tabela17[[#This Row],[Código]]="","",CONCATENATE(LEFT(Tabela17[[#This Row],[Código]],6),".SA")))</f>
        <v>UGPA3.SA</v>
      </c>
      <c r="C81" s="3" t="s">
        <v>304</v>
      </c>
      <c r="D81" s="3" t="s">
        <v>1783</v>
      </c>
      <c r="E81" s="3" t="s">
        <v>1784</v>
      </c>
      <c r="F81" s="3" t="s">
        <v>1539</v>
      </c>
      <c r="G81" s="3" t="s">
        <v>1785</v>
      </c>
      <c r="H81" s="51">
        <v>41691</v>
      </c>
      <c r="J81" s="3">
        <f t="shared" si="20"/>
        <v>52</v>
      </c>
      <c r="K81" s="3">
        <f t="shared" si="20"/>
        <v>52.39</v>
      </c>
      <c r="L81" s="3">
        <f t="shared" si="20"/>
        <v>52.49</v>
      </c>
      <c r="M81" s="3">
        <f t="shared" si="20"/>
        <v>51.52</v>
      </c>
      <c r="P81" s="14" t="s">
        <v>303</v>
      </c>
      <c r="Q81" s="10" t="str">
        <f t="shared" si="14"/>
        <v xml:space="preserve">ULTRAPAR    -ON  </v>
      </c>
      <c r="R81" s="51">
        <f t="shared" si="15"/>
        <v>41691</v>
      </c>
      <c r="S81" s="5">
        <f t="shared" si="16"/>
        <v>52</v>
      </c>
      <c r="T81" s="5">
        <f t="shared" si="17"/>
        <v>52.39</v>
      </c>
      <c r="U81" s="5">
        <f t="shared" si="18"/>
        <v>52.49</v>
      </c>
      <c r="V81" s="5">
        <f t="shared" si="19"/>
        <v>51.52</v>
      </c>
    </row>
    <row r="82" spans="1:22">
      <c r="A82" s="33" t="str">
        <f>IF(Tabela17[[#This Row],[Código]]="IBOV","^BVSP",IF(Tabela17[[#This Row],[Código]]="","",CONCATENATE(LEFT(Tabela17[[#This Row],[Código]],6),".SA")))</f>
        <v>UNIP3.SA</v>
      </c>
      <c r="C82" s="3" t="s">
        <v>429</v>
      </c>
      <c r="D82" s="3" t="s">
        <v>1786</v>
      </c>
      <c r="E82" s="3" t="s">
        <v>1786</v>
      </c>
      <c r="F82" s="3" t="s">
        <v>1786</v>
      </c>
      <c r="G82" s="3" t="s">
        <v>1690</v>
      </c>
      <c r="H82" s="51">
        <v>41691</v>
      </c>
      <c r="J82" s="3">
        <f t="shared" si="20"/>
        <v>0.59</v>
      </c>
      <c r="K82" s="3">
        <f t="shared" si="20"/>
        <v>0.59</v>
      </c>
      <c r="L82" s="3">
        <f t="shared" si="20"/>
        <v>0.59</v>
      </c>
      <c r="M82" s="3">
        <f t="shared" si="20"/>
        <v>0.56999999999999995</v>
      </c>
      <c r="P82" s="14" t="s">
        <v>428</v>
      </c>
      <c r="Q82" s="10" t="str">
        <f t="shared" si="14"/>
        <v>UNIPAR      -ON</v>
      </c>
      <c r="R82" s="51">
        <f t="shared" si="15"/>
        <v>41691</v>
      </c>
      <c r="S82" s="5">
        <f t="shared" si="16"/>
        <v>0.59</v>
      </c>
      <c r="T82" s="5">
        <f t="shared" si="17"/>
        <v>0.59</v>
      </c>
      <c r="U82" s="5">
        <f t="shared" si="18"/>
        <v>0.59</v>
      </c>
      <c r="V82" s="5">
        <f t="shared" si="19"/>
        <v>0.56999999999999995</v>
      </c>
    </row>
    <row r="83" spans="1:22">
      <c r="A83" s="33" t="str">
        <f>IF(Tabela17[[#This Row],[Código]]="IBOV","^BVSP",IF(Tabela17[[#This Row],[Código]]="","",CONCATENATE(LEFT(Tabela17[[#This Row],[Código]],6),".SA")))</f>
        <v>VALE5.SA</v>
      </c>
      <c r="C83" s="3" t="s">
        <v>329</v>
      </c>
      <c r="D83" s="3" t="s">
        <v>1787</v>
      </c>
      <c r="E83" s="3" t="s">
        <v>1788</v>
      </c>
      <c r="F83" s="3" t="s">
        <v>1789</v>
      </c>
      <c r="G83" s="3" t="s">
        <v>1790</v>
      </c>
      <c r="H83" s="51">
        <v>41691</v>
      </c>
      <c r="J83" s="3">
        <f t="shared" si="20"/>
        <v>30.63</v>
      </c>
      <c r="K83" s="3">
        <f t="shared" si="20"/>
        <v>30.61</v>
      </c>
      <c r="L83" s="3">
        <f t="shared" si="20"/>
        <v>30.7</v>
      </c>
      <c r="M83" s="3">
        <f t="shared" si="20"/>
        <v>30.45</v>
      </c>
      <c r="P83" s="14" t="s">
        <v>328</v>
      </c>
      <c r="Q83" s="10" t="str">
        <f t="shared" si="14"/>
        <v xml:space="preserve">VALE        -PNA </v>
      </c>
      <c r="R83" s="46">
        <f t="shared" si="15"/>
        <v>41691</v>
      </c>
      <c r="S83" s="6">
        <f t="shared" si="16"/>
        <v>30.63</v>
      </c>
      <c r="T83" s="6">
        <f t="shared" si="17"/>
        <v>30.61</v>
      </c>
      <c r="U83" s="6">
        <f t="shared" si="18"/>
        <v>30.7</v>
      </c>
      <c r="V83" s="6">
        <f t="shared" si="19"/>
        <v>30.45</v>
      </c>
    </row>
    <row r="84" spans="1:22">
      <c r="A84" s="33" t="str">
        <f>IF(Tabela17[[#This Row],[Código]]="IBOV","^BVSP",IF(Tabela17[[#This Row],[Código]]="","",CONCATENATE(LEFT(Tabela17[[#This Row],[Código]],6),".SA")))</f>
        <v>VIGR3.SA</v>
      </c>
      <c r="C84" s="3" t="s">
        <v>282</v>
      </c>
      <c r="D84" s="3" t="s">
        <v>970</v>
      </c>
      <c r="E84" s="3" t="s">
        <v>939</v>
      </c>
      <c r="F84" s="3" t="s">
        <v>795</v>
      </c>
      <c r="G84" s="3" t="s">
        <v>939</v>
      </c>
      <c r="H84" s="51">
        <v>41691</v>
      </c>
      <c r="J84" s="3">
        <f t="shared" si="20"/>
        <v>7.01</v>
      </c>
      <c r="K84" s="3">
        <f t="shared" si="20"/>
        <v>7</v>
      </c>
      <c r="L84" s="3">
        <f t="shared" si="20"/>
        <v>7.02</v>
      </c>
      <c r="M84" s="3">
        <f t="shared" si="20"/>
        <v>7</v>
      </c>
      <c r="P84" s="43" t="s">
        <v>281</v>
      </c>
      <c r="Q84" s="10" t="str">
        <f t="shared" si="14"/>
        <v xml:space="preserve">VIGOR FOOD  -ON  </v>
      </c>
      <c r="R84" s="51">
        <f t="shared" si="15"/>
        <v>41691</v>
      </c>
      <c r="S84" s="5">
        <f t="shared" si="16"/>
        <v>7.01</v>
      </c>
      <c r="T84" s="5">
        <f t="shared" si="17"/>
        <v>7</v>
      </c>
      <c r="U84" s="5">
        <f t="shared" si="18"/>
        <v>7.02</v>
      </c>
      <c r="V84" s="5">
        <f t="shared" si="19"/>
        <v>7</v>
      </c>
    </row>
    <row r="85" spans="1:22">
      <c r="A85" s="33" t="str">
        <f>IF(Tabela17[[#This Row],[Código]]="IBOV","^BVSP",IF(Tabela17[[#This Row],[Código]]="","",CONCATENATE(LEFT(Tabela17[[#This Row],[Código]],6),".SA")))</f>
        <v>VIVT3.SA</v>
      </c>
      <c r="C85" s="3" t="s">
        <v>652</v>
      </c>
      <c r="D85" s="3" t="s">
        <v>1559</v>
      </c>
      <c r="E85" s="3" t="s">
        <v>1791</v>
      </c>
      <c r="F85" s="3" t="s">
        <v>1559</v>
      </c>
      <c r="G85" s="3" t="s">
        <v>1791</v>
      </c>
      <c r="H85" s="51">
        <v>41691</v>
      </c>
      <c r="J85" s="3">
        <f t="shared" si="20"/>
        <v>37.549999999999997</v>
      </c>
      <c r="K85" s="3">
        <f t="shared" si="20"/>
        <v>37.44</v>
      </c>
      <c r="L85" s="3">
        <f t="shared" si="20"/>
        <v>37.549999999999997</v>
      </c>
      <c r="M85" s="3">
        <f t="shared" si="20"/>
        <v>37.44</v>
      </c>
      <c r="P85" s="15" t="s">
        <v>292</v>
      </c>
      <c r="Q85" s="10" t="str">
        <f t="shared" si="14"/>
        <v>TELEF BRASIL-ON</v>
      </c>
      <c r="R85" s="51">
        <f t="shared" si="15"/>
        <v>41691</v>
      </c>
      <c r="S85" s="5">
        <f t="shared" si="16"/>
        <v>37.549999999999997</v>
      </c>
      <c r="T85" s="5">
        <f t="shared" si="17"/>
        <v>37.44</v>
      </c>
      <c r="U85" s="5">
        <f t="shared" si="18"/>
        <v>37.549999999999997</v>
      </c>
      <c r="V85" s="5">
        <f t="shared" si="19"/>
        <v>37.44</v>
      </c>
    </row>
    <row r="86" spans="1:22">
      <c r="A86" s="33" t="str">
        <f>IF(Tabela17[[#This Row],[Código]]="IBOV","^BVSP",IF(Tabela17[[#This Row],[Código]]="","",CONCATENATE(LEFT(Tabela17[[#This Row],[Código]],6),".SA")))</f>
        <v>VIVT4.SA</v>
      </c>
      <c r="C86" s="3" t="s">
        <v>653</v>
      </c>
      <c r="D86" s="3" t="s">
        <v>1792</v>
      </c>
      <c r="E86" s="3" t="s">
        <v>1793</v>
      </c>
      <c r="F86" s="3" t="s">
        <v>1794</v>
      </c>
      <c r="G86" s="3" t="s">
        <v>1795</v>
      </c>
      <c r="H86" s="51">
        <v>41691</v>
      </c>
      <c r="J86" s="3">
        <f t="shared" si="20"/>
        <v>42.99</v>
      </c>
      <c r="K86" s="3">
        <f t="shared" si="20"/>
        <v>43</v>
      </c>
      <c r="L86" s="3">
        <f t="shared" si="20"/>
        <v>43.21</v>
      </c>
      <c r="M86" s="3">
        <f t="shared" si="20"/>
        <v>42.6</v>
      </c>
      <c r="P86" s="15" t="s">
        <v>293</v>
      </c>
      <c r="Q86" s="10" t="str">
        <f t="shared" si="14"/>
        <v>TELEF BRASIL-PN</v>
      </c>
      <c r="R86" s="51">
        <f t="shared" si="15"/>
        <v>41691</v>
      </c>
      <c r="S86" s="5">
        <f t="shared" si="16"/>
        <v>42.99</v>
      </c>
      <c r="T86" s="5">
        <f t="shared" si="17"/>
        <v>43</v>
      </c>
      <c r="U86" s="5">
        <f t="shared" si="18"/>
        <v>43.21</v>
      </c>
      <c r="V86" s="5">
        <f t="shared" si="19"/>
        <v>42.6</v>
      </c>
    </row>
    <row r="87" spans="1:22">
      <c r="A87" s="33" t="str">
        <f>IF(Tabela17[[#This Row],[Código]]="IBOV","^BVSP",IF(Tabela17[[#This Row],[Código]]="","",CONCATENATE(LEFT(Tabela17[[#This Row],[Código]],6),".SA")))</f>
        <v>CEPE3.SA</v>
      </c>
      <c r="C87" s="3" t="s">
        <v>486</v>
      </c>
      <c r="D87" s="3" t="s">
        <v>442</v>
      </c>
      <c r="E87" s="3" t="s">
        <v>487</v>
      </c>
      <c r="F87" s="3" t="s">
        <v>487</v>
      </c>
      <c r="G87" s="3" t="s">
        <v>487</v>
      </c>
      <c r="H87" s="51">
        <v>41691</v>
      </c>
      <c r="J87" s="3" t="e">
        <f t="shared" si="20"/>
        <v>#VALUE!</v>
      </c>
      <c r="K87" s="3">
        <f t="shared" si="20"/>
        <v>24.53</v>
      </c>
      <c r="L87" s="3">
        <f t="shared" si="20"/>
        <v>24.53</v>
      </c>
      <c r="M87" s="3">
        <f t="shared" si="20"/>
        <v>24.53</v>
      </c>
      <c r="P87" s="15" t="s">
        <v>485</v>
      </c>
      <c r="Q87" s="10" t="str">
        <f t="shared" si="14"/>
        <v>CELPE       -ON</v>
      </c>
      <c r="R87" s="51">
        <f t="shared" si="15"/>
        <v>41691</v>
      </c>
      <c r="S87" s="5" t="e">
        <f t="shared" si="16"/>
        <v>#VALUE!</v>
      </c>
      <c r="T87" s="5">
        <f t="shared" si="17"/>
        <v>24.53</v>
      </c>
      <c r="U87" s="5">
        <f t="shared" si="18"/>
        <v>24.53</v>
      </c>
      <c r="V87" s="5">
        <f t="shared" si="19"/>
        <v>24.53</v>
      </c>
    </row>
    <row r="88" spans="1:22">
      <c r="A88" s="33" t="str">
        <f>IF(Tabela17[[#This Row],[Código]]="IBOV","^BVSP",IF(Tabela17[[#This Row],[Código]]="","",CONCATENATE(LEFT(Tabela17[[#This Row],[Código]],6),".SA")))</f>
        <v>COCE6.SA</v>
      </c>
      <c r="C88" s="3" t="s">
        <v>489</v>
      </c>
      <c r="D88" s="3" t="s">
        <v>442</v>
      </c>
      <c r="E88" s="3" t="s">
        <v>490</v>
      </c>
      <c r="F88" s="3" t="s">
        <v>490</v>
      </c>
      <c r="G88" s="3" t="s">
        <v>490</v>
      </c>
      <c r="H88" s="51">
        <v>41691</v>
      </c>
      <c r="J88" s="3" t="e">
        <f t="shared" si="20"/>
        <v>#VALUE!</v>
      </c>
      <c r="K88" s="3">
        <f t="shared" si="20"/>
        <v>35</v>
      </c>
      <c r="L88" s="3">
        <f t="shared" si="20"/>
        <v>35</v>
      </c>
      <c r="M88" s="3">
        <f t="shared" si="20"/>
        <v>35</v>
      </c>
      <c r="P88" s="15" t="s">
        <v>488</v>
      </c>
      <c r="Q88" s="10" t="str">
        <f t="shared" si="14"/>
        <v>COELCE      -PNB</v>
      </c>
      <c r="R88" s="51">
        <f t="shared" si="15"/>
        <v>41691</v>
      </c>
      <c r="S88" s="5" t="e">
        <f t="shared" si="16"/>
        <v>#VALUE!</v>
      </c>
      <c r="T88" s="5">
        <f t="shared" si="17"/>
        <v>35</v>
      </c>
      <c r="U88" s="5">
        <f t="shared" si="18"/>
        <v>35</v>
      </c>
      <c r="V88" s="5">
        <f t="shared" si="19"/>
        <v>35</v>
      </c>
    </row>
    <row r="89" spans="1:22">
      <c r="A89" s="33" t="str">
        <f>IF(Tabela17[[#This Row],[Código]]="IBOV","^BVSP",IF(Tabela17[[#This Row],[Código]]="","",CONCATENATE(LEFT(Tabela17[[#This Row],[Código]],6),".SA")))</f>
        <v>ENMA5B.SA</v>
      </c>
      <c r="C89" s="3" t="s">
        <v>493</v>
      </c>
      <c r="D89" s="3" t="s">
        <v>442</v>
      </c>
      <c r="E89" s="3" t="s">
        <v>443</v>
      </c>
      <c r="F89" s="3" t="s">
        <v>442</v>
      </c>
      <c r="G89" s="3" t="s">
        <v>442</v>
      </c>
      <c r="H89" s="51" t="s">
        <v>442</v>
      </c>
      <c r="J89" s="3" t="e">
        <f t="shared" si="20"/>
        <v>#VALUE!</v>
      </c>
      <c r="K89" s="3">
        <f t="shared" si="20"/>
        <v>0</v>
      </c>
      <c r="L89" s="3" t="e">
        <f t="shared" si="20"/>
        <v>#VALUE!</v>
      </c>
      <c r="M89" s="3" t="e">
        <f t="shared" si="20"/>
        <v>#VALUE!</v>
      </c>
      <c r="P89" s="43" t="s">
        <v>491</v>
      </c>
      <c r="Q89" s="10" t="str">
        <f t="shared" si="14"/>
        <v xml:space="preserve">CEMAR       -PNA </v>
      </c>
      <c r="R89" s="51" t="str">
        <f t="shared" si="15"/>
        <v>N/A</v>
      </c>
      <c r="S89" s="5" t="e">
        <f t="shared" si="16"/>
        <v>#VALUE!</v>
      </c>
      <c r="T89" s="5">
        <f t="shared" si="17"/>
        <v>0</v>
      </c>
      <c r="U89" s="5" t="e">
        <f t="shared" si="18"/>
        <v>#VALUE!</v>
      </c>
      <c r="V89" s="5" t="e">
        <f t="shared" si="19"/>
        <v>#VALUE!</v>
      </c>
    </row>
    <row r="90" spans="1:22">
      <c r="A90" s="33" t="str">
        <f>IF(Tabela17[[#This Row],[Código]]="IBOV","^BVSP",IF(Tabela17[[#This Row],[Código]]="","",CONCATENATE(LEFT(Tabela17[[#This Row],[Código]],6),".SA")))</f>
        <v>ENMA6B.SA</v>
      </c>
      <c r="C90" s="3" t="s">
        <v>494</v>
      </c>
      <c r="D90" s="3" t="s">
        <v>442</v>
      </c>
      <c r="E90" s="3" t="s">
        <v>443</v>
      </c>
      <c r="F90" s="3" t="s">
        <v>442</v>
      </c>
      <c r="G90" s="3" t="s">
        <v>442</v>
      </c>
      <c r="H90" s="51" t="s">
        <v>442</v>
      </c>
      <c r="J90" s="3" t="e">
        <f t="shared" si="20"/>
        <v>#VALUE!</v>
      </c>
      <c r="K90" s="3">
        <f t="shared" si="20"/>
        <v>0</v>
      </c>
      <c r="L90" s="3" t="e">
        <f t="shared" si="20"/>
        <v>#VALUE!</v>
      </c>
      <c r="M90" s="3" t="e">
        <f t="shared" si="20"/>
        <v>#VALUE!</v>
      </c>
      <c r="P90" s="14" t="s">
        <v>492</v>
      </c>
      <c r="Q90" s="10" t="str">
        <f t="shared" si="14"/>
        <v xml:space="preserve">CEMAR       -PNB </v>
      </c>
      <c r="R90" s="51" t="str">
        <f t="shared" si="15"/>
        <v>N/A</v>
      </c>
      <c r="S90" s="5" t="e">
        <f t="shared" si="16"/>
        <v>#VALUE!</v>
      </c>
      <c r="T90" s="5">
        <f t="shared" si="17"/>
        <v>0</v>
      </c>
      <c r="U90" s="5" t="e">
        <f t="shared" si="18"/>
        <v>#VALUE!</v>
      </c>
      <c r="V90" s="5" t="e">
        <f t="shared" si="19"/>
        <v>#VALUE!</v>
      </c>
    </row>
    <row r="91" spans="1:22">
      <c r="A91" s="33" t="str">
        <f>IF(Tabela17[[#This Row],[Código]]="IBOV","^BVSP",IF(Tabela17[[#This Row],[Código]]="","",CONCATENATE(LEFT(Tabela17[[#This Row],[Código]],6),".SA")))</f>
        <v>CEED3.SA</v>
      </c>
      <c r="C91" s="3" t="s">
        <v>497</v>
      </c>
      <c r="D91" s="3" t="s">
        <v>478</v>
      </c>
      <c r="E91" s="3" t="s">
        <v>478</v>
      </c>
      <c r="F91" s="3" t="s">
        <v>478</v>
      </c>
      <c r="G91" s="3" t="s">
        <v>478</v>
      </c>
      <c r="H91" s="51">
        <v>41691</v>
      </c>
      <c r="J91" s="3">
        <f t="shared" si="20"/>
        <v>1</v>
      </c>
      <c r="K91" s="3">
        <f t="shared" si="20"/>
        <v>1</v>
      </c>
      <c r="L91" s="3">
        <f t="shared" si="20"/>
        <v>1</v>
      </c>
      <c r="M91" s="3">
        <f t="shared" si="20"/>
        <v>1</v>
      </c>
      <c r="P91" s="10" t="s">
        <v>495</v>
      </c>
      <c r="Q91" s="10" t="str">
        <f t="shared" si="14"/>
        <v xml:space="preserve">CEEE-D      -ON  </v>
      </c>
      <c r="R91" s="51">
        <f t="shared" si="15"/>
        <v>41691</v>
      </c>
      <c r="S91" s="5">
        <f t="shared" si="16"/>
        <v>1</v>
      </c>
      <c r="T91" s="5">
        <f t="shared" si="17"/>
        <v>1</v>
      </c>
      <c r="U91" s="5">
        <f t="shared" si="18"/>
        <v>1</v>
      </c>
      <c r="V91" s="5">
        <f t="shared" si="19"/>
        <v>1</v>
      </c>
    </row>
    <row r="92" spans="1:22">
      <c r="A92" s="33" t="str">
        <f>IF(Tabela17[[#This Row],[Código]]="IBOV","^BVSP",IF(Tabela17[[#This Row],[Código]]="","",CONCATENATE(LEFT(Tabela17[[#This Row],[Código]],6),".SA")))</f>
        <v>CEED4.SA</v>
      </c>
      <c r="C92" s="3" t="s">
        <v>498</v>
      </c>
      <c r="D92" s="3" t="s">
        <v>499</v>
      </c>
      <c r="E92" s="3" t="s">
        <v>499</v>
      </c>
      <c r="F92" s="3" t="s">
        <v>499</v>
      </c>
      <c r="G92" s="3" t="s">
        <v>499</v>
      </c>
      <c r="H92" s="51">
        <v>41691</v>
      </c>
      <c r="J92" s="3">
        <f t="shared" si="20"/>
        <v>1.6</v>
      </c>
      <c r="K92" s="3">
        <f t="shared" si="20"/>
        <v>1.6</v>
      </c>
      <c r="L92" s="3">
        <f t="shared" si="20"/>
        <v>1.6</v>
      </c>
      <c r="M92" s="3">
        <f t="shared" si="20"/>
        <v>1.6</v>
      </c>
      <c r="P92" s="16" t="s">
        <v>496</v>
      </c>
      <c r="Q92" s="10" t="str">
        <f t="shared" si="14"/>
        <v xml:space="preserve">CEEE-D      -PN  </v>
      </c>
      <c r="R92" s="51">
        <f t="shared" si="15"/>
        <v>41691</v>
      </c>
      <c r="S92" s="5">
        <f t="shared" si="16"/>
        <v>1.6</v>
      </c>
      <c r="T92" s="5">
        <f t="shared" si="17"/>
        <v>1.6</v>
      </c>
      <c r="U92" s="5">
        <f t="shared" si="18"/>
        <v>1.6</v>
      </c>
      <c r="V92" s="5">
        <f t="shared" si="19"/>
        <v>1.6</v>
      </c>
    </row>
    <row r="93" spans="1:22">
      <c r="A93" s="33" t="str">
        <f>IF(Tabela17[[#This Row],[Código]]="IBOV","^BVSP",IF(Tabela17[[#This Row],[Código]]="","",CONCATENATE(LEFT(Tabela17[[#This Row],[Código]],6),".SA")))</f>
        <v>EKTR3.SA</v>
      </c>
      <c r="C93" s="3" t="s">
        <v>502</v>
      </c>
      <c r="D93" s="3" t="s">
        <v>442</v>
      </c>
      <c r="E93" s="3" t="s">
        <v>440</v>
      </c>
      <c r="F93" s="3" t="s">
        <v>440</v>
      </c>
      <c r="G93" s="3" t="s">
        <v>440</v>
      </c>
      <c r="H93" s="51">
        <v>41691</v>
      </c>
      <c r="J93" s="3" t="e">
        <f t="shared" si="20"/>
        <v>#VALUE!</v>
      </c>
      <c r="K93" s="3">
        <f t="shared" si="20"/>
        <v>21</v>
      </c>
      <c r="L93" s="3">
        <f t="shared" si="20"/>
        <v>21</v>
      </c>
      <c r="M93" s="3">
        <f t="shared" si="20"/>
        <v>21</v>
      </c>
      <c r="P93" s="16" t="s">
        <v>500</v>
      </c>
      <c r="Q93" s="10" t="str">
        <f t="shared" si="14"/>
        <v>ELEKTRO     -ON</v>
      </c>
      <c r="R93" s="51">
        <f t="shared" si="15"/>
        <v>41691</v>
      </c>
      <c r="S93" s="5" t="e">
        <f t="shared" si="16"/>
        <v>#VALUE!</v>
      </c>
      <c r="T93" s="5">
        <f t="shared" si="17"/>
        <v>21</v>
      </c>
      <c r="U93" s="5">
        <f t="shared" si="18"/>
        <v>21</v>
      </c>
      <c r="V93" s="5">
        <f t="shared" si="19"/>
        <v>21</v>
      </c>
    </row>
    <row r="94" spans="1:22">
      <c r="A94" s="33" t="str">
        <f>IF(Tabela17[[#This Row],[Código]]="IBOV","^BVSP",IF(Tabela17[[#This Row],[Código]]="","",CONCATENATE(LEFT(Tabela17[[#This Row],[Código]],6),".SA")))</f>
        <v>EKTR4.SA</v>
      </c>
      <c r="C94" s="3" t="s">
        <v>503</v>
      </c>
      <c r="D94" s="3" t="s">
        <v>647</v>
      </c>
      <c r="E94" s="3" t="s">
        <v>647</v>
      </c>
      <c r="F94" s="3" t="s">
        <v>647</v>
      </c>
      <c r="G94" s="3" t="s">
        <v>647</v>
      </c>
      <c r="H94" s="51">
        <v>41691</v>
      </c>
      <c r="J94" s="3">
        <f t="shared" si="20"/>
        <v>17</v>
      </c>
      <c r="K94" s="3">
        <f t="shared" si="20"/>
        <v>17</v>
      </c>
      <c r="L94" s="3">
        <f t="shared" si="20"/>
        <v>17</v>
      </c>
      <c r="M94" s="3">
        <f t="shared" si="20"/>
        <v>17</v>
      </c>
      <c r="P94" s="14" t="s">
        <v>501</v>
      </c>
      <c r="Q94" s="10" t="str">
        <f t="shared" si="14"/>
        <v>ELEKTRO     -PN</v>
      </c>
      <c r="R94" s="51">
        <f t="shared" si="15"/>
        <v>41691</v>
      </c>
      <c r="S94" s="5">
        <f t="shared" si="16"/>
        <v>17</v>
      </c>
      <c r="T94" s="5">
        <f t="shared" si="17"/>
        <v>17</v>
      </c>
      <c r="U94" s="5">
        <f t="shared" si="18"/>
        <v>17</v>
      </c>
      <c r="V94" s="5">
        <f t="shared" si="19"/>
        <v>17</v>
      </c>
    </row>
    <row r="95" spans="1:22">
      <c r="A95" s="33" t="str">
        <f>IF(Tabela17[[#This Row],[Código]]="IBOV","^BVSP",IF(Tabela17[[#This Row],[Código]]="","",CONCATENATE(LEFT(Tabela17[[#This Row],[Código]],6),".SA")))</f>
        <v>ENEV3.SA</v>
      </c>
      <c r="C95" s="3" t="s">
        <v>506</v>
      </c>
      <c r="D95" s="3" t="s">
        <v>1540</v>
      </c>
      <c r="E95" s="3" t="s">
        <v>1796</v>
      </c>
      <c r="F95" s="3" t="s">
        <v>1517</v>
      </c>
      <c r="G95" s="3" t="s">
        <v>1797</v>
      </c>
      <c r="H95" s="51">
        <v>41691</v>
      </c>
      <c r="J95" s="3">
        <f t="shared" si="20"/>
        <v>1.85</v>
      </c>
      <c r="K95" s="3">
        <f t="shared" si="20"/>
        <v>1.89</v>
      </c>
      <c r="L95" s="3">
        <f t="shared" si="20"/>
        <v>1.92</v>
      </c>
      <c r="M95" s="3">
        <f t="shared" si="20"/>
        <v>1.84</v>
      </c>
      <c r="P95" s="14" t="s">
        <v>505</v>
      </c>
      <c r="Q95" s="10" t="str">
        <f t="shared" si="14"/>
        <v xml:space="preserve">ENEVA       -ON  </v>
      </c>
      <c r="R95" s="51">
        <f t="shared" si="15"/>
        <v>41691</v>
      </c>
      <c r="S95" s="5">
        <f t="shared" si="16"/>
        <v>1.85</v>
      </c>
      <c r="T95" s="5">
        <f t="shared" si="17"/>
        <v>1.89</v>
      </c>
      <c r="U95" s="5">
        <f t="shared" si="18"/>
        <v>1.92</v>
      </c>
      <c r="V95" s="5">
        <f t="shared" si="19"/>
        <v>1.84</v>
      </c>
    </row>
    <row r="96" spans="1:22">
      <c r="A96" s="33" t="str">
        <f>IF(Tabela17[[#This Row],[Código]]="IBOV","^BVSP",IF(Tabela17[[#This Row],[Código]]="","",CONCATENATE(LEFT(Tabela17[[#This Row],[Código]],6),".SA")))</f>
        <v>REDE3.SA</v>
      </c>
      <c r="C96" s="3" t="s">
        <v>509</v>
      </c>
      <c r="D96" s="3" t="s">
        <v>1547</v>
      </c>
      <c r="E96" s="3" t="s">
        <v>1547</v>
      </c>
      <c r="F96" s="3" t="s">
        <v>1547</v>
      </c>
      <c r="G96" s="3" t="s">
        <v>1547</v>
      </c>
      <c r="H96" s="51">
        <v>41691</v>
      </c>
      <c r="J96" s="3">
        <f t="shared" si="20"/>
        <v>0.99</v>
      </c>
      <c r="K96" s="3">
        <f t="shared" si="20"/>
        <v>0.99</v>
      </c>
      <c r="L96" s="3">
        <f t="shared" si="20"/>
        <v>0.99</v>
      </c>
      <c r="M96" s="3">
        <f t="shared" si="20"/>
        <v>0.99</v>
      </c>
      <c r="P96" s="14" t="s">
        <v>507</v>
      </c>
      <c r="Q96" s="10" t="str">
        <f t="shared" si="14"/>
        <v>REDE ENERGIA-ON</v>
      </c>
      <c r="R96" s="51">
        <f t="shared" si="15"/>
        <v>41691</v>
      </c>
      <c r="S96" s="5">
        <f t="shared" si="16"/>
        <v>0.99</v>
      </c>
      <c r="T96" s="5">
        <f t="shared" si="17"/>
        <v>0.99</v>
      </c>
      <c r="U96" s="5">
        <f t="shared" si="18"/>
        <v>0.99</v>
      </c>
      <c r="V96" s="5">
        <f t="shared" si="19"/>
        <v>0.99</v>
      </c>
    </row>
    <row r="97" spans="1:22">
      <c r="A97" s="33" t="str">
        <f>IF(Tabela17[[#This Row],[Código]]="IBOV","^BVSP",IF(Tabela17[[#This Row],[Código]]="","",CONCATENATE(LEFT(Tabela17[[#This Row],[Código]],6),".SA")))</f>
        <v>REDE4.SA</v>
      </c>
      <c r="C97" s="3" t="s">
        <v>510</v>
      </c>
      <c r="D97" s="3" t="s">
        <v>1148</v>
      </c>
      <c r="E97" s="3" t="s">
        <v>916</v>
      </c>
      <c r="F97" s="3" t="s">
        <v>1148</v>
      </c>
      <c r="G97" s="3" t="s">
        <v>916</v>
      </c>
      <c r="H97" s="51">
        <v>41691</v>
      </c>
      <c r="J97" s="3">
        <f t="shared" si="20"/>
        <v>0.81</v>
      </c>
      <c r="K97" s="3">
        <f t="shared" si="20"/>
        <v>0.8</v>
      </c>
      <c r="L97" s="3">
        <f t="shared" si="20"/>
        <v>0.81</v>
      </c>
      <c r="M97" s="3">
        <f t="shared" si="20"/>
        <v>0.8</v>
      </c>
      <c r="P97" s="15" t="s">
        <v>508</v>
      </c>
      <c r="Q97" s="10" t="str">
        <f t="shared" si="14"/>
        <v>REDE ENERGIA-PN</v>
      </c>
      <c r="R97" s="51">
        <f t="shared" si="15"/>
        <v>41691</v>
      </c>
      <c r="S97" s="5">
        <f t="shared" si="16"/>
        <v>0.81</v>
      </c>
      <c r="T97" s="5">
        <f t="shared" si="17"/>
        <v>0.8</v>
      </c>
      <c r="U97" s="5">
        <f t="shared" si="18"/>
        <v>0.81</v>
      </c>
      <c r="V97" s="5">
        <f t="shared" si="19"/>
        <v>0.8</v>
      </c>
    </row>
    <row r="98" spans="1:22">
      <c r="A98" s="33" t="str">
        <f>IF(Tabela17[[#This Row],[Código]]="IBOV","^BVSP",IF(Tabela17[[#This Row],[Código]]="","",CONCATENATE(LEFT(Tabela17[[#This Row],[Código]],6),".SA")))</f>
        <v>RNEW11.SA</v>
      </c>
      <c r="C98" s="3" t="s">
        <v>514</v>
      </c>
      <c r="D98" s="3" t="s">
        <v>1798</v>
      </c>
      <c r="E98" s="3" t="s">
        <v>1798</v>
      </c>
      <c r="F98" s="3" t="s">
        <v>1798</v>
      </c>
      <c r="G98" s="3" t="s">
        <v>1798</v>
      </c>
      <c r="H98" s="51">
        <v>41691</v>
      </c>
      <c r="J98" s="3">
        <f t="shared" si="20"/>
        <v>43.15</v>
      </c>
      <c r="K98" s="3">
        <f t="shared" si="20"/>
        <v>43.15</v>
      </c>
      <c r="L98" s="3">
        <f t="shared" si="20"/>
        <v>43.15</v>
      </c>
      <c r="M98" s="3">
        <f t="shared" si="20"/>
        <v>43.15</v>
      </c>
      <c r="P98" s="10" t="s">
        <v>511</v>
      </c>
      <c r="Q98" s="10" t="str">
        <f t="shared" si="14"/>
        <v xml:space="preserve">RENOVA      -UNT </v>
      </c>
      <c r="R98" s="51">
        <f t="shared" si="15"/>
        <v>41691</v>
      </c>
      <c r="S98" s="5">
        <f t="shared" si="16"/>
        <v>43.15</v>
      </c>
      <c r="T98" s="5">
        <f t="shared" si="17"/>
        <v>43.15</v>
      </c>
      <c r="U98" s="5">
        <f t="shared" si="18"/>
        <v>43.15</v>
      </c>
      <c r="V98" s="5">
        <f t="shared" si="19"/>
        <v>43.15</v>
      </c>
    </row>
    <row r="99" spans="1:22">
      <c r="A99" s="33" t="str">
        <f>IF(Tabela17[[#This Row],[Código]]="IBOV","^BVSP",IF(Tabela17[[#This Row],[Código]]="","",CONCATENATE(LEFT(Tabela17[[#This Row],[Código]],6),".SA")))</f>
        <v>RNEW3.SA</v>
      </c>
      <c r="C99" s="3" t="s">
        <v>515</v>
      </c>
      <c r="D99" s="3" t="s">
        <v>435</v>
      </c>
      <c r="E99" s="3" t="s">
        <v>435</v>
      </c>
      <c r="F99" s="3" t="s">
        <v>435</v>
      </c>
      <c r="G99" s="3" t="s">
        <v>435</v>
      </c>
      <c r="H99" s="51">
        <v>41691</v>
      </c>
      <c r="J99" s="3">
        <f t="shared" si="20"/>
        <v>22.4</v>
      </c>
      <c r="K99" s="3">
        <f t="shared" si="20"/>
        <v>22.4</v>
      </c>
      <c r="L99" s="3">
        <f t="shared" si="20"/>
        <v>22.4</v>
      </c>
      <c r="M99" s="3">
        <f t="shared" si="20"/>
        <v>22.4</v>
      </c>
      <c r="P99" s="14" t="s">
        <v>512</v>
      </c>
      <c r="Q99" s="10" t="str">
        <f t="shared" si="14"/>
        <v xml:space="preserve">RENOVA      -ON  </v>
      </c>
      <c r="R99" s="51">
        <f t="shared" si="15"/>
        <v>41691</v>
      </c>
      <c r="S99" s="5">
        <f t="shared" si="16"/>
        <v>22.4</v>
      </c>
      <c r="T99" s="5">
        <f t="shared" si="17"/>
        <v>22.4</v>
      </c>
      <c r="U99" s="5">
        <f t="shared" si="18"/>
        <v>22.4</v>
      </c>
      <c r="V99" s="5">
        <f t="shared" si="19"/>
        <v>22.4</v>
      </c>
    </row>
    <row r="100" spans="1:22">
      <c r="A100" s="33" t="str">
        <f>IF(Tabela17[[#This Row],[Código]]="IBOV","^BVSP",IF(Tabela17[[#This Row],[Código]]="","",CONCATENATE(LEFT(Tabela17[[#This Row],[Código]],6),".SA")))</f>
        <v>RNEW4.SA</v>
      </c>
      <c r="C100" s="3" t="s">
        <v>516</v>
      </c>
      <c r="D100" s="3" t="s">
        <v>442</v>
      </c>
      <c r="E100" s="3" t="s">
        <v>443</v>
      </c>
      <c r="F100" s="3" t="s">
        <v>442</v>
      </c>
      <c r="G100" s="3" t="s">
        <v>442</v>
      </c>
      <c r="H100" s="51" t="s">
        <v>442</v>
      </c>
      <c r="J100" s="3" t="e">
        <f t="shared" si="20"/>
        <v>#VALUE!</v>
      </c>
      <c r="K100" s="3">
        <f t="shared" si="20"/>
        <v>0</v>
      </c>
      <c r="L100" s="3" t="e">
        <f t="shared" si="20"/>
        <v>#VALUE!</v>
      </c>
      <c r="M100" s="3" t="e">
        <f t="shared" si="20"/>
        <v>#VALUE!</v>
      </c>
      <c r="P100" s="14" t="s">
        <v>513</v>
      </c>
      <c r="Q100" s="10" t="str">
        <f t="shared" si="14"/>
        <v xml:space="preserve">RENOVA      -PN  </v>
      </c>
      <c r="R100" s="51" t="str">
        <f t="shared" si="15"/>
        <v>N/A</v>
      </c>
      <c r="S100" s="5" t="e">
        <f t="shared" si="16"/>
        <v>#VALUE!</v>
      </c>
      <c r="T100" s="5">
        <f t="shared" si="17"/>
        <v>0</v>
      </c>
      <c r="U100" s="5" t="e">
        <f t="shared" si="18"/>
        <v>#VALUE!</v>
      </c>
      <c r="V100" s="5" t="e">
        <f t="shared" si="19"/>
        <v>#VALUE!</v>
      </c>
    </row>
    <row r="101" spans="1:22">
      <c r="A101" s="33" t="str">
        <f>IF(Tabela17[[#This Row],[Código]]="IBOV","^BVSP",IF(Tabela17[[#This Row],[Código]]="","",CONCATENATE(LEFT(Tabela17[[#This Row],[Código]],6),".SA")))</f>
        <v>TAEE3.SA</v>
      </c>
      <c r="C101" s="3" t="s">
        <v>519</v>
      </c>
      <c r="D101" s="3" t="s">
        <v>442</v>
      </c>
      <c r="E101" s="3" t="s">
        <v>443</v>
      </c>
      <c r="F101" s="3" t="s">
        <v>442</v>
      </c>
      <c r="G101" s="3" t="s">
        <v>442</v>
      </c>
      <c r="H101" s="51" t="s">
        <v>442</v>
      </c>
      <c r="J101" s="3" t="e">
        <f t="shared" si="20"/>
        <v>#VALUE!</v>
      </c>
      <c r="K101" s="3">
        <f t="shared" si="20"/>
        <v>0</v>
      </c>
      <c r="L101" s="3" t="e">
        <f t="shared" si="20"/>
        <v>#VALUE!</v>
      </c>
      <c r="M101" s="3" t="e">
        <f t="shared" si="20"/>
        <v>#VALUE!</v>
      </c>
      <c r="P101" s="14" t="s">
        <v>517</v>
      </c>
      <c r="Q101" s="10" t="str">
        <f t="shared" si="14"/>
        <v xml:space="preserve">TAESA       -ON  </v>
      </c>
      <c r="R101" s="51" t="str">
        <f t="shared" si="15"/>
        <v>N/A</v>
      </c>
      <c r="S101" s="5" t="e">
        <f t="shared" si="16"/>
        <v>#VALUE!</v>
      </c>
      <c r="T101" s="5">
        <f t="shared" si="17"/>
        <v>0</v>
      </c>
      <c r="U101" s="5" t="e">
        <f t="shared" si="18"/>
        <v>#VALUE!</v>
      </c>
      <c r="V101" s="5" t="e">
        <f t="shared" si="19"/>
        <v>#VALUE!</v>
      </c>
    </row>
    <row r="102" spans="1:22">
      <c r="A102" s="33" t="str">
        <f>IF(Tabela17[[#This Row],[Código]]="IBOV","^BVSP",IF(Tabela17[[#This Row],[Código]]="","",CONCATENATE(LEFT(Tabela17[[#This Row],[Código]],6),".SA")))</f>
        <v>TAEE4.SA</v>
      </c>
      <c r="C102" s="3" t="s">
        <v>520</v>
      </c>
      <c r="D102" s="3" t="s">
        <v>442</v>
      </c>
      <c r="E102" s="3" t="s">
        <v>443</v>
      </c>
      <c r="F102" s="3" t="s">
        <v>442</v>
      </c>
      <c r="G102" s="3" t="s">
        <v>442</v>
      </c>
      <c r="H102" s="51" t="s">
        <v>442</v>
      </c>
      <c r="J102" s="3" t="e">
        <f t="shared" si="20"/>
        <v>#VALUE!</v>
      </c>
      <c r="K102" s="3">
        <f t="shared" si="20"/>
        <v>0</v>
      </c>
      <c r="L102" s="3" t="e">
        <f t="shared" si="20"/>
        <v>#VALUE!</v>
      </c>
      <c r="M102" s="3" t="e">
        <f t="shared" si="20"/>
        <v>#VALUE!</v>
      </c>
      <c r="P102" s="14" t="s">
        <v>518</v>
      </c>
      <c r="Q102" s="10" t="str">
        <f t="shared" si="14"/>
        <v xml:space="preserve">TAESA       -PN  </v>
      </c>
      <c r="R102" s="51" t="str">
        <f t="shared" si="15"/>
        <v>N/A</v>
      </c>
      <c r="S102" s="5" t="e">
        <f t="shared" si="16"/>
        <v>#VALUE!</v>
      </c>
      <c r="T102" s="5">
        <f t="shared" si="17"/>
        <v>0</v>
      </c>
      <c r="U102" s="5" t="e">
        <f t="shared" si="18"/>
        <v>#VALUE!</v>
      </c>
      <c r="V102" s="5" t="e">
        <f t="shared" si="19"/>
        <v>#VALUE!</v>
      </c>
    </row>
    <row r="103" spans="1:22">
      <c r="A103" s="33" t="str">
        <f>IF(Tabela17[[#This Row],[Código]]="IBOV","^BVSP",IF(Tabela17[[#This Row],[Código]]="","",CONCATENATE(LEFT(Tabela17[[#This Row],[Código]],6),".SA")))</f>
        <v>CSAN4.SA</v>
      </c>
      <c r="C103" s="3" t="s">
        <v>523</v>
      </c>
      <c r="D103" s="3" t="s">
        <v>442</v>
      </c>
      <c r="E103" s="3" t="s">
        <v>443</v>
      </c>
      <c r="F103" s="3" t="s">
        <v>442</v>
      </c>
      <c r="G103" s="3" t="s">
        <v>442</v>
      </c>
      <c r="H103" s="51" t="s">
        <v>442</v>
      </c>
      <c r="J103" s="3" t="e">
        <f t="shared" si="20"/>
        <v>#VALUE!</v>
      </c>
      <c r="K103" s="3">
        <f t="shared" si="20"/>
        <v>0</v>
      </c>
      <c r="L103" s="3" t="e">
        <f t="shared" si="20"/>
        <v>#VALUE!</v>
      </c>
      <c r="M103" s="3" t="e">
        <f t="shared" si="20"/>
        <v>#VALUE!</v>
      </c>
      <c r="P103" s="15" t="s">
        <v>522</v>
      </c>
      <c r="Q103" s="10" t="str">
        <f t="shared" ref="Q103:Q112" si="21">IF(A103="","",C103)</f>
        <v>CSAN4.SA</v>
      </c>
      <c r="R103" s="51" t="str">
        <f t="shared" ref="R103:R112" si="22">IF(A103="","",H103)</f>
        <v>N/A</v>
      </c>
      <c r="S103" s="5" t="e">
        <f t="shared" ref="S103:S112" si="23">J103</f>
        <v>#VALUE!</v>
      </c>
      <c r="T103" s="5">
        <f t="shared" ref="T103:T112" si="24">K103</f>
        <v>0</v>
      </c>
      <c r="U103" s="5" t="e">
        <f t="shared" ref="U103:U112" si="25">L103</f>
        <v>#VALUE!</v>
      </c>
      <c r="V103" s="5" t="e">
        <f t="shared" ref="V103:V112" si="26">M103</f>
        <v>#VALUE!</v>
      </c>
    </row>
    <row r="104" spans="1:22">
      <c r="A104" s="33" t="str">
        <f>IF(Tabela17[[#This Row],[Código]]="IBOV","^BVSP",IF(Tabela17[[#This Row],[Código]]="","",CONCATENATE(LEFT(Tabela17[[#This Row],[Código]],6),".SA")))</f>
        <v>CGAS3.SA</v>
      </c>
      <c r="C104" s="3" t="s">
        <v>527</v>
      </c>
      <c r="D104" s="3" t="s">
        <v>1799</v>
      </c>
      <c r="E104" s="3" t="s">
        <v>1661</v>
      </c>
      <c r="F104" s="3" t="s">
        <v>1661</v>
      </c>
      <c r="G104" s="3" t="s">
        <v>1799</v>
      </c>
      <c r="H104" s="51">
        <v>41691</v>
      </c>
      <c r="J104" s="3">
        <f t="shared" si="20"/>
        <v>47</v>
      </c>
      <c r="K104" s="3">
        <f t="shared" si="20"/>
        <v>49.5</v>
      </c>
      <c r="L104" s="3">
        <f t="shared" si="20"/>
        <v>49.5</v>
      </c>
      <c r="M104" s="3">
        <f t="shared" si="20"/>
        <v>47</v>
      </c>
      <c r="P104" s="15" t="s">
        <v>525</v>
      </c>
      <c r="Q104" s="10" t="str">
        <f t="shared" si="21"/>
        <v>COMGAS      -ON</v>
      </c>
      <c r="R104" s="51">
        <f t="shared" si="22"/>
        <v>41691</v>
      </c>
      <c r="S104" s="5">
        <f t="shared" si="23"/>
        <v>47</v>
      </c>
      <c r="T104" s="5">
        <f t="shared" si="24"/>
        <v>49.5</v>
      </c>
      <c r="U104" s="5">
        <f t="shared" si="25"/>
        <v>49.5</v>
      </c>
      <c r="V104" s="5">
        <f t="shared" si="26"/>
        <v>47</v>
      </c>
    </row>
    <row r="105" spans="1:22">
      <c r="A105" s="33" t="str">
        <f>IF(Tabela17[[#This Row],[Código]]="IBOV","^BVSP",IF(Tabela17[[#This Row],[Código]]="","",CONCATENATE(LEFT(Tabela17[[#This Row],[Código]],6),".SA")))</f>
        <v>CGAS5.SA</v>
      </c>
      <c r="C105" s="3" t="s">
        <v>528</v>
      </c>
      <c r="D105" s="3" t="s">
        <v>1800</v>
      </c>
      <c r="E105" s="3" t="s">
        <v>1801</v>
      </c>
      <c r="F105" s="3" t="s">
        <v>1802</v>
      </c>
      <c r="G105" s="3" t="s">
        <v>1803</v>
      </c>
      <c r="H105" s="51">
        <v>41691</v>
      </c>
      <c r="J105" s="3">
        <f t="shared" si="20"/>
        <v>50.37</v>
      </c>
      <c r="K105" s="3">
        <f t="shared" si="20"/>
        <v>50.39</v>
      </c>
      <c r="L105" s="3">
        <f t="shared" si="20"/>
        <v>51.05</v>
      </c>
      <c r="M105" s="3">
        <f t="shared" si="20"/>
        <v>50.3</v>
      </c>
      <c r="P105" s="15" t="s">
        <v>526</v>
      </c>
      <c r="Q105" s="10" t="str">
        <f t="shared" si="21"/>
        <v>COMGAS      -PNA</v>
      </c>
      <c r="R105" s="51">
        <f t="shared" si="22"/>
        <v>41691</v>
      </c>
      <c r="S105" s="5">
        <f t="shared" si="23"/>
        <v>50.37</v>
      </c>
      <c r="T105" s="5">
        <f t="shared" si="24"/>
        <v>50.39</v>
      </c>
      <c r="U105" s="5">
        <f t="shared" si="25"/>
        <v>51.05</v>
      </c>
      <c r="V105" s="5">
        <f t="shared" si="26"/>
        <v>50.3</v>
      </c>
    </row>
    <row r="106" spans="1:22">
      <c r="A106" s="33" t="str">
        <f>IF(Tabela17[[#This Row],[Código]]="IBOV","^BVSP",IF(Tabela17[[#This Row],[Código]]="","",CONCATENATE(LEFT(Tabela17[[#This Row],[Código]],6),".SA")))</f>
        <v>CEGR3.SA</v>
      </c>
      <c r="C106" s="3" t="s">
        <v>530</v>
      </c>
      <c r="D106" s="3" t="s">
        <v>971</v>
      </c>
      <c r="E106" s="3" t="s">
        <v>971</v>
      </c>
      <c r="F106" s="3" t="s">
        <v>971</v>
      </c>
      <c r="G106" s="3" t="s">
        <v>971</v>
      </c>
      <c r="H106" s="51">
        <v>41691</v>
      </c>
      <c r="J106" s="3">
        <f t="shared" si="20"/>
        <v>85</v>
      </c>
      <c r="K106" s="3">
        <f t="shared" si="20"/>
        <v>85</v>
      </c>
      <c r="L106" s="3">
        <f t="shared" si="20"/>
        <v>85</v>
      </c>
      <c r="M106" s="3">
        <f t="shared" si="20"/>
        <v>85</v>
      </c>
      <c r="P106" s="14" t="s">
        <v>529</v>
      </c>
      <c r="Q106" s="10" t="str">
        <f t="shared" si="21"/>
        <v>CEG         -ON *</v>
      </c>
      <c r="R106" s="51">
        <f t="shared" si="22"/>
        <v>41691</v>
      </c>
      <c r="S106" s="5">
        <f t="shared" si="23"/>
        <v>85</v>
      </c>
      <c r="T106" s="5">
        <f t="shared" si="24"/>
        <v>85</v>
      </c>
      <c r="U106" s="5">
        <f t="shared" si="25"/>
        <v>85</v>
      </c>
      <c r="V106" s="5">
        <f t="shared" si="26"/>
        <v>85</v>
      </c>
    </row>
    <row r="107" spans="1:22">
      <c r="A107" s="33" t="str">
        <f>IF(Tabela17[[#This Row],[Código]]="IBOV","^BVSP",IF(Tabela17[[#This Row],[Código]]="","",CONCATENATE(LEFT(Tabela17[[#This Row],[Código]],6),".SA")))</f>
        <v>INET3.SA</v>
      </c>
      <c r="C107" s="3" t="s">
        <v>532</v>
      </c>
      <c r="D107" s="3" t="s">
        <v>800</v>
      </c>
      <c r="E107" s="3" t="s">
        <v>1150</v>
      </c>
      <c r="F107" s="3" t="s">
        <v>800</v>
      </c>
      <c r="G107" s="3" t="s">
        <v>533</v>
      </c>
      <c r="H107" s="51">
        <v>41691</v>
      </c>
      <c r="J107" s="3">
        <f t="shared" si="20"/>
        <v>0.2</v>
      </c>
      <c r="K107" s="3">
        <f t="shared" si="20"/>
        <v>0.19</v>
      </c>
      <c r="L107" s="3">
        <f t="shared" si="20"/>
        <v>0.2</v>
      </c>
      <c r="M107" s="3">
        <f t="shared" si="20"/>
        <v>0.18</v>
      </c>
      <c r="P107" s="14" t="s">
        <v>531</v>
      </c>
      <c r="Q107" s="10" t="str">
        <f t="shared" si="21"/>
        <v>INEPAR TEL  -ON</v>
      </c>
      <c r="R107" s="51">
        <f t="shared" si="22"/>
        <v>41691</v>
      </c>
      <c r="S107" s="5">
        <f t="shared" si="23"/>
        <v>0.2</v>
      </c>
      <c r="T107" s="5">
        <f t="shared" si="24"/>
        <v>0.19</v>
      </c>
      <c r="U107" s="5">
        <f t="shared" si="25"/>
        <v>0.2</v>
      </c>
      <c r="V107" s="5">
        <f t="shared" si="26"/>
        <v>0.18</v>
      </c>
    </row>
    <row r="108" spans="1:22">
      <c r="A108" s="33" t="str">
        <f>IF(Tabela17[[#This Row],[Código]]="IBOV","^BVSP",IF(Tabela17[[#This Row],[Código]]="","",CONCATENATE(LEFT(Tabela17[[#This Row],[Código]],6),".SA")))</f>
        <v>EBTP3.SA</v>
      </c>
      <c r="C108" s="3" t="s">
        <v>535</v>
      </c>
      <c r="D108" s="3" t="s">
        <v>1143</v>
      </c>
      <c r="E108" s="3" t="s">
        <v>1143</v>
      </c>
      <c r="F108" s="3" t="s">
        <v>1143</v>
      </c>
      <c r="G108" s="3" t="s">
        <v>1143</v>
      </c>
      <c r="H108" s="51">
        <v>41691</v>
      </c>
      <c r="J108" s="3">
        <f t="shared" si="20"/>
        <v>7.5</v>
      </c>
      <c r="K108" s="3">
        <f t="shared" si="20"/>
        <v>7.5</v>
      </c>
      <c r="L108" s="3">
        <f t="shared" si="20"/>
        <v>7.5</v>
      </c>
      <c r="M108" s="3">
        <f t="shared" si="20"/>
        <v>7.5</v>
      </c>
      <c r="P108" s="14" t="s">
        <v>534</v>
      </c>
      <c r="Q108" s="10" t="str">
        <f t="shared" si="21"/>
        <v>EMBRATEL PAR-ON *</v>
      </c>
      <c r="R108" s="51">
        <f t="shared" si="22"/>
        <v>41691</v>
      </c>
      <c r="S108" s="5">
        <f t="shared" si="23"/>
        <v>7.5</v>
      </c>
      <c r="T108" s="5">
        <f t="shared" si="24"/>
        <v>7.5</v>
      </c>
      <c r="U108" s="5">
        <f t="shared" si="25"/>
        <v>7.5</v>
      </c>
      <c r="V108" s="5">
        <f t="shared" si="26"/>
        <v>7.5</v>
      </c>
    </row>
    <row r="109" spans="1:22">
      <c r="A109" s="33" t="str">
        <f>IF(Tabela17[[#This Row],[Código]]="IBOV","^BVSP",IF(Tabela17[[#This Row],[Código]]="","",CONCATENATE(LEFT(Tabela17[[#This Row],[Código]],6),".SA")))</f>
        <v>MLFT3.SA</v>
      </c>
      <c r="C109" s="3" t="s">
        <v>538</v>
      </c>
      <c r="D109" s="3" t="s">
        <v>442</v>
      </c>
      <c r="E109" s="3" t="s">
        <v>539</v>
      </c>
      <c r="F109" s="3" t="s">
        <v>539</v>
      </c>
      <c r="G109" s="3" t="s">
        <v>539</v>
      </c>
      <c r="H109" s="51">
        <v>41691</v>
      </c>
      <c r="J109" s="3" t="e">
        <f t="shared" si="20"/>
        <v>#VALUE!</v>
      </c>
      <c r="K109" s="3">
        <f t="shared" si="20"/>
        <v>1.87</v>
      </c>
      <c r="L109" s="3">
        <f t="shared" si="20"/>
        <v>1.87</v>
      </c>
      <c r="M109" s="3">
        <f t="shared" si="20"/>
        <v>1.87</v>
      </c>
      <c r="P109" s="14" t="s">
        <v>536</v>
      </c>
      <c r="Q109" s="10" t="str">
        <f t="shared" si="21"/>
        <v>JEREISSATI  -ON</v>
      </c>
      <c r="R109" s="51">
        <f t="shared" si="22"/>
        <v>41691</v>
      </c>
      <c r="S109" s="5" t="e">
        <f t="shared" si="23"/>
        <v>#VALUE!</v>
      </c>
      <c r="T109" s="5">
        <f t="shared" si="24"/>
        <v>1.87</v>
      </c>
      <c r="U109" s="5">
        <f t="shared" si="25"/>
        <v>1.87</v>
      </c>
      <c r="V109" s="5">
        <f t="shared" si="26"/>
        <v>1.87</v>
      </c>
    </row>
    <row r="110" spans="1:22">
      <c r="A110" s="33" t="str">
        <f>IF(Tabela17[[#This Row],[Código]]="IBOV","^BVSP",IF(Tabela17[[#This Row],[Código]]="","",CONCATENATE(LEFT(Tabela17[[#This Row],[Código]],6),".SA")))</f>
        <v>MLFT4.SA</v>
      </c>
      <c r="C110" s="3" t="s">
        <v>540</v>
      </c>
      <c r="D110" s="3" t="s">
        <v>1804</v>
      </c>
      <c r="E110" s="3" t="s">
        <v>1804</v>
      </c>
      <c r="F110" s="3" t="s">
        <v>1804</v>
      </c>
      <c r="G110" s="3" t="s">
        <v>1804</v>
      </c>
      <c r="H110" s="51">
        <v>41691</v>
      </c>
      <c r="J110" s="3">
        <f t="shared" si="20"/>
        <v>1.65</v>
      </c>
      <c r="K110" s="3">
        <f t="shared" si="20"/>
        <v>1.65</v>
      </c>
      <c r="L110" s="3">
        <f t="shared" si="20"/>
        <v>1.65</v>
      </c>
      <c r="M110" s="3">
        <f t="shared" si="20"/>
        <v>1.65</v>
      </c>
      <c r="P110" s="15" t="s">
        <v>537</v>
      </c>
      <c r="Q110" s="10" t="str">
        <f t="shared" si="21"/>
        <v>JEREISSATI  -PN</v>
      </c>
      <c r="R110" s="51">
        <f t="shared" si="22"/>
        <v>41691</v>
      </c>
      <c r="S110" s="5">
        <f t="shared" si="23"/>
        <v>1.65</v>
      </c>
      <c r="T110" s="5">
        <f t="shared" si="24"/>
        <v>1.65</v>
      </c>
      <c r="U110" s="5">
        <f t="shared" si="25"/>
        <v>1.65</v>
      </c>
      <c r="V110" s="5">
        <f t="shared" si="26"/>
        <v>1.65</v>
      </c>
    </row>
    <row r="111" spans="1:22">
      <c r="A111" s="33" t="str">
        <f>IF(Tabela17[[#This Row],[Código]]="IBOV","^BVSP",IF(Tabela17[[#This Row],[Código]]="","",CONCATENATE(LEFT(Tabela17[[#This Row],[Código]],6),".SA")))</f>
        <v>LFFE3.SA</v>
      </c>
      <c r="C111" s="3" t="s">
        <v>545</v>
      </c>
      <c r="D111" s="3" t="s">
        <v>541</v>
      </c>
      <c r="E111" s="3" t="s">
        <v>541</v>
      </c>
      <c r="F111" s="3" t="s">
        <v>541</v>
      </c>
      <c r="G111" s="3" t="s">
        <v>541</v>
      </c>
      <c r="H111" s="51">
        <v>41691</v>
      </c>
      <c r="J111" s="3">
        <f t="shared" si="20"/>
        <v>1.7</v>
      </c>
      <c r="K111" s="3">
        <f t="shared" si="20"/>
        <v>1.7</v>
      </c>
      <c r="L111" s="3">
        <f t="shared" si="20"/>
        <v>1.7</v>
      </c>
      <c r="M111" s="3">
        <f t="shared" si="20"/>
        <v>1.7</v>
      </c>
      <c r="P111" s="14" t="s">
        <v>542</v>
      </c>
      <c r="Q111" s="10" t="str">
        <f t="shared" si="21"/>
        <v>LA FONTE TEL-ON</v>
      </c>
      <c r="R111" s="51">
        <f t="shared" si="22"/>
        <v>41691</v>
      </c>
      <c r="S111" s="5">
        <f t="shared" si="23"/>
        <v>1.7</v>
      </c>
      <c r="T111" s="5">
        <f t="shared" si="24"/>
        <v>1.7</v>
      </c>
      <c r="U111" s="5">
        <f t="shared" si="25"/>
        <v>1.7</v>
      </c>
      <c r="V111" s="5">
        <f t="shared" si="26"/>
        <v>1.7</v>
      </c>
    </row>
    <row r="112" spans="1:22">
      <c r="A112" s="33" t="str">
        <f>IF(Tabela17[[#This Row],[Código]]="IBOV","^BVSP",IF(Tabela17[[#This Row],[Código]]="","",CONCATENATE(LEFT(Tabela17[[#This Row],[Código]],6),".SA")))</f>
        <v>LFFE4.SA</v>
      </c>
      <c r="C112" s="3" t="s">
        <v>546</v>
      </c>
      <c r="D112" s="3" t="s">
        <v>547</v>
      </c>
      <c r="E112" s="3" t="s">
        <v>547</v>
      </c>
      <c r="F112" s="3" t="s">
        <v>547</v>
      </c>
      <c r="G112" s="3" t="s">
        <v>547</v>
      </c>
      <c r="H112" s="51">
        <v>41691</v>
      </c>
      <c r="J112" s="3">
        <f t="shared" si="20"/>
        <v>3.69</v>
      </c>
      <c r="K112" s="3">
        <f t="shared" si="20"/>
        <v>3.69</v>
      </c>
      <c r="L112" s="3">
        <f t="shared" si="20"/>
        <v>3.69</v>
      </c>
      <c r="M112" s="3">
        <f t="shared" si="20"/>
        <v>3.69</v>
      </c>
      <c r="P112" s="3" t="s">
        <v>543</v>
      </c>
      <c r="Q112" s="10" t="str">
        <f t="shared" si="21"/>
        <v>LA FONTE TEL-PN</v>
      </c>
      <c r="R112" s="51">
        <f t="shared" si="22"/>
        <v>41691</v>
      </c>
      <c r="S112" s="5">
        <f t="shared" si="23"/>
        <v>3.69</v>
      </c>
      <c r="T112" s="5">
        <f t="shared" si="24"/>
        <v>3.69</v>
      </c>
      <c r="U112" s="5">
        <f t="shared" si="25"/>
        <v>3.69</v>
      </c>
      <c r="V112" s="5">
        <f t="shared" si="26"/>
        <v>3.69</v>
      </c>
    </row>
    <row r="113" spans="1:22">
      <c r="A113" s="33"/>
      <c r="C113" s="3" t="s">
        <v>101</v>
      </c>
      <c r="H113" s="51"/>
      <c r="J113" s="3">
        <f t="shared" si="20"/>
        <v>0</v>
      </c>
      <c r="K113" s="3">
        <f t="shared" si="20"/>
        <v>0</v>
      </c>
      <c r="L113" s="3">
        <f t="shared" si="20"/>
        <v>0</v>
      </c>
      <c r="M113" s="3">
        <f t="shared" si="20"/>
        <v>0</v>
      </c>
      <c r="Q113" s="10" t="str">
        <f t="shared" ref="Q113:Q131" si="27">IF(A117="","",C117)</f>
        <v/>
      </c>
      <c r="R113" s="51" t="str">
        <f t="shared" ref="R113:R131" si="28">IF(A117="","",H117)</f>
        <v/>
      </c>
      <c r="S113" s="5">
        <f t="shared" ref="S113:V131" si="29">J117</f>
        <v>0</v>
      </c>
      <c r="T113" s="5">
        <f t="shared" si="29"/>
        <v>0</v>
      </c>
      <c r="U113" s="5">
        <f t="shared" si="29"/>
        <v>0</v>
      </c>
      <c r="V113" s="5">
        <f t="shared" si="29"/>
        <v>0</v>
      </c>
    </row>
    <row r="114" spans="1:22">
      <c r="A114" s="33"/>
      <c r="J114" s="3">
        <f t="shared" si="20"/>
        <v>0</v>
      </c>
      <c r="K114" s="3">
        <f>IF($A114="",0,VALUE(CONCATENATE(LEFT(E114,LEN(E114)-3),",",RIGHT(E114,2))))</f>
        <v>0</v>
      </c>
      <c r="L114" s="3">
        <f t="shared" si="20"/>
        <v>0</v>
      </c>
      <c r="M114" s="3">
        <f t="shared" si="20"/>
        <v>0</v>
      </c>
      <c r="Q114" s="10" t="str">
        <f t="shared" si="27"/>
        <v/>
      </c>
      <c r="R114" s="51" t="str">
        <f t="shared" si="28"/>
        <v/>
      </c>
      <c r="S114" s="5">
        <f t="shared" si="29"/>
        <v>0</v>
      </c>
      <c r="T114" s="5">
        <f t="shared" si="29"/>
        <v>0</v>
      </c>
      <c r="U114" s="5">
        <f t="shared" si="29"/>
        <v>0</v>
      </c>
      <c r="V114" s="5">
        <f t="shared" si="29"/>
        <v>0</v>
      </c>
    </row>
    <row r="115" spans="1:22">
      <c r="A115" s="33"/>
      <c r="J115" s="3">
        <f t="shared" si="20"/>
        <v>0</v>
      </c>
      <c r="K115" s="3">
        <f t="shared" si="20"/>
        <v>0</v>
      </c>
      <c r="L115" s="3">
        <f t="shared" si="20"/>
        <v>0</v>
      </c>
      <c r="M115" s="3">
        <f t="shared" si="20"/>
        <v>0</v>
      </c>
      <c r="Q115" s="10" t="str">
        <f t="shared" si="27"/>
        <v/>
      </c>
      <c r="R115" s="51" t="str">
        <f t="shared" si="28"/>
        <v/>
      </c>
      <c r="S115" s="5">
        <f t="shared" si="29"/>
        <v>0</v>
      </c>
      <c r="T115" s="5">
        <f t="shared" si="29"/>
        <v>0</v>
      </c>
      <c r="U115" s="5">
        <f t="shared" si="29"/>
        <v>0</v>
      </c>
      <c r="V115" s="5">
        <f t="shared" si="29"/>
        <v>0</v>
      </c>
    </row>
    <row r="116" spans="1:22">
      <c r="A116" s="33"/>
      <c r="J116" s="3">
        <f t="shared" si="20"/>
        <v>0</v>
      </c>
      <c r="K116" s="3">
        <f t="shared" si="20"/>
        <v>0</v>
      </c>
      <c r="L116" s="3">
        <f t="shared" si="20"/>
        <v>0</v>
      </c>
      <c r="M116" s="3">
        <f t="shared" si="20"/>
        <v>0</v>
      </c>
      <c r="Q116" s="10" t="str">
        <f t="shared" si="27"/>
        <v/>
      </c>
      <c r="R116" s="51" t="str">
        <f t="shared" si="28"/>
        <v/>
      </c>
      <c r="S116" s="5">
        <f t="shared" si="29"/>
        <v>0</v>
      </c>
      <c r="T116" s="5">
        <f t="shared" si="29"/>
        <v>0</v>
      </c>
      <c r="U116" s="5">
        <f t="shared" si="29"/>
        <v>0</v>
      </c>
      <c r="V116" s="5">
        <f t="shared" si="29"/>
        <v>0</v>
      </c>
    </row>
    <row r="117" spans="1:22">
      <c r="A117" s="33"/>
      <c r="J117" s="3">
        <f t="shared" si="20"/>
        <v>0</v>
      </c>
      <c r="K117" s="3">
        <f t="shared" si="20"/>
        <v>0</v>
      </c>
      <c r="L117" s="3">
        <f t="shared" si="20"/>
        <v>0</v>
      </c>
      <c r="M117" s="3">
        <f t="shared" si="20"/>
        <v>0</v>
      </c>
      <c r="Q117" s="10" t="e">
        <f t="shared" si="27"/>
        <v>#VALUE!</v>
      </c>
      <c r="R117" s="51" t="e">
        <f t="shared" si="28"/>
        <v>#VALUE!</v>
      </c>
      <c r="S117" s="5" t="e">
        <f t="shared" si="29"/>
        <v>#VALUE!</v>
      </c>
      <c r="T117" s="5" t="e">
        <f t="shared" si="29"/>
        <v>#VALUE!</v>
      </c>
      <c r="U117" s="5" t="e">
        <f t="shared" si="29"/>
        <v>#VALUE!</v>
      </c>
      <c r="V117" s="5" t="e">
        <f t="shared" si="29"/>
        <v>#VALUE!</v>
      </c>
    </row>
    <row r="118" spans="1:22">
      <c r="A118" s="33"/>
      <c r="J118" s="3">
        <f t="shared" si="20"/>
        <v>0</v>
      </c>
      <c r="K118" s="3">
        <f t="shared" si="20"/>
        <v>0</v>
      </c>
      <c r="L118" s="3">
        <f t="shared" si="20"/>
        <v>0</v>
      </c>
      <c r="M118" s="3">
        <f t="shared" si="20"/>
        <v>0</v>
      </c>
      <c r="Q118" s="10" t="e">
        <f t="shared" si="27"/>
        <v>#VALUE!</v>
      </c>
      <c r="R118" s="51" t="e">
        <f t="shared" si="28"/>
        <v>#VALUE!</v>
      </c>
      <c r="S118" s="5" t="e">
        <f t="shared" si="29"/>
        <v>#VALUE!</v>
      </c>
      <c r="T118" s="5" t="e">
        <f t="shared" si="29"/>
        <v>#VALUE!</v>
      </c>
      <c r="U118" s="5" t="e">
        <f t="shared" si="29"/>
        <v>#VALUE!</v>
      </c>
      <c r="V118" s="5" t="e">
        <f t="shared" si="29"/>
        <v>#VALUE!</v>
      </c>
    </row>
    <row r="119" spans="1:22">
      <c r="A119" s="33"/>
      <c r="J119" s="3">
        <f t="shared" si="20"/>
        <v>0</v>
      </c>
      <c r="K119" s="3">
        <f t="shared" si="20"/>
        <v>0</v>
      </c>
      <c r="L119" s="3">
        <f t="shared" si="20"/>
        <v>0</v>
      </c>
      <c r="M119" s="3">
        <f t="shared" si="20"/>
        <v>0</v>
      </c>
      <c r="Q119" s="10" t="e">
        <f t="shared" si="27"/>
        <v>#VALUE!</v>
      </c>
      <c r="R119" s="51" t="e">
        <f t="shared" si="28"/>
        <v>#VALUE!</v>
      </c>
      <c r="S119" s="5" t="e">
        <f t="shared" si="29"/>
        <v>#VALUE!</v>
      </c>
      <c r="T119" s="5" t="e">
        <f t="shared" si="29"/>
        <v>#VALUE!</v>
      </c>
      <c r="U119" s="5" t="e">
        <f t="shared" si="29"/>
        <v>#VALUE!</v>
      </c>
      <c r="V119" s="5" t="e">
        <f t="shared" si="29"/>
        <v>#VALUE!</v>
      </c>
    </row>
    <row r="120" spans="1:22">
      <c r="A120" s="33"/>
      <c r="J120" s="3">
        <f t="shared" si="20"/>
        <v>0</v>
      </c>
      <c r="K120" s="3">
        <f t="shared" si="20"/>
        <v>0</v>
      </c>
      <c r="L120" s="3">
        <f t="shared" si="20"/>
        <v>0</v>
      </c>
      <c r="M120" s="3">
        <f t="shared" si="20"/>
        <v>0</v>
      </c>
      <c r="Q120" s="10" t="e">
        <f t="shared" si="27"/>
        <v>#VALUE!</v>
      </c>
      <c r="R120" s="51" t="e">
        <f t="shared" si="28"/>
        <v>#VALUE!</v>
      </c>
      <c r="S120" s="5" t="e">
        <f t="shared" si="29"/>
        <v>#VALUE!</v>
      </c>
      <c r="T120" s="5" t="e">
        <f t="shared" si="29"/>
        <v>#VALUE!</v>
      </c>
      <c r="U120" s="5" t="e">
        <f t="shared" si="29"/>
        <v>#VALUE!</v>
      </c>
      <c r="V120" s="5" t="e">
        <f t="shared" si="29"/>
        <v>#VALUE!</v>
      </c>
    </row>
    <row r="121" spans="1:22">
      <c r="A121" s="33" t="e">
        <f>IF(Tabela17[[#This Row],[Código]]="IBOV","^BVSP",IF(Tabela17[[#This Row],[Código]]="","",CONCATENATE(LEFT(Tabela17[[#This Row],[Código]],6),".SA")))</f>
        <v>#VALUE!</v>
      </c>
      <c r="J121" s="3" t="e">
        <f t="shared" si="20"/>
        <v>#VALUE!</v>
      </c>
      <c r="K121" s="3" t="e">
        <f t="shared" si="20"/>
        <v>#VALUE!</v>
      </c>
      <c r="L121" s="3" t="e">
        <f t="shared" si="20"/>
        <v>#VALUE!</v>
      </c>
      <c r="M121" s="3" t="e">
        <f t="shared" si="20"/>
        <v>#VALUE!</v>
      </c>
      <c r="Q121" s="10" t="e">
        <f t="shared" si="27"/>
        <v>#VALUE!</v>
      </c>
      <c r="R121" s="51" t="e">
        <f t="shared" si="28"/>
        <v>#VALUE!</v>
      </c>
      <c r="S121" s="5" t="e">
        <f t="shared" si="29"/>
        <v>#VALUE!</v>
      </c>
      <c r="T121" s="5" t="e">
        <f t="shared" si="29"/>
        <v>#VALUE!</v>
      </c>
      <c r="U121" s="5" t="e">
        <f t="shared" si="29"/>
        <v>#VALUE!</v>
      </c>
      <c r="V121" s="5" t="e">
        <f t="shared" si="29"/>
        <v>#VALUE!</v>
      </c>
    </row>
    <row r="122" spans="1:22">
      <c r="A122" s="33" t="e">
        <f>IF(Tabela17[[#This Row],[Código]]="IBOV","^BVSP",IF(Tabela17[[#This Row],[Código]]="","",CONCATENATE(LEFT(Tabela17[[#This Row],[Código]],6),".SA")))</f>
        <v>#VALUE!</v>
      </c>
      <c r="J122" s="3" t="e">
        <f t="shared" si="20"/>
        <v>#VALUE!</v>
      </c>
      <c r="K122" s="3" t="e">
        <f t="shared" si="20"/>
        <v>#VALUE!</v>
      </c>
      <c r="L122" s="3" t="e">
        <f t="shared" si="20"/>
        <v>#VALUE!</v>
      </c>
      <c r="M122" s="3" t="e">
        <f t="shared" si="20"/>
        <v>#VALUE!</v>
      </c>
      <c r="Q122" s="10" t="e">
        <f t="shared" si="27"/>
        <v>#VALUE!</v>
      </c>
      <c r="R122" s="51" t="e">
        <f t="shared" si="28"/>
        <v>#VALUE!</v>
      </c>
      <c r="S122" s="5" t="e">
        <f t="shared" si="29"/>
        <v>#VALUE!</v>
      </c>
      <c r="T122" s="5" t="e">
        <f t="shared" si="29"/>
        <v>#VALUE!</v>
      </c>
      <c r="U122" s="5" t="e">
        <f t="shared" si="29"/>
        <v>#VALUE!</v>
      </c>
      <c r="V122" s="5" t="e">
        <f t="shared" si="29"/>
        <v>#VALUE!</v>
      </c>
    </row>
    <row r="123" spans="1:22">
      <c r="A123" s="33" t="e">
        <f>IF(Tabela17[[#This Row],[Código]]="IBOV","^BVSP",IF(Tabela17[[#This Row],[Código]]="","",CONCATENATE(LEFT(Tabela17[[#This Row],[Código]],6),".SA")))</f>
        <v>#VALUE!</v>
      </c>
      <c r="J123" s="3" t="e">
        <f>IF($A123="",0,VALUE(CONCATENATE(LEFT(D123,LEN(D123)-3),",",RIGHT(D123,2))))</f>
        <v>#VALUE!</v>
      </c>
      <c r="K123" s="3" t="e">
        <f t="shared" si="20"/>
        <v>#VALUE!</v>
      </c>
      <c r="L123" s="3" t="e">
        <f t="shared" si="20"/>
        <v>#VALUE!</v>
      </c>
      <c r="M123" s="3" t="e">
        <f t="shared" si="20"/>
        <v>#VALUE!</v>
      </c>
      <c r="Q123" s="10" t="e">
        <f t="shared" si="27"/>
        <v>#VALUE!</v>
      </c>
      <c r="R123" s="51" t="e">
        <f t="shared" si="28"/>
        <v>#VALUE!</v>
      </c>
      <c r="S123" s="5" t="e">
        <f t="shared" si="29"/>
        <v>#VALUE!</v>
      </c>
      <c r="T123" s="5" t="e">
        <f t="shared" si="29"/>
        <v>#VALUE!</v>
      </c>
      <c r="U123" s="5" t="e">
        <f t="shared" si="29"/>
        <v>#VALUE!</v>
      </c>
      <c r="V123" s="5" t="e">
        <f t="shared" si="29"/>
        <v>#VALUE!</v>
      </c>
    </row>
    <row r="124" spans="1:22">
      <c r="A124" s="33" t="e">
        <f>IF(Tabela17[[#This Row],[Código]]="IBOV","^BVSP",IF(Tabela17[[#This Row],[Código]]="","",CONCATENATE(LEFT(Tabela17[[#This Row],[Código]],6),".SA")))</f>
        <v>#VALUE!</v>
      </c>
      <c r="J124" s="3" t="e">
        <f t="shared" si="20"/>
        <v>#VALUE!</v>
      </c>
      <c r="K124" s="3" t="e">
        <f t="shared" si="20"/>
        <v>#VALUE!</v>
      </c>
      <c r="L124" s="3" t="e">
        <f t="shared" si="20"/>
        <v>#VALUE!</v>
      </c>
      <c r="M124" s="3" t="e">
        <f t="shared" si="20"/>
        <v>#VALUE!</v>
      </c>
      <c r="Q124" s="10" t="e">
        <f t="shared" si="27"/>
        <v>#VALUE!</v>
      </c>
      <c r="R124" s="51" t="e">
        <f t="shared" si="28"/>
        <v>#VALUE!</v>
      </c>
      <c r="S124" s="5" t="e">
        <f t="shared" si="29"/>
        <v>#VALUE!</v>
      </c>
      <c r="T124" s="5" t="e">
        <f t="shared" si="29"/>
        <v>#VALUE!</v>
      </c>
      <c r="U124" s="5" t="e">
        <f t="shared" si="29"/>
        <v>#VALUE!</v>
      </c>
      <c r="V124" s="5" t="e">
        <f t="shared" si="29"/>
        <v>#VALUE!</v>
      </c>
    </row>
    <row r="125" spans="1:22">
      <c r="A125" s="33" t="e">
        <f>IF(Tabela17[[#This Row],[Código]]="IBOV","^BVSP",IF(Tabela17[[#This Row],[Código]]="","",CONCATENATE(LEFT(Tabela17[[#This Row],[Código]],6),".SA")))</f>
        <v>#VALUE!</v>
      </c>
      <c r="J125" s="3" t="e">
        <f t="shared" si="20"/>
        <v>#VALUE!</v>
      </c>
      <c r="K125" s="3" t="e">
        <f t="shared" si="20"/>
        <v>#VALUE!</v>
      </c>
      <c r="L125" s="3" t="e">
        <f t="shared" si="20"/>
        <v>#VALUE!</v>
      </c>
      <c r="M125" s="3" t="e">
        <f t="shared" si="20"/>
        <v>#VALUE!</v>
      </c>
      <c r="Q125" s="10" t="e">
        <f t="shared" si="27"/>
        <v>#VALUE!</v>
      </c>
      <c r="R125" s="51" t="e">
        <f t="shared" si="28"/>
        <v>#VALUE!</v>
      </c>
      <c r="S125" s="5" t="e">
        <f t="shared" si="29"/>
        <v>#VALUE!</v>
      </c>
      <c r="T125" s="5" t="e">
        <f t="shared" si="29"/>
        <v>#VALUE!</v>
      </c>
      <c r="U125" s="5" t="e">
        <f t="shared" si="29"/>
        <v>#VALUE!</v>
      </c>
      <c r="V125" s="5" t="e">
        <f t="shared" si="29"/>
        <v>#VALUE!</v>
      </c>
    </row>
    <row r="126" spans="1:22">
      <c r="A126" s="33" t="e">
        <f>IF(Tabela17[[#This Row],[Código]]="IBOV","^BVSP",IF(Tabela17[[#This Row],[Código]]="","",CONCATENATE(LEFT(Tabela17[[#This Row],[Código]],6),".SA")))</f>
        <v>#VALUE!</v>
      </c>
      <c r="J126" s="3" t="e">
        <f t="shared" si="20"/>
        <v>#VALUE!</v>
      </c>
      <c r="K126" s="3" t="e">
        <f t="shared" si="20"/>
        <v>#VALUE!</v>
      </c>
      <c r="L126" s="3" t="e">
        <f t="shared" si="20"/>
        <v>#VALUE!</v>
      </c>
      <c r="M126" s="3" t="e">
        <f t="shared" si="20"/>
        <v>#VALUE!</v>
      </c>
      <c r="Q126" s="10" t="e">
        <f t="shared" si="27"/>
        <v>#VALUE!</v>
      </c>
      <c r="R126" s="51" t="e">
        <f t="shared" si="28"/>
        <v>#VALUE!</v>
      </c>
      <c r="S126" s="5" t="e">
        <f t="shared" si="29"/>
        <v>#VALUE!</v>
      </c>
      <c r="T126" s="5" t="e">
        <f t="shared" si="29"/>
        <v>#VALUE!</v>
      </c>
      <c r="U126" s="5" t="e">
        <f t="shared" si="29"/>
        <v>#VALUE!</v>
      </c>
      <c r="V126" s="5" t="e">
        <f t="shared" si="29"/>
        <v>#VALUE!</v>
      </c>
    </row>
    <row r="127" spans="1:22">
      <c r="A127" s="33" t="e">
        <f>IF(Tabela17[[#This Row],[Código]]="IBOV","^BVSP",IF(Tabela17[[#This Row],[Código]]="","",CONCATENATE(LEFT(Tabela17[[#This Row],[Código]],6),".SA")))</f>
        <v>#VALUE!</v>
      </c>
      <c r="J127" s="3" t="e">
        <f t="shared" si="20"/>
        <v>#VALUE!</v>
      </c>
      <c r="K127" s="3" t="e">
        <f t="shared" si="20"/>
        <v>#VALUE!</v>
      </c>
      <c r="L127" s="3" t="e">
        <f t="shared" si="20"/>
        <v>#VALUE!</v>
      </c>
      <c r="M127" s="3" t="e">
        <f t="shared" si="20"/>
        <v>#VALUE!</v>
      </c>
      <c r="Q127" s="10" t="e">
        <f t="shared" si="27"/>
        <v>#VALUE!</v>
      </c>
      <c r="R127" s="51" t="e">
        <f t="shared" si="28"/>
        <v>#VALUE!</v>
      </c>
      <c r="S127" s="5" t="e">
        <f t="shared" si="29"/>
        <v>#VALUE!</v>
      </c>
      <c r="T127" s="5" t="e">
        <f t="shared" si="29"/>
        <v>#VALUE!</v>
      </c>
      <c r="U127" s="5" t="e">
        <f t="shared" si="29"/>
        <v>#VALUE!</v>
      </c>
      <c r="V127" s="5" t="e">
        <f t="shared" si="29"/>
        <v>#VALUE!</v>
      </c>
    </row>
    <row r="128" spans="1:22">
      <c r="A128" s="33" t="e">
        <f>IF(Tabela17[[#This Row],[Código]]="IBOV","^BVSP",IF(Tabela17[[#This Row],[Código]]="","",CONCATENATE(LEFT(Tabela17[[#This Row],[Código]],6),".SA")))</f>
        <v>#VALUE!</v>
      </c>
      <c r="J128" s="3" t="e">
        <f t="shared" si="20"/>
        <v>#VALUE!</v>
      </c>
      <c r="K128" s="3" t="e">
        <f t="shared" si="20"/>
        <v>#VALUE!</v>
      </c>
      <c r="L128" s="3" t="e">
        <f t="shared" si="20"/>
        <v>#VALUE!</v>
      </c>
      <c r="M128" s="3" t="e">
        <f t="shared" si="20"/>
        <v>#VALUE!</v>
      </c>
      <c r="Q128" s="10" t="e">
        <f t="shared" si="27"/>
        <v>#VALUE!</v>
      </c>
      <c r="R128" s="51" t="e">
        <f t="shared" si="28"/>
        <v>#VALUE!</v>
      </c>
      <c r="S128" s="5" t="e">
        <f t="shared" si="29"/>
        <v>#VALUE!</v>
      </c>
      <c r="T128" s="5" t="e">
        <f t="shared" si="29"/>
        <v>#VALUE!</v>
      </c>
      <c r="U128" s="5" t="e">
        <f t="shared" si="29"/>
        <v>#VALUE!</v>
      </c>
      <c r="V128" s="5" t="e">
        <f t="shared" si="29"/>
        <v>#VALUE!</v>
      </c>
    </row>
    <row r="129" spans="1:22">
      <c r="A129" s="33" t="e">
        <f>IF(Tabela17[[#This Row],[Código]]="IBOV","^BVSP",IF(Tabela17[[#This Row],[Código]]="","",CONCATENATE(LEFT(Tabela17[[#This Row],[Código]],6),".SA")))</f>
        <v>#VALUE!</v>
      </c>
      <c r="J129" s="3" t="e">
        <f t="shared" si="20"/>
        <v>#VALUE!</v>
      </c>
      <c r="K129" s="3" t="e">
        <f t="shared" si="20"/>
        <v>#VALUE!</v>
      </c>
      <c r="L129" s="3" t="e">
        <f t="shared" si="20"/>
        <v>#VALUE!</v>
      </c>
      <c r="M129" s="3" t="e">
        <f t="shared" si="20"/>
        <v>#VALUE!</v>
      </c>
      <c r="P129" s="4"/>
      <c r="Q129" s="10" t="e">
        <f t="shared" si="27"/>
        <v>#VALUE!</v>
      </c>
      <c r="R129" s="51" t="e">
        <f t="shared" si="28"/>
        <v>#VALUE!</v>
      </c>
      <c r="S129" s="5" t="e">
        <f t="shared" si="29"/>
        <v>#VALUE!</v>
      </c>
      <c r="T129" s="5" t="e">
        <f t="shared" si="29"/>
        <v>#VALUE!</v>
      </c>
      <c r="U129" s="5" t="e">
        <f t="shared" si="29"/>
        <v>#VALUE!</v>
      </c>
      <c r="V129" s="5" t="e">
        <f t="shared" si="29"/>
        <v>#VALUE!</v>
      </c>
    </row>
    <row r="130" spans="1:22">
      <c r="A130" s="33" t="e">
        <f>IF(Tabela17[[#This Row],[Código]]="IBOV","^BVSP",IF(Tabela17[[#This Row],[Código]]="","",CONCATENATE(LEFT(Tabela17[[#This Row],[Código]],6),".SA")))</f>
        <v>#VALUE!</v>
      </c>
      <c r="J130" s="3" t="e">
        <f t="shared" si="20"/>
        <v>#VALUE!</v>
      </c>
      <c r="K130" s="3" t="e">
        <f t="shared" si="20"/>
        <v>#VALUE!</v>
      </c>
      <c r="L130" s="3" t="e">
        <f t="shared" si="20"/>
        <v>#VALUE!</v>
      </c>
      <c r="M130" s="3" t="e">
        <f t="shared" si="20"/>
        <v>#VALUE!</v>
      </c>
      <c r="P130" s="10"/>
      <c r="Q130" s="10" t="str">
        <f t="shared" si="27"/>
        <v/>
      </c>
      <c r="R130" s="51" t="str">
        <f t="shared" si="28"/>
        <v/>
      </c>
      <c r="S130" s="5">
        <f t="shared" si="29"/>
        <v>0</v>
      </c>
      <c r="T130" s="5">
        <f t="shared" si="29"/>
        <v>0</v>
      </c>
      <c r="U130" s="5">
        <f t="shared" si="29"/>
        <v>0</v>
      </c>
      <c r="V130" s="5">
        <f t="shared" si="29"/>
        <v>0</v>
      </c>
    </row>
    <row r="131" spans="1:22">
      <c r="A131" s="33" t="e">
        <f>IF(Tabela17[[#This Row],[Código]]="IBOV","^BVSP",IF(Tabela17[[#This Row],[Código]]="","",CONCATENATE(LEFT(Tabela17[[#This Row],[Código]],6),".SA")))</f>
        <v>#VALUE!</v>
      </c>
      <c r="J131" s="3" t="e">
        <f t="shared" si="20"/>
        <v>#VALUE!</v>
      </c>
      <c r="K131" s="3" t="e">
        <f t="shared" si="20"/>
        <v>#VALUE!</v>
      </c>
      <c r="L131" s="3" t="e">
        <f t="shared" si="20"/>
        <v>#VALUE!</v>
      </c>
      <c r="M131" s="3" t="e">
        <f t="shared" si="20"/>
        <v>#VALUE!</v>
      </c>
      <c r="Q131" s="10" t="str">
        <f t="shared" si="27"/>
        <v/>
      </c>
      <c r="R131" s="51" t="str">
        <f t="shared" si="28"/>
        <v/>
      </c>
      <c r="S131" s="5">
        <f t="shared" si="29"/>
        <v>0</v>
      </c>
      <c r="T131" s="5">
        <f t="shared" si="29"/>
        <v>0</v>
      </c>
      <c r="U131" s="5">
        <f t="shared" si="29"/>
        <v>0</v>
      </c>
      <c r="V131" s="5">
        <f t="shared" si="29"/>
        <v>0</v>
      </c>
    </row>
    <row r="132" spans="1:22">
      <c r="A132" s="33" t="e">
        <f>IF(Tabela17[[#This Row],[Código]]="IBOV","^BVSP",IF(Tabela17[[#This Row],[Código]]="","",CONCATENATE(LEFT(Tabela17[[#This Row],[Código]],6),".SA")))</f>
        <v>#VALUE!</v>
      </c>
      <c r="J132" s="3" t="e">
        <f t="shared" si="20"/>
        <v>#VALUE!</v>
      </c>
      <c r="K132" s="3" t="e">
        <f t="shared" si="20"/>
        <v>#VALUE!</v>
      </c>
      <c r="L132" s="3" t="e">
        <f t="shared" si="20"/>
        <v>#VALUE!</v>
      </c>
      <c r="M132" s="3" t="e">
        <f t="shared" si="20"/>
        <v>#VALUE!</v>
      </c>
      <c r="P132" s="3" t="str">
        <f>IF([1]Patrimonio!C143="","",[1]Patrimonio!C143)</f>
        <v/>
      </c>
      <c r="Q132" s="3" t="str">
        <f t="shared" ref="Q132:Q158" si="30">IF(A148="","",C149)</f>
        <v/>
      </c>
      <c r="R132" s="51" t="str">
        <f t="shared" ref="R132:R158" si="31">IF(A148="","",H148)</f>
        <v/>
      </c>
      <c r="S132" s="5">
        <f t="shared" ref="S132:V147" si="32">J148</f>
        <v>0</v>
      </c>
      <c r="T132" s="5">
        <f t="shared" si="32"/>
        <v>0</v>
      </c>
      <c r="U132" s="5">
        <f t="shared" si="32"/>
        <v>0</v>
      </c>
      <c r="V132" s="5">
        <f t="shared" si="32"/>
        <v>0</v>
      </c>
    </row>
    <row r="133" spans="1:22">
      <c r="A133" s="33" t="e">
        <f>IF(Tabela17[[#This Row],[Código]]="IBOV","^BVSP",IF(Tabela17[[#This Row],[Código]]="","",CONCATENATE(LEFT(Tabela17[[#This Row],[Código]],6),".SA")))</f>
        <v>#VALUE!</v>
      </c>
      <c r="J133" s="3" t="e">
        <f t="shared" si="20"/>
        <v>#VALUE!</v>
      </c>
      <c r="K133" s="3" t="e">
        <f t="shared" si="20"/>
        <v>#VALUE!</v>
      </c>
      <c r="L133" s="3" t="e">
        <f t="shared" si="20"/>
        <v>#VALUE!</v>
      </c>
      <c r="M133" s="3" t="e">
        <f t="shared" si="20"/>
        <v>#VALUE!</v>
      </c>
      <c r="P133" s="3" t="str">
        <f>IF([1]Patrimonio!C144="","",[1]Patrimonio!C144)</f>
        <v/>
      </c>
      <c r="Q133" s="3" t="str">
        <f t="shared" si="30"/>
        <v/>
      </c>
      <c r="R133" s="51" t="str">
        <f t="shared" si="31"/>
        <v/>
      </c>
      <c r="S133" s="5">
        <f t="shared" si="32"/>
        <v>0</v>
      </c>
      <c r="T133" s="5">
        <f t="shared" si="32"/>
        <v>0</v>
      </c>
      <c r="U133" s="5">
        <f t="shared" si="32"/>
        <v>0</v>
      </c>
      <c r="V133" s="5">
        <f t="shared" si="32"/>
        <v>0</v>
      </c>
    </row>
    <row r="134" spans="1:22">
      <c r="A134" s="33"/>
      <c r="J134" s="3">
        <f t="shared" si="20"/>
        <v>0</v>
      </c>
      <c r="K134" s="3">
        <f t="shared" si="20"/>
        <v>0</v>
      </c>
      <c r="L134" s="3">
        <f t="shared" si="20"/>
        <v>0</v>
      </c>
      <c r="M134" s="3">
        <f t="shared" si="20"/>
        <v>0</v>
      </c>
      <c r="P134" s="3" t="str">
        <f>IF([1]Patrimonio!C145="","",[1]Patrimonio!C145)</f>
        <v/>
      </c>
      <c r="Q134" s="3" t="str">
        <f t="shared" si="30"/>
        <v/>
      </c>
      <c r="R134" s="51" t="str">
        <f t="shared" si="31"/>
        <v/>
      </c>
      <c r="S134" s="5">
        <f t="shared" si="32"/>
        <v>0</v>
      </c>
      <c r="T134" s="5">
        <f t="shared" si="32"/>
        <v>0</v>
      </c>
      <c r="U134" s="5">
        <f t="shared" si="32"/>
        <v>0</v>
      </c>
      <c r="V134" s="5">
        <f t="shared" si="32"/>
        <v>0</v>
      </c>
    </row>
    <row r="135" spans="1:22">
      <c r="A135" s="33"/>
      <c r="J135" s="3">
        <f t="shared" si="20"/>
        <v>0</v>
      </c>
      <c r="K135" s="3">
        <f t="shared" si="20"/>
        <v>0</v>
      </c>
      <c r="L135" s="3">
        <f t="shared" si="20"/>
        <v>0</v>
      </c>
      <c r="M135" s="3">
        <f t="shared" si="20"/>
        <v>0</v>
      </c>
      <c r="P135" s="3" t="str">
        <f>IF([1]Patrimonio!C146="","",[1]Patrimonio!C146)</f>
        <v/>
      </c>
      <c r="Q135" s="3" t="str">
        <f t="shared" si="30"/>
        <v/>
      </c>
      <c r="R135" s="51" t="str">
        <f t="shared" si="31"/>
        <v/>
      </c>
      <c r="S135" s="5">
        <f t="shared" si="32"/>
        <v>0</v>
      </c>
      <c r="T135" s="5">
        <f t="shared" si="32"/>
        <v>0</v>
      </c>
      <c r="U135" s="5">
        <f t="shared" si="32"/>
        <v>0</v>
      </c>
      <c r="V135" s="5">
        <f t="shared" si="32"/>
        <v>0</v>
      </c>
    </row>
    <row r="136" spans="1:22">
      <c r="A136" s="33"/>
      <c r="J136" s="3">
        <f t="shared" ref="J136:M172" si="33">IF($A136="",0,VALUE(CONCATENATE(LEFT(D136,LEN(D136)-3),",",RIGHT(D136,2))))</f>
        <v>0</v>
      </c>
      <c r="K136" s="3">
        <f t="shared" si="33"/>
        <v>0</v>
      </c>
      <c r="L136" s="3">
        <f t="shared" si="33"/>
        <v>0</v>
      </c>
      <c r="M136" s="3">
        <f t="shared" si="33"/>
        <v>0</v>
      </c>
      <c r="P136" s="3" t="str">
        <f>IF([1]Patrimonio!C147="","",[1]Patrimonio!C147)</f>
        <v/>
      </c>
      <c r="Q136" s="3" t="str">
        <f t="shared" si="30"/>
        <v/>
      </c>
      <c r="R136" s="51" t="str">
        <f t="shared" si="31"/>
        <v/>
      </c>
      <c r="S136" s="5">
        <f t="shared" si="32"/>
        <v>0</v>
      </c>
      <c r="T136" s="5">
        <f t="shared" si="32"/>
        <v>0</v>
      </c>
      <c r="U136" s="5">
        <f t="shared" si="32"/>
        <v>0</v>
      </c>
      <c r="V136" s="5">
        <f t="shared" si="32"/>
        <v>0</v>
      </c>
    </row>
    <row r="137" spans="1:22">
      <c r="A137" s="33"/>
      <c r="J137" s="3">
        <f t="shared" si="33"/>
        <v>0</v>
      </c>
      <c r="K137" s="3">
        <f t="shared" si="33"/>
        <v>0</v>
      </c>
      <c r="L137" s="3">
        <f t="shared" si="33"/>
        <v>0</v>
      </c>
      <c r="M137" s="3">
        <f t="shared" si="33"/>
        <v>0</v>
      </c>
      <c r="P137" s="3" t="str">
        <f>IF([1]Patrimonio!C148="","",[1]Patrimonio!C148)</f>
        <v/>
      </c>
      <c r="Q137" s="3" t="str">
        <f t="shared" si="30"/>
        <v/>
      </c>
      <c r="R137" s="51" t="str">
        <f t="shared" si="31"/>
        <v/>
      </c>
      <c r="S137" s="5">
        <f t="shared" si="32"/>
        <v>0</v>
      </c>
      <c r="T137" s="5">
        <f t="shared" si="32"/>
        <v>0</v>
      </c>
      <c r="U137" s="5">
        <f t="shared" si="32"/>
        <v>0</v>
      </c>
      <c r="V137" s="5">
        <f t="shared" si="32"/>
        <v>0</v>
      </c>
    </row>
    <row r="138" spans="1:22">
      <c r="A138" s="33"/>
      <c r="J138" s="3">
        <f t="shared" si="33"/>
        <v>0</v>
      </c>
      <c r="K138" s="3">
        <f t="shared" si="33"/>
        <v>0</v>
      </c>
      <c r="L138" s="3">
        <f t="shared" si="33"/>
        <v>0</v>
      </c>
      <c r="M138" s="3">
        <f t="shared" si="33"/>
        <v>0</v>
      </c>
      <c r="P138" s="3" t="str">
        <f>IF([1]Patrimonio!C149="","",[1]Patrimonio!C149)</f>
        <v/>
      </c>
      <c r="Q138" s="3" t="str">
        <f t="shared" si="30"/>
        <v/>
      </c>
      <c r="R138" s="51" t="str">
        <f t="shared" si="31"/>
        <v/>
      </c>
      <c r="S138" s="5">
        <f t="shared" si="32"/>
        <v>0</v>
      </c>
      <c r="T138" s="5">
        <f t="shared" si="32"/>
        <v>0</v>
      </c>
      <c r="U138" s="5">
        <f t="shared" si="32"/>
        <v>0</v>
      </c>
      <c r="V138" s="5">
        <f t="shared" si="32"/>
        <v>0</v>
      </c>
    </row>
    <row r="139" spans="1:22">
      <c r="A139" s="33"/>
      <c r="J139" s="3">
        <f t="shared" si="33"/>
        <v>0</v>
      </c>
      <c r="K139" s="3">
        <f t="shared" si="33"/>
        <v>0</v>
      </c>
      <c r="L139" s="3">
        <f t="shared" si="33"/>
        <v>0</v>
      </c>
      <c r="M139" s="3">
        <f t="shared" si="33"/>
        <v>0</v>
      </c>
      <c r="P139" s="3" t="str">
        <f>IF([1]Patrimonio!C150="","",[1]Patrimonio!C150)</f>
        <v/>
      </c>
      <c r="Q139" s="3" t="str">
        <f t="shared" si="30"/>
        <v/>
      </c>
      <c r="R139" s="51" t="str">
        <f t="shared" si="31"/>
        <v/>
      </c>
      <c r="S139" s="5">
        <f t="shared" si="32"/>
        <v>0</v>
      </c>
      <c r="T139" s="5">
        <f t="shared" si="32"/>
        <v>0</v>
      </c>
      <c r="U139" s="5">
        <f t="shared" si="32"/>
        <v>0</v>
      </c>
      <c r="V139" s="5">
        <f t="shared" si="32"/>
        <v>0</v>
      </c>
    </row>
    <row r="140" spans="1:22">
      <c r="A140" s="33"/>
      <c r="J140" s="3">
        <f t="shared" si="33"/>
        <v>0</v>
      </c>
      <c r="K140" s="3">
        <f t="shared" si="33"/>
        <v>0</v>
      </c>
      <c r="L140" s="3">
        <f t="shared" si="33"/>
        <v>0</v>
      </c>
      <c r="M140" s="3">
        <f t="shared" si="33"/>
        <v>0</v>
      </c>
      <c r="P140" s="3" t="str">
        <f>IF([1]Patrimonio!C151="","",[1]Patrimonio!C151)</f>
        <v/>
      </c>
      <c r="Q140" s="3" t="str">
        <f t="shared" si="30"/>
        <v/>
      </c>
      <c r="R140" s="51" t="str">
        <f t="shared" si="31"/>
        <v/>
      </c>
      <c r="S140" s="5">
        <f t="shared" si="32"/>
        <v>0</v>
      </c>
      <c r="T140" s="5">
        <f t="shared" si="32"/>
        <v>0</v>
      </c>
      <c r="U140" s="5">
        <f t="shared" si="32"/>
        <v>0</v>
      </c>
      <c r="V140" s="5">
        <f t="shared" si="32"/>
        <v>0</v>
      </c>
    </row>
    <row r="141" spans="1:22">
      <c r="A141" s="33"/>
      <c r="J141" s="3">
        <f t="shared" si="33"/>
        <v>0</v>
      </c>
      <c r="K141" s="3">
        <f t="shared" si="33"/>
        <v>0</v>
      </c>
      <c r="L141" s="3">
        <f t="shared" si="33"/>
        <v>0</v>
      </c>
      <c r="M141" s="3">
        <f t="shared" si="33"/>
        <v>0</v>
      </c>
      <c r="P141" s="3" t="str">
        <f>IF([1]Patrimonio!C152="","",[1]Patrimonio!C152)</f>
        <v/>
      </c>
      <c r="Q141" s="3" t="str">
        <f t="shared" si="30"/>
        <v/>
      </c>
      <c r="R141" s="51" t="str">
        <f t="shared" si="31"/>
        <v/>
      </c>
      <c r="S141" s="5">
        <f t="shared" si="32"/>
        <v>0</v>
      </c>
      <c r="T141" s="5">
        <f t="shared" si="32"/>
        <v>0</v>
      </c>
      <c r="U141" s="5">
        <f t="shared" si="32"/>
        <v>0</v>
      </c>
      <c r="V141" s="5">
        <f t="shared" si="32"/>
        <v>0</v>
      </c>
    </row>
    <row r="142" spans="1:22">
      <c r="A142" s="33"/>
      <c r="J142" s="3">
        <f t="shared" si="33"/>
        <v>0</v>
      </c>
      <c r="K142" s="3">
        <f t="shared" si="33"/>
        <v>0</v>
      </c>
      <c r="L142" s="3">
        <f t="shared" si="33"/>
        <v>0</v>
      </c>
      <c r="M142" s="3">
        <f t="shared" si="33"/>
        <v>0</v>
      </c>
      <c r="P142" s="3" t="str">
        <f>IF([1]Patrimonio!C153="","",[1]Patrimonio!C153)</f>
        <v/>
      </c>
      <c r="Q142" s="3" t="str">
        <f t="shared" si="30"/>
        <v/>
      </c>
      <c r="R142" s="51" t="str">
        <f t="shared" si="31"/>
        <v/>
      </c>
      <c r="S142" s="5">
        <f t="shared" si="32"/>
        <v>0</v>
      </c>
      <c r="T142" s="5">
        <f t="shared" si="32"/>
        <v>0</v>
      </c>
      <c r="U142" s="5">
        <f t="shared" si="32"/>
        <v>0</v>
      </c>
      <c r="V142" s="5">
        <f t="shared" si="32"/>
        <v>0</v>
      </c>
    </row>
    <row r="143" spans="1:22">
      <c r="A143" s="33"/>
      <c r="J143" s="3">
        <f t="shared" si="33"/>
        <v>0</v>
      </c>
      <c r="K143" s="3">
        <f t="shared" si="33"/>
        <v>0</v>
      </c>
      <c r="L143" s="3">
        <f t="shared" si="33"/>
        <v>0</v>
      </c>
      <c r="M143" s="3">
        <f t="shared" si="33"/>
        <v>0</v>
      </c>
      <c r="P143" s="3" t="str">
        <f>IF([1]Patrimonio!C154="","",[1]Patrimonio!C154)</f>
        <v/>
      </c>
      <c r="Q143" s="3" t="str">
        <f t="shared" si="30"/>
        <v/>
      </c>
      <c r="R143" s="51" t="str">
        <f t="shared" si="31"/>
        <v/>
      </c>
      <c r="S143" s="5">
        <f t="shared" si="32"/>
        <v>0</v>
      </c>
      <c r="T143" s="5">
        <f t="shared" si="32"/>
        <v>0</v>
      </c>
      <c r="U143" s="5">
        <f t="shared" si="32"/>
        <v>0</v>
      </c>
      <c r="V143" s="5">
        <f t="shared" si="32"/>
        <v>0</v>
      </c>
    </row>
    <row r="144" spans="1:22">
      <c r="A144" s="33"/>
      <c r="J144" s="3">
        <f t="shared" si="33"/>
        <v>0</v>
      </c>
      <c r="K144" s="3">
        <f t="shared" si="33"/>
        <v>0</v>
      </c>
      <c r="L144" s="3">
        <f t="shared" si="33"/>
        <v>0</v>
      </c>
      <c r="M144" s="3">
        <f t="shared" si="33"/>
        <v>0</v>
      </c>
      <c r="P144" s="3" t="str">
        <f>IF([1]Patrimonio!C155="","",[1]Patrimonio!C155)</f>
        <v/>
      </c>
      <c r="Q144" s="3" t="str">
        <f t="shared" si="30"/>
        <v/>
      </c>
      <c r="R144" s="51" t="str">
        <f t="shared" si="31"/>
        <v/>
      </c>
      <c r="S144" s="5">
        <f t="shared" si="32"/>
        <v>0</v>
      </c>
      <c r="T144" s="5">
        <f t="shared" si="32"/>
        <v>0</v>
      </c>
      <c r="U144" s="5">
        <f t="shared" si="32"/>
        <v>0</v>
      </c>
      <c r="V144" s="5">
        <f t="shared" si="32"/>
        <v>0</v>
      </c>
    </row>
    <row r="145" spans="1:22">
      <c r="A145" s="33"/>
      <c r="J145" s="3">
        <f t="shared" si="33"/>
        <v>0</v>
      </c>
      <c r="K145" s="3">
        <f t="shared" si="33"/>
        <v>0</v>
      </c>
      <c r="L145" s="3">
        <f t="shared" si="33"/>
        <v>0</v>
      </c>
      <c r="M145" s="3">
        <f t="shared" si="33"/>
        <v>0</v>
      </c>
      <c r="P145" s="3" t="str">
        <f>IF([1]Patrimonio!C156="","",[1]Patrimonio!C156)</f>
        <v/>
      </c>
      <c r="Q145" s="3" t="str">
        <f t="shared" si="30"/>
        <v/>
      </c>
      <c r="R145" s="51" t="str">
        <f t="shared" si="31"/>
        <v/>
      </c>
      <c r="S145" s="5">
        <f t="shared" si="32"/>
        <v>0</v>
      </c>
      <c r="T145" s="5">
        <f t="shared" si="32"/>
        <v>0</v>
      </c>
      <c r="U145" s="5">
        <f t="shared" si="32"/>
        <v>0</v>
      </c>
      <c r="V145" s="5">
        <f t="shared" si="32"/>
        <v>0</v>
      </c>
    </row>
    <row r="146" spans="1:22">
      <c r="A146" s="33"/>
      <c r="J146" s="3">
        <f t="shared" si="33"/>
        <v>0</v>
      </c>
      <c r="K146" s="3">
        <f t="shared" si="33"/>
        <v>0</v>
      </c>
      <c r="L146" s="3">
        <f t="shared" si="33"/>
        <v>0</v>
      </c>
      <c r="M146" s="3">
        <f t="shared" si="33"/>
        <v>0</v>
      </c>
      <c r="P146" s="3" t="str">
        <f>IF([1]Patrimonio!C157="","",[1]Patrimonio!C157)</f>
        <v/>
      </c>
      <c r="Q146" s="3" t="str">
        <f t="shared" si="30"/>
        <v/>
      </c>
      <c r="R146" s="51" t="str">
        <f t="shared" si="31"/>
        <v/>
      </c>
      <c r="S146" s="5">
        <f t="shared" si="32"/>
        <v>0</v>
      </c>
      <c r="T146" s="5">
        <f t="shared" si="32"/>
        <v>0</v>
      </c>
      <c r="U146" s="5">
        <f t="shared" si="32"/>
        <v>0</v>
      </c>
      <c r="V146" s="5">
        <f t="shared" si="32"/>
        <v>0</v>
      </c>
    </row>
    <row r="147" spans="1:22">
      <c r="A147" s="33"/>
      <c r="J147" s="3">
        <f t="shared" si="33"/>
        <v>0</v>
      </c>
      <c r="K147" s="3">
        <f t="shared" si="33"/>
        <v>0</v>
      </c>
      <c r="L147" s="3">
        <f t="shared" si="33"/>
        <v>0</v>
      </c>
      <c r="M147" s="3">
        <f t="shared" si="33"/>
        <v>0</v>
      </c>
      <c r="P147" s="3" t="str">
        <f>IF([1]Patrimonio!C158="","",[1]Patrimonio!C158)</f>
        <v/>
      </c>
      <c r="Q147" s="3" t="str">
        <f t="shared" si="30"/>
        <v/>
      </c>
      <c r="R147" s="51" t="str">
        <f t="shared" si="31"/>
        <v/>
      </c>
      <c r="S147" s="5">
        <f t="shared" si="32"/>
        <v>0</v>
      </c>
      <c r="T147" s="5">
        <f t="shared" si="32"/>
        <v>0</v>
      </c>
      <c r="U147" s="5">
        <f t="shared" si="32"/>
        <v>0</v>
      </c>
      <c r="V147" s="5">
        <f t="shared" si="32"/>
        <v>0</v>
      </c>
    </row>
    <row r="148" spans="1:22">
      <c r="A148" s="33"/>
      <c r="J148" s="3">
        <f t="shared" si="33"/>
        <v>0</v>
      </c>
      <c r="K148" s="3">
        <f t="shared" si="33"/>
        <v>0</v>
      </c>
      <c r="L148" s="3">
        <f t="shared" si="33"/>
        <v>0</v>
      </c>
      <c r="M148" s="3">
        <f t="shared" si="33"/>
        <v>0</v>
      </c>
      <c r="P148" s="3" t="str">
        <f>IF([1]Patrimonio!C159="","",[1]Patrimonio!C159)</f>
        <v/>
      </c>
      <c r="Q148" s="3" t="str">
        <f t="shared" si="30"/>
        <v/>
      </c>
      <c r="R148" s="51" t="str">
        <f t="shared" si="31"/>
        <v/>
      </c>
      <c r="S148" s="5">
        <f t="shared" ref="S148:V158" si="34">J164</f>
        <v>0</v>
      </c>
      <c r="T148" s="5">
        <f t="shared" si="34"/>
        <v>0</v>
      </c>
      <c r="U148" s="5">
        <f t="shared" si="34"/>
        <v>0</v>
      </c>
      <c r="V148" s="5">
        <f t="shared" si="34"/>
        <v>0</v>
      </c>
    </row>
    <row r="149" spans="1:22">
      <c r="A149" s="33"/>
      <c r="J149" s="3">
        <f t="shared" si="33"/>
        <v>0</v>
      </c>
      <c r="K149" s="3">
        <f t="shared" si="33"/>
        <v>0</v>
      </c>
      <c r="L149" s="3">
        <f t="shared" si="33"/>
        <v>0</v>
      </c>
      <c r="M149" s="3">
        <f t="shared" si="33"/>
        <v>0</v>
      </c>
      <c r="P149" s="3" t="str">
        <f>IF([1]Patrimonio!C160="","",[1]Patrimonio!C160)</f>
        <v/>
      </c>
      <c r="Q149" s="3" t="str">
        <f t="shared" si="30"/>
        <v/>
      </c>
      <c r="R149" s="51" t="str">
        <f t="shared" si="31"/>
        <v/>
      </c>
      <c r="S149" s="5">
        <f t="shared" si="34"/>
        <v>0</v>
      </c>
      <c r="T149" s="5">
        <f t="shared" si="34"/>
        <v>0</v>
      </c>
      <c r="U149" s="5">
        <f t="shared" si="34"/>
        <v>0</v>
      </c>
      <c r="V149" s="5">
        <f t="shared" si="34"/>
        <v>0</v>
      </c>
    </row>
    <row r="150" spans="1:22">
      <c r="A150" s="33"/>
      <c r="J150" s="3">
        <f t="shared" si="33"/>
        <v>0</v>
      </c>
      <c r="K150" s="3">
        <f t="shared" si="33"/>
        <v>0</v>
      </c>
      <c r="L150" s="3">
        <f t="shared" si="33"/>
        <v>0</v>
      </c>
      <c r="M150" s="3">
        <f t="shared" si="33"/>
        <v>0</v>
      </c>
      <c r="P150" s="3" t="str">
        <f>IF([1]Patrimonio!C161="","",[1]Patrimonio!C161)</f>
        <v/>
      </c>
      <c r="Q150" s="3" t="str">
        <f t="shared" si="30"/>
        <v/>
      </c>
      <c r="R150" s="51" t="str">
        <f t="shared" si="31"/>
        <v/>
      </c>
      <c r="S150" s="5">
        <f t="shared" si="34"/>
        <v>0</v>
      </c>
      <c r="T150" s="5">
        <f t="shared" si="34"/>
        <v>0</v>
      </c>
      <c r="U150" s="5">
        <f t="shared" si="34"/>
        <v>0</v>
      </c>
      <c r="V150" s="5">
        <f t="shared" si="34"/>
        <v>0</v>
      </c>
    </row>
    <row r="151" spans="1:22">
      <c r="A151" s="33"/>
      <c r="J151" s="3">
        <f t="shared" si="33"/>
        <v>0</v>
      </c>
      <c r="K151" s="3">
        <f t="shared" si="33"/>
        <v>0</v>
      </c>
      <c r="L151" s="3">
        <f t="shared" si="33"/>
        <v>0</v>
      </c>
      <c r="M151" s="3">
        <f t="shared" si="33"/>
        <v>0</v>
      </c>
      <c r="P151" s="3" t="str">
        <f>IF([1]Patrimonio!C162="","",[1]Patrimonio!C162)</f>
        <v/>
      </c>
      <c r="Q151" s="3" t="str">
        <f t="shared" si="30"/>
        <v/>
      </c>
      <c r="R151" s="51" t="str">
        <f t="shared" si="31"/>
        <v/>
      </c>
      <c r="S151" s="5">
        <f t="shared" si="34"/>
        <v>0</v>
      </c>
      <c r="T151" s="5">
        <f t="shared" si="34"/>
        <v>0</v>
      </c>
      <c r="U151" s="5">
        <f t="shared" si="34"/>
        <v>0</v>
      </c>
      <c r="V151" s="5">
        <f t="shared" si="34"/>
        <v>0</v>
      </c>
    </row>
    <row r="152" spans="1:22">
      <c r="A152" s="33"/>
      <c r="J152" s="3">
        <f t="shared" si="33"/>
        <v>0</v>
      </c>
      <c r="K152" s="3">
        <f t="shared" si="33"/>
        <v>0</v>
      </c>
      <c r="L152" s="3">
        <f t="shared" si="33"/>
        <v>0</v>
      </c>
      <c r="M152" s="3">
        <f t="shared" si="33"/>
        <v>0</v>
      </c>
      <c r="P152" s="3" t="str">
        <f>IF([1]Patrimonio!C163="","",[1]Patrimonio!C163)</f>
        <v/>
      </c>
      <c r="Q152" s="3" t="str">
        <f t="shared" si="30"/>
        <v/>
      </c>
      <c r="R152" s="51" t="str">
        <f t="shared" si="31"/>
        <v/>
      </c>
      <c r="S152" s="5">
        <f t="shared" si="34"/>
        <v>0</v>
      </c>
      <c r="T152" s="5">
        <f t="shared" si="34"/>
        <v>0</v>
      </c>
      <c r="U152" s="5">
        <f t="shared" si="34"/>
        <v>0</v>
      </c>
      <c r="V152" s="5">
        <f t="shared" si="34"/>
        <v>0</v>
      </c>
    </row>
    <row r="153" spans="1:22">
      <c r="A153" s="33"/>
      <c r="J153" s="3">
        <f t="shared" si="33"/>
        <v>0</v>
      </c>
      <c r="K153" s="3">
        <f t="shared" si="33"/>
        <v>0</v>
      </c>
      <c r="L153" s="3">
        <f t="shared" si="33"/>
        <v>0</v>
      </c>
      <c r="M153" s="3">
        <f t="shared" si="33"/>
        <v>0</v>
      </c>
      <c r="P153" s="3" t="str">
        <f>IF([1]Patrimonio!C164="","",[1]Patrimonio!C164)</f>
        <v/>
      </c>
      <c r="Q153" s="3" t="str">
        <f t="shared" si="30"/>
        <v/>
      </c>
      <c r="R153" s="51" t="str">
        <f t="shared" si="31"/>
        <v/>
      </c>
      <c r="S153" s="5">
        <f t="shared" si="34"/>
        <v>0</v>
      </c>
      <c r="T153" s="5">
        <f t="shared" si="34"/>
        <v>0</v>
      </c>
      <c r="U153" s="5">
        <f t="shared" si="34"/>
        <v>0</v>
      </c>
      <c r="V153" s="5">
        <f t="shared" si="34"/>
        <v>0</v>
      </c>
    </row>
    <row r="154" spans="1:22">
      <c r="A154" s="33"/>
      <c r="J154" s="3">
        <f t="shared" si="33"/>
        <v>0</v>
      </c>
      <c r="K154" s="3">
        <f t="shared" si="33"/>
        <v>0</v>
      </c>
      <c r="L154" s="3">
        <f t="shared" si="33"/>
        <v>0</v>
      </c>
      <c r="M154" s="3">
        <f t="shared" si="33"/>
        <v>0</v>
      </c>
      <c r="P154" s="3" t="str">
        <f>IF([1]Patrimonio!C165="","",[1]Patrimonio!C165)</f>
        <v/>
      </c>
      <c r="Q154" s="3" t="str">
        <f t="shared" si="30"/>
        <v/>
      </c>
      <c r="R154" s="51" t="str">
        <f t="shared" si="31"/>
        <v/>
      </c>
      <c r="S154" s="5">
        <f t="shared" si="34"/>
        <v>0</v>
      </c>
      <c r="T154" s="5">
        <f t="shared" si="34"/>
        <v>0</v>
      </c>
      <c r="U154" s="5">
        <f t="shared" si="34"/>
        <v>0</v>
      </c>
      <c r="V154" s="5">
        <f t="shared" si="34"/>
        <v>0</v>
      </c>
    </row>
    <row r="155" spans="1:22">
      <c r="A155" s="33"/>
      <c r="J155" s="3">
        <f t="shared" si="33"/>
        <v>0</v>
      </c>
      <c r="K155" s="3">
        <f t="shared" si="33"/>
        <v>0</v>
      </c>
      <c r="L155" s="3">
        <f t="shared" si="33"/>
        <v>0</v>
      </c>
      <c r="M155" s="3">
        <f t="shared" si="33"/>
        <v>0</v>
      </c>
      <c r="P155" s="3" t="str">
        <f>IF([1]Patrimonio!C166="","",[1]Patrimonio!C166)</f>
        <v/>
      </c>
      <c r="Q155" s="3" t="str">
        <f t="shared" si="30"/>
        <v/>
      </c>
      <c r="R155" s="51" t="str">
        <f t="shared" si="31"/>
        <v/>
      </c>
      <c r="S155" s="5">
        <f t="shared" si="34"/>
        <v>0</v>
      </c>
      <c r="T155" s="5">
        <f t="shared" si="34"/>
        <v>0</v>
      </c>
      <c r="U155" s="5">
        <f t="shared" si="34"/>
        <v>0</v>
      </c>
      <c r="V155" s="5">
        <f t="shared" si="34"/>
        <v>0</v>
      </c>
    </row>
    <row r="156" spans="1:22">
      <c r="A156" s="33"/>
      <c r="J156" s="3">
        <f t="shared" si="33"/>
        <v>0</v>
      </c>
      <c r="K156" s="3">
        <f t="shared" si="33"/>
        <v>0</v>
      </c>
      <c r="L156" s="3">
        <f t="shared" si="33"/>
        <v>0</v>
      </c>
      <c r="M156" s="3">
        <f t="shared" si="33"/>
        <v>0</v>
      </c>
      <c r="P156" s="3" t="str">
        <f>IF([1]Patrimonio!C167="","",[1]Patrimonio!C167)</f>
        <v/>
      </c>
      <c r="Q156" s="3" t="str">
        <f t="shared" si="30"/>
        <v/>
      </c>
      <c r="R156" s="51" t="str">
        <f t="shared" si="31"/>
        <v/>
      </c>
      <c r="S156" s="5">
        <f t="shared" si="34"/>
        <v>0</v>
      </c>
      <c r="T156" s="5">
        <f t="shared" si="34"/>
        <v>0</v>
      </c>
      <c r="U156" s="5">
        <f t="shared" si="34"/>
        <v>0</v>
      </c>
      <c r="V156" s="5">
        <f t="shared" si="34"/>
        <v>0</v>
      </c>
    </row>
    <row r="157" spans="1:22">
      <c r="A157" s="33"/>
      <c r="J157" s="3">
        <f t="shared" si="33"/>
        <v>0</v>
      </c>
      <c r="K157" s="3">
        <f t="shared" si="33"/>
        <v>0</v>
      </c>
      <c r="L157" s="3">
        <f t="shared" si="33"/>
        <v>0</v>
      </c>
      <c r="M157" s="3">
        <f t="shared" si="33"/>
        <v>0</v>
      </c>
      <c r="P157" s="3" t="str">
        <f>IF([1]Patrimonio!C168="","",[1]Patrimonio!C168)</f>
        <v/>
      </c>
      <c r="Q157" s="3" t="str">
        <f t="shared" si="30"/>
        <v/>
      </c>
      <c r="R157" s="51" t="str">
        <f t="shared" si="31"/>
        <v/>
      </c>
      <c r="S157" s="5">
        <f t="shared" si="34"/>
        <v>0</v>
      </c>
      <c r="T157" s="5">
        <f t="shared" si="34"/>
        <v>0</v>
      </c>
      <c r="U157" s="5">
        <f t="shared" si="34"/>
        <v>0</v>
      </c>
      <c r="V157" s="5">
        <f t="shared" si="34"/>
        <v>0</v>
      </c>
    </row>
    <row r="158" spans="1:22">
      <c r="A158" s="33"/>
      <c r="J158" s="3">
        <f t="shared" si="33"/>
        <v>0</v>
      </c>
      <c r="K158" s="3">
        <f t="shared" si="33"/>
        <v>0</v>
      </c>
      <c r="L158" s="3">
        <f t="shared" si="33"/>
        <v>0</v>
      </c>
      <c r="M158" s="3">
        <f t="shared" si="33"/>
        <v>0</v>
      </c>
      <c r="P158" s="3" t="str">
        <f>IF([1]Patrimonio!C169="","",[1]Patrimonio!C169)</f>
        <v/>
      </c>
      <c r="Q158" s="3" t="str">
        <f t="shared" si="30"/>
        <v/>
      </c>
      <c r="R158" s="51" t="str">
        <f t="shared" si="31"/>
        <v/>
      </c>
      <c r="S158" s="5">
        <f t="shared" si="34"/>
        <v>0</v>
      </c>
      <c r="T158" s="5">
        <f t="shared" si="34"/>
        <v>0</v>
      </c>
      <c r="U158" s="5">
        <f t="shared" si="34"/>
        <v>0</v>
      </c>
      <c r="V158" s="5">
        <f t="shared" si="34"/>
        <v>0</v>
      </c>
    </row>
    <row r="159" spans="1:22">
      <c r="A159" s="33"/>
      <c r="J159" s="3">
        <f t="shared" si="33"/>
        <v>0</v>
      </c>
      <c r="K159" s="3">
        <f t="shared" si="33"/>
        <v>0</v>
      </c>
      <c r="L159" s="3">
        <f t="shared" si="33"/>
        <v>0</v>
      </c>
      <c r="M159" s="3">
        <f t="shared" si="33"/>
        <v>0</v>
      </c>
    </row>
    <row r="160" spans="1:22">
      <c r="A160" s="33"/>
      <c r="J160" s="3">
        <f t="shared" si="33"/>
        <v>0</v>
      </c>
      <c r="K160" s="3">
        <f t="shared" si="33"/>
        <v>0</v>
      </c>
      <c r="L160" s="3">
        <f t="shared" si="33"/>
        <v>0</v>
      </c>
      <c r="M160" s="3">
        <f t="shared" si="33"/>
        <v>0</v>
      </c>
    </row>
    <row r="161" spans="1:13">
      <c r="A161" s="33"/>
      <c r="J161" s="3">
        <f t="shared" si="33"/>
        <v>0</v>
      </c>
      <c r="K161" s="3">
        <f t="shared" si="33"/>
        <v>0</v>
      </c>
      <c r="L161" s="3">
        <f t="shared" si="33"/>
        <v>0</v>
      </c>
      <c r="M161" s="3">
        <f t="shared" si="33"/>
        <v>0</v>
      </c>
    </row>
    <row r="162" spans="1:13">
      <c r="A162" s="33"/>
      <c r="J162" s="3">
        <f t="shared" si="33"/>
        <v>0</v>
      </c>
      <c r="K162" s="3">
        <f t="shared" si="33"/>
        <v>0</v>
      </c>
      <c r="L162" s="3">
        <f t="shared" si="33"/>
        <v>0</v>
      </c>
      <c r="M162" s="3">
        <f t="shared" si="33"/>
        <v>0</v>
      </c>
    </row>
    <row r="163" spans="1:13">
      <c r="A163" s="33"/>
      <c r="J163" s="3">
        <f t="shared" si="33"/>
        <v>0</v>
      </c>
      <c r="K163" s="3">
        <f t="shared" si="33"/>
        <v>0</v>
      </c>
      <c r="L163" s="3">
        <f t="shared" si="33"/>
        <v>0</v>
      </c>
      <c r="M163" s="3">
        <f t="shared" si="33"/>
        <v>0</v>
      </c>
    </row>
    <row r="164" spans="1:13">
      <c r="A164" s="33"/>
      <c r="J164" s="3">
        <f t="shared" si="33"/>
        <v>0</v>
      </c>
      <c r="K164" s="3">
        <f t="shared" si="33"/>
        <v>0</v>
      </c>
      <c r="L164" s="3">
        <f t="shared" si="33"/>
        <v>0</v>
      </c>
      <c r="M164" s="3">
        <f t="shared" si="33"/>
        <v>0</v>
      </c>
    </row>
    <row r="165" spans="1:13">
      <c r="A165" s="33"/>
      <c r="J165" s="3">
        <f t="shared" si="33"/>
        <v>0</v>
      </c>
      <c r="K165" s="3">
        <f t="shared" si="33"/>
        <v>0</v>
      </c>
      <c r="L165" s="3">
        <f t="shared" si="33"/>
        <v>0</v>
      </c>
      <c r="M165" s="3">
        <f t="shared" si="33"/>
        <v>0</v>
      </c>
    </row>
    <row r="166" spans="1:13">
      <c r="A166" s="33"/>
      <c r="J166" s="3">
        <f t="shared" si="33"/>
        <v>0</v>
      </c>
      <c r="K166" s="3">
        <f t="shared" si="33"/>
        <v>0</v>
      </c>
      <c r="L166" s="3">
        <f t="shared" si="33"/>
        <v>0</v>
      </c>
      <c r="M166" s="3">
        <f t="shared" si="33"/>
        <v>0</v>
      </c>
    </row>
    <row r="167" spans="1:13">
      <c r="A167" s="33"/>
      <c r="J167" s="3">
        <f t="shared" si="33"/>
        <v>0</v>
      </c>
      <c r="K167" s="3">
        <f t="shared" si="33"/>
        <v>0</v>
      </c>
      <c r="L167" s="3">
        <f t="shared" si="33"/>
        <v>0</v>
      </c>
      <c r="M167" s="3">
        <f t="shared" si="33"/>
        <v>0</v>
      </c>
    </row>
    <row r="168" spans="1:13">
      <c r="A168" s="33"/>
      <c r="J168" s="3">
        <f t="shared" si="33"/>
        <v>0</v>
      </c>
      <c r="K168" s="3">
        <f t="shared" si="33"/>
        <v>0</v>
      </c>
      <c r="L168" s="3">
        <f t="shared" si="33"/>
        <v>0</v>
      </c>
      <c r="M168" s="3">
        <f t="shared" si="33"/>
        <v>0</v>
      </c>
    </row>
    <row r="169" spans="1:13">
      <c r="A169" s="33"/>
      <c r="J169" s="3">
        <f t="shared" si="33"/>
        <v>0</v>
      </c>
      <c r="K169" s="3">
        <f t="shared" si="33"/>
        <v>0</v>
      </c>
      <c r="L169" s="3">
        <f t="shared" si="33"/>
        <v>0</v>
      </c>
      <c r="M169" s="3">
        <f t="shared" si="33"/>
        <v>0</v>
      </c>
    </row>
    <row r="170" spans="1:13">
      <c r="A170" s="33"/>
      <c r="J170" s="3">
        <f t="shared" si="33"/>
        <v>0</v>
      </c>
      <c r="K170" s="3">
        <f t="shared" si="33"/>
        <v>0</v>
      </c>
      <c r="L170" s="3">
        <f t="shared" si="33"/>
        <v>0</v>
      </c>
      <c r="M170" s="3">
        <f t="shared" si="33"/>
        <v>0</v>
      </c>
    </row>
    <row r="171" spans="1:13">
      <c r="A171" s="33"/>
      <c r="J171" s="3">
        <f t="shared" si="33"/>
        <v>0</v>
      </c>
      <c r="K171" s="3">
        <f t="shared" si="33"/>
        <v>0</v>
      </c>
      <c r="L171" s="3">
        <f t="shared" si="33"/>
        <v>0</v>
      </c>
      <c r="M171" s="3">
        <f t="shared" si="33"/>
        <v>0</v>
      </c>
    </row>
    <row r="172" spans="1:13">
      <c r="A172" s="33"/>
      <c r="J172" s="3">
        <f t="shared" si="33"/>
        <v>0</v>
      </c>
      <c r="K172" s="3">
        <f t="shared" si="33"/>
        <v>0</v>
      </c>
      <c r="L172" s="3">
        <f t="shared" si="33"/>
        <v>0</v>
      </c>
      <c r="M172" s="3">
        <f t="shared" si="33"/>
        <v>0</v>
      </c>
    </row>
    <row r="173" spans="1:13">
      <c r="A173" s="33"/>
    </row>
    <row r="174" spans="1:13">
      <c r="A174" s="33"/>
    </row>
    <row r="175" spans="1:13">
      <c r="A175" s="33"/>
    </row>
    <row r="176" spans="1:13">
      <c r="A176" s="33"/>
    </row>
    <row r="177" spans="1:1">
      <c r="A177" s="33"/>
    </row>
    <row r="178" spans="1:1">
      <c r="A178" s="33"/>
    </row>
    <row r="179" spans="1:1">
      <c r="A179" s="33"/>
    </row>
    <row r="180" spans="1:1">
      <c r="A180" s="33"/>
    </row>
    <row r="181" spans="1:1">
      <c r="A181" s="33"/>
    </row>
    <row r="182" spans="1:1">
      <c r="A182" s="33"/>
    </row>
    <row r="183" spans="1:1">
      <c r="A183" s="33"/>
    </row>
    <row r="184" spans="1:1">
      <c r="A184" s="33"/>
    </row>
    <row r="185" spans="1:1">
      <c r="A185" s="33"/>
    </row>
    <row r="186" spans="1:1">
      <c r="A186" s="33"/>
    </row>
    <row r="187" spans="1:1">
      <c r="A187" s="33"/>
    </row>
    <row r="188" spans="1:1">
      <c r="A188" s="33"/>
    </row>
    <row r="189" spans="1:1">
      <c r="A189" s="33"/>
    </row>
    <row r="190" spans="1:1">
      <c r="A190" s="33"/>
    </row>
    <row r="191" spans="1:1">
      <c r="A191" s="33"/>
    </row>
    <row r="192" spans="1:1">
      <c r="A192" s="33"/>
    </row>
    <row r="193" spans="1:1">
      <c r="A193" s="33"/>
    </row>
    <row r="194" spans="1:1">
      <c r="A194" s="33"/>
    </row>
    <row r="195" spans="1:1">
      <c r="A195" s="33"/>
    </row>
    <row r="196" spans="1:1">
      <c r="A196" s="33"/>
    </row>
    <row r="197" spans="1:1">
      <c r="A197" s="33"/>
    </row>
    <row r="198" spans="1:1">
      <c r="A198" s="33"/>
    </row>
    <row r="199" spans="1:1">
      <c r="A199" s="33"/>
    </row>
    <row r="200" spans="1:1">
      <c r="A200" s="33"/>
    </row>
    <row r="201" spans="1:1">
      <c r="A201" s="33"/>
    </row>
    <row r="202" spans="1:1">
      <c r="A202" s="33"/>
    </row>
    <row r="203" spans="1:1">
      <c r="A203" s="33"/>
    </row>
    <row r="204" spans="1:1">
      <c r="A204" s="33"/>
    </row>
    <row r="205" spans="1:1">
      <c r="A205" s="33"/>
    </row>
    <row r="206" spans="1:1">
      <c r="A206" s="33"/>
    </row>
    <row r="207" spans="1:1">
      <c r="A207" s="33"/>
    </row>
    <row r="208" spans="1:1">
      <c r="A208" s="33"/>
    </row>
    <row r="209" spans="1:1">
      <c r="A209" s="33"/>
    </row>
    <row r="210" spans="1:1">
      <c r="A210" s="33"/>
    </row>
    <row r="211" spans="1:1">
      <c r="A211" s="33"/>
    </row>
    <row r="212" spans="1:1">
      <c r="A212" s="33"/>
    </row>
    <row r="213" spans="1:1">
      <c r="A213" s="33"/>
    </row>
    <row r="214" spans="1:1">
      <c r="A214" s="33"/>
    </row>
    <row r="215" spans="1:1">
      <c r="A215" s="33"/>
    </row>
    <row r="216" spans="1:1">
      <c r="A216" s="33"/>
    </row>
    <row r="217" spans="1:1">
      <c r="A217" s="33"/>
    </row>
    <row r="218" spans="1:1">
      <c r="A218" s="33"/>
    </row>
    <row r="219" spans="1:1">
      <c r="A219" s="33"/>
    </row>
    <row r="220" spans="1:1">
      <c r="A220" s="33"/>
    </row>
    <row r="221" spans="1:1">
      <c r="A221" s="33"/>
    </row>
    <row r="222" spans="1:1">
      <c r="A222" s="33"/>
    </row>
    <row r="223" spans="1:1">
      <c r="A223" s="33"/>
    </row>
    <row r="224" spans="1:1">
      <c r="A224" s="33"/>
    </row>
    <row r="225" spans="1:1">
      <c r="A225" s="33"/>
    </row>
    <row r="226" spans="1:1">
      <c r="A226" s="33"/>
    </row>
    <row r="227" spans="1:1">
      <c r="A227" s="33"/>
    </row>
    <row r="228" spans="1:1">
      <c r="A228" s="33"/>
    </row>
    <row r="229" spans="1:1">
      <c r="A229" s="33"/>
    </row>
    <row r="230" spans="1:1">
      <c r="A230" s="33"/>
    </row>
    <row r="231" spans="1:1">
      <c r="A231" s="33"/>
    </row>
    <row r="232" spans="1:1">
      <c r="A232" s="33"/>
    </row>
    <row r="233" spans="1:1">
      <c r="A233" s="33"/>
    </row>
    <row r="234" spans="1:1">
      <c r="A234" s="33"/>
    </row>
    <row r="235" spans="1:1">
      <c r="A235" s="33"/>
    </row>
    <row r="236" spans="1:1">
      <c r="A236" s="33"/>
    </row>
    <row r="237" spans="1:1">
      <c r="A237" s="33"/>
    </row>
    <row r="238" spans="1:1">
      <c r="A238" s="33"/>
    </row>
    <row r="239" spans="1:1">
      <c r="A239" s="33"/>
    </row>
    <row r="240" spans="1:1">
      <c r="A240" s="33"/>
    </row>
    <row r="241" spans="1:1">
      <c r="A241" s="33"/>
    </row>
    <row r="242" spans="1:1">
      <c r="A242" s="33"/>
    </row>
    <row r="243" spans="1:1">
      <c r="A243" s="33"/>
    </row>
    <row r="244" spans="1:1">
      <c r="A244" s="33"/>
    </row>
    <row r="245" spans="1:1">
      <c r="A245" s="33"/>
    </row>
    <row r="246" spans="1:1">
      <c r="A246" s="33"/>
    </row>
    <row r="247" spans="1:1">
      <c r="A247" s="33"/>
    </row>
    <row r="248" spans="1:1">
      <c r="A248" s="33"/>
    </row>
    <row r="249" spans="1:1">
      <c r="A249" s="33"/>
    </row>
    <row r="250" spans="1:1">
      <c r="A250" s="33"/>
    </row>
    <row r="251" spans="1:1">
      <c r="A251" s="33"/>
    </row>
    <row r="252" spans="1:1">
      <c r="A252" s="33"/>
    </row>
    <row r="253" spans="1:1">
      <c r="A253" s="33"/>
    </row>
    <row r="254" spans="1:1">
      <c r="A254" s="33"/>
    </row>
    <row r="255" spans="1:1">
      <c r="A255" s="33"/>
    </row>
    <row r="256" spans="1:1">
      <c r="A256" s="33"/>
    </row>
    <row r="257" spans="1:1">
      <c r="A257" s="33"/>
    </row>
    <row r="258" spans="1:1">
      <c r="A258" s="33"/>
    </row>
    <row r="259" spans="1:1">
      <c r="A259" s="33"/>
    </row>
    <row r="260" spans="1:1">
      <c r="A260" s="33"/>
    </row>
    <row r="261" spans="1:1">
      <c r="A261" s="33"/>
    </row>
    <row r="262" spans="1:1">
      <c r="A262" s="33"/>
    </row>
    <row r="263" spans="1:1">
      <c r="A263" s="33"/>
    </row>
    <row r="264" spans="1:1">
      <c r="A264" s="33"/>
    </row>
    <row r="265" spans="1:1">
      <c r="A265" s="33"/>
    </row>
    <row r="266" spans="1:1">
      <c r="A266" s="33"/>
    </row>
    <row r="267" spans="1:1">
      <c r="A267" s="33"/>
    </row>
    <row r="268" spans="1:1">
      <c r="A268" s="33"/>
    </row>
    <row r="269" spans="1:1">
      <c r="A269" s="33"/>
    </row>
    <row r="270" spans="1:1">
      <c r="A270" s="33"/>
    </row>
    <row r="271" spans="1:1">
      <c r="A271" s="33"/>
    </row>
    <row r="272" spans="1:1">
      <c r="A272" s="33"/>
    </row>
    <row r="273" spans="1:1">
      <c r="A273" s="33"/>
    </row>
    <row r="274" spans="1:1">
      <c r="A274" s="33"/>
    </row>
    <row r="275" spans="1:1">
      <c r="A275" s="33"/>
    </row>
    <row r="276" spans="1:1">
      <c r="A276" s="33"/>
    </row>
    <row r="277" spans="1:1">
      <c r="A277" s="33"/>
    </row>
    <row r="278" spans="1:1">
      <c r="A278" s="33"/>
    </row>
    <row r="279" spans="1:1">
      <c r="A279" s="33"/>
    </row>
    <row r="280" spans="1:1">
      <c r="A280" s="33"/>
    </row>
    <row r="281" spans="1:1">
      <c r="A281" s="33"/>
    </row>
    <row r="282" spans="1:1">
      <c r="A282" s="33"/>
    </row>
    <row r="283" spans="1:1">
      <c r="A283" s="33"/>
    </row>
    <row r="284" spans="1:1">
      <c r="A284" s="33"/>
    </row>
    <row r="285" spans="1:1">
      <c r="A285" s="33"/>
    </row>
    <row r="286" spans="1:1">
      <c r="A286" s="33"/>
    </row>
    <row r="287" spans="1:1">
      <c r="A287" s="33"/>
    </row>
    <row r="288" spans="1:1">
      <c r="A288" s="33"/>
    </row>
    <row r="289" spans="1:1">
      <c r="A289" s="33"/>
    </row>
    <row r="290" spans="1:1">
      <c r="A290" s="33"/>
    </row>
    <row r="291" spans="1:1">
      <c r="A291" s="33"/>
    </row>
    <row r="292" spans="1:1">
      <c r="A292" s="33"/>
    </row>
    <row r="293" spans="1:1">
      <c r="A293" s="33"/>
    </row>
    <row r="294" spans="1:1">
      <c r="A294" s="33"/>
    </row>
    <row r="295" spans="1:1">
      <c r="A295" s="33"/>
    </row>
    <row r="296" spans="1:1">
      <c r="A296" s="33"/>
    </row>
    <row r="297" spans="1:1">
      <c r="A297" s="33"/>
    </row>
    <row r="298" spans="1:1">
      <c r="A298" s="33"/>
    </row>
    <row r="299" spans="1:1">
      <c r="A299" s="33"/>
    </row>
    <row r="300" spans="1:1">
      <c r="A300" s="33"/>
    </row>
    <row r="301" spans="1:1">
      <c r="A301" s="33"/>
    </row>
    <row r="302" spans="1:1">
      <c r="A302" s="33"/>
    </row>
    <row r="303" spans="1:1">
      <c r="A303" s="33"/>
    </row>
    <row r="304" spans="1:1">
      <c r="A304" s="33"/>
    </row>
    <row r="305" spans="1:1">
      <c r="A305" s="33"/>
    </row>
    <row r="306" spans="1:1">
      <c r="A306" s="33"/>
    </row>
    <row r="307" spans="1:1">
      <c r="A307" s="33"/>
    </row>
    <row r="308" spans="1:1">
      <c r="A308" s="33"/>
    </row>
    <row r="309" spans="1:1">
      <c r="A309" s="33"/>
    </row>
    <row r="310" spans="1:1">
      <c r="A310" s="33"/>
    </row>
    <row r="311" spans="1:1">
      <c r="A311" s="33"/>
    </row>
    <row r="312" spans="1:1">
      <c r="A312" s="33"/>
    </row>
    <row r="313" spans="1:1">
      <c r="A313" s="33"/>
    </row>
    <row r="314" spans="1:1">
      <c r="A314" s="33"/>
    </row>
    <row r="315" spans="1:1">
      <c r="A315" s="33"/>
    </row>
    <row r="316" spans="1:1">
      <c r="A316" s="33"/>
    </row>
    <row r="317" spans="1:1">
      <c r="A317" s="33"/>
    </row>
    <row r="318" spans="1:1">
      <c r="A318" s="33"/>
    </row>
    <row r="319" spans="1:1">
      <c r="A319" s="33"/>
    </row>
    <row r="320" spans="1:1">
      <c r="A320" s="33"/>
    </row>
    <row r="321" spans="1:1">
      <c r="A321" s="33"/>
    </row>
    <row r="322" spans="1:1">
      <c r="A322" s="33"/>
    </row>
    <row r="323" spans="1:1">
      <c r="A323" s="33"/>
    </row>
    <row r="324" spans="1:1">
      <c r="A324" s="33"/>
    </row>
    <row r="325" spans="1:1">
      <c r="A325" s="33"/>
    </row>
    <row r="326" spans="1:1">
      <c r="A326" s="33"/>
    </row>
    <row r="327" spans="1:1">
      <c r="A327" s="33"/>
    </row>
    <row r="328" spans="1:1">
      <c r="A328" s="33"/>
    </row>
    <row r="329" spans="1:1">
      <c r="A329" s="33"/>
    </row>
    <row r="330" spans="1:1">
      <c r="A330" s="33"/>
    </row>
  </sheetData>
  <pageMargins left="0.511811024" right="0.511811024" top="0.78740157499999996" bottom="0.78740157499999996" header="0.31496062000000002" footer="0.31496062000000002"/>
  <pageSetup paperSize="9" orientation="portrait" r:id="rId1"/>
  <legacyDrawing r:id="rId2"/>
  <tableParts count="1">
    <tablePart r:id="rId3"/>
  </tableParts>
</worksheet>
</file>

<file path=xl/worksheets/sheet4.xml><?xml version="1.0" encoding="utf-8"?>
<worksheet xmlns="http://schemas.openxmlformats.org/spreadsheetml/2006/main" xmlns:r="http://schemas.openxmlformats.org/officeDocument/2006/relationships">
  <sheetPr codeName="Plan8"/>
  <dimension ref="A1:V330"/>
  <sheetViews>
    <sheetView workbookViewId="0">
      <selection activeCell="H2" sqref="H2"/>
    </sheetView>
  </sheetViews>
  <sheetFormatPr defaultRowHeight="11.25"/>
  <cols>
    <col min="1" max="1" width="9.140625" style="3" customWidth="1"/>
    <col min="2" max="2" width="9.140625" style="3" hidden="1" customWidth="1"/>
    <col min="3" max="3" width="41.7109375" style="3" hidden="1" customWidth="1"/>
    <col min="4" max="14" width="9.140625" style="3" hidden="1" customWidth="1"/>
    <col min="15" max="15" width="9.140625" style="3"/>
    <col min="16" max="16" width="9.28515625" style="3" bestFit="1" customWidth="1"/>
    <col min="17" max="17" width="15.42578125" style="3" customWidth="1"/>
    <col min="18" max="18" width="10.7109375" style="3" bestFit="1" customWidth="1"/>
    <col min="19" max="19" width="11" style="5" bestFit="1" customWidth="1"/>
    <col min="20" max="20" width="14.140625" style="5" bestFit="1" customWidth="1"/>
    <col min="21" max="21" width="10.28515625" style="5" bestFit="1" customWidth="1"/>
    <col min="22" max="22" width="10" style="5" bestFit="1" customWidth="1"/>
    <col min="23" max="16384" width="9.140625" style="3"/>
  </cols>
  <sheetData>
    <row r="1" spans="1:22">
      <c r="A1" s="3" t="s">
        <v>42</v>
      </c>
      <c r="C1" s="3" t="s">
        <v>867</v>
      </c>
    </row>
    <row r="2" spans="1:22">
      <c r="A2" s="3" t="s">
        <v>43</v>
      </c>
      <c r="C2" s="3" t="s">
        <v>46</v>
      </c>
    </row>
    <row r="3" spans="1:22">
      <c r="A3" s="3" t="s">
        <v>44</v>
      </c>
    </row>
    <row r="4" spans="1:22">
      <c r="A4" s="3" t="s">
        <v>45</v>
      </c>
    </row>
    <row r="6" spans="1:22">
      <c r="P6" s="31" t="s">
        <v>45</v>
      </c>
      <c r="Q6" s="31" t="s">
        <v>0</v>
      </c>
      <c r="R6" s="32" t="s">
        <v>47</v>
      </c>
      <c r="S6" s="12" t="s">
        <v>48</v>
      </c>
      <c r="T6" s="12" t="s">
        <v>49</v>
      </c>
      <c r="U6" s="12" t="s">
        <v>50</v>
      </c>
      <c r="V6" s="12" t="s">
        <v>51</v>
      </c>
    </row>
    <row r="7" spans="1:22">
      <c r="A7" s="33" t="str">
        <f>IF(Tabela176[[#This Row],[Código]]="IBOV","^BVSP",IF(Tabela176[[#This Row],[Código]]="","",CONCATENATE(LEFT(Tabela176[[#This Row],[Código]],6),".SA")))</f>
        <v>IDVL3.SA</v>
      </c>
      <c r="C7" s="3" t="s">
        <v>552</v>
      </c>
      <c r="D7" s="3" t="s">
        <v>553</v>
      </c>
      <c r="E7" s="3" t="s">
        <v>553</v>
      </c>
      <c r="F7" s="3" t="s">
        <v>553</v>
      </c>
      <c r="G7" s="3" t="s">
        <v>553</v>
      </c>
      <c r="H7" s="51">
        <v>41691</v>
      </c>
      <c r="J7" s="3">
        <f>IF($A7="",0,VALUE(CONCATENATE(LEFT(D7,LEN(D7)-3),",",RIGHT(D7,2))))</f>
        <v>6.25</v>
      </c>
      <c r="K7" s="3">
        <f t="shared" ref="K7:M22" si="0">IF($A7="",0,VALUE(CONCATENATE(LEFT(E7,LEN(E7)-3),",",RIGHT(E7,2))))</f>
        <v>6.25</v>
      </c>
      <c r="L7" s="3">
        <f t="shared" si="0"/>
        <v>6.25</v>
      </c>
      <c r="M7" s="3">
        <f t="shared" si="0"/>
        <v>6.25</v>
      </c>
      <c r="P7" s="14" t="s">
        <v>550</v>
      </c>
      <c r="Q7" s="10" t="str">
        <f t="shared" ref="Q7:Q38" si="1">IF(A7="","",C7)</f>
        <v xml:space="preserve">INDUSVAL    -ON  </v>
      </c>
      <c r="R7" s="51">
        <f t="shared" ref="R7:R38" si="2">IF(A7="","",H7)</f>
        <v>41691</v>
      </c>
      <c r="S7" s="5">
        <f t="shared" ref="S7:S38" si="3">J7</f>
        <v>6.25</v>
      </c>
      <c r="T7" s="5">
        <f t="shared" ref="T7:T38" si="4">K7</f>
        <v>6.25</v>
      </c>
      <c r="U7" s="5">
        <f t="shared" ref="U7:U38" si="5">L7</f>
        <v>6.25</v>
      </c>
      <c r="V7" s="5">
        <f t="shared" ref="V7:V38" si="6">M7</f>
        <v>6.25</v>
      </c>
    </row>
    <row r="8" spans="1:22">
      <c r="A8" s="33" t="str">
        <f>IF(Tabela176[[#This Row],[Código]]="IBOV","^BVSP",IF(Tabela176[[#This Row],[Código]]="","",CONCATENATE(LEFT(Tabela176[[#This Row],[Código]],6),".SA")))</f>
        <v>IDVL4.SA</v>
      </c>
      <c r="C8" s="3" t="s">
        <v>554</v>
      </c>
      <c r="D8" s="3" t="s">
        <v>737</v>
      </c>
      <c r="E8" s="3" t="s">
        <v>1805</v>
      </c>
      <c r="F8" s="3" t="s">
        <v>1805</v>
      </c>
      <c r="G8" s="3" t="s">
        <v>737</v>
      </c>
      <c r="H8" s="51">
        <v>41691</v>
      </c>
      <c r="J8" s="3">
        <f t="shared" ref="J8:M71" si="7">IF($A8="",0,VALUE(CONCATENATE(LEFT(D8,LEN(D8)-3),",",RIGHT(D8,2))))</f>
        <v>5</v>
      </c>
      <c r="K8" s="3">
        <f t="shared" si="0"/>
        <v>5.0199999999999996</v>
      </c>
      <c r="L8" s="3">
        <f t="shared" si="0"/>
        <v>5.0199999999999996</v>
      </c>
      <c r="M8" s="3">
        <f t="shared" si="0"/>
        <v>5</v>
      </c>
      <c r="P8" s="15" t="s">
        <v>551</v>
      </c>
      <c r="Q8" s="10" t="str">
        <f t="shared" si="1"/>
        <v xml:space="preserve">INDUSVAL    -PN  </v>
      </c>
      <c r="R8" s="51">
        <f t="shared" si="2"/>
        <v>41691</v>
      </c>
      <c r="S8" s="5">
        <f t="shared" si="3"/>
        <v>5</v>
      </c>
      <c r="T8" s="5">
        <f t="shared" si="4"/>
        <v>5.0199999999999996</v>
      </c>
      <c r="U8" s="5">
        <f t="shared" si="5"/>
        <v>5.0199999999999996</v>
      </c>
      <c r="V8" s="5">
        <f t="shared" si="6"/>
        <v>5</v>
      </c>
    </row>
    <row r="9" spans="1:22">
      <c r="A9" s="33" t="str">
        <f>IF(Tabela176[[#This Row],[Código]]="IBOV","^BVSP",IF(Tabela176[[#This Row],[Código]]="","",CONCATENATE(LEFT(Tabela176[[#This Row],[Código]],6),".SA")))</f>
        <v>BMEB3.SA</v>
      </c>
      <c r="C9" s="3" t="s">
        <v>557</v>
      </c>
      <c r="D9" s="3" t="s">
        <v>770</v>
      </c>
      <c r="E9" s="3" t="s">
        <v>770</v>
      </c>
      <c r="F9" s="3" t="s">
        <v>770</v>
      </c>
      <c r="G9" s="3" t="s">
        <v>770</v>
      </c>
      <c r="H9" s="51">
        <v>41691</v>
      </c>
      <c r="J9" s="3">
        <f t="shared" si="7"/>
        <v>12.4</v>
      </c>
      <c r="K9" s="3">
        <f t="shared" si="0"/>
        <v>12.4</v>
      </c>
      <c r="L9" s="3">
        <f t="shared" si="0"/>
        <v>12.4</v>
      </c>
      <c r="M9" s="3">
        <f t="shared" si="0"/>
        <v>12.4</v>
      </c>
      <c r="P9" s="14" t="s">
        <v>555</v>
      </c>
      <c r="Q9" s="10" t="str">
        <f t="shared" si="1"/>
        <v>MERC BRASIL -ON</v>
      </c>
      <c r="R9" s="51">
        <f t="shared" si="2"/>
        <v>41691</v>
      </c>
      <c r="S9" s="5">
        <f t="shared" si="3"/>
        <v>12.4</v>
      </c>
      <c r="T9" s="5">
        <f t="shared" si="4"/>
        <v>12.4</v>
      </c>
      <c r="U9" s="5">
        <f t="shared" si="5"/>
        <v>12.4</v>
      </c>
      <c r="V9" s="5">
        <f t="shared" si="6"/>
        <v>12.4</v>
      </c>
    </row>
    <row r="10" spans="1:22">
      <c r="A10" s="33" t="str">
        <f>IF(Tabela176[[#This Row],[Código]]="IBOV","^BVSP",IF(Tabela176[[#This Row],[Código]]="","",CONCATENATE(LEFT(Tabela176[[#This Row],[Código]],6),".SA")))</f>
        <v>BMEB4.SA</v>
      </c>
      <c r="C10" s="3" t="s">
        <v>558</v>
      </c>
      <c r="D10" s="3" t="s">
        <v>962</v>
      </c>
      <c r="E10" s="3" t="s">
        <v>962</v>
      </c>
      <c r="F10" s="3" t="s">
        <v>962</v>
      </c>
      <c r="G10" s="3" t="s">
        <v>962</v>
      </c>
      <c r="H10" s="51">
        <v>41691</v>
      </c>
      <c r="J10" s="3">
        <f t="shared" si="7"/>
        <v>7.2</v>
      </c>
      <c r="K10" s="3">
        <f t="shared" si="0"/>
        <v>7.2</v>
      </c>
      <c r="L10" s="3">
        <f t="shared" si="0"/>
        <v>7.2</v>
      </c>
      <c r="M10" s="3">
        <f t="shared" si="0"/>
        <v>7.2</v>
      </c>
      <c r="P10" s="14" t="s">
        <v>556</v>
      </c>
      <c r="Q10" s="10" t="str">
        <f t="shared" si="1"/>
        <v>MERC BRASIL -PN</v>
      </c>
      <c r="R10" s="46">
        <f t="shared" si="2"/>
        <v>41691</v>
      </c>
      <c r="S10" s="6">
        <f t="shared" si="3"/>
        <v>7.2</v>
      </c>
      <c r="T10" s="6">
        <f t="shared" si="4"/>
        <v>7.2</v>
      </c>
      <c r="U10" s="5">
        <f t="shared" si="5"/>
        <v>7.2</v>
      </c>
      <c r="V10" s="5">
        <f t="shared" si="6"/>
        <v>7.2</v>
      </c>
    </row>
    <row r="11" spans="1:22">
      <c r="A11" s="33" t="str">
        <f>IF(Tabela176[[#This Row],[Código]]="IBOV","^BVSP",IF(Tabela176[[#This Row],[Código]]="","",CONCATENATE(LEFT(Tabela176[[#This Row],[Código]],6),".SA")))</f>
        <v>BPNM3.SA</v>
      </c>
      <c r="C11" s="3" t="s">
        <v>561</v>
      </c>
      <c r="D11" s="3" t="s">
        <v>442</v>
      </c>
      <c r="E11" s="3" t="s">
        <v>443</v>
      </c>
      <c r="F11" s="3" t="s">
        <v>442</v>
      </c>
      <c r="G11" s="3" t="s">
        <v>442</v>
      </c>
      <c r="H11" s="51" t="s">
        <v>442</v>
      </c>
      <c r="J11" s="3" t="e">
        <f t="shared" si="7"/>
        <v>#VALUE!</v>
      </c>
      <c r="K11" s="3">
        <f t="shared" si="0"/>
        <v>0</v>
      </c>
      <c r="L11" s="3" t="e">
        <f t="shared" si="0"/>
        <v>#VALUE!</v>
      </c>
      <c r="M11" s="3" t="e">
        <f t="shared" si="0"/>
        <v>#VALUE!</v>
      </c>
      <c r="P11" s="14" t="s">
        <v>559</v>
      </c>
      <c r="Q11" s="10" t="str">
        <f t="shared" si="1"/>
        <v xml:space="preserve">PANAMERICANO-ON  </v>
      </c>
      <c r="R11" s="51" t="str">
        <f t="shared" si="2"/>
        <v>N/A</v>
      </c>
      <c r="S11" s="5" t="e">
        <f t="shared" si="3"/>
        <v>#VALUE!</v>
      </c>
      <c r="T11" s="5">
        <f t="shared" si="4"/>
        <v>0</v>
      </c>
      <c r="U11" s="5" t="e">
        <f t="shared" si="5"/>
        <v>#VALUE!</v>
      </c>
      <c r="V11" s="5" t="e">
        <f t="shared" si="6"/>
        <v>#VALUE!</v>
      </c>
    </row>
    <row r="12" spans="1:22">
      <c r="A12" s="33" t="str">
        <f>IF(Tabela176[[#This Row],[Código]]="IBOV","^BVSP",IF(Tabela176[[#This Row],[Código]]="","",CONCATENATE(LEFT(Tabela176[[#This Row],[Código]],6),".SA")))</f>
        <v>BPNM4.SA</v>
      </c>
      <c r="C12" s="3" t="s">
        <v>562</v>
      </c>
      <c r="D12" s="3" t="s">
        <v>1806</v>
      </c>
      <c r="E12" s="3" t="s">
        <v>1753</v>
      </c>
      <c r="F12" s="3" t="s">
        <v>1753</v>
      </c>
      <c r="G12" s="3" t="s">
        <v>988</v>
      </c>
      <c r="H12" s="51">
        <v>41691</v>
      </c>
      <c r="J12" s="3">
        <f t="shared" si="7"/>
        <v>3.85</v>
      </c>
      <c r="K12" s="3">
        <f t="shared" si="0"/>
        <v>3.95</v>
      </c>
      <c r="L12" s="3">
        <f t="shared" si="0"/>
        <v>3.95</v>
      </c>
      <c r="M12" s="3">
        <f t="shared" si="0"/>
        <v>3.79</v>
      </c>
      <c r="P12" s="14" t="s">
        <v>560</v>
      </c>
      <c r="Q12" s="10" t="str">
        <f t="shared" si="1"/>
        <v xml:space="preserve">PANAMERICANO-PN  </v>
      </c>
      <c r="R12" s="46">
        <f t="shared" si="2"/>
        <v>41691</v>
      </c>
      <c r="S12" s="6">
        <f t="shared" si="3"/>
        <v>3.85</v>
      </c>
      <c r="T12" s="6">
        <f t="shared" si="4"/>
        <v>3.95</v>
      </c>
      <c r="U12" s="6">
        <f t="shared" si="5"/>
        <v>3.95</v>
      </c>
      <c r="V12" s="6">
        <f t="shared" si="6"/>
        <v>3.79</v>
      </c>
    </row>
    <row r="13" spans="1:22">
      <c r="A13" s="33" t="str">
        <f>IF(Tabela176[[#This Row],[Código]]="IBOV","^BVSP",IF(Tabela176[[#This Row],[Código]]="","",CONCATENATE(LEFT(Tabela176[[#This Row],[Código]],6),".SA")))</f>
        <v>BPAT33.SA</v>
      </c>
      <c r="C13" s="3" t="s">
        <v>566</v>
      </c>
      <c r="D13" s="3" t="s">
        <v>442</v>
      </c>
      <c r="E13" s="3" t="s">
        <v>412</v>
      </c>
      <c r="F13" s="3" t="s">
        <v>412</v>
      </c>
      <c r="G13" s="3" t="s">
        <v>412</v>
      </c>
      <c r="H13" s="51">
        <v>41691</v>
      </c>
      <c r="J13" s="3" t="e">
        <f t="shared" si="7"/>
        <v>#VALUE!</v>
      </c>
      <c r="K13" s="3">
        <f t="shared" si="0"/>
        <v>20</v>
      </c>
      <c r="L13" s="3">
        <f t="shared" si="0"/>
        <v>20</v>
      </c>
      <c r="M13" s="3">
        <f t="shared" si="0"/>
        <v>20</v>
      </c>
      <c r="P13" s="14" t="s">
        <v>565</v>
      </c>
      <c r="Q13" s="10" t="str">
        <f t="shared" si="1"/>
        <v>PATAGONIA   -DR3</v>
      </c>
      <c r="R13" s="51">
        <f t="shared" si="2"/>
        <v>41691</v>
      </c>
      <c r="S13" s="5" t="e">
        <f t="shared" si="3"/>
        <v>#VALUE!</v>
      </c>
      <c r="T13" s="5">
        <f t="shared" si="4"/>
        <v>20</v>
      </c>
      <c r="U13" s="5">
        <f t="shared" si="5"/>
        <v>20</v>
      </c>
      <c r="V13" s="5">
        <f t="shared" si="6"/>
        <v>20</v>
      </c>
    </row>
    <row r="14" spans="1:22">
      <c r="A14" s="33" t="str">
        <f>IF(Tabela176[[#This Row],[Código]]="IBOV","^BVSP",IF(Tabela176[[#This Row],[Código]]="","",CONCATENATE(LEFT(Tabela176[[#This Row],[Código]],6),".SA")))</f>
        <v>SANB11.SA</v>
      </c>
      <c r="C14" s="3" t="s">
        <v>570</v>
      </c>
      <c r="D14" s="3" t="s">
        <v>1807</v>
      </c>
      <c r="E14" s="3" t="s">
        <v>972</v>
      </c>
      <c r="F14" s="3" t="s">
        <v>1116</v>
      </c>
      <c r="G14" s="3" t="s">
        <v>1808</v>
      </c>
      <c r="H14" s="51">
        <v>41691</v>
      </c>
      <c r="J14" s="3">
        <f t="shared" si="7"/>
        <v>11.49</v>
      </c>
      <c r="K14" s="3">
        <f t="shared" si="0"/>
        <v>11.68</v>
      </c>
      <c r="L14" s="3">
        <f t="shared" si="0"/>
        <v>11.72</v>
      </c>
      <c r="M14" s="3">
        <f t="shared" si="0"/>
        <v>11.34</v>
      </c>
      <c r="P14" s="15" t="s">
        <v>567</v>
      </c>
      <c r="Q14" s="10" t="str">
        <f t="shared" si="1"/>
        <v xml:space="preserve">SANTANDER BR-UNT </v>
      </c>
      <c r="R14" s="51">
        <f t="shared" si="2"/>
        <v>41691</v>
      </c>
      <c r="S14" s="5">
        <f t="shared" si="3"/>
        <v>11.49</v>
      </c>
      <c r="T14" s="5">
        <f t="shared" si="4"/>
        <v>11.68</v>
      </c>
      <c r="U14" s="5">
        <f t="shared" si="5"/>
        <v>11.72</v>
      </c>
      <c r="V14" s="5">
        <f t="shared" si="6"/>
        <v>11.34</v>
      </c>
    </row>
    <row r="15" spans="1:22">
      <c r="A15" s="33" t="str">
        <f>IF(Tabela176[[#This Row],[Código]]="IBOV","^BVSP",IF(Tabela176[[#This Row],[Código]]="","",CONCATENATE(LEFT(Tabela176[[#This Row],[Código]],6),".SA")))</f>
        <v>SANB3.SA</v>
      </c>
      <c r="C15" s="3" t="s">
        <v>571</v>
      </c>
      <c r="D15" s="3" t="s">
        <v>790</v>
      </c>
      <c r="E15" s="3" t="s">
        <v>572</v>
      </c>
      <c r="F15" s="3" t="s">
        <v>572</v>
      </c>
      <c r="G15" s="3" t="s">
        <v>790</v>
      </c>
      <c r="H15" s="51">
        <v>41691</v>
      </c>
      <c r="J15" s="3">
        <f t="shared" si="7"/>
        <v>0.1</v>
      </c>
      <c r="K15" s="3">
        <f t="shared" si="0"/>
        <v>0.11</v>
      </c>
      <c r="L15" s="3">
        <f t="shared" si="0"/>
        <v>0.11</v>
      </c>
      <c r="M15" s="3">
        <f t="shared" si="0"/>
        <v>0.1</v>
      </c>
      <c r="P15" s="14" t="s">
        <v>568</v>
      </c>
      <c r="Q15" s="10" t="str">
        <f t="shared" si="1"/>
        <v xml:space="preserve">SANTANDER BR-ON  </v>
      </c>
      <c r="R15" s="51">
        <f t="shared" si="2"/>
        <v>41691</v>
      </c>
      <c r="S15" s="5">
        <f t="shared" si="3"/>
        <v>0.1</v>
      </c>
      <c r="T15" s="5">
        <f t="shared" si="4"/>
        <v>0.11</v>
      </c>
      <c r="U15" s="5">
        <f t="shared" si="5"/>
        <v>0.11</v>
      </c>
      <c r="V15" s="5">
        <f t="shared" si="6"/>
        <v>0.1</v>
      </c>
    </row>
    <row r="16" spans="1:22">
      <c r="A16" s="33" t="str">
        <f>IF(Tabela176[[#This Row],[Código]]="IBOV","^BVSP",IF(Tabela176[[#This Row],[Código]]="","",CONCATENATE(LEFT(Tabela176[[#This Row],[Código]],6),".SA")))</f>
        <v>SANB4.SA</v>
      </c>
      <c r="C16" s="3" t="s">
        <v>573</v>
      </c>
      <c r="D16" s="3" t="s">
        <v>572</v>
      </c>
      <c r="E16" s="3" t="s">
        <v>572</v>
      </c>
      <c r="F16" s="3" t="s">
        <v>572</v>
      </c>
      <c r="G16" s="3" t="s">
        <v>790</v>
      </c>
      <c r="H16" s="51">
        <v>41691</v>
      </c>
      <c r="J16" s="3">
        <f t="shared" si="7"/>
        <v>0.11</v>
      </c>
      <c r="K16" s="3">
        <f t="shared" si="0"/>
        <v>0.11</v>
      </c>
      <c r="L16" s="3">
        <f t="shared" si="0"/>
        <v>0.11</v>
      </c>
      <c r="M16" s="3">
        <f t="shared" si="0"/>
        <v>0.1</v>
      </c>
      <c r="P16" s="14" t="s">
        <v>569</v>
      </c>
      <c r="Q16" s="10" t="str">
        <f t="shared" si="1"/>
        <v xml:space="preserve">SANTANDER BR-PN  </v>
      </c>
      <c r="R16" s="51">
        <f t="shared" si="2"/>
        <v>41691</v>
      </c>
      <c r="S16" s="5">
        <f t="shared" si="3"/>
        <v>0.11</v>
      </c>
      <c r="T16" s="5">
        <f t="shared" si="4"/>
        <v>0.11</v>
      </c>
      <c r="U16" s="5">
        <f t="shared" si="5"/>
        <v>0.11</v>
      </c>
      <c r="V16" s="5">
        <f t="shared" si="6"/>
        <v>0.1</v>
      </c>
    </row>
    <row r="17" spans="1:22">
      <c r="A17" s="33" t="str">
        <f>IF(Tabela176[[#This Row],[Código]]="IBOV","^BVSP",IF(Tabela176[[#This Row],[Código]]="","",CONCATENATE(LEFT(Tabela176[[#This Row],[Código]],6),".SA")))</f>
        <v>SFSA3.SA</v>
      </c>
      <c r="C17" s="3" t="s">
        <v>575</v>
      </c>
      <c r="D17" s="3" t="s">
        <v>442</v>
      </c>
      <c r="E17" s="3" t="s">
        <v>443</v>
      </c>
      <c r="F17" s="3" t="s">
        <v>442</v>
      </c>
      <c r="G17" s="3" t="s">
        <v>442</v>
      </c>
      <c r="H17" s="51" t="s">
        <v>442</v>
      </c>
      <c r="J17" s="3" t="e">
        <f t="shared" si="7"/>
        <v>#VALUE!</v>
      </c>
      <c r="K17" s="3">
        <f t="shared" si="0"/>
        <v>0</v>
      </c>
      <c r="L17" s="3" t="e">
        <f t="shared" si="0"/>
        <v>#VALUE!</v>
      </c>
      <c r="M17" s="3" t="e">
        <f t="shared" si="0"/>
        <v>#VALUE!</v>
      </c>
      <c r="P17" s="15" t="s">
        <v>574</v>
      </c>
      <c r="Q17" s="10" t="str">
        <f t="shared" si="1"/>
        <v xml:space="preserve">SOFISA      -ON  </v>
      </c>
      <c r="R17" s="51" t="str">
        <f t="shared" si="2"/>
        <v>N/A</v>
      </c>
      <c r="S17" s="5" t="e">
        <f t="shared" si="3"/>
        <v>#VALUE!</v>
      </c>
      <c r="T17" s="5">
        <f t="shared" si="4"/>
        <v>0</v>
      </c>
      <c r="U17" s="5" t="e">
        <f t="shared" si="5"/>
        <v>#VALUE!</v>
      </c>
      <c r="V17" s="5" t="e">
        <f t="shared" si="6"/>
        <v>#VALUE!</v>
      </c>
    </row>
    <row r="18" spans="1:22">
      <c r="A18" s="33" t="str">
        <f>IF(Tabela176[[#This Row],[Código]]="IBOV","^BVSP",IF(Tabela176[[#This Row],[Código]]="","",CONCATENATE(LEFT(Tabela176[[#This Row],[Código]],6),".SA")))</f>
        <v>IDNT3.SA</v>
      </c>
      <c r="C18" s="3" t="s">
        <v>578</v>
      </c>
      <c r="D18" s="3" t="s">
        <v>1413</v>
      </c>
      <c r="E18" s="3" t="s">
        <v>1413</v>
      </c>
      <c r="F18" s="3" t="s">
        <v>1413</v>
      </c>
      <c r="G18" s="3" t="s">
        <v>1413</v>
      </c>
      <c r="H18" s="51">
        <v>41691</v>
      </c>
      <c r="J18" s="3">
        <f t="shared" si="7"/>
        <v>1.39</v>
      </c>
      <c r="K18" s="3">
        <f t="shared" si="0"/>
        <v>1.39</v>
      </c>
      <c r="L18" s="3">
        <f t="shared" si="0"/>
        <v>1.39</v>
      </c>
      <c r="M18" s="3">
        <f t="shared" si="0"/>
        <v>1.39</v>
      </c>
      <c r="P18" s="10" t="s">
        <v>577</v>
      </c>
      <c r="Q18" s="10" t="str">
        <f t="shared" si="1"/>
        <v xml:space="preserve">IDEIASNET   -ON  </v>
      </c>
      <c r="R18" s="51">
        <f t="shared" si="2"/>
        <v>41691</v>
      </c>
      <c r="S18" s="5">
        <f t="shared" si="3"/>
        <v>1.39</v>
      </c>
      <c r="T18" s="5">
        <f t="shared" si="4"/>
        <v>1.39</v>
      </c>
      <c r="U18" s="5">
        <f t="shared" si="5"/>
        <v>1.39</v>
      </c>
      <c r="V18" s="5">
        <f t="shared" si="6"/>
        <v>1.39</v>
      </c>
    </row>
    <row r="19" spans="1:22">
      <c r="A19" s="33" t="str">
        <f>IF(Tabela176[[#This Row],[Código]]="IBOV","^BVSP",IF(Tabela176[[#This Row],[Código]]="","",CONCATENATE(LEFT(Tabela176[[#This Row],[Código]],6),".SA")))</f>
        <v>LINX3.SA</v>
      </c>
      <c r="C19" s="3" t="s">
        <v>583</v>
      </c>
      <c r="D19" s="3" t="s">
        <v>1809</v>
      </c>
      <c r="E19" s="3" t="s">
        <v>1810</v>
      </c>
      <c r="F19" s="3" t="s">
        <v>1811</v>
      </c>
      <c r="G19" s="3" t="s">
        <v>1812</v>
      </c>
      <c r="H19" s="51">
        <v>41691</v>
      </c>
      <c r="J19" s="3">
        <f t="shared" si="7"/>
        <v>42.59</v>
      </c>
      <c r="K19" s="3">
        <f t="shared" si="0"/>
        <v>41.87</v>
      </c>
      <c r="L19" s="3">
        <f t="shared" si="0"/>
        <v>42.76</v>
      </c>
      <c r="M19" s="3">
        <f t="shared" si="0"/>
        <v>41.67</v>
      </c>
      <c r="P19" s="10" t="s">
        <v>580</v>
      </c>
      <c r="Q19" s="10" t="str">
        <f t="shared" si="1"/>
        <v xml:space="preserve">LINX        -ON  </v>
      </c>
      <c r="R19" s="51">
        <f t="shared" si="2"/>
        <v>41691</v>
      </c>
      <c r="S19" s="5">
        <f t="shared" si="3"/>
        <v>42.59</v>
      </c>
      <c r="T19" s="5">
        <f t="shared" si="4"/>
        <v>41.87</v>
      </c>
      <c r="U19" s="5">
        <f t="shared" si="5"/>
        <v>42.76</v>
      </c>
      <c r="V19" s="5">
        <f t="shared" si="6"/>
        <v>41.67</v>
      </c>
    </row>
    <row r="20" spans="1:22">
      <c r="A20" s="33" t="str">
        <f>IF(Tabela176[[#This Row],[Código]]="IBOV","^BVSP",IF(Tabela176[[#This Row],[Código]]="","",CONCATENATE(LEFT(Tabela176[[#This Row],[Código]],6),".SA")))</f>
        <v>TELB3.SA</v>
      </c>
      <c r="C20" s="3" t="s">
        <v>584</v>
      </c>
      <c r="D20" s="3" t="s">
        <v>999</v>
      </c>
      <c r="E20" s="3" t="s">
        <v>999</v>
      </c>
      <c r="F20" s="3" t="s">
        <v>999</v>
      </c>
      <c r="G20" s="3" t="s">
        <v>999</v>
      </c>
      <c r="H20" s="51">
        <v>41691</v>
      </c>
      <c r="J20" s="3">
        <f t="shared" si="7"/>
        <v>4.3</v>
      </c>
      <c r="K20" s="3">
        <f t="shared" si="0"/>
        <v>4.3</v>
      </c>
      <c r="L20" s="3">
        <f t="shared" si="0"/>
        <v>4.3</v>
      </c>
      <c r="M20" s="3">
        <f t="shared" si="0"/>
        <v>4.3</v>
      </c>
      <c r="P20" s="10" t="s">
        <v>581</v>
      </c>
      <c r="Q20" s="10" t="str">
        <f t="shared" si="1"/>
        <v>TELEBRAS    -ON</v>
      </c>
      <c r="R20" s="51">
        <f t="shared" si="2"/>
        <v>41691</v>
      </c>
      <c r="S20" s="5">
        <f t="shared" si="3"/>
        <v>4.3</v>
      </c>
      <c r="T20" s="5">
        <f t="shared" si="4"/>
        <v>4.3</v>
      </c>
      <c r="U20" s="5">
        <f t="shared" si="5"/>
        <v>4.3</v>
      </c>
      <c r="V20" s="5">
        <f t="shared" si="6"/>
        <v>4.3</v>
      </c>
    </row>
    <row r="21" spans="1:22">
      <c r="A21" s="33" t="str">
        <f>IF(Tabela176[[#This Row],[Código]]="IBOV","^BVSP",IF(Tabela176[[#This Row],[Código]]="","",CONCATENATE(LEFT(Tabela176[[#This Row],[Código]],6),".SA")))</f>
        <v>TELB4.SA</v>
      </c>
      <c r="C21" s="3" t="s">
        <v>585</v>
      </c>
      <c r="D21" s="3" t="s">
        <v>1813</v>
      </c>
      <c r="E21" s="3" t="s">
        <v>1814</v>
      </c>
      <c r="F21" s="3" t="s">
        <v>1815</v>
      </c>
      <c r="G21" s="3" t="s">
        <v>1814</v>
      </c>
      <c r="H21" s="51">
        <v>41691</v>
      </c>
      <c r="J21" s="3">
        <f t="shared" si="7"/>
        <v>2.56</v>
      </c>
      <c r="K21" s="3">
        <f t="shared" si="0"/>
        <v>2.5499999999999998</v>
      </c>
      <c r="L21" s="3">
        <f t="shared" si="0"/>
        <v>2.59</v>
      </c>
      <c r="M21" s="3">
        <f t="shared" si="0"/>
        <v>2.5499999999999998</v>
      </c>
      <c r="P21" s="14" t="s">
        <v>582</v>
      </c>
      <c r="Q21" s="10" t="str">
        <f t="shared" si="1"/>
        <v>TELEBRAS    -PN</v>
      </c>
      <c r="R21" s="51">
        <f t="shared" si="2"/>
        <v>41691</v>
      </c>
      <c r="S21" s="5">
        <f t="shared" si="3"/>
        <v>2.56</v>
      </c>
      <c r="T21" s="5">
        <f t="shared" si="4"/>
        <v>2.5499999999999998</v>
      </c>
      <c r="U21" s="5">
        <f t="shared" si="5"/>
        <v>2.59</v>
      </c>
      <c r="V21" s="5">
        <f t="shared" si="6"/>
        <v>2.5499999999999998</v>
      </c>
    </row>
    <row r="22" spans="1:22">
      <c r="A22" s="33" t="str">
        <f>IF(Tabela176[[#This Row],[Código]]="IBOV","^BVSP",IF(Tabela176[[#This Row],[Código]]="","",CONCATENATE(LEFT(Tabela176[[#This Row],[Código]],6),".SA")))</f>
        <v>SNSL3M.SA</v>
      </c>
      <c r="C22" s="3" t="s">
        <v>587</v>
      </c>
      <c r="D22" s="3" t="s">
        <v>736</v>
      </c>
      <c r="E22" s="3" t="s">
        <v>798</v>
      </c>
      <c r="F22" s="3" t="s">
        <v>798</v>
      </c>
      <c r="G22" s="3" t="s">
        <v>799</v>
      </c>
      <c r="H22" s="51">
        <v>41670</v>
      </c>
      <c r="J22" s="3">
        <f t="shared" si="7"/>
        <v>10.3</v>
      </c>
      <c r="K22" s="3">
        <f t="shared" si="0"/>
        <v>10.4</v>
      </c>
      <c r="L22" s="3">
        <f t="shared" si="0"/>
        <v>10.4</v>
      </c>
      <c r="M22" s="3">
        <f t="shared" si="0"/>
        <v>10.17</v>
      </c>
      <c r="P22" s="14" t="s">
        <v>586</v>
      </c>
      <c r="Q22" s="10" t="str">
        <f t="shared" si="1"/>
        <v xml:space="preserve">SENIOR SOL  -ON  </v>
      </c>
      <c r="R22" s="51">
        <f t="shared" si="2"/>
        <v>41670</v>
      </c>
      <c r="S22" s="5">
        <f t="shared" si="3"/>
        <v>10.3</v>
      </c>
      <c r="T22" s="5">
        <f t="shared" si="4"/>
        <v>10.4</v>
      </c>
      <c r="U22" s="5">
        <f t="shared" si="5"/>
        <v>10.4</v>
      </c>
      <c r="V22" s="5">
        <f t="shared" si="6"/>
        <v>10.17</v>
      </c>
    </row>
    <row r="23" spans="1:22">
      <c r="A23" s="33" t="str">
        <f>IF(Tabela176[[#This Row],[Código]]="IBOV","^BVSP",IF(Tabela176[[#This Row],[Código]]="","",CONCATENATE(LEFT(Tabela176[[#This Row],[Código]],6),".SA")))</f>
        <v>TOTS3.SA</v>
      </c>
      <c r="C23" s="3" t="s">
        <v>589</v>
      </c>
      <c r="D23" s="3" t="s">
        <v>1816</v>
      </c>
      <c r="E23" s="3" t="s">
        <v>1817</v>
      </c>
      <c r="F23" s="3" t="s">
        <v>1818</v>
      </c>
      <c r="G23" s="3" t="s">
        <v>1816</v>
      </c>
      <c r="H23" s="51">
        <v>41691</v>
      </c>
      <c r="J23" s="3">
        <f t="shared" si="7"/>
        <v>31.94</v>
      </c>
      <c r="K23" s="3">
        <f t="shared" si="7"/>
        <v>32.28</v>
      </c>
      <c r="L23" s="3">
        <f t="shared" si="7"/>
        <v>32.44</v>
      </c>
      <c r="M23" s="3">
        <f t="shared" si="7"/>
        <v>31.94</v>
      </c>
      <c r="P23" s="14" t="s">
        <v>588</v>
      </c>
      <c r="Q23" s="10" t="str">
        <f t="shared" si="1"/>
        <v xml:space="preserve">TOTVS       -ON  </v>
      </c>
      <c r="R23" s="51">
        <f t="shared" si="2"/>
        <v>41691</v>
      </c>
      <c r="S23" s="5">
        <f t="shared" si="3"/>
        <v>31.94</v>
      </c>
      <c r="T23" s="5">
        <f t="shared" si="4"/>
        <v>32.28</v>
      </c>
      <c r="U23" s="5">
        <f t="shared" si="5"/>
        <v>32.44</v>
      </c>
      <c r="V23" s="5">
        <f t="shared" si="6"/>
        <v>31.94</v>
      </c>
    </row>
    <row r="24" spans="1:22">
      <c r="A24" s="33" t="str">
        <f>IF(Tabela176[[#This Row],[Código]]="IBOV","^BVSP",IF(Tabela176[[#This Row],[Código]]="","",CONCATENATE(LEFT(Tabela176[[#This Row],[Código]],6),".SA")))</f>
        <v>BEMA3.SA</v>
      </c>
      <c r="C24" s="3" t="s">
        <v>594</v>
      </c>
      <c r="D24" s="3" t="s">
        <v>1752</v>
      </c>
      <c r="E24" s="3" t="s">
        <v>1819</v>
      </c>
      <c r="F24" s="3" t="s">
        <v>1820</v>
      </c>
      <c r="G24" s="3" t="s">
        <v>1752</v>
      </c>
      <c r="H24" s="51">
        <v>41691</v>
      </c>
      <c r="J24" s="3">
        <f t="shared" si="7"/>
        <v>7.67</v>
      </c>
      <c r="K24" s="3">
        <f t="shared" si="7"/>
        <v>7.71</v>
      </c>
      <c r="L24" s="3">
        <f t="shared" si="7"/>
        <v>7.81</v>
      </c>
      <c r="M24" s="3">
        <f t="shared" si="7"/>
        <v>7.67</v>
      </c>
      <c r="P24" s="15" t="s">
        <v>591</v>
      </c>
      <c r="Q24" s="10" t="str">
        <f t="shared" si="1"/>
        <v xml:space="preserve">BEMATECH    -ON  </v>
      </c>
      <c r="R24" s="51">
        <f t="shared" si="2"/>
        <v>41691</v>
      </c>
      <c r="S24" s="5">
        <f t="shared" si="3"/>
        <v>7.67</v>
      </c>
      <c r="T24" s="5">
        <f t="shared" si="4"/>
        <v>7.71</v>
      </c>
      <c r="U24" s="5">
        <f t="shared" si="5"/>
        <v>7.81</v>
      </c>
      <c r="V24" s="5">
        <f t="shared" si="6"/>
        <v>7.67</v>
      </c>
    </row>
    <row r="25" spans="1:22">
      <c r="A25" s="33" t="str">
        <f>IF(Tabela176[[#This Row],[Código]]="IBOV","^BVSP",IF(Tabela176[[#This Row],[Código]]="","",CONCATENATE(LEFT(Tabela176[[#This Row],[Código]],6),".SA")))</f>
        <v>ITEC3.SA</v>
      </c>
      <c r="C25" s="3" t="s">
        <v>595</v>
      </c>
      <c r="D25" s="3" t="s">
        <v>956</v>
      </c>
      <c r="E25" s="3" t="s">
        <v>956</v>
      </c>
      <c r="F25" s="3" t="s">
        <v>956</v>
      </c>
      <c r="G25" s="3" t="s">
        <v>956</v>
      </c>
      <c r="H25" s="51">
        <v>41691</v>
      </c>
      <c r="J25" s="3">
        <f t="shared" si="7"/>
        <v>19.02</v>
      </c>
      <c r="K25" s="3">
        <f t="shared" si="7"/>
        <v>19.02</v>
      </c>
      <c r="L25" s="3">
        <f t="shared" si="7"/>
        <v>19.02</v>
      </c>
      <c r="M25" s="3">
        <f t="shared" si="7"/>
        <v>19.02</v>
      </c>
      <c r="P25" s="10" t="s">
        <v>592</v>
      </c>
      <c r="Q25" s="10" t="str">
        <f t="shared" si="1"/>
        <v>ITAUTEC     -ON</v>
      </c>
      <c r="R25" s="51">
        <f t="shared" si="2"/>
        <v>41691</v>
      </c>
      <c r="S25" s="5">
        <f t="shared" si="3"/>
        <v>19.02</v>
      </c>
      <c r="T25" s="5">
        <f t="shared" si="4"/>
        <v>19.02</v>
      </c>
      <c r="U25" s="5">
        <f t="shared" si="5"/>
        <v>19.02</v>
      </c>
      <c r="V25" s="5">
        <f t="shared" si="6"/>
        <v>19.02</v>
      </c>
    </row>
    <row r="26" spans="1:22">
      <c r="A26" s="33" t="str">
        <f>IF(Tabela176[[#This Row],[Código]]="IBOV","^BVSP",IF(Tabela176[[#This Row],[Código]]="","",CONCATENATE(LEFT(Tabela176[[#This Row],[Código]],6),".SA")))</f>
        <v>POSI3.SA</v>
      </c>
      <c r="C26" s="3" t="s">
        <v>596</v>
      </c>
      <c r="D26" s="3" t="s">
        <v>1408</v>
      </c>
      <c r="E26" s="3" t="s">
        <v>1821</v>
      </c>
      <c r="F26" s="3" t="s">
        <v>1673</v>
      </c>
      <c r="G26" s="3" t="s">
        <v>1005</v>
      </c>
      <c r="H26" s="51">
        <v>41691</v>
      </c>
      <c r="J26" s="3">
        <f t="shared" si="7"/>
        <v>2.82</v>
      </c>
      <c r="K26" s="3">
        <f t="shared" si="7"/>
        <v>2.77</v>
      </c>
      <c r="L26" s="3">
        <f t="shared" si="7"/>
        <v>2.88</v>
      </c>
      <c r="M26" s="3">
        <f t="shared" si="7"/>
        <v>2.76</v>
      </c>
      <c r="P26" s="15" t="s">
        <v>593</v>
      </c>
      <c r="Q26" s="10" t="str">
        <f t="shared" si="1"/>
        <v xml:space="preserve">POSITIVO INF-ON  </v>
      </c>
      <c r="R26" s="51">
        <f t="shared" si="2"/>
        <v>41691</v>
      </c>
      <c r="S26" s="5">
        <f t="shared" si="3"/>
        <v>2.82</v>
      </c>
      <c r="T26" s="5">
        <f t="shared" si="4"/>
        <v>2.77</v>
      </c>
      <c r="U26" s="5">
        <f t="shared" si="5"/>
        <v>2.88</v>
      </c>
      <c r="V26" s="5">
        <f t="shared" si="6"/>
        <v>2.76</v>
      </c>
    </row>
    <row r="27" spans="1:22">
      <c r="A27" s="33" t="str">
        <f>IF(Tabela176[[#This Row],[Código]]="IBOV","^BVSP",IF(Tabela176[[#This Row],[Código]]="","",CONCATENATE(LEFT(Tabela176[[#This Row],[Código]],6),".SA")))</f>
        <v>RPMG3.SA</v>
      </c>
      <c r="C27" s="3" t="s">
        <v>600</v>
      </c>
      <c r="D27" s="3" t="s">
        <v>957</v>
      </c>
      <c r="E27" s="3" t="s">
        <v>957</v>
      </c>
      <c r="F27" s="3" t="s">
        <v>1822</v>
      </c>
      <c r="G27" s="3" t="s">
        <v>957</v>
      </c>
      <c r="H27" s="51">
        <v>41691</v>
      </c>
      <c r="J27" s="3">
        <f t="shared" si="7"/>
        <v>0.32</v>
      </c>
      <c r="K27" s="3">
        <f t="shared" si="7"/>
        <v>0.32</v>
      </c>
      <c r="L27" s="3">
        <f t="shared" si="7"/>
        <v>0.34</v>
      </c>
      <c r="M27" s="3">
        <f t="shared" si="7"/>
        <v>0.32</v>
      </c>
      <c r="P27" s="15" t="s">
        <v>598</v>
      </c>
      <c r="Q27" s="10" t="str">
        <f t="shared" si="1"/>
        <v>PET MANGUINH-ON</v>
      </c>
      <c r="R27" s="51">
        <f t="shared" si="2"/>
        <v>41691</v>
      </c>
      <c r="S27" s="5">
        <f t="shared" si="3"/>
        <v>0.32</v>
      </c>
      <c r="T27" s="5">
        <f t="shared" si="4"/>
        <v>0.32</v>
      </c>
      <c r="U27" s="5">
        <f t="shared" si="5"/>
        <v>0.34</v>
      </c>
      <c r="V27" s="5">
        <f t="shared" si="6"/>
        <v>0.32</v>
      </c>
    </row>
    <row r="28" spans="1:22">
      <c r="A28" s="33" t="str">
        <f>IF(Tabela176[[#This Row],[Código]]="IBOV","^BVSP",IF(Tabela176[[#This Row],[Código]]="","",CONCATENATE(LEFT(Tabela176[[#This Row],[Código]],6),".SA")))</f>
        <v>RPMG4.SA</v>
      </c>
      <c r="C28" s="3" t="s">
        <v>601</v>
      </c>
      <c r="D28" s="3" t="s">
        <v>961</v>
      </c>
      <c r="E28" s="3" t="s">
        <v>957</v>
      </c>
      <c r="F28" s="3" t="s">
        <v>1822</v>
      </c>
      <c r="G28" s="3" t="s">
        <v>961</v>
      </c>
      <c r="H28" s="51">
        <v>41691</v>
      </c>
      <c r="J28" s="3">
        <f t="shared" si="7"/>
        <v>0.31</v>
      </c>
      <c r="K28" s="3">
        <f t="shared" si="7"/>
        <v>0.32</v>
      </c>
      <c r="L28" s="3">
        <f t="shared" si="7"/>
        <v>0.34</v>
      </c>
      <c r="M28" s="3">
        <f t="shared" si="7"/>
        <v>0.31</v>
      </c>
      <c r="P28" s="15" t="s">
        <v>599</v>
      </c>
      <c r="Q28" s="10" t="str">
        <f t="shared" si="1"/>
        <v>PET MANGUINH-PN</v>
      </c>
      <c r="R28" s="51">
        <f t="shared" si="2"/>
        <v>41691</v>
      </c>
      <c r="S28" s="5">
        <f t="shared" si="3"/>
        <v>0.31</v>
      </c>
      <c r="T28" s="5">
        <f t="shared" si="4"/>
        <v>0.32</v>
      </c>
      <c r="U28" s="5">
        <f t="shared" si="5"/>
        <v>0.34</v>
      </c>
      <c r="V28" s="5">
        <f t="shared" si="6"/>
        <v>0.31</v>
      </c>
    </row>
    <row r="29" spans="1:22">
      <c r="A29" s="33" t="str">
        <f>IF(Tabela176[[#This Row],[Código]]="IBOV","^BVSP",IF(Tabela176[[#This Row],[Código]]="","",CONCATENATE(LEFT(Tabela176[[#This Row],[Código]],6),".SA")))</f>
        <v>CSNA3.SA</v>
      </c>
      <c r="C29" s="3" t="s">
        <v>605</v>
      </c>
      <c r="D29" s="3" t="s">
        <v>1823</v>
      </c>
      <c r="E29" s="3" t="s">
        <v>1824</v>
      </c>
      <c r="F29" s="3" t="s">
        <v>1825</v>
      </c>
      <c r="G29" s="3" t="s">
        <v>1826</v>
      </c>
      <c r="H29" s="51">
        <v>41691</v>
      </c>
      <c r="J29" s="3">
        <f>IF($A29="",0,VALUE(CONCATENATE(LEFT(D29,LEN(D29)-3),",",RIGHT(D29,2))))</f>
        <v>11.44</v>
      </c>
      <c r="K29" s="3">
        <f t="shared" si="7"/>
        <v>11.3</v>
      </c>
      <c r="L29" s="3">
        <f t="shared" si="7"/>
        <v>11.56</v>
      </c>
      <c r="M29" s="3">
        <f t="shared" si="7"/>
        <v>11.25</v>
      </c>
      <c r="P29" s="15" t="s">
        <v>604</v>
      </c>
      <c r="Q29" s="10" t="str">
        <f t="shared" si="1"/>
        <v>SID NACIONAL-ON</v>
      </c>
      <c r="R29" s="51">
        <f t="shared" si="2"/>
        <v>41691</v>
      </c>
      <c r="S29" s="5">
        <f t="shared" si="3"/>
        <v>11.44</v>
      </c>
      <c r="T29" s="5">
        <f t="shared" si="4"/>
        <v>11.3</v>
      </c>
      <c r="U29" s="5">
        <f t="shared" si="5"/>
        <v>11.56</v>
      </c>
      <c r="V29" s="5">
        <f t="shared" si="6"/>
        <v>11.25</v>
      </c>
    </row>
    <row r="30" spans="1:22">
      <c r="A30" s="33" t="str">
        <f>IF(Tabela176[[#This Row],[Código]]="IBOV","^BVSP",IF(Tabela176[[#This Row],[Código]]="","",CONCATENATE(LEFT(Tabela176[[#This Row],[Código]],6),".SA")))</f>
        <v>USIM3.SA</v>
      </c>
      <c r="C30" s="3" t="s">
        <v>609</v>
      </c>
      <c r="D30" s="3" t="s">
        <v>1827</v>
      </c>
      <c r="E30" s="3" t="s">
        <v>1828</v>
      </c>
      <c r="F30" s="3" t="s">
        <v>1524</v>
      </c>
      <c r="G30" s="3" t="s">
        <v>1829</v>
      </c>
      <c r="H30" s="51">
        <v>41691</v>
      </c>
      <c r="J30" s="3">
        <f t="shared" si="7"/>
        <v>9.85</v>
      </c>
      <c r="K30" s="3">
        <f t="shared" si="7"/>
        <v>9.73</v>
      </c>
      <c r="L30" s="3">
        <f t="shared" si="7"/>
        <v>9.9</v>
      </c>
      <c r="M30" s="3">
        <f t="shared" si="7"/>
        <v>9.66</v>
      </c>
      <c r="P30" s="14" t="s">
        <v>606</v>
      </c>
      <c r="Q30" s="10" t="str">
        <f t="shared" si="1"/>
        <v xml:space="preserve">USIMINAS    -ON  </v>
      </c>
      <c r="R30" s="51">
        <f t="shared" si="2"/>
        <v>41691</v>
      </c>
      <c r="S30" s="5">
        <f t="shared" si="3"/>
        <v>9.85</v>
      </c>
      <c r="T30" s="5">
        <f t="shared" si="4"/>
        <v>9.73</v>
      </c>
      <c r="U30" s="5">
        <f t="shared" si="5"/>
        <v>9.9</v>
      </c>
      <c r="V30" s="5">
        <f t="shared" si="6"/>
        <v>9.66</v>
      </c>
    </row>
    <row r="31" spans="1:22">
      <c r="A31" s="33" t="str">
        <f>IF(Tabela176[[#This Row],[Código]]="IBOV","^BVSP",IF(Tabela176[[#This Row],[Código]]="","",CONCATENATE(LEFT(Tabela176[[#This Row],[Código]],6),".SA")))</f>
        <v>USIM5.SA</v>
      </c>
      <c r="C31" s="3" t="s">
        <v>610</v>
      </c>
      <c r="D31" s="3" t="s">
        <v>1830</v>
      </c>
      <c r="E31" s="3" t="s">
        <v>1521</v>
      </c>
      <c r="F31" s="3" t="s">
        <v>1119</v>
      </c>
      <c r="G31" s="3" t="s">
        <v>1831</v>
      </c>
      <c r="H31" s="51">
        <v>41691</v>
      </c>
      <c r="J31" s="3">
        <f t="shared" si="7"/>
        <v>10.71</v>
      </c>
      <c r="K31" s="3">
        <f t="shared" si="7"/>
        <v>10.55</v>
      </c>
      <c r="L31" s="3">
        <f t="shared" si="7"/>
        <v>10.78</v>
      </c>
      <c r="M31" s="3">
        <f t="shared" si="7"/>
        <v>10.45</v>
      </c>
      <c r="P31" s="14" t="s">
        <v>607</v>
      </c>
      <c r="Q31" s="10" t="str">
        <f t="shared" si="1"/>
        <v xml:space="preserve">USIMINAS    -PNA </v>
      </c>
      <c r="R31" s="51">
        <f t="shared" si="2"/>
        <v>41691</v>
      </c>
      <c r="S31" s="5">
        <f t="shared" si="3"/>
        <v>10.71</v>
      </c>
      <c r="T31" s="5">
        <f t="shared" si="4"/>
        <v>10.55</v>
      </c>
      <c r="U31" s="5">
        <f t="shared" si="5"/>
        <v>10.78</v>
      </c>
      <c r="V31" s="5">
        <f t="shared" si="6"/>
        <v>10.45</v>
      </c>
    </row>
    <row r="32" spans="1:22">
      <c r="A32" s="33" t="str">
        <f>IF(Tabela176[[#This Row],[Código]]="IBOV","^BVSP",IF(Tabela176[[#This Row],[Código]]="","",CONCATENATE(LEFT(Tabela176[[#This Row],[Código]],6),".SA")))</f>
        <v>USIM6.SA</v>
      </c>
      <c r="C32" s="3" t="s">
        <v>611</v>
      </c>
      <c r="D32" s="3" t="s">
        <v>612</v>
      </c>
      <c r="E32" s="3" t="s">
        <v>612</v>
      </c>
      <c r="F32" s="3" t="s">
        <v>612</v>
      </c>
      <c r="G32" s="3" t="s">
        <v>612</v>
      </c>
      <c r="H32" s="51">
        <v>41691</v>
      </c>
      <c r="J32" s="3">
        <f t="shared" si="7"/>
        <v>11.13</v>
      </c>
      <c r="K32" s="3">
        <f t="shared" si="7"/>
        <v>11.13</v>
      </c>
      <c r="L32" s="3">
        <f t="shared" si="7"/>
        <v>11.13</v>
      </c>
      <c r="M32" s="3">
        <f t="shared" si="7"/>
        <v>11.13</v>
      </c>
      <c r="P32" s="14" t="s">
        <v>608</v>
      </c>
      <c r="Q32" s="10" t="str">
        <f t="shared" si="1"/>
        <v xml:space="preserve">USIMINAS    -PNB </v>
      </c>
      <c r="R32" s="51">
        <f t="shared" si="2"/>
        <v>41691</v>
      </c>
      <c r="S32" s="5">
        <f t="shared" si="3"/>
        <v>11.13</v>
      </c>
      <c r="T32" s="5">
        <f t="shared" si="4"/>
        <v>11.13</v>
      </c>
      <c r="U32" s="5">
        <f t="shared" si="5"/>
        <v>11.13</v>
      </c>
      <c r="V32" s="5">
        <f t="shared" si="6"/>
        <v>11.13</v>
      </c>
    </row>
    <row r="33" spans="1:22">
      <c r="A33" s="33" t="str">
        <f>IF(Tabela176[[#This Row],[Código]]="IBOV","^BVSP",IF(Tabela176[[#This Row],[Código]]="","",CONCATENATE(LEFT(Tabela176[[#This Row],[Código]],6),".SA")))</f>
        <v>GGBR3.SA</v>
      </c>
      <c r="C33" s="3" t="s">
        <v>615</v>
      </c>
      <c r="D33" s="3" t="s">
        <v>1403</v>
      </c>
      <c r="E33" s="3" t="s">
        <v>1538</v>
      </c>
      <c r="F33" s="3" t="s">
        <v>1832</v>
      </c>
      <c r="G33" s="3" t="s">
        <v>1538</v>
      </c>
      <c r="H33" s="51">
        <v>41691</v>
      </c>
      <c r="J33" s="3">
        <f t="shared" si="7"/>
        <v>12.54</v>
      </c>
      <c r="K33" s="3">
        <f t="shared" si="7"/>
        <v>12.17</v>
      </c>
      <c r="L33" s="3">
        <f t="shared" si="7"/>
        <v>12.8</v>
      </c>
      <c r="M33" s="3">
        <f t="shared" si="7"/>
        <v>12.17</v>
      </c>
      <c r="P33" s="14" t="s">
        <v>613</v>
      </c>
      <c r="Q33" s="10" t="str">
        <f t="shared" si="1"/>
        <v xml:space="preserve">GERDAU      -ON  </v>
      </c>
      <c r="R33" s="51">
        <f t="shared" si="2"/>
        <v>41691</v>
      </c>
      <c r="S33" s="5">
        <f t="shared" si="3"/>
        <v>12.54</v>
      </c>
      <c r="T33" s="5">
        <f t="shared" si="4"/>
        <v>12.17</v>
      </c>
      <c r="U33" s="5">
        <f t="shared" si="5"/>
        <v>12.8</v>
      </c>
      <c r="V33" s="5">
        <f t="shared" si="6"/>
        <v>12.17</v>
      </c>
    </row>
    <row r="34" spans="1:22">
      <c r="A34" s="33" t="str">
        <f>IF(Tabela176[[#This Row],[Código]]="IBOV","^BVSP",IF(Tabela176[[#This Row],[Código]]="","",CONCATENATE(LEFT(Tabela176[[#This Row],[Código]],6),".SA")))</f>
        <v>GGBR4.SA</v>
      </c>
      <c r="C34" s="3" t="s">
        <v>616</v>
      </c>
      <c r="D34" s="3" t="s">
        <v>1833</v>
      </c>
      <c r="E34" s="3" t="s">
        <v>1098</v>
      </c>
      <c r="F34" s="3" t="s">
        <v>1834</v>
      </c>
      <c r="G34" s="3" t="s">
        <v>1835</v>
      </c>
      <c r="H34" s="51">
        <v>41691</v>
      </c>
      <c r="J34" s="3">
        <f t="shared" si="7"/>
        <v>15.63</v>
      </c>
      <c r="K34" s="3">
        <f t="shared" si="7"/>
        <v>14.99</v>
      </c>
      <c r="L34" s="3">
        <f t="shared" si="7"/>
        <v>15.68</v>
      </c>
      <c r="M34" s="3">
        <f t="shared" si="7"/>
        <v>14.95</v>
      </c>
      <c r="P34" s="14" t="s">
        <v>614</v>
      </c>
      <c r="Q34" s="10" t="str">
        <f t="shared" si="1"/>
        <v xml:space="preserve">GERDAU      -PN  </v>
      </c>
      <c r="R34" s="51">
        <f t="shared" si="2"/>
        <v>41691</v>
      </c>
      <c r="S34" s="5">
        <f t="shared" si="3"/>
        <v>15.63</v>
      </c>
      <c r="T34" s="5">
        <f t="shared" si="4"/>
        <v>14.99</v>
      </c>
      <c r="U34" s="5">
        <f t="shared" si="5"/>
        <v>15.68</v>
      </c>
      <c r="V34" s="5">
        <f t="shared" si="6"/>
        <v>14.95</v>
      </c>
    </row>
    <row r="35" spans="1:22">
      <c r="A35" s="33" t="str">
        <f>IF(Tabela176[[#This Row],[Código]]="IBOV","^BVSP",IF(Tabela176[[#This Row],[Código]]="","",CONCATENATE(LEFT(Tabela176[[#This Row],[Código]],6),".SA")))</f>
        <v>GOAU3.SA</v>
      </c>
      <c r="C35" s="3" t="s">
        <v>619</v>
      </c>
      <c r="D35" s="3" t="s">
        <v>1561</v>
      </c>
      <c r="E35" s="3" t="s">
        <v>1544</v>
      </c>
      <c r="F35" s="3" t="s">
        <v>1558</v>
      </c>
      <c r="G35" s="3" t="s">
        <v>1544</v>
      </c>
      <c r="H35" s="51">
        <v>41691</v>
      </c>
      <c r="J35" s="3">
        <f t="shared" si="7"/>
        <v>15.52</v>
      </c>
      <c r="K35" s="3">
        <f t="shared" si="7"/>
        <v>15.25</v>
      </c>
      <c r="L35" s="3">
        <f t="shared" si="7"/>
        <v>15.53</v>
      </c>
      <c r="M35" s="3">
        <f t="shared" si="7"/>
        <v>15.25</v>
      </c>
      <c r="P35" s="14" t="s">
        <v>617</v>
      </c>
      <c r="Q35" s="10" t="str">
        <f t="shared" si="1"/>
        <v xml:space="preserve">GERDAU MET  -ON  </v>
      </c>
      <c r="R35" s="51">
        <f t="shared" si="2"/>
        <v>41691</v>
      </c>
      <c r="S35" s="5">
        <f t="shared" si="3"/>
        <v>15.52</v>
      </c>
      <c r="T35" s="5">
        <f t="shared" si="4"/>
        <v>15.25</v>
      </c>
      <c r="U35" s="5">
        <f t="shared" si="5"/>
        <v>15.53</v>
      </c>
      <c r="V35" s="5">
        <f t="shared" si="6"/>
        <v>15.25</v>
      </c>
    </row>
    <row r="36" spans="1:22">
      <c r="A36" s="33" t="str">
        <f>IF(Tabela176[[#This Row],[Código]]="IBOV","^BVSP",IF(Tabela176[[#This Row],[Código]]="","",CONCATENATE(LEFT(Tabela176[[#This Row],[Código]],6),".SA")))</f>
        <v>GOAU4.SA</v>
      </c>
      <c r="C36" s="3" t="s">
        <v>620</v>
      </c>
      <c r="D36" s="3" t="s">
        <v>1836</v>
      </c>
      <c r="E36" s="3" t="s">
        <v>1526</v>
      </c>
      <c r="F36" s="3" t="s">
        <v>1837</v>
      </c>
      <c r="G36" s="3" t="s">
        <v>1526</v>
      </c>
      <c r="H36" s="51">
        <v>41691</v>
      </c>
      <c r="J36" s="3">
        <f t="shared" si="7"/>
        <v>19.21</v>
      </c>
      <c r="K36" s="3">
        <f t="shared" si="7"/>
        <v>18.670000000000002</v>
      </c>
      <c r="L36" s="3">
        <f t="shared" si="7"/>
        <v>19.47</v>
      </c>
      <c r="M36" s="3">
        <f t="shared" si="7"/>
        <v>18.670000000000002</v>
      </c>
      <c r="P36" s="14" t="s">
        <v>618</v>
      </c>
      <c r="Q36" s="10" t="str">
        <f t="shared" si="1"/>
        <v xml:space="preserve">GERDAU MET  -PN  </v>
      </c>
      <c r="R36" s="51">
        <f t="shared" si="2"/>
        <v>41691</v>
      </c>
      <c r="S36" s="5">
        <f t="shared" si="3"/>
        <v>19.21</v>
      </c>
      <c r="T36" s="5">
        <f t="shared" si="4"/>
        <v>18.670000000000002</v>
      </c>
      <c r="U36" s="5">
        <f t="shared" si="5"/>
        <v>19.47</v>
      </c>
      <c r="V36" s="5">
        <f t="shared" si="6"/>
        <v>18.670000000000002</v>
      </c>
    </row>
    <row r="37" spans="1:22">
      <c r="A37" s="33" t="str">
        <f>IF(Tabela176[[#This Row],[Código]]="IBOV","^BVSP",IF(Tabela176[[#This Row],[Código]]="","",CONCATENATE(LEFT(Tabela176[[#This Row],[Código]],6),".SA")))</f>
        <v>FBMC3.SA</v>
      </c>
      <c r="C37" s="3" t="s">
        <v>623</v>
      </c>
      <c r="D37" s="3" t="s">
        <v>442</v>
      </c>
      <c r="E37" s="3" t="s">
        <v>624</v>
      </c>
      <c r="F37" s="3" t="s">
        <v>624</v>
      </c>
      <c r="G37" s="3" t="s">
        <v>624</v>
      </c>
      <c r="H37" s="51">
        <v>41691</v>
      </c>
      <c r="J37" s="3" t="e">
        <f t="shared" si="7"/>
        <v>#VALUE!</v>
      </c>
      <c r="K37" s="3">
        <f t="shared" si="7"/>
        <v>80</v>
      </c>
      <c r="L37" s="3">
        <f t="shared" si="7"/>
        <v>80</v>
      </c>
      <c r="M37" s="3">
        <f t="shared" si="7"/>
        <v>80</v>
      </c>
      <c r="P37" s="15" t="s">
        <v>621</v>
      </c>
      <c r="Q37" s="10" t="str">
        <f t="shared" si="1"/>
        <v>FIBAM       -ON</v>
      </c>
      <c r="R37" s="51">
        <f t="shared" si="2"/>
        <v>41691</v>
      </c>
      <c r="S37" s="5" t="e">
        <f t="shared" si="3"/>
        <v>#VALUE!</v>
      </c>
      <c r="T37" s="5">
        <f t="shared" si="4"/>
        <v>80</v>
      </c>
      <c r="U37" s="5">
        <f t="shared" si="5"/>
        <v>80</v>
      </c>
      <c r="V37" s="5">
        <f t="shared" si="6"/>
        <v>80</v>
      </c>
    </row>
    <row r="38" spans="1:22">
      <c r="A38" s="33" t="str">
        <f>IF(Tabela176[[#This Row],[Código]]="IBOV","^BVSP",IF(Tabela176[[#This Row],[Código]]="","",CONCATENATE(LEFT(Tabela176[[#This Row],[Código]],6),".SA")))</f>
        <v>FBMC4.SA</v>
      </c>
      <c r="C38" s="3" t="s">
        <v>625</v>
      </c>
      <c r="D38" s="3" t="s">
        <v>774</v>
      </c>
      <c r="E38" s="3" t="s">
        <v>774</v>
      </c>
      <c r="F38" s="3" t="s">
        <v>774</v>
      </c>
      <c r="G38" s="3" t="s">
        <v>774</v>
      </c>
      <c r="H38" s="51">
        <v>41691</v>
      </c>
      <c r="J38" s="3">
        <f t="shared" si="7"/>
        <v>25.99</v>
      </c>
      <c r="K38" s="3">
        <f t="shared" si="7"/>
        <v>25.99</v>
      </c>
      <c r="L38" s="3">
        <f t="shared" si="7"/>
        <v>25.99</v>
      </c>
      <c r="M38" s="3">
        <f t="shared" si="7"/>
        <v>25.99</v>
      </c>
      <c r="P38" s="15" t="s">
        <v>622</v>
      </c>
      <c r="Q38" s="10" t="str">
        <f t="shared" si="1"/>
        <v>FIBAM       -PN</v>
      </c>
      <c r="R38" s="51">
        <f t="shared" si="2"/>
        <v>41691</v>
      </c>
      <c r="S38" s="5">
        <f t="shared" si="3"/>
        <v>25.99</v>
      </c>
      <c r="T38" s="5">
        <f t="shared" si="4"/>
        <v>25.99</v>
      </c>
      <c r="U38" s="5">
        <f t="shared" si="5"/>
        <v>25.99</v>
      </c>
      <c r="V38" s="5">
        <f t="shared" si="6"/>
        <v>25.99</v>
      </c>
    </row>
    <row r="39" spans="1:22">
      <c r="A39" s="33" t="str">
        <f>IF(Tabela176[[#This Row],[Código]]="IBOV","^BVSP",IF(Tabela176[[#This Row],[Código]]="","",CONCATENATE(LEFT(Tabela176[[#This Row],[Código]],6),".SA")))</f>
        <v>MGEL3.SA</v>
      </c>
      <c r="C39" s="3" t="s">
        <v>628</v>
      </c>
      <c r="D39" s="3" t="s">
        <v>442</v>
      </c>
      <c r="E39" s="3" t="s">
        <v>629</v>
      </c>
      <c r="F39" s="3" t="s">
        <v>629</v>
      </c>
      <c r="G39" s="3" t="s">
        <v>629</v>
      </c>
      <c r="H39" s="51">
        <v>41691</v>
      </c>
      <c r="J39" s="3" t="e">
        <f t="shared" si="7"/>
        <v>#VALUE!</v>
      </c>
      <c r="K39" s="3">
        <f t="shared" si="7"/>
        <v>25</v>
      </c>
      <c r="L39" s="3">
        <f t="shared" si="7"/>
        <v>25</v>
      </c>
      <c r="M39" s="3">
        <f t="shared" si="7"/>
        <v>25</v>
      </c>
      <c r="P39" s="14" t="s">
        <v>626</v>
      </c>
      <c r="Q39" s="10" t="str">
        <f t="shared" ref="Q39:Q70" si="8">IF(A39="","",C39)</f>
        <v xml:space="preserve">MANGELS INDL-ON  </v>
      </c>
      <c r="R39" s="51">
        <f t="shared" ref="R39:R70" si="9">IF(A39="","",H39)</f>
        <v>41691</v>
      </c>
      <c r="S39" s="5" t="e">
        <f t="shared" ref="S39:S70" si="10">J39</f>
        <v>#VALUE!</v>
      </c>
      <c r="T39" s="5">
        <f t="shared" ref="T39:T70" si="11">K39</f>
        <v>25</v>
      </c>
      <c r="U39" s="5">
        <f t="shared" ref="U39:U70" si="12">L39</f>
        <v>25</v>
      </c>
      <c r="V39" s="5">
        <f t="shared" ref="V39:V70" si="13">M39</f>
        <v>25</v>
      </c>
    </row>
    <row r="40" spans="1:22">
      <c r="A40" s="33" t="str">
        <f>IF(Tabela176[[#This Row],[Código]]="IBOV","^BVSP",IF(Tabela176[[#This Row],[Código]]="","",CONCATENATE(LEFT(Tabela176[[#This Row],[Código]],6),".SA")))</f>
        <v>MGEL4.SA</v>
      </c>
      <c r="C40" s="3" t="s">
        <v>630</v>
      </c>
      <c r="D40" s="3" t="s">
        <v>1257</v>
      </c>
      <c r="E40" s="3" t="s">
        <v>1838</v>
      </c>
      <c r="F40" s="3" t="s">
        <v>1838</v>
      </c>
      <c r="G40" s="3" t="s">
        <v>1257</v>
      </c>
      <c r="H40" s="51">
        <v>41691</v>
      </c>
      <c r="J40" s="3">
        <f t="shared" si="7"/>
        <v>0.55000000000000004</v>
      </c>
      <c r="K40" s="3">
        <f t="shared" si="7"/>
        <v>0.57999999999999996</v>
      </c>
      <c r="L40" s="3">
        <f t="shared" si="7"/>
        <v>0.57999999999999996</v>
      </c>
      <c r="M40" s="3">
        <f t="shared" si="7"/>
        <v>0.55000000000000004</v>
      </c>
      <c r="P40" s="14" t="s">
        <v>627</v>
      </c>
      <c r="Q40" s="10" t="str">
        <f t="shared" si="8"/>
        <v xml:space="preserve">MANGELS INDL-PN  </v>
      </c>
      <c r="R40" s="51">
        <f t="shared" si="9"/>
        <v>41691</v>
      </c>
      <c r="S40" s="5">
        <f t="shared" si="10"/>
        <v>0.55000000000000004</v>
      </c>
      <c r="T40" s="5">
        <f t="shared" si="11"/>
        <v>0.57999999999999996</v>
      </c>
      <c r="U40" s="5">
        <f t="shared" si="12"/>
        <v>0.57999999999999996</v>
      </c>
      <c r="V40" s="5">
        <f t="shared" si="13"/>
        <v>0.55000000000000004</v>
      </c>
    </row>
    <row r="41" spans="1:22">
      <c r="A41" s="33" t="str">
        <f>IF(Tabela176[[#This Row],[Código]]="IBOV","^BVSP",IF(Tabela176[[#This Row],[Código]]="","",CONCATENATE(LEFT(Tabela176[[#This Row],[Código]],6),".SA")))</f>
        <v>DUQE3.SA</v>
      </c>
      <c r="C41" s="3" t="s">
        <v>633</v>
      </c>
      <c r="D41" s="3" t="s">
        <v>442</v>
      </c>
      <c r="E41" s="3" t="s">
        <v>634</v>
      </c>
      <c r="F41" s="3" t="s">
        <v>634</v>
      </c>
      <c r="G41" s="3" t="s">
        <v>634</v>
      </c>
      <c r="H41" s="51">
        <v>41691</v>
      </c>
      <c r="J41" s="3" t="e">
        <f t="shared" si="7"/>
        <v>#VALUE!</v>
      </c>
      <c r="K41" s="3">
        <f t="shared" si="7"/>
        <v>28</v>
      </c>
      <c r="L41" s="3">
        <f t="shared" si="7"/>
        <v>28</v>
      </c>
      <c r="M41" s="3">
        <f t="shared" si="7"/>
        <v>28</v>
      </c>
      <c r="P41" s="14" t="s">
        <v>631</v>
      </c>
      <c r="Q41" s="10" t="str">
        <f t="shared" si="8"/>
        <v>MET DUQUE   -ON</v>
      </c>
      <c r="R41" s="51">
        <f t="shared" si="9"/>
        <v>41691</v>
      </c>
      <c r="S41" s="5" t="e">
        <f t="shared" si="10"/>
        <v>#VALUE!</v>
      </c>
      <c r="T41" s="5">
        <f t="shared" si="11"/>
        <v>28</v>
      </c>
      <c r="U41" s="5">
        <f t="shared" si="12"/>
        <v>28</v>
      </c>
      <c r="V41" s="5">
        <f t="shared" si="13"/>
        <v>28</v>
      </c>
    </row>
    <row r="42" spans="1:22">
      <c r="A42" s="33" t="str">
        <f>IF(Tabela176[[#This Row],[Código]]="IBOV","^BVSP",IF(Tabela176[[#This Row],[Código]]="","",CONCATENATE(LEFT(Tabela176[[#This Row],[Código]],6),".SA")))</f>
        <v>DUQE4.SA</v>
      </c>
      <c r="C42" s="3" t="s">
        <v>635</v>
      </c>
      <c r="D42" s="3" t="s">
        <v>732</v>
      </c>
      <c r="E42" s="3" t="s">
        <v>737</v>
      </c>
      <c r="F42" s="3" t="s">
        <v>737</v>
      </c>
      <c r="G42" s="3" t="s">
        <v>732</v>
      </c>
      <c r="H42" s="51">
        <v>41691</v>
      </c>
      <c r="J42" s="3">
        <f t="shared" si="7"/>
        <v>4.9000000000000004</v>
      </c>
      <c r="K42" s="3">
        <f t="shared" si="7"/>
        <v>5</v>
      </c>
      <c r="L42" s="3">
        <f t="shared" si="7"/>
        <v>5</v>
      </c>
      <c r="M42" s="3">
        <f t="shared" si="7"/>
        <v>4.9000000000000004</v>
      </c>
      <c r="P42" s="14" t="s">
        <v>632</v>
      </c>
      <c r="Q42" s="10" t="str">
        <f t="shared" si="8"/>
        <v>MET DUQUE   -PN</v>
      </c>
      <c r="R42" s="51">
        <f t="shared" si="9"/>
        <v>41691</v>
      </c>
      <c r="S42" s="5">
        <f t="shared" si="10"/>
        <v>4.9000000000000004</v>
      </c>
      <c r="T42" s="5">
        <f t="shared" si="11"/>
        <v>5</v>
      </c>
      <c r="U42" s="5">
        <f t="shared" si="12"/>
        <v>5</v>
      </c>
      <c r="V42" s="5">
        <f t="shared" si="13"/>
        <v>4.9000000000000004</v>
      </c>
    </row>
    <row r="43" spans="1:22">
      <c r="A43" s="33" t="str">
        <f>IF(Tabela176[[#This Row],[Código]]="IBOV","^BVSP",IF(Tabela176[[#This Row],[Código]]="","",CONCATENATE(LEFT(Tabela176[[#This Row],[Código]],6),".SA")))</f>
        <v>PMAM3.SA</v>
      </c>
      <c r="C43" s="3" t="s">
        <v>638</v>
      </c>
      <c r="D43" s="3" t="s">
        <v>1839</v>
      </c>
      <c r="E43" s="3" t="s">
        <v>1840</v>
      </c>
      <c r="F43" s="3" t="s">
        <v>1541</v>
      </c>
      <c r="G43" s="3" t="s">
        <v>1839</v>
      </c>
      <c r="H43" s="51">
        <v>41691</v>
      </c>
      <c r="J43" s="3">
        <f t="shared" si="7"/>
        <v>3.7</v>
      </c>
      <c r="K43" s="3">
        <f t="shared" si="7"/>
        <v>3.73</v>
      </c>
      <c r="L43" s="3">
        <f t="shared" si="7"/>
        <v>3.77</v>
      </c>
      <c r="M43" s="3">
        <f t="shared" si="7"/>
        <v>3.7</v>
      </c>
      <c r="P43" s="14" t="s">
        <v>637</v>
      </c>
      <c r="Q43" s="10" t="str">
        <f t="shared" si="8"/>
        <v xml:space="preserve">PARANAPANEMA-ON  </v>
      </c>
      <c r="R43" s="51">
        <f t="shared" si="9"/>
        <v>41691</v>
      </c>
      <c r="S43" s="5">
        <f t="shared" si="10"/>
        <v>3.7</v>
      </c>
      <c r="T43" s="5">
        <f t="shared" si="11"/>
        <v>3.73</v>
      </c>
      <c r="U43" s="5">
        <f t="shared" si="12"/>
        <v>3.77</v>
      </c>
      <c r="V43" s="5">
        <f t="shared" si="13"/>
        <v>3.7</v>
      </c>
    </row>
    <row r="44" spans="1:22">
      <c r="A44" s="33" t="str">
        <f>IF(Tabela176[[#This Row],[Código]]="IBOV","^BVSP",IF(Tabela176[[#This Row],[Código]]="","",CONCATENATE(LEFT(Tabela176[[#This Row],[Código]],6),".SA")))</f>
        <v>TIBR3.SA</v>
      </c>
      <c r="C44" s="3" t="s">
        <v>644</v>
      </c>
      <c r="D44" s="3" t="s">
        <v>442</v>
      </c>
      <c r="E44" s="3" t="s">
        <v>533</v>
      </c>
      <c r="F44" s="3" t="s">
        <v>533</v>
      </c>
      <c r="G44" s="3" t="s">
        <v>533</v>
      </c>
      <c r="H44" s="51">
        <v>41691</v>
      </c>
      <c r="J44" s="3" t="e">
        <f t="shared" si="7"/>
        <v>#VALUE!</v>
      </c>
      <c r="K44" s="3">
        <f t="shared" si="7"/>
        <v>0.18</v>
      </c>
      <c r="L44" s="3">
        <f t="shared" si="7"/>
        <v>0.18</v>
      </c>
      <c r="M44" s="3">
        <f t="shared" si="7"/>
        <v>0.18</v>
      </c>
      <c r="P44" s="14" t="s">
        <v>640</v>
      </c>
      <c r="Q44" s="10" t="str">
        <f t="shared" si="8"/>
        <v>MILLENNIUM  -ON</v>
      </c>
      <c r="R44" s="51">
        <f t="shared" si="9"/>
        <v>41691</v>
      </c>
      <c r="S44" s="5" t="e">
        <f t="shared" si="10"/>
        <v>#VALUE!</v>
      </c>
      <c r="T44" s="5">
        <f t="shared" si="11"/>
        <v>0.18</v>
      </c>
      <c r="U44" s="5">
        <f t="shared" si="12"/>
        <v>0.18</v>
      </c>
      <c r="V44" s="5">
        <f t="shared" si="13"/>
        <v>0.18</v>
      </c>
    </row>
    <row r="45" spans="1:22">
      <c r="A45" s="33" t="str">
        <f>IF(Tabela176[[#This Row],[Código]]="IBOV","^BVSP",IF(Tabela176[[#This Row],[Código]]="","",CONCATENATE(LEFT(Tabela176[[#This Row],[Código]],6),".SA")))</f>
        <v>TIBR5.SA</v>
      </c>
      <c r="C45" s="3" t="s">
        <v>645</v>
      </c>
      <c r="D45" s="3" t="s">
        <v>731</v>
      </c>
      <c r="E45" s="3" t="s">
        <v>731</v>
      </c>
      <c r="F45" s="3" t="s">
        <v>731</v>
      </c>
      <c r="G45" s="3" t="s">
        <v>731</v>
      </c>
      <c r="H45" s="51">
        <v>41691</v>
      </c>
      <c r="J45" s="3">
        <f t="shared" si="7"/>
        <v>0.24</v>
      </c>
      <c r="K45" s="3">
        <f t="shared" si="7"/>
        <v>0.24</v>
      </c>
      <c r="L45" s="3">
        <f t="shared" si="7"/>
        <v>0.24</v>
      </c>
      <c r="M45" s="3">
        <f t="shared" si="7"/>
        <v>0.24</v>
      </c>
      <c r="P45" s="14" t="s">
        <v>641</v>
      </c>
      <c r="Q45" s="10" t="str">
        <f t="shared" si="8"/>
        <v>MILLENNIUM  -PNA</v>
      </c>
      <c r="R45" s="51">
        <f t="shared" si="9"/>
        <v>41691</v>
      </c>
      <c r="S45" s="5">
        <f t="shared" si="10"/>
        <v>0.24</v>
      </c>
      <c r="T45" s="5">
        <f t="shared" si="11"/>
        <v>0.24</v>
      </c>
      <c r="U45" s="5">
        <f t="shared" si="12"/>
        <v>0.24</v>
      </c>
      <c r="V45" s="5">
        <f t="shared" si="13"/>
        <v>0.24</v>
      </c>
    </row>
    <row r="46" spans="1:22">
      <c r="A46" s="33" t="str">
        <f>IF(Tabela176[[#This Row],[Código]]="IBOV","^BVSP",IF(Tabela176[[#This Row],[Código]]="","",CONCATENATE(LEFT(Tabela176[[#This Row],[Código]],6),".SA")))</f>
        <v>TIBR6.SA</v>
      </c>
      <c r="C46" s="3" t="s">
        <v>646</v>
      </c>
      <c r="D46" s="3" t="s">
        <v>731</v>
      </c>
      <c r="E46" s="3" t="s">
        <v>731</v>
      </c>
      <c r="F46" s="3" t="s">
        <v>731</v>
      </c>
      <c r="G46" s="3" t="s">
        <v>731</v>
      </c>
      <c r="H46" s="51">
        <v>41691</v>
      </c>
      <c r="J46" s="3">
        <f t="shared" si="7"/>
        <v>0.24</v>
      </c>
      <c r="K46" s="3">
        <f t="shared" si="7"/>
        <v>0.24</v>
      </c>
      <c r="L46" s="3">
        <f t="shared" si="7"/>
        <v>0.24</v>
      </c>
      <c r="M46" s="3">
        <f t="shared" si="7"/>
        <v>0.24</v>
      </c>
      <c r="P46" s="14" t="s">
        <v>642</v>
      </c>
      <c r="Q46" s="10" t="str">
        <f t="shared" si="8"/>
        <v>MILLENNIUM  -PNB</v>
      </c>
      <c r="R46" s="46">
        <f t="shared" si="9"/>
        <v>41691</v>
      </c>
      <c r="S46" s="6">
        <f t="shared" si="10"/>
        <v>0.24</v>
      </c>
      <c r="T46" s="6">
        <f t="shared" si="11"/>
        <v>0.24</v>
      </c>
      <c r="U46" s="6">
        <f t="shared" si="12"/>
        <v>0.24</v>
      </c>
      <c r="V46" s="6">
        <f t="shared" si="13"/>
        <v>0.24</v>
      </c>
    </row>
    <row r="47" spans="1:22">
      <c r="A47" s="33" t="str">
        <f>IF(Tabela176[[#This Row],[Código]]="IBOV","^BVSP",IF(Tabela176[[#This Row],[Código]]="","",CONCATENATE(LEFT(Tabela176[[#This Row],[Código]],6),".SA")))</f>
        <v>GPCP3.SA</v>
      </c>
      <c r="C47" s="3" t="s">
        <v>664</v>
      </c>
      <c r="D47" s="3" t="s">
        <v>405</v>
      </c>
      <c r="E47" s="3" t="s">
        <v>405</v>
      </c>
      <c r="F47" s="3" t="s">
        <v>405</v>
      </c>
      <c r="G47" s="3" t="s">
        <v>405</v>
      </c>
      <c r="H47" s="51">
        <v>41691</v>
      </c>
      <c r="J47" s="3">
        <f t="shared" si="7"/>
        <v>0.5</v>
      </c>
      <c r="K47" s="3">
        <f t="shared" si="7"/>
        <v>0.5</v>
      </c>
      <c r="L47" s="3">
        <f t="shared" si="7"/>
        <v>0.5</v>
      </c>
      <c r="M47" s="3">
        <f t="shared" si="7"/>
        <v>0.5</v>
      </c>
      <c r="P47" s="14" t="s">
        <v>663</v>
      </c>
      <c r="Q47" s="10" t="str">
        <f t="shared" si="8"/>
        <v>GPC PART    -ON</v>
      </c>
      <c r="R47" s="51">
        <f t="shared" si="9"/>
        <v>41691</v>
      </c>
      <c r="S47" s="5">
        <f t="shared" si="10"/>
        <v>0.5</v>
      </c>
      <c r="T47" s="5">
        <f t="shared" si="11"/>
        <v>0.5</v>
      </c>
      <c r="U47" s="5">
        <f t="shared" si="12"/>
        <v>0.5</v>
      </c>
      <c r="V47" s="5">
        <f t="shared" si="13"/>
        <v>0.5</v>
      </c>
    </row>
    <row r="48" spans="1:22">
      <c r="A48" s="33" t="str">
        <f>IF(Tabela176[[#This Row],[Código]]="IBOV","^BVSP",IF(Tabela176[[#This Row],[Código]]="","",CONCATENATE(LEFT(Tabela176[[#This Row],[Código]],6),".SA")))</f>
        <v>RHDS3.SA</v>
      </c>
      <c r="C48" s="3" t="s">
        <v>666</v>
      </c>
      <c r="D48" s="3" t="s">
        <v>808</v>
      </c>
      <c r="E48" s="3" t="s">
        <v>808</v>
      </c>
      <c r="F48" s="3" t="s">
        <v>808</v>
      </c>
      <c r="G48" s="3" t="s">
        <v>808</v>
      </c>
      <c r="H48" s="51">
        <v>41691</v>
      </c>
      <c r="J48" s="3">
        <f t="shared" si="7"/>
        <v>7.0000000000000007E-2</v>
      </c>
      <c r="K48" s="3">
        <f t="shared" si="7"/>
        <v>7.0000000000000007E-2</v>
      </c>
      <c r="L48" s="3">
        <f t="shared" si="7"/>
        <v>7.0000000000000007E-2</v>
      </c>
      <c r="M48" s="3">
        <f t="shared" si="7"/>
        <v>7.0000000000000007E-2</v>
      </c>
      <c r="P48" s="14" t="s">
        <v>665</v>
      </c>
      <c r="Q48" s="10" t="str">
        <f t="shared" si="8"/>
        <v>M G POLIEST -ON</v>
      </c>
      <c r="R48" s="51">
        <f t="shared" si="9"/>
        <v>41691</v>
      </c>
      <c r="S48" s="5">
        <f t="shared" si="10"/>
        <v>7.0000000000000007E-2</v>
      </c>
      <c r="T48" s="5">
        <f t="shared" si="11"/>
        <v>7.0000000000000007E-2</v>
      </c>
      <c r="U48" s="5">
        <f t="shared" si="12"/>
        <v>7.0000000000000007E-2</v>
      </c>
      <c r="V48" s="5">
        <f t="shared" si="13"/>
        <v>7.0000000000000007E-2</v>
      </c>
    </row>
    <row r="49" spans="1:22">
      <c r="A49" s="33" t="str">
        <f>IF(Tabela176[[#This Row],[Código]]="IBOV","^BVSP",IF(Tabela176[[#This Row],[Código]]="","",CONCATENATE(LEFT(Tabela176[[#This Row],[Código]],6),".SA")))</f>
        <v>NUTR3M.SA</v>
      </c>
      <c r="C49" s="3" t="s">
        <v>331</v>
      </c>
      <c r="D49" s="3" t="s">
        <v>707</v>
      </c>
      <c r="E49" s="3" t="s">
        <v>707</v>
      </c>
      <c r="F49" s="3" t="s">
        <v>707</v>
      </c>
      <c r="G49" s="3" t="s">
        <v>707</v>
      </c>
      <c r="H49" s="51">
        <v>41670</v>
      </c>
      <c r="J49" s="3">
        <f t="shared" si="7"/>
        <v>1.51</v>
      </c>
      <c r="K49" s="3">
        <f t="shared" si="7"/>
        <v>1.51</v>
      </c>
      <c r="L49" s="3">
        <f t="shared" si="7"/>
        <v>1.51</v>
      </c>
      <c r="M49" s="3">
        <f t="shared" si="7"/>
        <v>1.51</v>
      </c>
      <c r="P49" s="15" t="s">
        <v>330</v>
      </c>
      <c r="Q49" s="10" t="str">
        <f t="shared" si="8"/>
        <v xml:space="preserve">NUTRIPLANT  -ON  </v>
      </c>
      <c r="R49" s="51">
        <f t="shared" si="9"/>
        <v>41670</v>
      </c>
      <c r="S49" s="5">
        <f t="shared" si="10"/>
        <v>1.51</v>
      </c>
      <c r="T49" s="5">
        <f t="shared" si="11"/>
        <v>1.51</v>
      </c>
      <c r="U49" s="5">
        <f t="shared" si="12"/>
        <v>1.51</v>
      </c>
      <c r="V49" s="5">
        <f t="shared" si="13"/>
        <v>1.51</v>
      </c>
    </row>
    <row r="50" spans="1:22">
      <c r="A50" s="33" t="str">
        <f>IF(Tabela176[[#This Row],[Código]]="IBOV","^BVSP",IF(Tabela176[[#This Row],[Código]]="","",CONCATENATE(LEFT(Tabela176[[#This Row],[Código]],6),".SA")))</f>
        <v>CCXC3.SA</v>
      </c>
      <c r="C50" s="3" t="s">
        <v>671</v>
      </c>
      <c r="D50" s="3" t="s">
        <v>804</v>
      </c>
      <c r="E50" s="3" t="s">
        <v>1522</v>
      </c>
      <c r="F50" s="3" t="s">
        <v>1841</v>
      </c>
      <c r="G50" s="3" t="s">
        <v>804</v>
      </c>
      <c r="H50" s="51">
        <v>41691</v>
      </c>
      <c r="J50" s="3">
        <f t="shared" si="7"/>
        <v>1.01</v>
      </c>
      <c r="K50" s="3">
        <f t="shared" si="7"/>
        <v>1.04</v>
      </c>
      <c r="L50" s="3">
        <f t="shared" si="7"/>
        <v>1.05</v>
      </c>
      <c r="M50" s="3">
        <f t="shared" si="7"/>
        <v>1.01</v>
      </c>
      <c r="P50" s="15" t="s">
        <v>670</v>
      </c>
      <c r="Q50" s="10" t="str">
        <f t="shared" si="8"/>
        <v xml:space="preserve">CCX CARVAO  -ON  </v>
      </c>
      <c r="R50" s="46">
        <f t="shared" si="9"/>
        <v>41691</v>
      </c>
      <c r="S50" s="6">
        <f t="shared" si="10"/>
        <v>1.01</v>
      </c>
      <c r="T50" s="6">
        <f t="shared" si="11"/>
        <v>1.04</v>
      </c>
      <c r="U50" s="6">
        <f t="shared" si="12"/>
        <v>1.05</v>
      </c>
      <c r="V50" s="6">
        <f t="shared" si="13"/>
        <v>1.01</v>
      </c>
    </row>
    <row r="51" spans="1:22">
      <c r="A51" s="33" t="str">
        <f>IF(Tabela176[[#This Row],[Código]]="IBOV","^BVSP",IF(Tabela176[[#This Row],[Código]]="","",CONCATENATE(LEFT(Tabela176[[#This Row],[Código]],6),".SA")))</f>
        <v>MMXM3.SA</v>
      </c>
      <c r="C51" s="3" t="s">
        <v>674</v>
      </c>
      <c r="D51" s="3" t="s">
        <v>1842</v>
      </c>
      <c r="E51" s="3" t="s">
        <v>1843</v>
      </c>
      <c r="F51" s="3" t="s">
        <v>1844</v>
      </c>
      <c r="G51" s="3" t="s">
        <v>1842</v>
      </c>
      <c r="H51" s="51">
        <v>41691</v>
      </c>
      <c r="J51" s="3">
        <f t="shared" si="7"/>
        <v>3.05</v>
      </c>
      <c r="K51" s="3">
        <f t="shared" si="7"/>
        <v>3.24</v>
      </c>
      <c r="L51" s="3">
        <f t="shared" si="7"/>
        <v>3.28</v>
      </c>
      <c r="M51" s="3">
        <f t="shared" si="7"/>
        <v>3.05</v>
      </c>
      <c r="P51" s="14" t="s">
        <v>673</v>
      </c>
      <c r="Q51" s="10" t="str">
        <f t="shared" si="8"/>
        <v xml:space="preserve">MMX MINER   -ON  </v>
      </c>
      <c r="R51" s="51">
        <f t="shared" si="9"/>
        <v>41691</v>
      </c>
      <c r="S51" s="5">
        <f t="shared" si="10"/>
        <v>3.05</v>
      </c>
      <c r="T51" s="5">
        <f t="shared" si="11"/>
        <v>3.24</v>
      </c>
      <c r="U51" s="5">
        <f t="shared" si="12"/>
        <v>3.28</v>
      </c>
      <c r="V51" s="5">
        <f t="shared" si="13"/>
        <v>3.05</v>
      </c>
    </row>
    <row r="52" spans="1:22">
      <c r="A52" s="33" t="str">
        <f>IF(Tabela176[[#This Row],[Código]]="IBOV","^BVSP",IF(Tabela176[[#This Row],[Código]]="","",CONCATENATE(LEFT(Tabela176[[#This Row],[Código]],6),".SA")))</f>
        <v>SNSY3.SA</v>
      </c>
      <c r="C52" s="3" t="s">
        <v>680</v>
      </c>
      <c r="D52" s="3" t="s">
        <v>681</v>
      </c>
      <c r="E52" s="3" t="s">
        <v>682</v>
      </c>
      <c r="F52" s="3" t="s">
        <v>682</v>
      </c>
      <c r="G52" s="3" t="s">
        <v>681</v>
      </c>
      <c r="H52" s="51">
        <v>41691</v>
      </c>
      <c r="J52" s="3">
        <f t="shared" si="7"/>
        <v>1.34</v>
      </c>
      <c r="K52" s="3">
        <f t="shared" si="7"/>
        <v>2</v>
      </c>
      <c r="L52" s="3">
        <f t="shared" si="7"/>
        <v>2</v>
      </c>
      <c r="M52" s="3">
        <f t="shared" si="7"/>
        <v>1.34</v>
      </c>
      <c r="P52" s="14" t="s">
        <v>675</v>
      </c>
      <c r="Q52" s="10" t="str">
        <f t="shared" si="8"/>
        <v>SANSUY      -ON</v>
      </c>
      <c r="R52" s="51">
        <f t="shared" si="9"/>
        <v>41691</v>
      </c>
      <c r="S52" s="5">
        <f t="shared" si="10"/>
        <v>1.34</v>
      </c>
      <c r="T52" s="5">
        <f t="shared" si="11"/>
        <v>2</v>
      </c>
      <c r="U52" s="5">
        <f t="shared" si="12"/>
        <v>2</v>
      </c>
      <c r="V52" s="5">
        <f t="shared" si="13"/>
        <v>1.34</v>
      </c>
    </row>
    <row r="53" spans="1:22">
      <c r="A53" s="33" t="str">
        <f>IF(Tabela176[[#This Row],[Código]]="IBOV","^BVSP",IF(Tabela176[[#This Row],[Código]]="","",CONCATENATE(LEFT(Tabela176[[#This Row],[Código]],6),".SA")))</f>
        <v>SNSY5.SA</v>
      </c>
      <c r="C53" s="3" t="s">
        <v>683</v>
      </c>
      <c r="D53" s="3" t="s">
        <v>480</v>
      </c>
      <c r="E53" s="3" t="s">
        <v>984</v>
      </c>
      <c r="F53" s="3" t="s">
        <v>984</v>
      </c>
      <c r="G53" s="3" t="s">
        <v>480</v>
      </c>
      <c r="H53" s="51">
        <v>41691</v>
      </c>
      <c r="J53" s="3">
        <f t="shared" si="7"/>
        <v>0.75</v>
      </c>
      <c r="K53" s="3">
        <f t="shared" si="7"/>
        <v>0.77</v>
      </c>
      <c r="L53" s="3">
        <f t="shared" si="7"/>
        <v>0.77</v>
      </c>
      <c r="M53" s="3">
        <f t="shared" si="7"/>
        <v>0.75</v>
      </c>
      <c r="P53" s="14" t="s">
        <v>676</v>
      </c>
      <c r="Q53" s="10" t="str">
        <f t="shared" si="8"/>
        <v>SANSUY      -PNA</v>
      </c>
      <c r="R53" s="51">
        <f t="shared" si="9"/>
        <v>41691</v>
      </c>
      <c r="S53" s="5">
        <f t="shared" si="10"/>
        <v>0.75</v>
      </c>
      <c r="T53" s="5">
        <f t="shared" si="11"/>
        <v>0.77</v>
      </c>
      <c r="U53" s="5">
        <f t="shared" si="12"/>
        <v>0.77</v>
      </c>
      <c r="V53" s="5">
        <f t="shared" si="13"/>
        <v>0.75</v>
      </c>
    </row>
    <row r="54" spans="1:22">
      <c r="A54" s="33" t="str">
        <f>IF(Tabela176[[#This Row],[Código]]="IBOV","^BVSP",IF(Tabela176[[#This Row],[Código]]="","",CONCATENATE(LEFT(Tabela176[[#This Row],[Código]],6),".SA")))</f>
        <v>SNSY6.SA</v>
      </c>
      <c r="C54" s="3" t="s">
        <v>684</v>
      </c>
      <c r="D54" s="3" t="s">
        <v>442</v>
      </c>
      <c r="E54" s="61" t="s">
        <v>685</v>
      </c>
      <c r="F54" s="61" t="s">
        <v>685</v>
      </c>
      <c r="G54" s="61" t="s">
        <v>685</v>
      </c>
      <c r="H54" s="51">
        <v>41691</v>
      </c>
      <c r="J54" s="3" t="e">
        <f t="shared" si="7"/>
        <v>#VALUE!</v>
      </c>
      <c r="K54" s="3">
        <f t="shared" si="7"/>
        <v>3</v>
      </c>
      <c r="L54" s="3">
        <f t="shared" si="7"/>
        <v>3</v>
      </c>
      <c r="M54" s="3">
        <f t="shared" si="7"/>
        <v>3</v>
      </c>
      <c r="P54" s="14" t="s">
        <v>677</v>
      </c>
      <c r="Q54" s="10" t="str">
        <f t="shared" si="8"/>
        <v>SANSUY      -PNB</v>
      </c>
      <c r="R54" s="51">
        <f t="shared" si="9"/>
        <v>41691</v>
      </c>
      <c r="S54" s="5" t="e">
        <f t="shared" si="10"/>
        <v>#VALUE!</v>
      </c>
      <c r="T54" s="5">
        <f t="shared" si="11"/>
        <v>3</v>
      </c>
      <c r="U54" s="5">
        <f t="shared" si="12"/>
        <v>3</v>
      </c>
      <c r="V54" s="5">
        <f t="shared" si="13"/>
        <v>3</v>
      </c>
    </row>
    <row r="55" spans="1:22">
      <c r="A55" s="33" t="str">
        <f>IF(Tabela176[[#This Row],[Código]]="IBOV","^BVSP",IF(Tabela176[[#This Row],[Código]]="","",CONCATENATE(LEFT(Tabela176[[#This Row],[Código]],6),".SA")))</f>
        <v>MSPA3.SA</v>
      </c>
      <c r="C55" s="3" t="s">
        <v>688</v>
      </c>
      <c r="D55" s="3" t="s">
        <v>973</v>
      </c>
      <c r="E55" s="3" t="s">
        <v>973</v>
      </c>
      <c r="F55" s="3" t="s">
        <v>973</v>
      </c>
      <c r="G55" s="3" t="s">
        <v>973</v>
      </c>
      <c r="H55" s="51">
        <v>41691</v>
      </c>
      <c r="J55" s="3">
        <f t="shared" si="7"/>
        <v>27.3</v>
      </c>
      <c r="K55" s="3">
        <f t="shared" si="7"/>
        <v>27.3</v>
      </c>
      <c r="L55" s="3">
        <f t="shared" si="7"/>
        <v>27.3</v>
      </c>
      <c r="M55" s="3">
        <f t="shared" si="7"/>
        <v>27.3</v>
      </c>
      <c r="P55" s="43" t="s">
        <v>686</v>
      </c>
      <c r="Q55" s="10" t="str">
        <f t="shared" si="8"/>
        <v>MELHOR SP   -ON</v>
      </c>
      <c r="R55" s="51">
        <f t="shared" si="9"/>
        <v>41691</v>
      </c>
      <c r="S55" s="5">
        <f t="shared" si="10"/>
        <v>27.3</v>
      </c>
      <c r="T55" s="5">
        <f t="shared" si="11"/>
        <v>27.3</v>
      </c>
      <c r="U55" s="5">
        <f t="shared" si="12"/>
        <v>27.3</v>
      </c>
      <c r="V55" s="5">
        <f t="shared" si="13"/>
        <v>27.3</v>
      </c>
    </row>
    <row r="56" spans="1:22">
      <c r="A56" s="33" t="str">
        <f>IF(Tabela176[[#This Row],[Código]]="IBOV","^BVSP",IF(Tabela176[[#This Row],[Código]]="","",CONCATENATE(LEFT(Tabela176[[#This Row],[Código]],6),".SA")))</f>
        <v>MSPA4.SA</v>
      </c>
      <c r="C56" s="3" t="s">
        <v>689</v>
      </c>
      <c r="D56" s="3" t="s">
        <v>1845</v>
      </c>
      <c r="E56" s="3" t="s">
        <v>973</v>
      </c>
      <c r="F56" s="3" t="s">
        <v>1846</v>
      </c>
      <c r="G56" s="3" t="s">
        <v>973</v>
      </c>
      <c r="H56" s="51">
        <v>41691</v>
      </c>
      <c r="J56" s="3">
        <f t="shared" si="7"/>
        <v>27.31</v>
      </c>
      <c r="K56" s="3">
        <f t="shared" si="7"/>
        <v>27.3</v>
      </c>
      <c r="L56" s="3">
        <f t="shared" si="7"/>
        <v>27.53</v>
      </c>
      <c r="M56" s="3">
        <f t="shared" si="7"/>
        <v>27.3</v>
      </c>
      <c r="P56" s="15" t="s">
        <v>687</v>
      </c>
      <c r="Q56" s="10" t="str">
        <f t="shared" si="8"/>
        <v>MELHOR SP   -PN</v>
      </c>
      <c r="R56" s="51">
        <f t="shared" si="9"/>
        <v>41691</v>
      </c>
      <c r="S56" s="5">
        <f t="shared" si="10"/>
        <v>27.31</v>
      </c>
      <c r="T56" s="5">
        <f t="shared" si="11"/>
        <v>27.3</v>
      </c>
      <c r="U56" s="5">
        <f t="shared" si="12"/>
        <v>27.53</v>
      </c>
      <c r="V56" s="5">
        <f t="shared" si="13"/>
        <v>27.3</v>
      </c>
    </row>
    <row r="57" spans="1:22">
      <c r="A57" s="33" t="str">
        <f>IF(Tabela176[[#This Row],[Código]]="IBOV","^BVSP",IF(Tabela176[[#This Row],[Código]]="","",CONCATENATE(LEFT(Tabela176[[#This Row],[Código]],6),".SA")))</f>
        <v>FIBR3.SA</v>
      </c>
      <c r="C57" s="3" t="s">
        <v>691</v>
      </c>
      <c r="D57" s="3" t="s">
        <v>1847</v>
      </c>
      <c r="E57" s="3" t="s">
        <v>1848</v>
      </c>
      <c r="F57" s="3" t="s">
        <v>1849</v>
      </c>
      <c r="G57" s="3" t="s">
        <v>1850</v>
      </c>
      <c r="H57" s="51">
        <v>41691</v>
      </c>
      <c r="J57" s="3">
        <f t="shared" si="7"/>
        <v>25.87</v>
      </c>
      <c r="K57" s="3">
        <f t="shared" si="7"/>
        <v>26.27</v>
      </c>
      <c r="L57" s="3">
        <f t="shared" si="7"/>
        <v>26.47</v>
      </c>
      <c r="M57" s="3">
        <f t="shared" si="7"/>
        <v>25.83</v>
      </c>
      <c r="P57" s="10" t="s">
        <v>690</v>
      </c>
      <c r="Q57" s="10" t="str">
        <f t="shared" si="8"/>
        <v xml:space="preserve">FIBRIA      -ON  </v>
      </c>
      <c r="R57" s="51">
        <f t="shared" si="9"/>
        <v>41691</v>
      </c>
      <c r="S57" s="5">
        <f t="shared" si="10"/>
        <v>25.87</v>
      </c>
      <c r="T57" s="5">
        <f t="shared" si="11"/>
        <v>26.27</v>
      </c>
      <c r="U57" s="5">
        <f t="shared" si="12"/>
        <v>26.47</v>
      </c>
      <c r="V57" s="5">
        <f t="shared" si="13"/>
        <v>25.83</v>
      </c>
    </row>
    <row r="58" spans="1:22">
      <c r="A58" s="33" t="str">
        <f>IF(Tabela176[[#This Row],[Código]]="IBOV","^BVSP",IF(Tabela176[[#This Row],[Código]]="","",CONCATENATE(LEFT(Tabela176[[#This Row],[Código]],6),".SA")))</f>
        <v>KLBN11.SA</v>
      </c>
      <c r="C58" s="3" t="s">
        <v>693</v>
      </c>
      <c r="D58" s="3" t="s">
        <v>1851</v>
      </c>
      <c r="E58" s="3" t="s">
        <v>1852</v>
      </c>
      <c r="F58" s="3" t="s">
        <v>1853</v>
      </c>
      <c r="G58" s="3" t="s">
        <v>1854</v>
      </c>
      <c r="H58" s="51">
        <v>41691</v>
      </c>
      <c r="J58" s="3">
        <f t="shared" si="7"/>
        <v>60.66</v>
      </c>
      <c r="K58" s="3">
        <f t="shared" si="7"/>
        <v>60.46</v>
      </c>
      <c r="L58" s="3">
        <f t="shared" si="7"/>
        <v>61</v>
      </c>
      <c r="M58" s="3">
        <f t="shared" si="7"/>
        <v>60.05</v>
      </c>
      <c r="P58" s="14" t="s">
        <v>692</v>
      </c>
      <c r="Q58" s="10" t="str">
        <f t="shared" si="8"/>
        <v xml:space="preserve">KLABIN S/A  -UNT </v>
      </c>
      <c r="R58" s="51">
        <f t="shared" si="9"/>
        <v>41691</v>
      </c>
      <c r="S58" s="5">
        <f t="shared" si="10"/>
        <v>60.66</v>
      </c>
      <c r="T58" s="5">
        <f t="shared" si="11"/>
        <v>60.46</v>
      </c>
      <c r="U58" s="5">
        <f t="shared" si="12"/>
        <v>61</v>
      </c>
      <c r="V58" s="5">
        <f t="shared" si="13"/>
        <v>60.05</v>
      </c>
    </row>
    <row r="59" spans="1:22">
      <c r="A59" s="33" t="str">
        <f>IF(Tabela176[[#This Row],[Código]]="IBOV","^BVSP",IF(Tabela176[[#This Row],[Código]]="","",CONCATENATE(LEFT(Tabela176[[#This Row],[Código]],6),".SA")))</f>
        <v>SUZB3.SA</v>
      </c>
      <c r="C59" s="3" t="s">
        <v>695</v>
      </c>
      <c r="D59" s="3" t="s">
        <v>442</v>
      </c>
      <c r="E59" s="61" t="s">
        <v>189</v>
      </c>
      <c r="F59" s="61" t="s">
        <v>189</v>
      </c>
      <c r="G59" s="61" t="s">
        <v>189</v>
      </c>
      <c r="H59" s="51">
        <v>41691</v>
      </c>
      <c r="J59" s="3" t="e">
        <f t="shared" si="7"/>
        <v>#VALUE!</v>
      </c>
      <c r="K59" s="3">
        <f t="shared" si="7"/>
        <v>4</v>
      </c>
      <c r="L59" s="3">
        <f t="shared" si="7"/>
        <v>4</v>
      </c>
      <c r="M59" s="3">
        <f t="shared" si="7"/>
        <v>4</v>
      </c>
      <c r="P59" s="14" t="s">
        <v>694</v>
      </c>
      <c r="Q59" s="10" t="str">
        <f t="shared" si="8"/>
        <v xml:space="preserve">SUZANO PAPEL-ON  </v>
      </c>
      <c r="R59" s="46">
        <f t="shared" si="9"/>
        <v>41691</v>
      </c>
      <c r="S59" s="6" t="e">
        <f t="shared" si="10"/>
        <v>#VALUE!</v>
      </c>
      <c r="T59" s="6">
        <f t="shared" si="11"/>
        <v>4</v>
      </c>
      <c r="U59" s="6">
        <f t="shared" si="12"/>
        <v>4</v>
      </c>
      <c r="V59" s="6">
        <f t="shared" si="13"/>
        <v>4</v>
      </c>
    </row>
    <row r="60" spans="1:22">
      <c r="A60" s="33" t="str">
        <f>IF(Tabela176[[#This Row],[Código]]="IBOV","^BVSP",IF(Tabela176[[#This Row],[Código]]="","",CONCATENATE(LEFT(Tabela176[[#This Row],[Código]],6),".SA")))</f>
        <v>EUCA3.SA</v>
      </c>
      <c r="C60" s="3" t="s">
        <v>697</v>
      </c>
      <c r="D60" s="3" t="s">
        <v>442</v>
      </c>
      <c r="E60" s="61" t="s">
        <v>698</v>
      </c>
      <c r="F60" s="61" t="s">
        <v>698</v>
      </c>
      <c r="G60" s="61" t="s">
        <v>698</v>
      </c>
      <c r="H60" s="51">
        <v>41691</v>
      </c>
      <c r="J60" s="3" t="e">
        <f t="shared" si="7"/>
        <v>#VALUE!</v>
      </c>
      <c r="K60" s="3">
        <f t="shared" si="7"/>
        <v>7.11</v>
      </c>
      <c r="L60" s="3">
        <f t="shared" si="7"/>
        <v>7.11</v>
      </c>
      <c r="M60" s="3">
        <f t="shared" si="7"/>
        <v>7.11</v>
      </c>
      <c r="P60" s="14" t="s">
        <v>696</v>
      </c>
      <c r="Q60" s="10" t="str">
        <f t="shared" si="8"/>
        <v xml:space="preserve">EUCATEX     -ON  </v>
      </c>
      <c r="R60" s="51">
        <f t="shared" si="9"/>
        <v>41691</v>
      </c>
      <c r="S60" s="5" t="e">
        <f t="shared" si="10"/>
        <v>#VALUE!</v>
      </c>
      <c r="T60" s="5">
        <f t="shared" si="11"/>
        <v>7.11</v>
      </c>
      <c r="U60" s="5">
        <f t="shared" si="12"/>
        <v>7.11</v>
      </c>
      <c r="V60" s="5">
        <f t="shared" si="13"/>
        <v>7.11</v>
      </c>
    </row>
    <row r="61" spans="1:22">
      <c r="A61" s="33" t="str">
        <f>IF(Tabela176[[#This Row],[Código]]="IBOV","^BVSP",IF(Tabela176[[#This Row],[Código]]="","",CONCATENATE(LEFT(Tabela176[[#This Row],[Código]],6),".SA")))</f>
        <v>MTIG3.SA</v>
      </c>
      <c r="C61" s="3" t="s">
        <v>702</v>
      </c>
      <c r="D61" s="3" t="s">
        <v>678</v>
      </c>
      <c r="E61" s="3" t="s">
        <v>678</v>
      </c>
      <c r="F61" s="3" t="s">
        <v>678</v>
      </c>
      <c r="G61" s="3" t="s">
        <v>678</v>
      </c>
      <c r="H61" s="51">
        <v>41691</v>
      </c>
      <c r="J61" s="3">
        <f t="shared" si="7"/>
        <v>0.61</v>
      </c>
      <c r="K61" s="3">
        <f t="shared" si="7"/>
        <v>0.61</v>
      </c>
      <c r="L61" s="3">
        <f t="shared" si="7"/>
        <v>0.61</v>
      </c>
      <c r="M61" s="3">
        <f t="shared" si="7"/>
        <v>0.61</v>
      </c>
      <c r="P61" s="14" t="s">
        <v>700</v>
      </c>
      <c r="Q61" s="10" t="str">
        <f t="shared" si="8"/>
        <v>METAL IGUACU-ON</v>
      </c>
      <c r="R61" s="51">
        <f t="shared" si="9"/>
        <v>41691</v>
      </c>
      <c r="S61" s="5">
        <f t="shared" si="10"/>
        <v>0.61</v>
      </c>
      <c r="T61" s="5">
        <f t="shared" si="11"/>
        <v>0.61</v>
      </c>
      <c r="U61" s="5">
        <f t="shared" si="12"/>
        <v>0.61</v>
      </c>
      <c r="V61" s="5">
        <f t="shared" si="13"/>
        <v>0.61</v>
      </c>
    </row>
    <row r="62" spans="1:22">
      <c r="A62" s="33" t="str">
        <f>IF(Tabela176[[#This Row],[Código]]="IBOV","^BVSP",IF(Tabela176[[#This Row],[Código]]="","",CONCATENATE(LEFT(Tabela176[[#This Row],[Código]],6),".SA")))</f>
        <v>MTIG4.SA</v>
      </c>
      <c r="C62" s="3" t="s">
        <v>703</v>
      </c>
      <c r="D62" s="3" t="s">
        <v>572</v>
      </c>
      <c r="E62" s="3" t="s">
        <v>572</v>
      </c>
      <c r="F62" s="3" t="s">
        <v>572</v>
      </c>
      <c r="G62" s="3" t="s">
        <v>572</v>
      </c>
      <c r="H62" s="51">
        <v>41691</v>
      </c>
      <c r="J62" s="3">
        <f t="shared" si="7"/>
        <v>0.11</v>
      </c>
      <c r="K62" s="3">
        <f t="shared" si="7"/>
        <v>0.11</v>
      </c>
      <c r="L62" s="3">
        <f t="shared" si="7"/>
        <v>0.11</v>
      </c>
      <c r="M62" s="3">
        <f t="shared" si="7"/>
        <v>0.11</v>
      </c>
      <c r="P62" s="14" t="s">
        <v>701</v>
      </c>
      <c r="Q62" s="10" t="str">
        <f t="shared" si="8"/>
        <v>METAL IGUACU-PN</v>
      </c>
      <c r="R62" s="51">
        <f t="shared" si="9"/>
        <v>41691</v>
      </c>
      <c r="S62" s="5">
        <f t="shared" si="10"/>
        <v>0.11</v>
      </c>
      <c r="T62" s="5">
        <f t="shared" si="11"/>
        <v>0.11</v>
      </c>
      <c r="U62" s="5">
        <f t="shared" si="12"/>
        <v>0.11</v>
      </c>
      <c r="V62" s="5">
        <f t="shared" si="13"/>
        <v>0.11</v>
      </c>
    </row>
    <row r="63" spans="1:22">
      <c r="A63" s="33" t="str">
        <f>IF(Tabela176[[#This Row],[Código]]="IBOV","^BVSP",IF(Tabela176[[#This Row],[Código]]="","",CONCATENATE(LEFT(Tabela176[[#This Row],[Código]],6),".SA")))</f>
        <v>CAFE4.SA</v>
      </c>
      <c r="C63" s="3" t="s">
        <v>868</v>
      </c>
      <c r="D63" s="3" t="s">
        <v>442</v>
      </c>
      <c r="E63" s="3" t="s">
        <v>405</v>
      </c>
      <c r="F63" s="3" t="s">
        <v>405</v>
      </c>
      <c r="G63" s="3" t="s">
        <v>405</v>
      </c>
      <c r="H63" s="51">
        <v>41691</v>
      </c>
      <c r="J63" s="3" t="e">
        <f t="shared" si="7"/>
        <v>#VALUE!</v>
      </c>
      <c r="K63" s="3">
        <f t="shared" si="7"/>
        <v>0.5</v>
      </c>
      <c r="L63" s="3">
        <f t="shared" si="7"/>
        <v>0.5</v>
      </c>
      <c r="M63" s="3">
        <f t="shared" si="7"/>
        <v>0.5</v>
      </c>
      <c r="P63" s="3" t="s">
        <v>865</v>
      </c>
      <c r="Q63" s="10" t="str">
        <f t="shared" si="8"/>
        <v>CAF BRASILIA-PN *</v>
      </c>
      <c r="R63" s="51">
        <f t="shared" si="9"/>
        <v>41691</v>
      </c>
      <c r="S63" s="5" t="e">
        <f t="shared" si="10"/>
        <v>#VALUE!</v>
      </c>
      <c r="T63" s="5">
        <f t="shared" si="11"/>
        <v>0.5</v>
      </c>
      <c r="U63" s="5">
        <f t="shared" si="12"/>
        <v>0.5</v>
      </c>
      <c r="V63" s="5">
        <f t="shared" si="13"/>
        <v>0.5</v>
      </c>
    </row>
    <row r="64" spans="1:22">
      <c r="A64" s="33" t="str">
        <f>IF(Tabela176[[#This Row],[Código]]="IBOV","^BVSP",IF(Tabela176[[#This Row],[Código]]="","",CONCATENATE(LEFT(Tabela176[[#This Row],[Código]],6),".SA")))</f>
        <v>PEAB3.SA</v>
      </c>
      <c r="C64" s="3" t="s">
        <v>708</v>
      </c>
      <c r="D64" s="3" t="s">
        <v>127</v>
      </c>
      <c r="E64" s="3" t="s">
        <v>127</v>
      </c>
      <c r="F64" s="3" t="s">
        <v>127</v>
      </c>
      <c r="G64" s="3" t="s">
        <v>127</v>
      </c>
      <c r="H64" s="51">
        <v>41691</v>
      </c>
      <c r="J64" s="3">
        <f t="shared" si="7"/>
        <v>30</v>
      </c>
      <c r="K64" s="3">
        <f t="shared" si="7"/>
        <v>30</v>
      </c>
      <c r="L64" s="3">
        <f t="shared" si="7"/>
        <v>30</v>
      </c>
      <c r="M64" s="3">
        <f t="shared" si="7"/>
        <v>30</v>
      </c>
      <c r="P64" s="14" t="s">
        <v>705</v>
      </c>
      <c r="Q64" s="10" t="str">
        <f t="shared" si="8"/>
        <v>PAR AL BAHIA-ON</v>
      </c>
      <c r="R64" s="51">
        <f t="shared" si="9"/>
        <v>41691</v>
      </c>
      <c r="S64" s="5">
        <f t="shared" si="10"/>
        <v>30</v>
      </c>
      <c r="T64" s="5">
        <f t="shared" si="11"/>
        <v>30</v>
      </c>
      <c r="U64" s="5">
        <f t="shared" si="12"/>
        <v>30</v>
      </c>
      <c r="V64" s="5">
        <f t="shared" si="13"/>
        <v>30</v>
      </c>
    </row>
    <row r="65" spans="1:22">
      <c r="A65" s="33" t="str">
        <f>IF(Tabela176[[#This Row],[Código]]="IBOV","^BVSP",IF(Tabela176[[#This Row],[Código]]="","",CONCATENATE(LEFT(Tabela176[[#This Row],[Código]],6),".SA")))</f>
        <v>PEAB4.SA</v>
      </c>
      <c r="C65" s="3" t="s">
        <v>709</v>
      </c>
      <c r="D65" s="3" t="s">
        <v>127</v>
      </c>
      <c r="E65" s="3" t="s">
        <v>127</v>
      </c>
      <c r="F65" s="3" t="s">
        <v>127</v>
      </c>
      <c r="G65" s="3" t="s">
        <v>127</v>
      </c>
      <c r="H65" s="51">
        <v>41691</v>
      </c>
      <c r="J65" s="3">
        <f t="shared" si="7"/>
        <v>30</v>
      </c>
      <c r="K65" s="3">
        <f t="shared" si="7"/>
        <v>30</v>
      </c>
      <c r="L65" s="3">
        <f t="shared" si="7"/>
        <v>30</v>
      </c>
      <c r="M65" s="3">
        <f t="shared" si="7"/>
        <v>30</v>
      </c>
      <c r="P65" s="14" t="s">
        <v>706</v>
      </c>
      <c r="Q65" s="10" t="str">
        <f t="shared" si="8"/>
        <v>PAR AL BAHIA-PN</v>
      </c>
      <c r="R65" s="51">
        <f t="shared" si="9"/>
        <v>41691</v>
      </c>
      <c r="S65" s="5">
        <f t="shared" si="10"/>
        <v>30</v>
      </c>
      <c r="T65" s="5">
        <f t="shared" si="11"/>
        <v>30</v>
      </c>
      <c r="U65" s="5">
        <f t="shared" si="12"/>
        <v>30</v>
      </c>
      <c r="V65" s="5">
        <f t="shared" si="13"/>
        <v>30</v>
      </c>
    </row>
    <row r="66" spans="1:22">
      <c r="A66" s="33" t="str">
        <f>IF(Tabela176[[#This Row],[Código]]="IBOV","^BVSP",IF(Tabela176[[#This Row],[Código]]="","",CONCATENATE(LEFT(Tabela176[[#This Row],[Código]],6),".SA")))</f>
        <v>SULA3.SA</v>
      </c>
      <c r="C66" s="3" t="s">
        <v>712</v>
      </c>
      <c r="D66" s="3" t="s">
        <v>442</v>
      </c>
      <c r="E66" s="3" t="s">
        <v>443</v>
      </c>
      <c r="F66" s="3" t="s">
        <v>442</v>
      </c>
      <c r="G66" s="3" t="s">
        <v>442</v>
      </c>
      <c r="H66" s="51" t="s">
        <v>442</v>
      </c>
      <c r="J66" s="3" t="e">
        <f t="shared" si="7"/>
        <v>#VALUE!</v>
      </c>
      <c r="K66" s="3">
        <f t="shared" si="7"/>
        <v>0</v>
      </c>
      <c r="L66" s="3" t="e">
        <f t="shared" si="7"/>
        <v>#VALUE!</v>
      </c>
      <c r="M66" s="3" t="e">
        <f t="shared" si="7"/>
        <v>#VALUE!</v>
      </c>
      <c r="P66" s="10" t="s">
        <v>710</v>
      </c>
      <c r="Q66" s="10" t="str">
        <f t="shared" si="8"/>
        <v xml:space="preserve">SUL AMERICA -ON  </v>
      </c>
      <c r="R66" s="51" t="str">
        <f t="shared" si="9"/>
        <v>N/A</v>
      </c>
      <c r="S66" s="5" t="e">
        <f t="shared" si="10"/>
        <v>#VALUE!</v>
      </c>
      <c r="T66" s="5">
        <f t="shared" si="11"/>
        <v>0</v>
      </c>
      <c r="U66" s="5" t="e">
        <f t="shared" si="12"/>
        <v>#VALUE!</v>
      </c>
      <c r="V66" s="5" t="e">
        <f t="shared" si="13"/>
        <v>#VALUE!</v>
      </c>
    </row>
    <row r="67" spans="1:22">
      <c r="A67" s="33" t="str">
        <f>IF(Tabela176[[#This Row],[Código]]="IBOV","^BVSP",IF(Tabela176[[#This Row],[Código]]="","",CONCATENATE(LEFT(Tabela176[[#This Row],[Código]],6),".SA")))</f>
        <v>SULA4.SA</v>
      </c>
      <c r="C67" s="3" t="s">
        <v>713</v>
      </c>
      <c r="D67" s="3" t="s">
        <v>442</v>
      </c>
      <c r="E67" s="3" t="s">
        <v>443</v>
      </c>
      <c r="F67" s="3" t="s">
        <v>442</v>
      </c>
      <c r="G67" s="3" t="s">
        <v>442</v>
      </c>
      <c r="H67" s="51" t="s">
        <v>442</v>
      </c>
      <c r="J67" s="3" t="e">
        <f t="shared" si="7"/>
        <v>#VALUE!</v>
      </c>
      <c r="K67" s="3">
        <f t="shared" si="7"/>
        <v>0</v>
      </c>
      <c r="L67" s="3" t="e">
        <f t="shared" si="7"/>
        <v>#VALUE!</v>
      </c>
      <c r="M67" s="3" t="e">
        <f t="shared" si="7"/>
        <v>#VALUE!</v>
      </c>
      <c r="P67" s="14" t="s">
        <v>711</v>
      </c>
      <c r="Q67" s="10" t="str">
        <f t="shared" si="8"/>
        <v xml:space="preserve">SUL AMERICA -PN  </v>
      </c>
      <c r="R67" s="51" t="str">
        <f t="shared" si="9"/>
        <v>N/A</v>
      </c>
      <c r="S67" s="5" t="e">
        <f t="shared" si="10"/>
        <v>#VALUE!</v>
      </c>
      <c r="T67" s="5">
        <f t="shared" si="11"/>
        <v>0</v>
      </c>
      <c r="U67" s="5" t="e">
        <f t="shared" si="12"/>
        <v>#VALUE!</v>
      </c>
      <c r="V67" s="5" t="e">
        <f t="shared" si="13"/>
        <v>#VALUE!</v>
      </c>
    </row>
    <row r="68" spans="1:22">
      <c r="A68" s="33" t="str">
        <f>IF(Tabela176[[#This Row],[Código]]="IBOV","^BVSP",IF(Tabela176[[#This Row],[Código]]="","",CONCATENATE(LEFT(Tabela176[[#This Row],[Código]],6),".SA")))</f>
        <v>BTTL3.SA</v>
      </c>
      <c r="C68" s="3" t="s">
        <v>716</v>
      </c>
      <c r="D68" s="3" t="s">
        <v>1078</v>
      </c>
      <c r="E68" s="3" t="s">
        <v>1078</v>
      </c>
      <c r="F68" s="3" t="s">
        <v>1078</v>
      </c>
      <c r="G68" s="3" t="s">
        <v>1078</v>
      </c>
      <c r="H68" s="51">
        <v>41691</v>
      </c>
      <c r="J68" s="3">
        <f t="shared" si="7"/>
        <v>0.78</v>
      </c>
      <c r="K68" s="3">
        <f t="shared" si="7"/>
        <v>0.78</v>
      </c>
      <c r="L68" s="3">
        <f t="shared" si="7"/>
        <v>0.78</v>
      </c>
      <c r="M68" s="3">
        <f t="shared" si="7"/>
        <v>0.78</v>
      </c>
      <c r="P68" s="14" t="s">
        <v>714</v>
      </c>
      <c r="Q68" s="10" t="str">
        <f t="shared" si="8"/>
        <v>BATTISTELLA -ON</v>
      </c>
      <c r="R68" s="51">
        <f t="shared" si="9"/>
        <v>41691</v>
      </c>
      <c r="S68" s="5">
        <f t="shared" si="10"/>
        <v>0.78</v>
      </c>
      <c r="T68" s="5">
        <f t="shared" si="11"/>
        <v>0.78</v>
      </c>
      <c r="U68" s="5">
        <f t="shared" si="12"/>
        <v>0.78</v>
      </c>
      <c r="V68" s="5">
        <f t="shared" si="13"/>
        <v>0.78</v>
      </c>
    </row>
    <row r="69" spans="1:22">
      <c r="A69" s="33" t="str">
        <f>IF(Tabela176[[#This Row],[Código]]="IBOV","^BVSP",IF(Tabela176[[#This Row],[Código]]="","",CONCATENATE(LEFT(Tabela176[[#This Row],[Código]],6),".SA")))</f>
        <v>BTTL4.SA</v>
      </c>
      <c r="C69" s="3" t="s">
        <v>717</v>
      </c>
      <c r="D69" s="3" t="s">
        <v>958</v>
      </c>
      <c r="E69" s="3" t="s">
        <v>958</v>
      </c>
      <c r="F69" s="3" t="s">
        <v>958</v>
      </c>
      <c r="G69" s="3" t="s">
        <v>958</v>
      </c>
      <c r="H69" s="51">
        <v>41691</v>
      </c>
      <c r="J69" s="3">
        <f t="shared" si="7"/>
        <v>0.79</v>
      </c>
      <c r="K69" s="3">
        <f t="shared" si="7"/>
        <v>0.79</v>
      </c>
      <c r="L69" s="3">
        <f t="shared" si="7"/>
        <v>0.79</v>
      </c>
      <c r="M69" s="3">
        <f t="shared" si="7"/>
        <v>0.79</v>
      </c>
      <c r="P69" s="14" t="s">
        <v>715</v>
      </c>
      <c r="Q69" s="10" t="str">
        <f t="shared" si="8"/>
        <v>BATTISTELLA -PN</v>
      </c>
      <c r="R69" s="51">
        <f t="shared" si="9"/>
        <v>41691</v>
      </c>
      <c r="S69" s="5">
        <f t="shared" si="10"/>
        <v>0.79</v>
      </c>
      <c r="T69" s="5">
        <f t="shared" si="11"/>
        <v>0.79</v>
      </c>
      <c r="U69" s="5">
        <f t="shared" si="12"/>
        <v>0.79</v>
      </c>
      <c r="V69" s="5">
        <f t="shared" si="13"/>
        <v>0.79</v>
      </c>
    </row>
    <row r="70" spans="1:22">
      <c r="A70" s="33" t="str">
        <f>IF(Tabela176[[#This Row],[Código]]="IBOV","^BVSP",IF(Tabela176[[#This Row],[Código]]="","",CONCATENATE(LEFT(Tabela176[[#This Row],[Código]],6),".SA")))</f>
        <v>HBTS3.SA</v>
      </c>
      <c r="C70" s="3" t="s">
        <v>720</v>
      </c>
      <c r="D70" s="3" t="s">
        <v>442</v>
      </c>
      <c r="E70" s="3" t="s">
        <v>443</v>
      </c>
      <c r="F70" s="3" t="s">
        <v>442</v>
      </c>
      <c r="G70" s="3" t="s">
        <v>442</v>
      </c>
      <c r="H70" s="51" t="s">
        <v>442</v>
      </c>
      <c r="J70" s="3" t="e">
        <f t="shared" si="7"/>
        <v>#VALUE!</v>
      </c>
      <c r="K70" s="3">
        <f t="shared" si="7"/>
        <v>0</v>
      </c>
      <c r="L70" s="3" t="e">
        <f t="shared" si="7"/>
        <v>#VALUE!</v>
      </c>
      <c r="M70" s="3" t="e">
        <f t="shared" si="7"/>
        <v>#VALUE!</v>
      </c>
      <c r="P70" s="14" t="s">
        <v>718</v>
      </c>
      <c r="Q70" s="10" t="str">
        <f t="shared" si="8"/>
        <v>HABITASUL   -ON</v>
      </c>
      <c r="R70" s="51" t="str">
        <f t="shared" si="9"/>
        <v>N/A</v>
      </c>
      <c r="S70" s="5" t="e">
        <f t="shared" si="10"/>
        <v>#VALUE!</v>
      </c>
      <c r="T70" s="5">
        <f t="shared" si="11"/>
        <v>0</v>
      </c>
      <c r="U70" s="5" t="e">
        <f t="shared" si="12"/>
        <v>#VALUE!</v>
      </c>
      <c r="V70" s="5" t="e">
        <f t="shared" si="13"/>
        <v>#VALUE!</v>
      </c>
    </row>
    <row r="71" spans="1:22">
      <c r="A71" s="33" t="str">
        <f>IF(Tabela176[[#This Row],[Código]]="IBOV","^BVSP",IF(Tabela176[[#This Row],[Código]]="","",CONCATENATE(LEFT(Tabela176[[#This Row],[Código]],6),".SA")))</f>
        <v>HBTS6.SA</v>
      </c>
      <c r="C71" s="3" t="s">
        <v>721</v>
      </c>
      <c r="D71" s="3" t="s">
        <v>442</v>
      </c>
      <c r="E71" s="3" t="s">
        <v>443</v>
      </c>
      <c r="F71" s="3" t="s">
        <v>442</v>
      </c>
      <c r="G71" s="3" t="s">
        <v>442</v>
      </c>
      <c r="H71" s="51" t="s">
        <v>442</v>
      </c>
      <c r="J71" s="3" t="e">
        <f t="shared" si="7"/>
        <v>#VALUE!</v>
      </c>
      <c r="K71" s="3">
        <f t="shared" si="7"/>
        <v>0</v>
      </c>
      <c r="L71" s="3" t="e">
        <f t="shared" si="7"/>
        <v>#VALUE!</v>
      </c>
      <c r="M71" s="3" t="e">
        <f t="shared" si="7"/>
        <v>#VALUE!</v>
      </c>
      <c r="P71" s="14" t="s">
        <v>719</v>
      </c>
      <c r="Q71" s="10" t="str">
        <f t="shared" ref="Q71:Q102" si="14">IF(A71="","",C71)</f>
        <v>HABITASUL   -PNB</v>
      </c>
      <c r="R71" s="46" t="str">
        <f t="shared" ref="R71:R102" si="15">IF(A71="","",H71)</f>
        <v>N/A</v>
      </c>
      <c r="S71" s="6" t="e">
        <f t="shared" ref="S71:S102" si="16">J71</f>
        <v>#VALUE!</v>
      </c>
      <c r="T71" s="6">
        <f t="shared" ref="T71:T102" si="17">K71</f>
        <v>0</v>
      </c>
      <c r="U71" s="6" t="e">
        <f t="shared" ref="U71:U102" si="18">L71</f>
        <v>#VALUE!</v>
      </c>
      <c r="V71" s="6" t="e">
        <f t="shared" ref="V71:V102" si="19">M71</f>
        <v>#VALUE!</v>
      </c>
    </row>
    <row r="72" spans="1:22">
      <c r="A72" s="33" t="str">
        <f>IF(Tabela176[[#This Row],[Código]]="IBOV","^BVSP",IF(Tabela176[[#This Row],[Código]]="","",CONCATENATE(LEFT(Tabela176[[#This Row],[Código]],6),".SA")))</f>
        <v>DOCA3.SA</v>
      </c>
      <c r="C72" s="3" t="s">
        <v>724</v>
      </c>
      <c r="D72" s="3" t="s">
        <v>136</v>
      </c>
      <c r="E72" s="3" t="s">
        <v>136</v>
      </c>
      <c r="F72" s="3" t="s">
        <v>136</v>
      </c>
      <c r="G72" s="3" t="s">
        <v>136</v>
      </c>
      <c r="H72" s="51">
        <v>41691</v>
      </c>
      <c r="J72" s="3">
        <f t="shared" ref="J72:M135" si="20">IF($A72="",0,VALUE(CONCATENATE(LEFT(D72,LEN(D72)-3),",",RIGHT(D72,2))))</f>
        <v>11</v>
      </c>
      <c r="K72" s="3">
        <f t="shared" si="20"/>
        <v>11</v>
      </c>
      <c r="L72" s="3">
        <f t="shared" si="20"/>
        <v>11</v>
      </c>
      <c r="M72" s="3">
        <f t="shared" si="20"/>
        <v>11</v>
      </c>
      <c r="P72" s="15" t="s">
        <v>722</v>
      </c>
      <c r="Q72" s="10" t="str">
        <f t="shared" si="14"/>
        <v>DOCAS       -ON</v>
      </c>
      <c r="R72" s="51">
        <f t="shared" si="15"/>
        <v>41691</v>
      </c>
      <c r="S72" s="5">
        <f t="shared" si="16"/>
        <v>11</v>
      </c>
      <c r="T72" s="5">
        <f t="shared" si="17"/>
        <v>11</v>
      </c>
      <c r="U72" s="5">
        <f t="shared" si="18"/>
        <v>11</v>
      </c>
      <c r="V72" s="5">
        <f t="shared" si="19"/>
        <v>11</v>
      </c>
    </row>
    <row r="73" spans="1:22">
      <c r="A73" s="33" t="str">
        <f>IF(Tabela176[[#This Row],[Código]]="IBOV","^BVSP",IF(Tabela176[[#This Row],[Código]]="","",CONCATENATE(LEFT(Tabela176[[#This Row],[Código]],6),".SA")))</f>
        <v>DOCA4.SA</v>
      </c>
      <c r="C73" s="3" t="s">
        <v>725</v>
      </c>
      <c r="D73" s="3" t="s">
        <v>726</v>
      </c>
      <c r="E73" s="3" t="s">
        <v>726</v>
      </c>
      <c r="F73" s="3" t="s">
        <v>726</v>
      </c>
      <c r="G73" s="3" t="s">
        <v>726</v>
      </c>
      <c r="H73" s="51">
        <v>41691</v>
      </c>
      <c r="J73" s="3">
        <f t="shared" si="20"/>
        <v>5.01</v>
      </c>
      <c r="K73" s="3">
        <f t="shared" si="20"/>
        <v>5.01</v>
      </c>
      <c r="L73" s="3">
        <f t="shared" si="20"/>
        <v>5.01</v>
      </c>
      <c r="M73" s="3">
        <f t="shared" si="20"/>
        <v>5.01</v>
      </c>
      <c r="P73" s="14" t="s">
        <v>723</v>
      </c>
      <c r="Q73" s="10" t="str">
        <f t="shared" si="14"/>
        <v>DOCAS       -PN</v>
      </c>
      <c r="R73" s="51">
        <f t="shared" si="15"/>
        <v>41691</v>
      </c>
      <c r="S73" s="5">
        <f t="shared" si="16"/>
        <v>5.01</v>
      </c>
      <c r="T73" s="5">
        <f t="shared" si="17"/>
        <v>5.01</v>
      </c>
      <c r="U73" s="5">
        <f t="shared" si="18"/>
        <v>5.01</v>
      </c>
      <c r="V73" s="5">
        <f t="shared" si="19"/>
        <v>5.01</v>
      </c>
    </row>
    <row r="74" spans="1:22">
      <c r="A74" s="33" t="str">
        <f>IF(Tabela176[[#This Row],[Código]]="IBOV","^BVSP",IF(Tabela176[[#This Row],[Código]]="","",CONCATENATE(LEFT(Tabela176[[#This Row],[Código]],6),".SA")))</f>
        <v>JBDU3.SA</v>
      </c>
      <c r="C74" s="3" t="s">
        <v>729</v>
      </c>
      <c r="D74" s="3" t="s">
        <v>1149</v>
      </c>
      <c r="E74" s="3" t="s">
        <v>1149</v>
      </c>
      <c r="F74" s="3" t="s">
        <v>1149</v>
      </c>
      <c r="G74" s="3" t="s">
        <v>1149</v>
      </c>
      <c r="H74" s="51">
        <v>41691</v>
      </c>
      <c r="J74" s="3">
        <f t="shared" si="20"/>
        <v>0.27</v>
      </c>
      <c r="K74" s="3">
        <f t="shared" si="20"/>
        <v>0.27</v>
      </c>
      <c r="L74" s="3">
        <f t="shared" si="20"/>
        <v>0.27</v>
      </c>
      <c r="M74" s="3">
        <f t="shared" si="20"/>
        <v>0.27</v>
      </c>
      <c r="P74" s="14" t="s">
        <v>727</v>
      </c>
      <c r="Q74" s="10" t="str">
        <f t="shared" si="14"/>
        <v>J B DUARTE  -ON</v>
      </c>
      <c r="R74" s="51">
        <f t="shared" si="15"/>
        <v>41691</v>
      </c>
      <c r="S74" s="5">
        <f t="shared" si="16"/>
        <v>0.27</v>
      </c>
      <c r="T74" s="5">
        <f t="shared" si="17"/>
        <v>0.27</v>
      </c>
      <c r="U74" s="5">
        <f t="shared" si="18"/>
        <v>0.27</v>
      </c>
      <c r="V74" s="5">
        <f t="shared" si="19"/>
        <v>0.27</v>
      </c>
    </row>
    <row r="75" spans="1:22">
      <c r="A75" s="33" t="str">
        <f>IF(Tabela176[[#This Row],[Código]]="IBOV","^BVSP",IF(Tabela176[[#This Row],[Código]]="","",CONCATENATE(LEFT(Tabela176[[#This Row],[Código]],6),".SA")))</f>
        <v>JBDU4.SA</v>
      </c>
      <c r="C75" s="3" t="s">
        <v>730</v>
      </c>
      <c r="D75" s="3" t="s">
        <v>1150</v>
      </c>
      <c r="E75" s="3" t="s">
        <v>1150</v>
      </c>
      <c r="F75" s="3" t="s">
        <v>1150</v>
      </c>
      <c r="G75" s="3" t="s">
        <v>533</v>
      </c>
      <c r="H75" s="51">
        <v>41691</v>
      </c>
      <c r="J75" s="3">
        <f t="shared" si="20"/>
        <v>0.19</v>
      </c>
      <c r="K75" s="3">
        <f t="shared" si="20"/>
        <v>0.19</v>
      </c>
      <c r="L75" s="3">
        <f t="shared" si="20"/>
        <v>0.19</v>
      </c>
      <c r="M75" s="3">
        <f t="shared" si="20"/>
        <v>0.18</v>
      </c>
      <c r="P75" s="14" t="s">
        <v>728</v>
      </c>
      <c r="Q75" s="10" t="str">
        <f t="shared" si="14"/>
        <v>J B DUARTE  -PN</v>
      </c>
      <c r="R75" s="51">
        <f t="shared" si="15"/>
        <v>41691</v>
      </c>
      <c r="S75" s="5">
        <f t="shared" si="16"/>
        <v>0.19</v>
      </c>
      <c r="T75" s="5">
        <f t="shared" si="17"/>
        <v>0.19</v>
      </c>
      <c r="U75" s="5">
        <f t="shared" si="18"/>
        <v>0.19</v>
      </c>
      <c r="V75" s="5">
        <f t="shared" si="19"/>
        <v>0.18</v>
      </c>
    </row>
    <row r="76" spans="1:22">
      <c r="A76" s="33" t="str">
        <f>IF(Tabela176[[#This Row],[Código]]="IBOV","^BVSP",IF(Tabela176[[#This Row],[Código]]="","",CONCATENATE(LEFT(Tabela176[[#This Row],[Código]],6),".SA")))</f>
        <v>AGRO3.SA</v>
      </c>
      <c r="C76" s="3" t="s">
        <v>739</v>
      </c>
      <c r="D76" s="3" t="s">
        <v>994</v>
      </c>
      <c r="E76" s="3" t="s">
        <v>994</v>
      </c>
      <c r="F76" s="3" t="s">
        <v>994</v>
      </c>
      <c r="G76" s="3" t="s">
        <v>994</v>
      </c>
      <c r="H76" s="51">
        <v>41691</v>
      </c>
      <c r="J76" s="3">
        <f t="shared" si="20"/>
        <v>7.92</v>
      </c>
      <c r="K76" s="3">
        <f t="shared" si="20"/>
        <v>7.92</v>
      </c>
      <c r="L76" s="3">
        <f t="shared" si="20"/>
        <v>7.92</v>
      </c>
      <c r="M76" s="3">
        <f t="shared" si="20"/>
        <v>7.92</v>
      </c>
      <c r="P76" s="14" t="s">
        <v>733</v>
      </c>
      <c r="Q76" s="10" t="str">
        <f t="shared" si="14"/>
        <v xml:space="preserve">BRASILAGRO  -ON  </v>
      </c>
      <c r="R76" s="51">
        <f t="shared" si="15"/>
        <v>41691</v>
      </c>
      <c r="S76" s="5">
        <f t="shared" si="16"/>
        <v>7.92</v>
      </c>
      <c r="T76" s="5">
        <f t="shared" si="17"/>
        <v>7.92</v>
      </c>
      <c r="U76" s="5">
        <f t="shared" si="18"/>
        <v>7.92</v>
      </c>
      <c r="V76" s="5">
        <f t="shared" si="19"/>
        <v>7.92</v>
      </c>
    </row>
    <row r="77" spans="1:22">
      <c r="A77" s="33" t="str">
        <f>IF(Tabela176[[#This Row],[Código]]="IBOV","^BVSP",IF(Tabela176[[#This Row],[Código]]="","",CONCATENATE(LEFT(Tabela176[[#This Row],[Código]],6),".SA")))</f>
        <v>CORR3.SA</v>
      </c>
      <c r="C77" s="3" t="s">
        <v>740</v>
      </c>
      <c r="D77" s="3" t="s">
        <v>442</v>
      </c>
      <c r="E77" s="3" t="s">
        <v>443</v>
      </c>
      <c r="F77" s="3" t="s">
        <v>442</v>
      </c>
      <c r="G77" s="3" t="s">
        <v>442</v>
      </c>
      <c r="H77" s="51" t="s">
        <v>442</v>
      </c>
      <c r="J77" s="3" t="e">
        <f t="shared" si="20"/>
        <v>#VALUE!</v>
      </c>
      <c r="K77" s="3">
        <f t="shared" si="20"/>
        <v>0</v>
      </c>
      <c r="L77" s="3" t="e">
        <f t="shared" si="20"/>
        <v>#VALUE!</v>
      </c>
      <c r="M77" s="3" t="e">
        <f t="shared" si="20"/>
        <v>#VALUE!</v>
      </c>
      <c r="P77" s="15" t="s">
        <v>734</v>
      </c>
      <c r="Q77" s="10" t="str">
        <f t="shared" si="14"/>
        <v>COR RIBEIRO -ON</v>
      </c>
      <c r="R77" s="51" t="str">
        <f t="shared" si="15"/>
        <v>N/A</v>
      </c>
      <c r="S77" s="5" t="e">
        <f t="shared" si="16"/>
        <v>#VALUE!</v>
      </c>
      <c r="T77" s="5">
        <f t="shared" si="17"/>
        <v>0</v>
      </c>
      <c r="U77" s="5" t="e">
        <f t="shared" si="18"/>
        <v>#VALUE!</v>
      </c>
      <c r="V77" s="5" t="e">
        <f t="shared" si="19"/>
        <v>#VALUE!</v>
      </c>
    </row>
    <row r="78" spans="1:22">
      <c r="A78" s="33" t="str">
        <f>IF(Tabela176[[#This Row],[Código]]="IBOV","^BVSP",IF(Tabela176[[#This Row],[Código]]="","",CONCATENATE(LEFT(Tabela176[[#This Row],[Código]],6),".SA")))</f>
        <v>CORR4.SA</v>
      </c>
      <c r="C78" s="3" t="s">
        <v>741</v>
      </c>
      <c r="D78" s="3" t="s">
        <v>442</v>
      </c>
      <c r="E78" s="3" t="s">
        <v>742</v>
      </c>
      <c r="F78" s="3" t="s">
        <v>742</v>
      </c>
      <c r="G78" s="3" t="s">
        <v>742</v>
      </c>
      <c r="H78" s="51">
        <v>41691</v>
      </c>
      <c r="J78" s="3" t="e">
        <f t="shared" si="20"/>
        <v>#VALUE!</v>
      </c>
      <c r="K78" s="3">
        <f t="shared" si="20"/>
        <v>210.01</v>
      </c>
      <c r="L78" s="3">
        <f t="shared" si="20"/>
        <v>210.01</v>
      </c>
      <c r="M78" s="3">
        <f t="shared" si="20"/>
        <v>210.01</v>
      </c>
      <c r="P78" s="15" t="s">
        <v>735</v>
      </c>
      <c r="Q78" s="10" t="str">
        <f t="shared" si="14"/>
        <v>COR RIBEIRO -PN</v>
      </c>
      <c r="R78" s="51">
        <f t="shared" si="15"/>
        <v>41691</v>
      </c>
      <c r="S78" s="5" t="e">
        <f t="shared" si="16"/>
        <v>#VALUE!</v>
      </c>
      <c r="T78" s="5">
        <f t="shared" si="17"/>
        <v>210.01</v>
      </c>
      <c r="U78" s="5">
        <f t="shared" si="18"/>
        <v>210.01</v>
      </c>
      <c r="V78" s="5">
        <f t="shared" si="19"/>
        <v>210.01</v>
      </c>
    </row>
    <row r="79" spans="1:22">
      <c r="A79" s="33" t="str">
        <f>IF(Tabela176[[#This Row],[Código]]="IBOV","^BVSP",IF(Tabela176[[#This Row],[Código]]="","",CONCATENATE(LEFT(Tabela176[[#This Row],[Código]],6),".SA")))</f>
        <v>GSHP3.SA</v>
      </c>
      <c r="C79" s="3" t="s">
        <v>749</v>
      </c>
      <c r="D79" s="3" t="s">
        <v>1855</v>
      </c>
      <c r="E79" s="3" t="s">
        <v>1856</v>
      </c>
      <c r="F79" s="3" t="s">
        <v>1857</v>
      </c>
      <c r="G79" s="3" t="s">
        <v>1858</v>
      </c>
      <c r="H79" s="51">
        <v>41691</v>
      </c>
      <c r="J79" s="3">
        <f t="shared" si="20"/>
        <v>6.87</v>
      </c>
      <c r="K79" s="3">
        <f t="shared" si="20"/>
        <v>6.96</v>
      </c>
      <c r="L79" s="3">
        <f t="shared" si="20"/>
        <v>6.98</v>
      </c>
      <c r="M79" s="3">
        <f t="shared" si="20"/>
        <v>6.86</v>
      </c>
      <c r="P79" s="15" t="s">
        <v>748</v>
      </c>
      <c r="Q79" s="10" t="str">
        <f t="shared" si="14"/>
        <v xml:space="preserve">GENERALSHOPP-ON  </v>
      </c>
      <c r="R79" s="51">
        <f t="shared" si="15"/>
        <v>41691</v>
      </c>
      <c r="S79" s="5">
        <f t="shared" si="16"/>
        <v>6.87</v>
      </c>
      <c r="T79" s="5">
        <f t="shared" si="17"/>
        <v>6.96</v>
      </c>
      <c r="U79" s="5">
        <f t="shared" si="18"/>
        <v>6.98</v>
      </c>
      <c r="V79" s="5">
        <f t="shared" si="19"/>
        <v>6.86</v>
      </c>
    </row>
    <row r="80" spans="1:22">
      <c r="A80" s="33" t="str">
        <f>IF(Tabela176[[#This Row],[Código]]="IBOV","^BVSP",IF(Tabela176[[#This Row],[Código]]="","",CONCATENATE(LEFT(Tabela176[[#This Row],[Código]],6),".SA")))</f>
        <v>MULT4.SA</v>
      </c>
      <c r="C80" s="3" t="s">
        <v>751</v>
      </c>
      <c r="D80" s="3" t="s">
        <v>442</v>
      </c>
      <c r="E80" s="3" t="s">
        <v>443</v>
      </c>
      <c r="F80" s="3" t="s">
        <v>442</v>
      </c>
      <c r="G80" s="3" t="s">
        <v>442</v>
      </c>
      <c r="H80" s="51" t="s">
        <v>442</v>
      </c>
      <c r="J80" s="3" t="e">
        <f t="shared" si="20"/>
        <v>#VALUE!</v>
      </c>
      <c r="K80" s="3">
        <f t="shared" si="20"/>
        <v>0</v>
      </c>
      <c r="L80" s="3" t="e">
        <f t="shared" si="20"/>
        <v>#VALUE!</v>
      </c>
      <c r="M80" s="3" t="e">
        <f t="shared" si="20"/>
        <v>#VALUE!</v>
      </c>
      <c r="P80" s="15" t="s">
        <v>750</v>
      </c>
      <c r="Q80" s="10" t="str">
        <f t="shared" si="14"/>
        <v>MULT4.SA</v>
      </c>
      <c r="R80" s="51" t="str">
        <f t="shared" si="15"/>
        <v>N/A</v>
      </c>
      <c r="S80" s="5" t="e">
        <f t="shared" si="16"/>
        <v>#VALUE!</v>
      </c>
      <c r="T80" s="5">
        <f t="shared" si="17"/>
        <v>0</v>
      </c>
      <c r="U80" s="5" t="e">
        <f t="shared" si="18"/>
        <v>#VALUE!</v>
      </c>
      <c r="V80" s="5" t="e">
        <f t="shared" si="19"/>
        <v>#VALUE!</v>
      </c>
    </row>
    <row r="81" spans="1:22">
      <c r="A81" s="33" t="str">
        <f>IF(Tabela176[[#This Row],[Código]]="IBOV","^BVSP",IF(Tabela176[[#This Row],[Código]]="","",CONCATENATE(LEFT(Tabela176[[#This Row],[Código]],6),".SA")))</f>
        <v>TEMP3.SA</v>
      </c>
      <c r="C81" s="3" t="s">
        <v>754</v>
      </c>
      <c r="D81" s="3" t="s">
        <v>1859</v>
      </c>
      <c r="E81" s="3" t="s">
        <v>1528</v>
      </c>
      <c r="F81" s="3" t="s">
        <v>226</v>
      </c>
      <c r="G81" s="3" t="s">
        <v>1528</v>
      </c>
      <c r="H81" s="51">
        <v>41691</v>
      </c>
      <c r="J81" s="3">
        <f t="shared" si="20"/>
        <v>3.57</v>
      </c>
      <c r="K81" s="3">
        <f t="shared" si="20"/>
        <v>3.56</v>
      </c>
      <c r="L81" s="3">
        <f t="shared" si="20"/>
        <v>3.6</v>
      </c>
      <c r="M81" s="3">
        <f t="shared" si="20"/>
        <v>3.56</v>
      </c>
      <c r="P81" s="14" t="s">
        <v>752</v>
      </c>
      <c r="Q81" s="10" t="str">
        <f t="shared" si="14"/>
        <v xml:space="preserve">TEMPO PART  -ON  </v>
      </c>
      <c r="R81" s="51">
        <f t="shared" si="15"/>
        <v>41691</v>
      </c>
      <c r="S81" s="5">
        <f t="shared" si="16"/>
        <v>3.57</v>
      </c>
      <c r="T81" s="5">
        <f t="shared" si="17"/>
        <v>3.56</v>
      </c>
      <c r="U81" s="5">
        <f t="shared" si="18"/>
        <v>3.6</v>
      </c>
      <c r="V81" s="5">
        <f t="shared" si="19"/>
        <v>3.56</v>
      </c>
    </row>
    <row r="82" spans="1:22">
      <c r="A82" s="33" t="str">
        <f>IF(Tabela176[[#This Row],[Código]]="IBOV","^BVSP",IF(Tabela176[[#This Row],[Código]]="","",CONCATENATE(LEFT(Tabela176[[#This Row],[Código]],6),".SA")))</f>
        <v>DASA3.SA</v>
      </c>
      <c r="C82" s="3" t="s">
        <v>756</v>
      </c>
      <c r="D82" s="3" t="s">
        <v>1860</v>
      </c>
      <c r="E82" s="3" t="s">
        <v>1425</v>
      </c>
      <c r="F82" s="3" t="s">
        <v>1861</v>
      </c>
      <c r="G82" s="3" t="s">
        <v>1862</v>
      </c>
      <c r="H82" s="51">
        <v>41691</v>
      </c>
      <c r="J82" s="3">
        <f t="shared" si="20"/>
        <v>15.05</v>
      </c>
      <c r="K82" s="3">
        <f t="shared" si="20"/>
        <v>15.08</v>
      </c>
      <c r="L82" s="3">
        <f t="shared" si="20"/>
        <v>15.1</v>
      </c>
      <c r="M82" s="3">
        <f t="shared" si="20"/>
        <v>15.03</v>
      </c>
      <c r="P82" s="14" t="s">
        <v>755</v>
      </c>
      <c r="Q82" s="10" t="str">
        <f t="shared" si="14"/>
        <v xml:space="preserve">DASA        -ON  </v>
      </c>
      <c r="R82" s="51">
        <f t="shared" si="15"/>
        <v>41691</v>
      </c>
      <c r="S82" s="5">
        <f t="shared" si="16"/>
        <v>15.05</v>
      </c>
      <c r="T82" s="5">
        <f t="shared" si="17"/>
        <v>15.08</v>
      </c>
      <c r="U82" s="5">
        <f t="shared" si="18"/>
        <v>15.1</v>
      </c>
      <c r="V82" s="5">
        <f t="shared" si="19"/>
        <v>15.03</v>
      </c>
    </row>
    <row r="83" spans="1:22">
      <c r="A83" s="33" t="str">
        <f>IF(Tabela176[[#This Row],[Código]]="IBOV","^BVSP",IF(Tabela176[[#This Row],[Código]]="","",CONCATENATE(LEFT(Tabela176[[#This Row],[Código]],6),".SA")))</f>
        <v>FLRY3.SA</v>
      </c>
      <c r="C83" s="3" t="s">
        <v>758</v>
      </c>
      <c r="D83" s="3" t="s">
        <v>1506</v>
      </c>
      <c r="E83" s="3" t="s">
        <v>1130</v>
      </c>
      <c r="F83" s="3" t="s">
        <v>1863</v>
      </c>
      <c r="G83" s="3" t="s">
        <v>1864</v>
      </c>
      <c r="H83" s="51">
        <v>41691</v>
      </c>
      <c r="J83" s="3">
        <f t="shared" si="20"/>
        <v>18.329999999999998</v>
      </c>
      <c r="K83" s="3">
        <f t="shared" si="20"/>
        <v>18.399999999999999</v>
      </c>
      <c r="L83" s="3">
        <f t="shared" si="20"/>
        <v>18.649999999999999</v>
      </c>
      <c r="M83" s="3">
        <f t="shared" si="20"/>
        <v>18.149999999999999</v>
      </c>
      <c r="P83" s="14" t="s">
        <v>757</v>
      </c>
      <c r="Q83" s="10" t="str">
        <f t="shared" si="14"/>
        <v xml:space="preserve">FLEURY      -ON  </v>
      </c>
      <c r="R83" s="46">
        <f t="shared" si="15"/>
        <v>41691</v>
      </c>
      <c r="S83" s="6">
        <f t="shared" si="16"/>
        <v>18.329999999999998</v>
      </c>
      <c r="T83" s="6">
        <f t="shared" si="17"/>
        <v>18.399999999999999</v>
      </c>
      <c r="U83" s="6">
        <f t="shared" si="18"/>
        <v>18.649999999999999</v>
      </c>
      <c r="V83" s="6">
        <f t="shared" si="19"/>
        <v>18.149999999999999</v>
      </c>
    </row>
    <row r="84" spans="1:22">
      <c r="A84" s="33" t="str">
        <f>IF(Tabela176[[#This Row],[Código]]="IBOV","^BVSP",IF(Tabela176[[#This Row],[Código]]="","",CONCATENATE(LEFT(Tabela176[[#This Row],[Código]],6),".SA")))</f>
        <v>ODPV3.SA</v>
      </c>
      <c r="C84" s="3" t="s">
        <v>760</v>
      </c>
      <c r="D84" s="3" t="s">
        <v>1865</v>
      </c>
      <c r="E84" s="3" t="s">
        <v>1866</v>
      </c>
      <c r="F84" s="3" t="s">
        <v>1867</v>
      </c>
      <c r="G84" s="3" t="s">
        <v>364</v>
      </c>
      <c r="H84" s="51">
        <v>41691</v>
      </c>
      <c r="J84" s="3">
        <f t="shared" si="20"/>
        <v>8.56</v>
      </c>
      <c r="K84" s="3">
        <f t="shared" si="20"/>
        <v>8.59</v>
      </c>
      <c r="L84" s="3">
        <f t="shared" si="20"/>
        <v>8.66</v>
      </c>
      <c r="M84" s="3">
        <f t="shared" si="20"/>
        <v>8.5500000000000007</v>
      </c>
      <c r="P84" s="43" t="s">
        <v>759</v>
      </c>
      <c r="Q84" s="10" t="str">
        <f t="shared" si="14"/>
        <v xml:space="preserve">ODONTOPREV  -ON  </v>
      </c>
      <c r="R84" s="51">
        <f t="shared" si="15"/>
        <v>41691</v>
      </c>
      <c r="S84" s="5">
        <f t="shared" si="16"/>
        <v>8.56</v>
      </c>
      <c r="T84" s="5">
        <f t="shared" si="17"/>
        <v>8.59</v>
      </c>
      <c r="U84" s="5">
        <f t="shared" si="18"/>
        <v>8.66</v>
      </c>
      <c r="V84" s="5">
        <f t="shared" si="19"/>
        <v>8.5500000000000007</v>
      </c>
    </row>
    <row r="85" spans="1:22">
      <c r="A85" s="33" t="str">
        <f>IF(Tabela176[[#This Row],[Código]]="IBOV","^BVSP",IF(Tabela176[[#This Row],[Código]]="","",CONCATENATE(LEFT(Tabela176[[#This Row],[Código]],6),".SA")))</f>
        <v>QUAL3.SA</v>
      </c>
      <c r="C85" s="3" t="s">
        <v>762</v>
      </c>
      <c r="D85" s="3" t="s">
        <v>1868</v>
      </c>
      <c r="E85" s="3" t="s">
        <v>1869</v>
      </c>
      <c r="F85" s="3" t="s">
        <v>1870</v>
      </c>
      <c r="G85" s="3" t="s">
        <v>1871</v>
      </c>
      <c r="H85" s="51">
        <v>41691</v>
      </c>
      <c r="J85" s="3">
        <f t="shared" si="20"/>
        <v>19.97</v>
      </c>
      <c r="K85" s="3">
        <f t="shared" si="20"/>
        <v>19.59</v>
      </c>
      <c r="L85" s="3">
        <f t="shared" si="20"/>
        <v>20.07</v>
      </c>
      <c r="M85" s="3">
        <f t="shared" si="20"/>
        <v>19.52</v>
      </c>
      <c r="P85" s="15" t="s">
        <v>761</v>
      </c>
      <c r="Q85" s="10" t="str">
        <f t="shared" si="14"/>
        <v xml:space="preserve">QUALICORP   -ON  </v>
      </c>
      <c r="R85" s="51">
        <f t="shared" si="15"/>
        <v>41691</v>
      </c>
      <c r="S85" s="5">
        <f t="shared" si="16"/>
        <v>19.97</v>
      </c>
      <c r="T85" s="5">
        <f t="shared" si="17"/>
        <v>19.59</v>
      </c>
      <c r="U85" s="5">
        <f t="shared" si="18"/>
        <v>20.07</v>
      </c>
      <c r="V85" s="5">
        <f t="shared" si="19"/>
        <v>19.52</v>
      </c>
    </row>
    <row r="86" spans="1:22">
      <c r="A86" s="33" t="str">
        <f>IF(Tabela176[[#This Row],[Código]]="IBOV","^BVSP",IF(Tabela176[[#This Row],[Código]]="","",CONCATENATE(LEFT(Tabela176[[#This Row],[Código]],6),".SA")))</f>
        <v>BIOM3M.SA</v>
      </c>
      <c r="C86" s="3" t="s">
        <v>764</v>
      </c>
      <c r="D86" s="3" t="s">
        <v>340</v>
      </c>
      <c r="E86" s="3" t="s">
        <v>801</v>
      </c>
      <c r="F86" s="3" t="s">
        <v>801</v>
      </c>
      <c r="G86" s="3" t="s">
        <v>340</v>
      </c>
      <c r="H86" s="51">
        <v>41670</v>
      </c>
      <c r="J86" s="3">
        <f t="shared" si="20"/>
        <v>9.5</v>
      </c>
      <c r="K86" s="3">
        <f t="shared" si="20"/>
        <v>9.75</v>
      </c>
      <c r="L86" s="3">
        <f t="shared" si="20"/>
        <v>9.75</v>
      </c>
      <c r="M86" s="3">
        <f t="shared" si="20"/>
        <v>9.5</v>
      </c>
      <c r="P86" s="15" t="s">
        <v>763</v>
      </c>
      <c r="Q86" s="10" t="str">
        <f t="shared" si="14"/>
        <v xml:space="preserve">BIOMM       -ON  </v>
      </c>
      <c r="R86" s="51">
        <f t="shared" si="15"/>
        <v>41670</v>
      </c>
      <c r="S86" s="5">
        <f t="shared" si="16"/>
        <v>9.5</v>
      </c>
      <c r="T86" s="5">
        <f t="shared" si="17"/>
        <v>9.75</v>
      </c>
      <c r="U86" s="5">
        <f t="shared" si="18"/>
        <v>9.75</v>
      </c>
      <c r="V86" s="5">
        <f t="shared" si="19"/>
        <v>9.5</v>
      </c>
    </row>
    <row r="87" spans="1:22">
      <c r="A87" s="33" t="str">
        <f>IF(Tabela176[[#This Row],[Código]]="IBOV","^BVSP",IF(Tabela176[[#This Row],[Código]]="","",CONCATENATE(LEFT(Tabela176[[#This Row],[Código]],6),".SA")))</f>
        <v>CREM3.SA</v>
      </c>
      <c r="C87" s="3" t="s">
        <v>766</v>
      </c>
      <c r="D87" s="3" t="s">
        <v>1872</v>
      </c>
      <c r="E87" s="3" t="s">
        <v>1873</v>
      </c>
      <c r="F87" s="3" t="s">
        <v>1523</v>
      </c>
      <c r="G87" s="3" t="s">
        <v>1155</v>
      </c>
      <c r="H87" s="51">
        <v>41691</v>
      </c>
      <c r="J87" s="3">
        <f t="shared" si="20"/>
        <v>13.34</v>
      </c>
      <c r="K87" s="3">
        <f t="shared" si="20"/>
        <v>13.26</v>
      </c>
      <c r="L87" s="3">
        <f t="shared" si="20"/>
        <v>13.71</v>
      </c>
      <c r="M87" s="3">
        <f t="shared" si="20"/>
        <v>13.21</v>
      </c>
      <c r="P87" s="15" t="s">
        <v>765</v>
      </c>
      <c r="Q87" s="10" t="str">
        <f t="shared" si="14"/>
        <v xml:space="preserve">CREMER      -ON  </v>
      </c>
      <c r="R87" s="51">
        <f t="shared" si="15"/>
        <v>41691</v>
      </c>
      <c r="S87" s="5">
        <f t="shared" si="16"/>
        <v>13.34</v>
      </c>
      <c r="T87" s="5">
        <f t="shared" si="17"/>
        <v>13.26</v>
      </c>
      <c r="U87" s="5">
        <f t="shared" si="18"/>
        <v>13.71</v>
      </c>
      <c r="V87" s="5">
        <f t="shared" si="19"/>
        <v>13.21</v>
      </c>
    </row>
    <row r="88" spans="1:22">
      <c r="A88" s="33" t="str">
        <f>IF(Tabela176[[#This Row],[Código]]="IBOV","^BVSP",IF(Tabela176[[#This Row],[Código]]="","",CONCATENATE(LEFT(Tabela176[[#This Row],[Código]],6),".SA")))</f>
        <v>NATU3.SA</v>
      </c>
      <c r="C88" s="3" t="s">
        <v>809</v>
      </c>
      <c r="D88" s="3" t="s">
        <v>1874</v>
      </c>
      <c r="E88" s="3" t="s">
        <v>1875</v>
      </c>
      <c r="F88" s="3" t="s">
        <v>1876</v>
      </c>
      <c r="G88" s="3" t="s">
        <v>1877</v>
      </c>
      <c r="H88" s="51">
        <v>41691</v>
      </c>
      <c r="J88" s="3">
        <f t="shared" si="20"/>
        <v>34.61</v>
      </c>
      <c r="K88" s="3">
        <f t="shared" si="20"/>
        <v>34.92</v>
      </c>
      <c r="L88" s="3">
        <f t="shared" si="20"/>
        <v>35.049999999999997</v>
      </c>
      <c r="M88" s="3">
        <f t="shared" si="20"/>
        <v>34.380000000000003</v>
      </c>
      <c r="P88" s="15" t="s">
        <v>806</v>
      </c>
      <c r="Q88" s="10" t="str">
        <f t="shared" si="14"/>
        <v xml:space="preserve">NATURA      -ON  </v>
      </c>
      <c r="R88" s="51">
        <f t="shared" si="15"/>
        <v>41691</v>
      </c>
      <c r="S88" s="5">
        <f t="shared" si="16"/>
        <v>34.61</v>
      </c>
      <c r="T88" s="5">
        <f t="shared" si="17"/>
        <v>34.92</v>
      </c>
      <c r="U88" s="5">
        <f t="shared" si="18"/>
        <v>35.049999999999997</v>
      </c>
      <c r="V88" s="5">
        <f t="shared" si="19"/>
        <v>34.380000000000003</v>
      </c>
    </row>
    <row r="89" spans="1:22">
      <c r="A89" s="33" t="str">
        <f>IF(Tabela176[[#This Row],[Código]]="IBOV","^BVSP",IF(Tabela176[[#This Row],[Código]]="","",CONCATENATE(LEFT(Tabela176[[#This Row],[Código]],6),".SA")))</f>
        <v>BOBR3.SA</v>
      </c>
      <c r="C89" s="3" t="s">
        <v>813</v>
      </c>
      <c r="D89" s="3" t="s">
        <v>442</v>
      </c>
      <c r="E89" s="3" t="s">
        <v>443</v>
      </c>
      <c r="F89" s="3" t="s">
        <v>442</v>
      </c>
      <c r="G89" s="3" t="s">
        <v>442</v>
      </c>
      <c r="H89" s="51" t="s">
        <v>442</v>
      </c>
      <c r="J89" s="3" t="e">
        <f t="shared" si="20"/>
        <v>#VALUE!</v>
      </c>
      <c r="K89" s="3">
        <f t="shared" si="20"/>
        <v>0</v>
      </c>
      <c r="L89" s="3" t="e">
        <f t="shared" si="20"/>
        <v>#VALUE!</v>
      </c>
      <c r="M89" s="3" t="e">
        <f t="shared" si="20"/>
        <v>#VALUE!</v>
      </c>
      <c r="P89" s="10" t="s">
        <v>811</v>
      </c>
      <c r="Q89" s="10" t="str">
        <f t="shared" si="14"/>
        <v>BOMBRIL     -ON</v>
      </c>
      <c r="R89" s="51" t="str">
        <f t="shared" si="15"/>
        <v>N/A</v>
      </c>
      <c r="S89" s="5" t="e">
        <f t="shared" si="16"/>
        <v>#VALUE!</v>
      </c>
      <c r="T89" s="5">
        <f t="shared" si="17"/>
        <v>0</v>
      </c>
      <c r="U89" s="5" t="e">
        <f t="shared" si="18"/>
        <v>#VALUE!</v>
      </c>
      <c r="V89" s="5" t="e">
        <f t="shared" si="19"/>
        <v>#VALUE!</v>
      </c>
    </row>
    <row r="90" spans="1:22">
      <c r="A90" s="33" t="str">
        <f>IF(Tabela176[[#This Row],[Código]]="IBOV","^BVSP",IF(Tabela176[[#This Row],[Código]]="","",CONCATENATE(LEFT(Tabela176[[#This Row],[Código]],6),".SA")))</f>
        <v>BOBR4.SA</v>
      </c>
      <c r="C90" s="3" t="s">
        <v>814</v>
      </c>
      <c r="D90" s="3" t="s">
        <v>1167</v>
      </c>
      <c r="E90" s="3" t="s">
        <v>976</v>
      </c>
      <c r="F90" s="3" t="s">
        <v>976</v>
      </c>
      <c r="G90" s="3" t="s">
        <v>1167</v>
      </c>
      <c r="H90" s="51">
        <v>41691</v>
      </c>
      <c r="J90" s="3">
        <f t="shared" si="20"/>
        <v>5.99</v>
      </c>
      <c r="K90" s="3">
        <f t="shared" si="20"/>
        <v>6</v>
      </c>
      <c r="L90" s="3">
        <f t="shared" si="20"/>
        <v>6</v>
      </c>
      <c r="M90" s="3">
        <f t="shared" si="20"/>
        <v>5.99</v>
      </c>
      <c r="P90" s="10" t="s">
        <v>812</v>
      </c>
      <c r="Q90" s="10" t="str">
        <f t="shared" si="14"/>
        <v>BOMBRIL     -PN</v>
      </c>
      <c r="R90" s="51">
        <f t="shared" si="15"/>
        <v>41691</v>
      </c>
      <c r="S90" s="5">
        <f t="shared" si="16"/>
        <v>5.99</v>
      </c>
      <c r="T90" s="5">
        <f t="shared" si="17"/>
        <v>6</v>
      </c>
      <c r="U90" s="5">
        <f t="shared" si="18"/>
        <v>6</v>
      </c>
      <c r="V90" s="5">
        <f t="shared" si="19"/>
        <v>5.99</v>
      </c>
    </row>
    <row r="91" spans="1:22">
      <c r="A91" s="33" t="str">
        <f>IF(Tabela176[[#This Row],[Código]]="IBOV","^BVSP",IF(Tabela176[[#This Row],[Código]]="","",CONCATENATE(LEFT(Tabela176[[#This Row],[Código]],6),".SA")))</f>
        <v>CRUZ3.SA</v>
      </c>
      <c r="C91" s="3" t="s">
        <v>817</v>
      </c>
      <c r="D91" s="3" t="s">
        <v>1878</v>
      </c>
      <c r="E91" s="3" t="s">
        <v>1879</v>
      </c>
      <c r="F91" s="3" t="s">
        <v>1880</v>
      </c>
      <c r="G91" s="3" t="s">
        <v>1881</v>
      </c>
      <c r="H91" s="51">
        <v>41691</v>
      </c>
      <c r="J91" s="3">
        <f t="shared" si="20"/>
        <v>20.43</v>
      </c>
      <c r="K91" s="3">
        <f t="shared" si="20"/>
        <v>20.41</v>
      </c>
      <c r="L91" s="3">
        <f t="shared" si="20"/>
        <v>20.53</v>
      </c>
      <c r="M91" s="3">
        <f t="shared" si="20"/>
        <v>20.21</v>
      </c>
      <c r="P91" s="10" t="s">
        <v>815</v>
      </c>
      <c r="Q91" s="10" t="str">
        <f t="shared" si="14"/>
        <v>SOUZA CRUZ  -ON</v>
      </c>
      <c r="R91" s="51">
        <f t="shared" si="15"/>
        <v>41691</v>
      </c>
      <c r="S91" s="5">
        <f t="shared" si="16"/>
        <v>20.43</v>
      </c>
      <c r="T91" s="5">
        <f t="shared" si="17"/>
        <v>20.41</v>
      </c>
      <c r="U91" s="5">
        <f t="shared" si="18"/>
        <v>20.53</v>
      </c>
      <c r="V91" s="5">
        <f t="shared" si="19"/>
        <v>20.21</v>
      </c>
    </row>
    <row r="92" spans="1:22">
      <c r="A92" s="33" t="str">
        <f>IF(Tabela176[[#This Row],[Código]]="IBOV","^BVSP",IF(Tabela176[[#This Row],[Código]]="","",CONCATENATE(LEFT(Tabela176[[#This Row],[Código]],6),".SA")))</f>
        <v>LAME3.SA</v>
      </c>
      <c r="C92" s="3" t="s">
        <v>821</v>
      </c>
      <c r="D92" s="3" t="s">
        <v>1882</v>
      </c>
      <c r="E92" s="3" t="s">
        <v>1883</v>
      </c>
      <c r="F92" s="3" t="s">
        <v>1884</v>
      </c>
      <c r="G92" s="3" t="s">
        <v>1123</v>
      </c>
      <c r="H92" s="51">
        <v>41691</v>
      </c>
      <c r="J92" s="3">
        <f t="shared" si="20"/>
        <v>12.32</v>
      </c>
      <c r="K92" s="3">
        <f t="shared" si="20"/>
        <v>12.38</v>
      </c>
      <c r="L92" s="3">
        <f t="shared" si="20"/>
        <v>12.48</v>
      </c>
      <c r="M92" s="3">
        <f t="shared" si="20"/>
        <v>12.25</v>
      </c>
      <c r="P92" s="16" t="s">
        <v>819</v>
      </c>
      <c r="Q92" s="10" t="str">
        <f t="shared" si="14"/>
        <v>LOJAS AMERIC-ON</v>
      </c>
      <c r="R92" s="51">
        <f t="shared" si="15"/>
        <v>41691</v>
      </c>
      <c r="S92" s="5">
        <f t="shared" si="16"/>
        <v>12.32</v>
      </c>
      <c r="T92" s="5">
        <f t="shared" si="17"/>
        <v>12.38</v>
      </c>
      <c r="U92" s="5">
        <f t="shared" si="18"/>
        <v>12.48</v>
      </c>
      <c r="V92" s="5">
        <f t="shared" si="19"/>
        <v>12.25</v>
      </c>
    </row>
    <row r="93" spans="1:22">
      <c r="A93" s="33" t="str">
        <f>IF(Tabela176[[#This Row],[Código]]="IBOV","^BVSP",IF(Tabela176[[#This Row],[Código]]="","",CONCATENATE(LEFT(Tabela176[[#This Row],[Código]],6),".SA")))</f>
        <v>LAME4.SA</v>
      </c>
      <c r="C93" s="3" t="s">
        <v>822</v>
      </c>
      <c r="D93" s="3" t="s">
        <v>1885</v>
      </c>
      <c r="E93" s="3" t="s">
        <v>1886</v>
      </c>
      <c r="F93" s="3" t="s">
        <v>1550</v>
      </c>
      <c r="G93" s="3" t="s">
        <v>1152</v>
      </c>
      <c r="H93" s="51">
        <v>41691</v>
      </c>
      <c r="J93" s="3">
        <f t="shared" si="20"/>
        <v>14.1</v>
      </c>
      <c r="K93" s="3">
        <f t="shared" si="20"/>
        <v>14.21</v>
      </c>
      <c r="L93" s="3">
        <f t="shared" si="20"/>
        <v>14.33</v>
      </c>
      <c r="M93" s="3">
        <f t="shared" si="20"/>
        <v>14.05</v>
      </c>
      <c r="P93" s="16" t="s">
        <v>820</v>
      </c>
      <c r="Q93" s="10" t="str">
        <f t="shared" si="14"/>
        <v>LOJAS AMERIC-PN</v>
      </c>
      <c r="R93" s="51">
        <f t="shared" si="15"/>
        <v>41691</v>
      </c>
      <c r="S93" s="5">
        <f t="shared" si="16"/>
        <v>14.1</v>
      </c>
      <c r="T93" s="5">
        <f t="shared" si="17"/>
        <v>14.21</v>
      </c>
      <c r="U93" s="5">
        <f t="shared" si="18"/>
        <v>14.33</v>
      </c>
      <c r="V93" s="5">
        <f t="shared" si="19"/>
        <v>14.05</v>
      </c>
    </row>
    <row r="94" spans="1:22">
      <c r="A94" s="33" t="str">
        <f>IF(Tabela176[[#This Row],[Código]]="IBOV","^BVSP",IF(Tabela176[[#This Row],[Código]]="","",CONCATENATE(LEFT(Tabela176[[#This Row],[Código]],6),".SA")))</f>
        <v>BTOW3.SA</v>
      </c>
      <c r="C94" s="3" t="s">
        <v>824</v>
      </c>
      <c r="D94" s="3" t="s">
        <v>1887</v>
      </c>
      <c r="E94" s="3" t="s">
        <v>1888</v>
      </c>
      <c r="F94" s="3" t="s">
        <v>1887</v>
      </c>
      <c r="G94" s="3" t="s">
        <v>1889</v>
      </c>
      <c r="H94" s="51">
        <v>41691</v>
      </c>
      <c r="J94" s="3">
        <f t="shared" si="20"/>
        <v>22.9</v>
      </c>
      <c r="K94" s="3">
        <f t="shared" si="20"/>
        <v>22.69</v>
      </c>
      <c r="L94" s="3">
        <f t="shared" si="20"/>
        <v>22.9</v>
      </c>
      <c r="M94" s="3">
        <f t="shared" si="20"/>
        <v>22.35</v>
      </c>
      <c r="P94" s="14" t="s">
        <v>823</v>
      </c>
      <c r="Q94" s="10" t="str">
        <f t="shared" si="14"/>
        <v xml:space="preserve">B2W DIGITAL -ON  </v>
      </c>
      <c r="R94" s="51">
        <f t="shared" si="15"/>
        <v>41691</v>
      </c>
      <c r="S94" s="5">
        <f t="shared" si="16"/>
        <v>22.9</v>
      </c>
      <c r="T94" s="5">
        <f t="shared" si="17"/>
        <v>22.69</v>
      </c>
      <c r="U94" s="5">
        <f t="shared" si="18"/>
        <v>22.9</v>
      </c>
      <c r="V94" s="5">
        <f t="shared" si="19"/>
        <v>22.35</v>
      </c>
    </row>
    <row r="95" spans="1:22">
      <c r="A95" s="33" t="str">
        <f>IF(Tabela176[[#This Row],[Código]]="IBOV","^BVSP",IF(Tabela176[[#This Row],[Código]]="","",CONCATENATE(LEFT(Tabela176[[#This Row],[Código]],6),".SA")))</f>
        <v>HYPE3.SA</v>
      </c>
      <c r="C95" s="3" t="s">
        <v>826</v>
      </c>
      <c r="D95" s="3" t="s">
        <v>1890</v>
      </c>
      <c r="E95" s="3" t="s">
        <v>1891</v>
      </c>
      <c r="F95" s="3" t="s">
        <v>1892</v>
      </c>
      <c r="G95" s="3" t="s">
        <v>1893</v>
      </c>
      <c r="H95" s="51">
        <v>41691</v>
      </c>
      <c r="J95" s="3">
        <f t="shared" si="20"/>
        <v>15.11</v>
      </c>
      <c r="K95" s="3">
        <f t="shared" si="20"/>
        <v>15.23</v>
      </c>
      <c r="L95" s="3">
        <f t="shared" si="20"/>
        <v>15.26</v>
      </c>
      <c r="M95" s="3">
        <f t="shared" si="20"/>
        <v>15.07</v>
      </c>
      <c r="P95" s="14" t="s">
        <v>825</v>
      </c>
      <c r="Q95" s="10" t="str">
        <f t="shared" si="14"/>
        <v xml:space="preserve">HYPERMARCAS -ON  </v>
      </c>
      <c r="R95" s="51">
        <f t="shared" si="15"/>
        <v>41691</v>
      </c>
      <c r="S95" s="5">
        <f t="shared" si="16"/>
        <v>15.11</v>
      </c>
      <c r="T95" s="5">
        <f t="shared" si="17"/>
        <v>15.23</v>
      </c>
      <c r="U95" s="5">
        <f t="shared" si="18"/>
        <v>15.26</v>
      </c>
      <c r="V95" s="5">
        <f t="shared" si="19"/>
        <v>15.07</v>
      </c>
    </row>
    <row r="96" spans="1:22">
      <c r="A96" s="33" t="str">
        <f>IF(Tabela176[[#This Row],[Código]]="IBOV","^BVSP",IF(Tabela176[[#This Row],[Código]]="","",CONCATENATE(LEFT(Tabela176[[#This Row],[Código]],6),".SA")))</f>
        <v>RADL3.SA</v>
      </c>
      <c r="C96" s="3" t="s">
        <v>829</v>
      </c>
      <c r="D96" s="3" t="s">
        <v>1894</v>
      </c>
      <c r="E96" s="3" t="s">
        <v>1895</v>
      </c>
      <c r="F96" s="3" t="s">
        <v>1895</v>
      </c>
      <c r="G96" s="3" t="s">
        <v>1894</v>
      </c>
      <c r="H96" s="51">
        <v>41691</v>
      </c>
      <c r="J96" s="3">
        <f t="shared" si="20"/>
        <v>14.35</v>
      </c>
      <c r="K96" s="3">
        <f t="shared" si="20"/>
        <v>14.72</v>
      </c>
      <c r="L96" s="3">
        <f t="shared" si="20"/>
        <v>14.72</v>
      </c>
      <c r="M96" s="3">
        <f t="shared" si="20"/>
        <v>14.35</v>
      </c>
      <c r="P96" s="14" t="s">
        <v>827</v>
      </c>
      <c r="Q96" s="10" t="str">
        <f t="shared" si="14"/>
        <v xml:space="preserve">RAIADROGASIL-ON  </v>
      </c>
      <c r="R96" s="51">
        <f t="shared" si="15"/>
        <v>41691</v>
      </c>
      <c r="S96" s="5">
        <f t="shared" si="16"/>
        <v>14.35</v>
      </c>
      <c r="T96" s="5">
        <f t="shared" si="17"/>
        <v>14.72</v>
      </c>
      <c r="U96" s="5">
        <f t="shared" si="18"/>
        <v>14.72</v>
      </c>
      <c r="V96" s="5">
        <f t="shared" si="19"/>
        <v>14.35</v>
      </c>
    </row>
    <row r="97" spans="1:22">
      <c r="A97" s="33" t="str">
        <f>IF(Tabela176[[#This Row],[Código]]="IBOV","^BVSP",IF(Tabela176[[#This Row],[Código]]="","",CONCATENATE(LEFT(Tabela176[[#This Row],[Código]],6),".SA")))</f>
        <v>BPHA3.SA</v>
      </c>
      <c r="C97" s="3" t="s">
        <v>831</v>
      </c>
      <c r="D97" s="3" t="s">
        <v>1476</v>
      </c>
      <c r="E97" s="3" t="s">
        <v>1010</v>
      </c>
      <c r="F97" s="3" t="s">
        <v>1896</v>
      </c>
      <c r="G97" s="3" t="s">
        <v>1476</v>
      </c>
      <c r="H97" s="51">
        <v>41691</v>
      </c>
      <c r="J97" s="3">
        <f t="shared" si="20"/>
        <v>4.58</v>
      </c>
      <c r="K97" s="3">
        <f t="shared" si="20"/>
        <v>4.67</v>
      </c>
      <c r="L97" s="3">
        <f t="shared" si="20"/>
        <v>4.72</v>
      </c>
      <c r="M97" s="3">
        <f t="shared" si="20"/>
        <v>4.58</v>
      </c>
      <c r="P97" s="15" t="s">
        <v>830</v>
      </c>
      <c r="Q97" s="10" t="str">
        <f t="shared" si="14"/>
        <v xml:space="preserve">BR PHARMA   -ON  </v>
      </c>
      <c r="R97" s="51">
        <f t="shared" si="15"/>
        <v>41691</v>
      </c>
      <c r="S97" s="5">
        <f t="shared" si="16"/>
        <v>4.58</v>
      </c>
      <c r="T97" s="5">
        <f t="shared" si="17"/>
        <v>4.67</v>
      </c>
      <c r="U97" s="5">
        <f t="shared" si="18"/>
        <v>4.72</v>
      </c>
      <c r="V97" s="5">
        <f t="shared" si="19"/>
        <v>4.58</v>
      </c>
    </row>
    <row r="98" spans="1:22">
      <c r="A98" s="33" t="str">
        <f>IF(Tabela176[[#This Row],[Código]]="IBOV","^BVSP",IF(Tabela176[[#This Row],[Código]]="","",CONCATENATE(LEFT(Tabela176[[#This Row],[Código]],6),".SA")))</f>
        <v>PNVL3.SA</v>
      </c>
      <c r="C98" s="3" t="s">
        <v>834</v>
      </c>
      <c r="D98" s="3" t="s">
        <v>1415</v>
      </c>
      <c r="E98" s="3" t="s">
        <v>1416</v>
      </c>
      <c r="F98" s="3" t="s">
        <v>1416</v>
      </c>
      <c r="G98" s="3" t="s">
        <v>1415</v>
      </c>
      <c r="H98" s="51">
        <v>41691</v>
      </c>
      <c r="J98" s="3">
        <f t="shared" si="20"/>
        <v>175</v>
      </c>
      <c r="K98" s="3">
        <f t="shared" si="20"/>
        <v>178</v>
      </c>
      <c r="L98" s="3">
        <f t="shared" si="20"/>
        <v>178</v>
      </c>
      <c r="M98" s="3">
        <f t="shared" si="20"/>
        <v>175</v>
      </c>
      <c r="P98" s="10" t="s">
        <v>832</v>
      </c>
      <c r="Q98" s="10" t="str">
        <f t="shared" si="14"/>
        <v>DIMED       -ON</v>
      </c>
      <c r="R98" s="51">
        <f t="shared" si="15"/>
        <v>41691</v>
      </c>
      <c r="S98" s="5">
        <f t="shared" si="16"/>
        <v>175</v>
      </c>
      <c r="T98" s="5">
        <f t="shared" si="17"/>
        <v>178</v>
      </c>
      <c r="U98" s="5">
        <f t="shared" si="18"/>
        <v>178</v>
      </c>
      <c r="V98" s="5">
        <f t="shared" si="19"/>
        <v>175</v>
      </c>
    </row>
    <row r="99" spans="1:22">
      <c r="A99" s="33" t="str">
        <f>IF(Tabela176[[#This Row],[Código]]="IBOV","^BVSP",IF(Tabela176[[#This Row],[Código]]="","",CONCATENATE(LEFT(Tabela176[[#This Row],[Código]],6),".SA")))</f>
        <v>PNVL4.SA</v>
      </c>
      <c r="C99" s="3" t="s">
        <v>835</v>
      </c>
      <c r="D99" s="3" t="s">
        <v>836</v>
      </c>
      <c r="E99" s="3" t="s">
        <v>837</v>
      </c>
      <c r="F99" s="3" t="s">
        <v>837</v>
      </c>
      <c r="G99" s="3" t="s">
        <v>836</v>
      </c>
      <c r="H99" s="51">
        <v>41691</v>
      </c>
      <c r="J99" s="3">
        <f t="shared" si="20"/>
        <v>188</v>
      </c>
      <c r="K99" s="3">
        <f t="shared" si="20"/>
        <v>190</v>
      </c>
      <c r="L99" s="3">
        <f t="shared" si="20"/>
        <v>190</v>
      </c>
      <c r="M99" s="3">
        <f t="shared" si="20"/>
        <v>188</v>
      </c>
      <c r="P99" s="14" t="s">
        <v>833</v>
      </c>
      <c r="Q99" s="10" t="str">
        <f t="shared" si="14"/>
        <v>DIMED       -PN</v>
      </c>
      <c r="R99" s="51">
        <f t="shared" si="15"/>
        <v>41691</v>
      </c>
      <c r="S99" s="5">
        <f t="shared" si="16"/>
        <v>188</v>
      </c>
      <c r="T99" s="5">
        <f t="shared" si="17"/>
        <v>190</v>
      </c>
      <c r="U99" s="5">
        <f t="shared" si="18"/>
        <v>190</v>
      </c>
      <c r="V99" s="5">
        <f t="shared" si="19"/>
        <v>188</v>
      </c>
    </row>
    <row r="100" spans="1:22">
      <c r="A100" s="33" t="str">
        <f>IF(Tabela176[[#This Row],[Código]]="IBOV","^BVSP",IF(Tabela176[[#This Row],[Código]]="","",CONCATENATE(LEFT(Tabela176[[#This Row],[Código]],6),".SA")))</f>
        <v>PFRM3.SA</v>
      </c>
      <c r="C100" s="3" t="s">
        <v>839</v>
      </c>
      <c r="D100" s="3" t="s">
        <v>1897</v>
      </c>
      <c r="E100" s="3" t="s">
        <v>1898</v>
      </c>
      <c r="F100" s="3" t="s">
        <v>1124</v>
      </c>
      <c r="G100" s="3" t="s">
        <v>1899</v>
      </c>
      <c r="H100" s="51">
        <v>41691</v>
      </c>
      <c r="J100" s="3">
        <f t="shared" si="20"/>
        <v>16.510000000000002</v>
      </c>
      <c r="K100" s="3">
        <f t="shared" si="20"/>
        <v>16.649999999999999</v>
      </c>
      <c r="L100" s="3">
        <f t="shared" si="20"/>
        <v>16.7</v>
      </c>
      <c r="M100" s="3">
        <f t="shared" si="20"/>
        <v>16.489999999999998</v>
      </c>
      <c r="P100" s="14" t="s">
        <v>838</v>
      </c>
      <c r="Q100" s="10" t="str">
        <f t="shared" si="14"/>
        <v xml:space="preserve">PROFARMA    -ON  </v>
      </c>
      <c r="R100" s="51">
        <f t="shared" si="15"/>
        <v>41691</v>
      </c>
      <c r="S100" s="5">
        <f t="shared" si="16"/>
        <v>16.510000000000002</v>
      </c>
      <c r="T100" s="5">
        <f t="shared" si="17"/>
        <v>16.649999999999999</v>
      </c>
      <c r="U100" s="5">
        <f t="shared" si="18"/>
        <v>16.7</v>
      </c>
      <c r="V100" s="5">
        <f t="shared" si="19"/>
        <v>16.489999999999998</v>
      </c>
    </row>
    <row r="101" spans="1:22">
      <c r="A101" s="33" t="str">
        <f>IF(Tabela176[[#This Row],[Código]]="IBOV","^BVSP",IF(Tabela176[[#This Row],[Código]]="","",CONCATENATE(LEFT(Tabela176[[#This Row],[Código]],6),".SA")))</f>
        <v>PCAR3.SA</v>
      </c>
      <c r="C101" s="3" t="s">
        <v>843</v>
      </c>
      <c r="D101" s="3" t="s">
        <v>442</v>
      </c>
      <c r="E101" s="3" t="s">
        <v>844</v>
      </c>
      <c r="F101" s="3" t="s">
        <v>844</v>
      </c>
      <c r="G101" s="3" t="s">
        <v>844</v>
      </c>
      <c r="H101" s="51">
        <v>41691</v>
      </c>
      <c r="J101" s="3" t="e">
        <f t="shared" si="20"/>
        <v>#VALUE!</v>
      </c>
      <c r="K101" s="3">
        <f t="shared" si="20"/>
        <v>74.989999999999995</v>
      </c>
      <c r="L101" s="3">
        <f t="shared" si="20"/>
        <v>74.989999999999995</v>
      </c>
      <c r="M101" s="3">
        <f t="shared" si="20"/>
        <v>74.989999999999995</v>
      </c>
      <c r="P101" s="10" t="s">
        <v>841</v>
      </c>
      <c r="Q101" s="10" t="str">
        <f t="shared" si="14"/>
        <v xml:space="preserve">P.ACUCAR-CBD-ON  </v>
      </c>
      <c r="R101" s="51">
        <f t="shared" si="15"/>
        <v>41691</v>
      </c>
      <c r="S101" s="5" t="e">
        <f t="shared" si="16"/>
        <v>#VALUE!</v>
      </c>
      <c r="T101" s="5">
        <f t="shared" si="17"/>
        <v>74.989999999999995</v>
      </c>
      <c r="U101" s="5">
        <f t="shared" si="18"/>
        <v>74.989999999999995</v>
      </c>
      <c r="V101" s="5">
        <f t="shared" si="19"/>
        <v>74.989999999999995</v>
      </c>
    </row>
    <row r="102" spans="1:22">
      <c r="A102" s="33" t="str">
        <f>IF(Tabela176[[#This Row],[Código]]="IBOV","^BVSP",IF(Tabela176[[#This Row],[Código]]="","",CONCATENATE(LEFT(Tabela176[[#This Row],[Código]],6),".SA")))</f>
        <v>PCAR4.SA</v>
      </c>
      <c r="C102" s="3" t="s">
        <v>845</v>
      </c>
      <c r="D102" s="3" t="s">
        <v>1900</v>
      </c>
      <c r="E102" s="3" t="s">
        <v>1901</v>
      </c>
      <c r="F102" s="3" t="s">
        <v>1902</v>
      </c>
      <c r="G102" s="3" t="s">
        <v>1903</v>
      </c>
      <c r="H102" s="51">
        <v>41691</v>
      </c>
      <c r="J102" s="3">
        <f t="shared" si="20"/>
        <v>96.5</v>
      </c>
      <c r="K102" s="3">
        <f t="shared" si="20"/>
        <v>97.57</v>
      </c>
      <c r="L102" s="3">
        <f t="shared" si="20"/>
        <v>97.99</v>
      </c>
      <c r="M102" s="3">
        <f t="shared" si="20"/>
        <v>95.7</v>
      </c>
      <c r="P102" s="10" t="s">
        <v>842</v>
      </c>
      <c r="Q102" s="10" t="str">
        <f t="shared" si="14"/>
        <v xml:space="preserve">P.ACUCAR-CBD-PN  </v>
      </c>
      <c r="R102" s="51">
        <f t="shared" si="15"/>
        <v>41691</v>
      </c>
      <c r="S102" s="5">
        <f t="shared" si="16"/>
        <v>96.5</v>
      </c>
      <c r="T102" s="5">
        <f t="shared" si="17"/>
        <v>97.57</v>
      </c>
      <c r="U102" s="5">
        <f t="shared" si="18"/>
        <v>97.99</v>
      </c>
      <c r="V102" s="5">
        <f t="shared" si="19"/>
        <v>95.7</v>
      </c>
    </row>
    <row r="103" spans="1:22">
      <c r="A103" s="33" t="str">
        <f>IF(Tabela176[[#This Row],[Código]]="IBOV","^BVSP",IF(Tabela176[[#This Row],[Código]]="","",CONCATENATE(LEFT(Tabela176[[#This Row],[Código]],6),".SA")))</f>
        <v>ABEV3.SA</v>
      </c>
      <c r="C103" s="3" t="s">
        <v>848</v>
      </c>
      <c r="D103" s="3" t="s">
        <v>1132</v>
      </c>
      <c r="E103" s="3" t="s">
        <v>1904</v>
      </c>
      <c r="F103" s="3" t="s">
        <v>1905</v>
      </c>
      <c r="G103" s="3" t="s">
        <v>985</v>
      </c>
      <c r="H103" s="51">
        <v>41691</v>
      </c>
      <c r="J103" s="3">
        <f t="shared" si="20"/>
        <v>16.5</v>
      </c>
      <c r="K103" s="3">
        <f t="shared" si="20"/>
        <v>16.670000000000002</v>
      </c>
      <c r="L103" s="3">
        <f t="shared" si="20"/>
        <v>16.86</v>
      </c>
      <c r="M103" s="3">
        <f t="shared" si="20"/>
        <v>16.38</v>
      </c>
      <c r="P103" s="15" t="s">
        <v>847</v>
      </c>
      <c r="Q103" s="10" t="str">
        <f t="shared" ref="Q103:Q112" si="21">IF(A103="","",C103)</f>
        <v>AMBEV S/A   -ON</v>
      </c>
      <c r="R103" s="51">
        <f t="shared" ref="R103:R112" si="22">IF(A103="","",H103)</f>
        <v>41691</v>
      </c>
      <c r="S103" s="5">
        <f t="shared" ref="S103:S112" si="23">J103</f>
        <v>16.5</v>
      </c>
      <c r="T103" s="5">
        <f t="shared" ref="T103:T112" si="24">K103</f>
        <v>16.670000000000002</v>
      </c>
      <c r="U103" s="5">
        <f t="shared" ref="U103:U112" si="25">L103</f>
        <v>16.86</v>
      </c>
      <c r="V103" s="5">
        <f t="shared" ref="V103:V112" si="26">M103</f>
        <v>16.38</v>
      </c>
    </row>
    <row r="104" spans="1:22">
      <c r="A104" s="33" t="str">
        <f>IF(Tabela176[[#This Row],[Código]]="IBOV","^BVSP",IF(Tabela176[[#This Row],[Código]]="","",CONCATENATE(LEFT(Tabela176[[#This Row],[Código]],6),".SA")))</f>
        <v>VIGR3.SA</v>
      </c>
      <c r="C104" s="3" t="s">
        <v>282</v>
      </c>
      <c r="D104" s="3" t="s">
        <v>970</v>
      </c>
      <c r="E104" s="3" t="s">
        <v>939</v>
      </c>
      <c r="F104" s="3" t="s">
        <v>795</v>
      </c>
      <c r="G104" s="3" t="s">
        <v>939</v>
      </c>
      <c r="H104" s="51">
        <v>41691</v>
      </c>
      <c r="J104" s="3">
        <f t="shared" si="20"/>
        <v>7.01</v>
      </c>
      <c r="K104" s="3">
        <f t="shared" si="20"/>
        <v>7</v>
      </c>
      <c r="L104" s="3">
        <f t="shared" si="20"/>
        <v>7.02</v>
      </c>
      <c r="M104" s="3">
        <f t="shared" si="20"/>
        <v>7</v>
      </c>
      <c r="P104" s="15" t="s">
        <v>281</v>
      </c>
      <c r="Q104" s="10" t="str">
        <f t="shared" si="21"/>
        <v xml:space="preserve">VIGOR FOOD  -ON  </v>
      </c>
      <c r="R104" s="51">
        <f t="shared" si="22"/>
        <v>41691</v>
      </c>
      <c r="S104" s="5">
        <f t="shared" si="23"/>
        <v>7.01</v>
      </c>
      <c r="T104" s="5">
        <f t="shared" si="24"/>
        <v>7</v>
      </c>
      <c r="U104" s="5">
        <f t="shared" si="25"/>
        <v>7.02</v>
      </c>
      <c r="V104" s="5">
        <f t="shared" si="26"/>
        <v>7</v>
      </c>
    </row>
    <row r="105" spans="1:22">
      <c r="A105" s="33" t="str">
        <f>IF(Tabela176[[#This Row],[Código]]="IBOV","^BVSP",IF(Tabela176[[#This Row],[Código]]="","",CONCATENATE(LEFT(Tabela176[[#This Row],[Código]],6),".SA")))</f>
        <v>CLAN3.SA</v>
      </c>
      <c r="C105" s="3" t="s">
        <v>851</v>
      </c>
      <c r="D105" s="3" t="s">
        <v>442</v>
      </c>
      <c r="E105" s="3" t="s">
        <v>443</v>
      </c>
      <c r="F105" s="3" t="s">
        <v>442</v>
      </c>
      <c r="G105" s="3" t="s">
        <v>442</v>
      </c>
      <c r="H105" s="51" t="s">
        <v>442</v>
      </c>
      <c r="J105" s="3" t="e">
        <f t="shared" si="20"/>
        <v>#VALUE!</v>
      </c>
      <c r="K105" s="3">
        <f t="shared" si="20"/>
        <v>0</v>
      </c>
      <c r="L105" s="3" t="e">
        <f t="shared" si="20"/>
        <v>#VALUE!</v>
      </c>
      <c r="M105" s="3" t="e">
        <f t="shared" si="20"/>
        <v>#VALUE!</v>
      </c>
      <c r="P105" s="15" t="s">
        <v>849</v>
      </c>
      <c r="Q105" s="10" t="str">
        <f t="shared" si="21"/>
        <v>CLARION     -ON</v>
      </c>
      <c r="R105" s="51" t="str">
        <f t="shared" si="22"/>
        <v>N/A</v>
      </c>
      <c r="S105" s="5" t="e">
        <f t="shared" si="23"/>
        <v>#VALUE!</v>
      </c>
      <c r="T105" s="5">
        <f t="shared" si="24"/>
        <v>0</v>
      </c>
      <c r="U105" s="5" t="e">
        <f t="shared" si="25"/>
        <v>#VALUE!</v>
      </c>
      <c r="V105" s="5" t="e">
        <f t="shared" si="26"/>
        <v>#VALUE!</v>
      </c>
    </row>
    <row r="106" spans="1:22">
      <c r="A106" s="33" t="str">
        <f>IF(Tabela176[[#This Row],[Código]]="IBOV","^BVSP",IF(Tabela176[[#This Row],[Código]]="","",CONCATENATE(LEFT(Tabela176[[#This Row],[Código]],6),".SA")))</f>
        <v>CLAN4.SA</v>
      </c>
      <c r="C106" s="3" t="s">
        <v>852</v>
      </c>
      <c r="D106" s="3" t="s">
        <v>442</v>
      </c>
      <c r="E106" s="3" t="s">
        <v>685</v>
      </c>
      <c r="F106" s="3" t="s">
        <v>685</v>
      </c>
      <c r="G106" s="3" t="s">
        <v>685</v>
      </c>
      <c r="H106" s="51">
        <v>41691</v>
      </c>
      <c r="J106" s="3" t="e">
        <f t="shared" si="20"/>
        <v>#VALUE!</v>
      </c>
      <c r="K106" s="3">
        <f t="shared" si="20"/>
        <v>3</v>
      </c>
      <c r="L106" s="3">
        <f t="shared" si="20"/>
        <v>3</v>
      </c>
      <c r="M106" s="3">
        <f t="shared" si="20"/>
        <v>3</v>
      </c>
      <c r="P106" s="14" t="s">
        <v>850</v>
      </c>
      <c r="Q106" s="10" t="str">
        <f t="shared" si="21"/>
        <v>CLARION     -PN</v>
      </c>
      <c r="R106" s="51">
        <f t="shared" si="22"/>
        <v>41691</v>
      </c>
      <c r="S106" s="5" t="e">
        <f t="shared" si="23"/>
        <v>#VALUE!</v>
      </c>
      <c r="T106" s="5">
        <f t="shared" si="24"/>
        <v>3</v>
      </c>
      <c r="U106" s="5">
        <f t="shared" si="25"/>
        <v>3</v>
      </c>
      <c r="V106" s="5">
        <f t="shared" si="26"/>
        <v>3</v>
      </c>
    </row>
    <row r="107" spans="1:22">
      <c r="A107" s="33" t="str">
        <f>IF(Tabela176[[#This Row],[Código]]="IBOV","^BVSP",IF(Tabela176[[#This Row],[Código]]="","",CONCATENATE(LEFT(Tabela176[[#This Row],[Código]],6),".SA")))</f>
        <v>MNPR3.SA</v>
      </c>
      <c r="C107" s="3" t="s">
        <v>855</v>
      </c>
      <c r="D107" s="3" t="s">
        <v>808</v>
      </c>
      <c r="E107" s="3" t="s">
        <v>808</v>
      </c>
      <c r="F107" s="3" t="s">
        <v>808</v>
      </c>
      <c r="G107" s="3" t="s">
        <v>808</v>
      </c>
      <c r="H107" s="51">
        <v>41691</v>
      </c>
      <c r="J107" s="3">
        <f t="shared" si="20"/>
        <v>7.0000000000000007E-2</v>
      </c>
      <c r="K107" s="3">
        <f t="shared" si="20"/>
        <v>7.0000000000000007E-2</v>
      </c>
      <c r="L107" s="3">
        <f t="shared" si="20"/>
        <v>7.0000000000000007E-2</v>
      </c>
      <c r="M107" s="3">
        <f t="shared" si="20"/>
        <v>7.0000000000000007E-2</v>
      </c>
      <c r="P107" s="14" t="s">
        <v>854</v>
      </c>
      <c r="Q107" s="10" t="str">
        <f t="shared" si="21"/>
        <v>MINUPAR     -ON</v>
      </c>
      <c r="R107" s="51">
        <f t="shared" si="22"/>
        <v>41691</v>
      </c>
      <c r="S107" s="5">
        <f t="shared" si="23"/>
        <v>7.0000000000000007E-2</v>
      </c>
      <c r="T107" s="5">
        <f t="shared" si="24"/>
        <v>7.0000000000000007E-2</v>
      </c>
      <c r="U107" s="5">
        <f t="shared" si="25"/>
        <v>7.0000000000000007E-2</v>
      </c>
      <c r="V107" s="5">
        <f t="shared" si="26"/>
        <v>7.0000000000000007E-2</v>
      </c>
    </row>
    <row r="108" spans="1:22">
      <c r="A108" s="33" t="str">
        <f>IF(Tabela176[[#This Row],[Código]]="IBOV","^BVSP",IF(Tabela176[[#This Row],[Código]]="","",CONCATENATE(LEFT(Tabela176[[#This Row],[Código]],6),".SA")))</f>
        <v>BAUH3.SA</v>
      </c>
      <c r="C108" s="3" t="s">
        <v>858</v>
      </c>
      <c r="D108" s="3" t="s">
        <v>442</v>
      </c>
      <c r="E108" s="3" t="s">
        <v>443</v>
      </c>
      <c r="F108" s="3" t="s">
        <v>442</v>
      </c>
      <c r="G108" s="3" t="s">
        <v>442</v>
      </c>
      <c r="H108" s="51" t="s">
        <v>442</v>
      </c>
      <c r="J108" s="3" t="e">
        <f t="shared" si="20"/>
        <v>#VALUE!</v>
      </c>
      <c r="K108" s="3">
        <f t="shared" si="20"/>
        <v>0</v>
      </c>
      <c r="L108" s="3" t="e">
        <f t="shared" si="20"/>
        <v>#VALUE!</v>
      </c>
      <c r="M108" s="3" t="e">
        <f t="shared" si="20"/>
        <v>#VALUE!</v>
      </c>
      <c r="P108" s="14" t="s">
        <v>856</v>
      </c>
      <c r="Q108" s="10" t="str">
        <f t="shared" si="21"/>
        <v>EXCELSIOR   -ON</v>
      </c>
      <c r="R108" s="51" t="str">
        <f t="shared" si="22"/>
        <v>N/A</v>
      </c>
      <c r="S108" s="5" t="e">
        <f t="shared" si="23"/>
        <v>#VALUE!</v>
      </c>
      <c r="T108" s="5">
        <f t="shared" si="24"/>
        <v>0</v>
      </c>
      <c r="U108" s="5" t="e">
        <f t="shared" si="25"/>
        <v>#VALUE!</v>
      </c>
      <c r="V108" s="5" t="e">
        <f t="shared" si="26"/>
        <v>#VALUE!</v>
      </c>
    </row>
    <row r="109" spans="1:22">
      <c r="A109" s="33" t="str">
        <f>IF(Tabela176[[#This Row],[Código]]="IBOV","^BVSP",IF(Tabela176[[#This Row],[Código]]="","",CONCATENATE(LEFT(Tabela176[[#This Row],[Código]],6),".SA")))</f>
        <v>BAUH4.SA</v>
      </c>
      <c r="C109" s="3" t="s">
        <v>859</v>
      </c>
      <c r="D109" s="3" t="s">
        <v>936</v>
      </c>
      <c r="E109" s="3" t="s">
        <v>936</v>
      </c>
      <c r="F109" s="3" t="s">
        <v>936</v>
      </c>
      <c r="G109" s="3" t="s">
        <v>936</v>
      </c>
      <c r="H109" s="51">
        <v>41691</v>
      </c>
      <c r="J109" s="3">
        <f t="shared" si="20"/>
        <v>9.3000000000000007</v>
      </c>
      <c r="K109" s="3">
        <f t="shared" si="20"/>
        <v>9.3000000000000007</v>
      </c>
      <c r="L109" s="3">
        <f t="shared" si="20"/>
        <v>9.3000000000000007</v>
      </c>
      <c r="M109" s="3">
        <f t="shared" si="20"/>
        <v>9.3000000000000007</v>
      </c>
      <c r="P109" s="14" t="s">
        <v>857</v>
      </c>
      <c r="Q109" s="10" t="str">
        <f t="shared" si="21"/>
        <v>EXCELSIOR   -PN</v>
      </c>
      <c r="R109" s="51">
        <f t="shared" si="22"/>
        <v>41691</v>
      </c>
      <c r="S109" s="5">
        <f t="shared" si="23"/>
        <v>9.3000000000000007</v>
      </c>
      <c r="T109" s="5">
        <f t="shared" si="24"/>
        <v>9.3000000000000007</v>
      </c>
      <c r="U109" s="5">
        <f t="shared" si="25"/>
        <v>9.3000000000000007</v>
      </c>
      <c r="V109" s="5">
        <f t="shared" si="26"/>
        <v>9.3000000000000007</v>
      </c>
    </row>
    <row r="110" spans="1:22">
      <c r="A110" s="33" t="str">
        <f>IF(Tabela176[[#This Row],[Código]]="IBOV","^BVSP",IF(Tabela176[[#This Row],[Código]]="","",CONCATENATE(LEFT(Tabela176[[#This Row],[Código]],6),".SA")))</f>
        <v>BEEF3.SA</v>
      </c>
      <c r="C110" s="3" t="s">
        <v>862</v>
      </c>
      <c r="D110" s="3" t="s">
        <v>1906</v>
      </c>
      <c r="E110" s="3" t="s">
        <v>1907</v>
      </c>
      <c r="F110" s="3" t="s">
        <v>1831</v>
      </c>
      <c r="G110" s="3" t="s">
        <v>1908</v>
      </c>
      <c r="H110" s="51">
        <v>41691</v>
      </c>
      <c r="J110" s="3">
        <f t="shared" si="20"/>
        <v>10.44</v>
      </c>
      <c r="K110" s="3">
        <f t="shared" si="20"/>
        <v>10.37</v>
      </c>
      <c r="L110" s="3">
        <f t="shared" si="20"/>
        <v>10.45</v>
      </c>
      <c r="M110" s="3">
        <f t="shared" si="20"/>
        <v>10.34</v>
      </c>
      <c r="P110" s="15" t="s">
        <v>861</v>
      </c>
      <c r="Q110" s="10" t="str">
        <f t="shared" si="21"/>
        <v xml:space="preserve">MINERVA     -ON  </v>
      </c>
      <c r="R110" s="51">
        <f t="shared" si="22"/>
        <v>41691</v>
      </c>
      <c r="S110" s="5">
        <f t="shared" si="23"/>
        <v>10.44</v>
      </c>
      <c r="T110" s="5">
        <f t="shared" si="24"/>
        <v>10.37</v>
      </c>
      <c r="U110" s="5">
        <f t="shared" si="25"/>
        <v>10.45</v>
      </c>
      <c r="V110" s="5">
        <f t="shared" si="26"/>
        <v>10.34</v>
      </c>
    </row>
    <row r="111" spans="1:22">
      <c r="A111" s="33" t="str">
        <f>IF(Tabela176[[#This Row],[Código]]="IBOV","^BVSP",IF(Tabela176[[#This Row],[Código]]="","",CONCATENATE(LEFT(Tabela176[[#This Row],[Código]],6),".SA")))</f>
        <v>MRFG3.SA</v>
      </c>
      <c r="C111" s="3" t="s">
        <v>863</v>
      </c>
      <c r="D111" s="3" t="s">
        <v>1806</v>
      </c>
      <c r="E111" s="3" t="s">
        <v>1909</v>
      </c>
      <c r="F111" s="3" t="s">
        <v>1763</v>
      </c>
      <c r="G111" s="3" t="s">
        <v>783</v>
      </c>
      <c r="H111" s="51">
        <v>41691</v>
      </c>
      <c r="J111" s="3">
        <f t="shared" si="20"/>
        <v>3.85</v>
      </c>
      <c r="K111" s="3">
        <f t="shared" si="20"/>
        <v>3.91</v>
      </c>
      <c r="L111" s="3">
        <f t="shared" si="20"/>
        <v>3.92</v>
      </c>
      <c r="M111" s="3">
        <f t="shared" si="20"/>
        <v>3.78</v>
      </c>
      <c r="P111" s="14" t="s">
        <v>860</v>
      </c>
      <c r="Q111" s="10" t="str">
        <f t="shared" si="21"/>
        <v xml:space="preserve">MARFRIG     -ON  </v>
      </c>
      <c r="R111" s="51">
        <f t="shared" si="22"/>
        <v>41691</v>
      </c>
      <c r="S111" s="5">
        <f t="shared" si="23"/>
        <v>3.85</v>
      </c>
      <c r="T111" s="5">
        <f t="shared" si="24"/>
        <v>3.91</v>
      </c>
      <c r="U111" s="5">
        <f t="shared" si="25"/>
        <v>3.92</v>
      </c>
      <c r="V111" s="5">
        <f t="shared" si="26"/>
        <v>3.78</v>
      </c>
    </row>
    <row r="112" spans="1:22">
      <c r="A112" s="33" t="str">
        <f>IF(Tabela176[[#This Row],[Código]]="IBOV","^BVSP",IF(Tabela176[[#This Row],[Código]]="","",CONCATENATE(LEFT(Tabela176[[#This Row],[Código]],6),".SA")))</f>
        <v>CAFE3.SA</v>
      </c>
      <c r="C112" s="3" t="s">
        <v>866</v>
      </c>
      <c r="D112" s="3" t="s">
        <v>442</v>
      </c>
      <c r="E112" s="3" t="s">
        <v>682</v>
      </c>
      <c r="F112" s="3" t="s">
        <v>682</v>
      </c>
      <c r="G112" s="3" t="s">
        <v>682</v>
      </c>
      <c r="H112" s="51">
        <v>41691</v>
      </c>
      <c r="J112" s="3" t="e">
        <f t="shared" si="20"/>
        <v>#VALUE!</v>
      </c>
      <c r="K112" s="3">
        <f t="shared" si="20"/>
        <v>2</v>
      </c>
      <c r="L112" s="3">
        <f t="shared" si="20"/>
        <v>2</v>
      </c>
      <c r="M112" s="3">
        <f t="shared" si="20"/>
        <v>2</v>
      </c>
      <c r="P112" s="3" t="s">
        <v>864</v>
      </c>
      <c r="Q112" s="10" t="str">
        <f t="shared" si="21"/>
        <v>CAF BRASILIA-ON *</v>
      </c>
      <c r="R112" s="51">
        <f t="shared" si="22"/>
        <v>41691</v>
      </c>
      <c r="S112" s="5" t="e">
        <f t="shared" si="23"/>
        <v>#VALUE!</v>
      </c>
      <c r="T112" s="5">
        <f t="shared" si="24"/>
        <v>2</v>
      </c>
      <c r="U112" s="5">
        <f t="shared" si="25"/>
        <v>2</v>
      </c>
      <c r="V112" s="5">
        <f t="shared" si="26"/>
        <v>2</v>
      </c>
    </row>
    <row r="113" spans="1:22">
      <c r="A113" s="33"/>
      <c r="C113" s="3" t="s">
        <v>101</v>
      </c>
      <c r="H113" s="51"/>
      <c r="J113" s="3">
        <f t="shared" si="20"/>
        <v>0</v>
      </c>
      <c r="K113" s="3">
        <f t="shared" si="20"/>
        <v>0</v>
      </c>
      <c r="L113" s="3">
        <f t="shared" si="20"/>
        <v>0</v>
      </c>
      <c r="M113" s="3">
        <f t="shared" si="20"/>
        <v>0</v>
      </c>
      <c r="P113" s="3" t="s">
        <v>865</v>
      </c>
      <c r="Q113" s="10" t="str">
        <f t="shared" ref="Q113:Q131" si="27">IF(A117="","",C117)</f>
        <v/>
      </c>
      <c r="R113" s="51" t="str">
        <f t="shared" ref="R113:R131" si="28">IF(A117="","",H117)</f>
        <v/>
      </c>
      <c r="S113" s="5">
        <f t="shared" ref="S113:V131" si="29">J117</f>
        <v>0</v>
      </c>
      <c r="T113" s="5">
        <f t="shared" si="29"/>
        <v>0</v>
      </c>
      <c r="U113" s="5">
        <f t="shared" si="29"/>
        <v>0</v>
      </c>
      <c r="V113" s="5">
        <f t="shared" si="29"/>
        <v>0</v>
      </c>
    </row>
    <row r="114" spans="1:22">
      <c r="A114" s="33"/>
      <c r="J114" s="3">
        <f t="shared" si="20"/>
        <v>0</v>
      </c>
      <c r="K114" s="3">
        <f>IF($A114="",0,VALUE(CONCATENATE(LEFT(E114,LEN(E114)-3),",",RIGHT(E114,2))))</f>
        <v>0</v>
      </c>
      <c r="L114" s="3">
        <f t="shared" si="20"/>
        <v>0</v>
      </c>
      <c r="M114" s="3">
        <f t="shared" si="20"/>
        <v>0</v>
      </c>
      <c r="Q114" s="10" t="str">
        <f t="shared" si="27"/>
        <v/>
      </c>
      <c r="R114" s="51" t="str">
        <f t="shared" si="28"/>
        <v/>
      </c>
      <c r="S114" s="5">
        <f t="shared" si="29"/>
        <v>0</v>
      </c>
      <c r="T114" s="5">
        <f t="shared" si="29"/>
        <v>0</v>
      </c>
      <c r="U114" s="5">
        <f t="shared" si="29"/>
        <v>0</v>
      </c>
      <c r="V114" s="5">
        <f t="shared" si="29"/>
        <v>0</v>
      </c>
    </row>
    <row r="115" spans="1:22">
      <c r="A115" s="33"/>
      <c r="J115" s="3">
        <f t="shared" si="20"/>
        <v>0</v>
      </c>
      <c r="K115" s="3">
        <f t="shared" si="20"/>
        <v>0</v>
      </c>
      <c r="L115" s="3">
        <f t="shared" si="20"/>
        <v>0</v>
      </c>
      <c r="M115" s="3">
        <f t="shared" si="20"/>
        <v>0</v>
      </c>
      <c r="Q115" s="10" t="str">
        <f t="shared" si="27"/>
        <v/>
      </c>
      <c r="R115" s="51" t="str">
        <f t="shared" si="28"/>
        <v/>
      </c>
      <c r="S115" s="5">
        <f t="shared" si="29"/>
        <v>0</v>
      </c>
      <c r="T115" s="5">
        <f t="shared" si="29"/>
        <v>0</v>
      </c>
      <c r="U115" s="5">
        <f t="shared" si="29"/>
        <v>0</v>
      </c>
      <c r="V115" s="5">
        <f t="shared" si="29"/>
        <v>0</v>
      </c>
    </row>
    <row r="116" spans="1:22">
      <c r="A116" s="33"/>
      <c r="J116" s="3">
        <f t="shared" si="20"/>
        <v>0</v>
      </c>
      <c r="K116" s="3">
        <f t="shared" si="20"/>
        <v>0</v>
      </c>
      <c r="L116" s="3">
        <f t="shared" si="20"/>
        <v>0</v>
      </c>
      <c r="M116" s="3">
        <f t="shared" si="20"/>
        <v>0</v>
      </c>
      <c r="Q116" s="10" t="str">
        <f t="shared" si="27"/>
        <v/>
      </c>
      <c r="R116" s="51" t="str">
        <f t="shared" si="28"/>
        <v/>
      </c>
      <c r="S116" s="5">
        <f t="shared" si="29"/>
        <v>0</v>
      </c>
      <c r="T116" s="5">
        <f t="shared" si="29"/>
        <v>0</v>
      </c>
      <c r="U116" s="5">
        <f t="shared" si="29"/>
        <v>0</v>
      </c>
      <c r="V116" s="5">
        <f t="shared" si="29"/>
        <v>0</v>
      </c>
    </row>
    <row r="117" spans="1:22">
      <c r="A117" s="33"/>
      <c r="J117" s="3">
        <f t="shared" si="20"/>
        <v>0</v>
      </c>
      <c r="K117" s="3">
        <f t="shared" si="20"/>
        <v>0</v>
      </c>
      <c r="L117" s="3">
        <f t="shared" si="20"/>
        <v>0</v>
      </c>
      <c r="M117" s="3">
        <f t="shared" si="20"/>
        <v>0</v>
      </c>
      <c r="Q117" s="10" t="e">
        <f t="shared" si="27"/>
        <v>#VALUE!</v>
      </c>
      <c r="R117" s="51" t="e">
        <f t="shared" si="28"/>
        <v>#VALUE!</v>
      </c>
      <c r="S117" s="5" t="e">
        <f t="shared" si="29"/>
        <v>#VALUE!</v>
      </c>
      <c r="T117" s="5" t="e">
        <f t="shared" si="29"/>
        <v>#VALUE!</v>
      </c>
      <c r="U117" s="5" t="e">
        <f t="shared" si="29"/>
        <v>#VALUE!</v>
      </c>
      <c r="V117" s="5" t="e">
        <f t="shared" si="29"/>
        <v>#VALUE!</v>
      </c>
    </row>
    <row r="118" spans="1:22">
      <c r="A118" s="33"/>
      <c r="J118" s="3">
        <f t="shared" si="20"/>
        <v>0</v>
      </c>
      <c r="K118" s="3">
        <f t="shared" si="20"/>
        <v>0</v>
      </c>
      <c r="L118" s="3">
        <f t="shared" si="20"/>
        <v>0</v>
      </c>
      <c r="M118" s="3">
        <f t="shared" si="20"/>
        <v>0</v>
      </c>
      <c r="Q118" s="10" t="e">
        <f t="shared" si="27"/>
        <v>#VALUE!</v>
      </c>
      <c r="R118" s="51" t="e">
        <f t="shared" si="28"/>
        <v>#VALUE!</v>
      </c>
      <c r="S118" s="5" t="e">
        <f t="shared" si="29"/>
        <v>#VALUE!</v>
      </c>
      <c r="T118" s="5" t="e">
        <f t="shared" si="29"/>
        <v>#VALUE!</v>
      </c>
      <c r="U118" s="5" t="e">
        <f t="shared" si="29"/>
        <v>#VALUE!</v>
      </c>
      <c r="V118" s="5" t="e">
        <f t="shared" si="29"/>
        <v>#VALUE!</v>
      </c>
    </row>
    <row r="119" spans="1:22">
      <c r="A119" s="33"/>
      <c r="J119" s="3">
        <f t="shared" si="20"/>
        <v>0</v>
      </c>
      <c r="K119" s="3">
        <f t="shared" si="20"/>
        <v>0</v>
      </c>
      <c r="L119" s="3">
        <f t="shared" si="20"/>
        <v>0</v>
      </c>
      <c r="M119" s="3">
        <f t="shared" si="20"/>
        <v>0</v>
      </c>
      <c r="Q119" s="10" t="e">
        <f t="shared" si="27"/>
        <v>#VALUE!</v>
      </c>
      <c r="R119" s="51" t="e">
        <f t="shared" si="28"/>
        <v>#VALUE!</v>
      </c>
      <c r="S119" s="5" t="e">
        <f t="shared" si="29"/>
        <v>#VALUE!</v>
      </c>
      <c r="T119" s="5" t="e">
        <f t="shared" si="29"/>
        <v>#VALUE!</v>
      </c>
      <c r="U119" s="5" t="e">
        <f t="shared" si="29"/>
        <v>#VALUE!</v>
      </c>
      <c r="V119" s="5" t="e">
        <f t="shared" si="29"/>
        <v>#VALUE!</v>
      </c>
    </row>
    <row r="120" spans="1:22">
      <c r="A120" s="33"/>
      <c r="J120" s="3">
        <f t="shared" si="20"/>
        <v>0</v>
      </c>
      <c r="K120" s="3">
        <f t="shared" si="20"/>
        <v>0</v>
      </c>
      <c r="L120" s="3">
        <f t="shared" si="20"/>
        <v>0</v>
      </c>
      <c r="M120" s="3">
        <f t="shared" si="20"/>
        <v>0</v>
      </c>
      <c r="Q120" s="10" t="e">
        <f t="shared" si="27"/>
        <v>#VALUE!</v>
      </c>
      <c r="R120" s="51" t="e">
        <f t="shared" si="28"/>
        <v>#VALUE!</v>
      </c>
      <c r="S120" s="5" t="e">
        <f t="shared" si="29"/>
        <v>#VALUE!</v>
      </c>
      <c r="T120" s="5" t="e">
        <f t="shared" si="29"/>
        <v>#VALUE!</v>
      </c>
      <c r="U120" s="5" t="e">
        <f t="shared" si="29"/>
        <v>#VALUE!</v>
      </c>
      <c r="V120" s="5" t="e">
        <f t="shared" si="29"/>
        <v>#VALUE!</v>
      </c>
    </row>
    <row r="121" spans="1:22">
      <c r="A121" s="33" t="e">
        <f>IF(Tabela176[[#This Row],[Código]]="IBOV","^BVSP",IF(Tabela176[[#This Row],[Código]]="","",CONCATENATE(LEFT(Tabela176[[#This Row],[Código]],6),".SA")))</f>
        <v>#VALUE!</v>
      </c>
      <c r="J121" s="3" t="e">
        <f t="shared" si="20"/>
        <v>#VALUE!</v>
      </c>
      <c r="K121" s="3" t="e">
        <f t="shared" si="20"/>
        <v>#VALUE!</v>
      </c>
      <c r="L121" s="3" t="e">
        <f t="shared" si="20"/>
        <v>#VALUE!</v>
      </c>
      <c r="M121" s="3" t="e">
        <f t="shared" si="20"/>
        <v>#VALUE!</v>
      </c>
      <c r="Q121" s="10" t="e">
        <f t="shared" si="27"/>
        <v>#VALUE!</v>
      </c>
      <c r="R121" s="51" t="e">
        <f t="shared" si="28"/>
        <v>#VALUE!</v>
      </c>
      <c r="S121" s="5" t="e">
        <f t="shared" si="29"/>
        <v>#VALUE!</v>
      </c>
      <c r="T121" s="5" t="e">
        <f t="shared" si="29"/>
        <v>#VALUE!</v>
      </c>
      <c r="U121" s="5" t="e">
        <f t="shared" si="29"/>
        <v>#VALUE!</v>
      </c>
      <c r="V121" s="5" t="e">
        <f t="shared" si="29"/>
        <v>#VALUE!</v>
      </c>
    </row>
    <row r="122" spans="1:22">
      <c r="A122" s="33" t="e">
        <f>IF(Tabela176[[#This Row],[Código]]="IBOV","^BVSP",IF(Tabela176[[#This Row],[Código]]="","",CONCATENATE(LEFT(Tabela176[[#This Row],[Código]],6),".SA")))</f>
        <v>#VALUE!</v>
      </c>
      <c r="J122" s="3" t="e">
        <f t="shared" si="20"/>
        <v>#VALUE!</v>
      </c>
      <c r="K122" s="3" t="e">
        <f t="shared" si="20"/>
        <v>#VALUE!</v>
      </c>
      <c r="L122" s="3" t="e">
        <f t="shared" si="20"/>
        <v>#VALUE!</v>
      </c>
      <c r="M122" s="3" t="e">
        <f t="shared" si="20"/>
        <v>#VALUE!</v>
      </c>
      <c r="Q122" s="10" t="e">
        <f t="shared" si="27"/>
        <v>#VALUE!</v>
      </c>
      <c r="R122" s="51" t="e">
        <f t="shared" si="28"/>
        <v>#VALUE!</v>
      </c>
      <c r="S122" s="5" t="e">
        <f t="shared" si="29"/>
        <v>#VALUE!</v>
      </c>
      <c r="T122" s="5" t="e">
        <f t="shared" si="29"/>
        <v>#VALUE!</v>
      </c>
      <c r="U122" s="5" t="e">
        <f t="shared" si="29"/>
        <v>#VALUE!</v>
      </c>
      <c r="V122" s="5" t="e">
        <f t="shared" si="29"/>
        <v>#VALUE!</v>
      </c>
    </row>
    <row r="123" spans="1:22">
      <c r="A123" s="33" t="e">
        <f>IF(Tabela176[[#This Row],[Código]]="IBOV","^BVSP",IF(Tabela176[[#This Row],[Código]]="","",CONCATENATE(LEFT(Tabela176[[#This Row],[Código]],6),".SA")))</f>
        <v>#VALUE!</v>
      </c>
      <c r="J123" s="3" t="e">
        <f>IF($A123="",0,VALUE(CONCATENATE(LEFT(D123,LEN(D123)-3),",",RIGHT(D123,2))))</f>
        <v>#VALUE!</v>
      </c>
      <c r="K123" s="3" t="e">
        <f t="shared" si="20"/>
        <v>#VALUE!</v>
      </c>
      <c r="L123" s="3" t="e">
        <f t="shared" si="20"/>
        <v>#VALUE!</v>
      </c>
      <c r="M123" s="3" t="e">
        <f t="shared" si="20"/>
        <v>#VALUE!</v>
      </c>
      <c r="Q123" s="10" t="e">
        <f t="shared" si="27"/>
        <v>#VALUE!</v>
      </c>
      <c r="R123" s="51" t="e">
        <f t="shared" si="28"/>
        <v>#VALUE!</v>
      </c>
      <c r="S123" s="5" t="e">
        <f t="shared" si="29"/>
        <v>#VALUE!</v>
      </c>
      <c r="T123" s="5" t="e">
        <f t="shared" si="29"/>
        <v>#VALUE!</v>
      </c>
      <c r="U123" s="5" t="e">
        <f t="shared" si="29"/>
        <v>#VALUE!</v>
      </c>
      <c r="V123" s="5" t="e">
        <f t="shared" si="29"/>
        <v>#VALUE!</v>
      </c>
    </row>
    <row r="124" spans="1:22">
      <c r="A124" s="33" t="e">
        <f>IF(Tabela176[[#This Row],[Código]]="IBOV","^BVSP",IF(Tabela176[[#This Row],[Código]]="","",CONCATENATE(LEFT(Tabela176[[#This Row],[Código]],6),".SA")))</f>
        <v>#VALUE!</v>
      </c>
      <c r="J124" s="3" t="e">
        <f t="shared" si="20"/>
        <v>#VALUE!</v>
      </c>
      <c r="K124" s="3" t="e">
        <f t="shared" si="20"/>
        <v>#VALUE!</v>
      </c>
      <c r="L124" s="3" t="e">
        <f t="shared" si="20"/>
        <v>#VALUE!</v>
      </c>
      <c r="M124" s="3" t="e">
        <f t="shared" si="20"/>
        <v>#VALUE!</v>
      </c>
      <c r="Q124" s="10" t="e">
        <f t="shared" si="27"/>
        <v>#VALUE!</v>
      </c>
      <c r="R124" s="51" t="e">
        <f t="shared" si="28"/>
        <v>#VALUE!</v>
      </c>
      <c r="S124" s="5" t="e">
        <f t="shared" si="29"/>
        <v>#VALUE!</v>
      </c>
      <c r="T124" s="5" t="e">
        <f t="shared" si="29"/>
        <v>#VALUE!</v>
      </c>
      <c r="U124" s="5" t="e">
        <f t="shared" si="29"/>
        <v>#VALUE!</v>
      </c>
      <c r="V124" s="5" t="e">
        <f t="shared" si="29"/>
        <v>#VALUE!</v>
      </c>
    </row>
    <row r="125" spans="1:22">
      <c r="A125" s="33" t="e">
        <f>IF(Tabela176[[#This Row],[Código]]="IBOV","^BVSP",IF(Tabela176[[#This Row],[Código]]="","",CONCATENATE(LEFT(Tabela176[[#This Row],[Código]],6),".SA")))</f>
        <v>#VALUE!</v>
      </c>
      <c r="J125" s="3" t="e">
        <f t="shared" si="20"/>
        <v>#VALUE!</v>
      </c>
      <c r="K125" s="3" t="e">
        <f t="shared" si="20"/>
        <v>#VALUE!</v>
      </c>
      <c r="L125" s="3" t="e">
        <f t="shared" si="20"/>
        <v>#VALUE!</v>
      </c>
      <c r="M125" s="3" t="e">
        <f t="shared" si="20"/>
        <v>#VALUE!</v>
      </c>
      <c r="Q125" s="10" t="e">
        <f t="shared" si="27"/>
        <v>#VALUE!</v>
      </c>
      <c r="R125" s="51" t="e">
        <f t="shared" si="28"/>
        <v>#VALUE!</v>
      </c>
      <c r="S125" s="5" t="e">
        <f t="shared" si="29"/>
        <v>#VALUE!</v>
      </c>
      <c r="T125" s="5" t="e">
        <f t="shared" si="29"/>
        <v>#VALUE!</v>
      </c>
      <c r="U125" s="5" t="e">
        <f t="shared" si="29"/>
        <v>#VALUE!</v>
      </c>
      <c r="V125" s="5" t="e">
        <f t="shared" si="29"/>
        <v>#VALUE!</v>
      </c>
    </row>
    <row r="126" spans="1:22">
      <c r="A126" s="33" t="e">
        <f>IF(Tabela176[[#This Row],[Código]]="IBOV","^BVSP",IF(Tabela176[[#This Row],[Código]]="","",CONCATENATE(LEFT(Tabela176[[#This Row],[Código]],6),".SA")))</f>
        <v>#VALUE!</v>
      </c>
      <c r="J126" s="3" t="e">
        <f t="shared" si="20"/>
        <v>#VALUE!</v>
      </c>
      <c r="K126" s="3" t="e">
        <f t="shared" si="20"/>
        <v>#VALUE!</v>
      </c>
      <c r="L126" s="3" t="e">
        <f t="shared" si="20"/>
        <v>#VALUE!</v>
      </c>
      <c r="M126" s="3" t="e">
        <f t="shared" si="20"/>
        <v>#VALUE!</v>
      </c>
      <c r="Q126" s="10" t="e">
        <f t="shared" si="27"/>
        <v>#VALUE!</v>
      </c>
      <c r="R126" s="51" t="e">
        <f t="shared" si="28"/>
        <v>#VALUE!</v>
      </c>
      <c r="S126" s="5" t="e">
        <f t="shared" si="29"/>
        <v>#VALUE!</v>
      </c>
      <c r="T126" s="5" t="e">
        <f t="shared" si="29"/>
        <v>#VALUE!</v>
      </c>
      <c r="U126" s="5" t="e">
        <f t="shared" si="29"/>
        <v>#VALUE!</v>
      </c>
      <c r="V126" s="5" t="e">
        <f t="shared" si="29"/>
        <v>#VALUE!</v>
      </c>
    </row>
    <row r="127" spans="1:22">
      <c r="A127" s="33" t="e">
        <f>IF(Tabela176[[#This Row],[Código]]="IBOV","^BVSP",IF(Tabela176[[#This Row],[Código]]="","",CONCATENATE(LEFT(Tabela176[[#This Row],[Código]],6),".SA")))</f>
        <v>#VALUE!</v>
      </c>
      <c r="J127" s="3" t="e">
        <f t="shared" si="20"/>
        <v>#VALUE!</v>
      </c>
      <c r="K127" s="3" t="e">
        <f t="shared" si="20"/>
        <v>#VALUE!</v>
      </c>
      <c r="L127" s="3" t="e">
        <f t="shared" si="20"/>
        <v>#VALUE!</v>
      </c>
      <c r="M127" s="3" t="e">
        <f t="shared" si="20"/>
        <v>#VALUE!</v>
      </c>
      <c r="Q127" s="10" t="e">
        <f t="shared" si="27"/>
        <v>#VALUE!</v>
      </c>
      <c r="R127" s="51" t="e">
        <f t="shared" si="28"/>
        <v>#VALUE!</v>
      </c>
      <c r="S127" s="5" t="e">
        <f t="shared" si="29"/>
        <v>#VALUE!</v>
      </c>
      <c r="T127" s="5" t="e">
        <f t="shared" si="29"/>
        <v>#VALUE!</v>
      </c>
      <c r="U127" s="5" t="e">
        <f t="shared" si="29"/>
        <v>#VALUE!</v>
      </c>
      <c r="V127" s="5" t="e">
        <f t="shared" si="29"/>
        <v>#VALUE!</v>
      </c>
    </row>
    <row r="128" spans="1:22">
      <c r="A128" s="33" t="e">
        <f>IF(Tabela176[[#This Row],[Código]]="IBOV","^BVSP",IF(Tabela176[[#This Row],[Código]]="","",CONCATENATE(LEFT(Tabela176[[#This Row],[Código]],6),".SA")))</f>
        <v>#VALUE!</v>
      </c>
      <c r="J128" s="3" t="e">
        <f t="shared" si="20"/>
        <v>#VALUE!</v>
      </c>
      <c r="K128" s="3" t="e">
        <f t="shared" si="20"/>
        <v>#VALUE!</v>
      </c>
      <c r="L128" s="3" t="e">
        <f t="shared" si="20"/>
        <v>#VALUE!</v>
      </c>
      <c r="M128" s="3" t="e">
        <f t="shared" si="20"/>
        <v>#VALUE!</v>
      </c>
      <c r="Q128" s="10" t="e">
        <f t="shared" si="27"/>
        <v>#VALUE!</v>
      </c>
      <c r="R128" s="51" t="e">
        <f t="shared" si="28"/>
        <v>#VALUE!</v>
      </c>
      <c r="S128" s="5" t="e">
        <f t="shared" si="29"/>
        <v>#VALUE!</v>
      </c>
      <c r="T128" s="5" t="e">
        <f t="shared" si="29"/>
        <v>#VALUE!</v>
      </c>
      <c r="U128" s="5" t="e">
        <f t="shared" si="29"/>
        <v>#VALUE!</v>
      </c>
      <c r="V128" s="5" t="e">
        <f t="shared" si="29"/>
        <v>#VALUE!</v>
      </c>
    </row>
    <row r="129" spans="1:22">
      <c r="A129" s="33" t="e">
        <f>IF(Tabela176[[#This Row],[Código]]="IBOV","^BVSP",IF(Tabela176[[#This Row],[Código]]="","",CONCATENATE(LEFT(Tabela176[[#This Row],[Código]],6),".SA")))</f>
        <v>#VALUE!</v>
      </c>
      <c r="J129" s="3" t="e">
        <f t="shared" si="20"/>
        <v>#VALUE!</v>
      </c>
      <c r="K129" s="3" t="e">
        <f t="shared" si="20"/>
        <v>#VALUE!</v>
      </c>
      <c r="L129" s="3" t="e">
        <f t="shared" si="20"/>
        <v>#VALUE!</v>
      </c>
      <c r="M129" s="3" t="e">
        <f t="shared" si="20"/>
        <v>#VALUE!</v>
      </c>
      <c r="P129" s="4"/>
      <c r="Q129" s="10" t="e">
        <f t="shared" si="27"/>
        <v>#VALUE!</v>
      </c>
      <c r="R129" s="51" t="e">
        <f t="shared" si="28"/>
        <v>#VALUE!</v>
      </c>
      <c r="S129" s="5" t="e">
        <f t="shared" si="29"/>
        <v>#VALUE!</v>
      </c>
      <c r="T129" s="5" t="e">
        <f t="shared" si="29"/>
        <v>#VALUE!</v>
      </c>
      <c r="U129" s="5" t="e">
        <f t="shared" si="29"/>
        <v>#VALUE!</v>
      </c>
      <c r="V129" s="5" t="e">
        <f t="shared" si="29"/>
        <v>#VALUE!</v>
      </c>
    </row>
    <row r="130" spans="1:22">
      <c r="A130" s="33" t="e">
        <f>IF(Tabela176[[#This Row],[Código]]="IBOV","^BVSP",IF(Tabela176[[#This Row],[Código]]="","",CONCATENATE(LEFT(Tabela176[[#This Row],[Código]],6),".SA")))</f>
        <v>#VALUE!</v>
      </c>
      <c r="J130" s="3" t="e">
        <f t="shared" si="20"/>
        <v>#VALUE!</v>
      </c>
      <c r="K130" s="3" t="e">
        <f t="shared" si="20"/>
        <v>#VALUE!</v>
      </c>
      <c r="L130" s="3" t="e">
        <f t="shared" si="20"/>
        <v>#VALUE!</v>
      </c>
      <c r="M130" s="3" t="e">
        <f t="shared" si="20"/>
        <v>#VALUE!</v>
      </c>
      <c r="P130" s="10"/>
      <c r="Q130" s="10" t="str">
        <f t="shared" si="27"/>
        <v/>
      </c>
      <c r="R130" s="51" t="str">
        <f t="shared" si="28"/>
        <v/>
      </c>
      <c r="S130" s="5">
        <f t="shared" si="29"/>
        <v>0</v>
      </c>
      <c r="T130" s="5">
        <f t="shared" si="29"/>
        <v>0</v>
      </c>
      <c r="U130" s="5">
        <f t="shared" si="29"/>
        <v>0</v>
      </c>
      <c r="V130" s="5">
        <f t="shared" si="29"/>
        <v>0</v>
      </c>
    </row>
    <row r="131" spans="1:22">
      <c r="A131" s="33" t="e">
        <f>IF(Tabela176[[#This Row],[Código]]="IBOV","^BVSP",IF(Tabela176[[#This Row],[Código]]="","",CONCATENATE(LEFT(Tabela176[[#This Row],[Código]],6),".SA")))</f>
        <v>#VALUE!</v>
      </c>
      <c r="J131" s="3" t="e">
        <f t="shared" si="20"/>
        <v>#VALUE!</v>
      </c>
      <c r="K131" s="3" t="e">
        <f t="shared" si="20"/>
        <v>#VALUE!</v>
      </c>
      <c r="L131" s="3" t="e">
        <f t="shared" si="20"/>
        <v>#VALUE!</v>
      </c>
      <c r="M131" s="3" t="e">
        <f t="shared" si="20"/>
        <v>#VALUE!</v>
      </c>
      <c r="Q131" s="10" t="str">
        <f t="shared" si="27"/>
        <v/>
      </c>
      <c r="R131" s="51" t="str">
        <f t="shared" si="28"/>
        <v/>
      </c>
      <c r="S131" s="5">
        <f t="shared" si="29"/>
        <v>0</v>
      </c>
      <c r="T131" s="5">
        <f t="shared" si="29"/>
        <v>0</v>
      </c>
      <c r="U131" s="5">
        <f t="shared" si="29"/>
        <v>0</v>
      </c>
      <c r="V131" s="5">
        <f t="shared" si="29"/>
        <v>0</v>
      </c>
    </row>
    <row r="132" spans="1:22">
      <c r="A132" s="33" t="e">
        <f>IF(Tabela176[[#This Row],[Código]]="IBOV","^BVSP",IF(Tabela176[[#This Row],[Código]]="","",CONCATENATE(LEFT(Tabela176[[#This Row],[Código]],6),".SA")))</f>
        <v>#VALUE!</v>
      </c>
      <c r="J132" s="3" t="e">
        <f t="shared" si="20"/>
        <v>#VALUE!</v>
      </c>
      <c r="K132" s="3" t="e">
        <f t="shared" si="20"/>
        <v>#VALUE!</v>
      </c>
      <c r="L132" s="3" t="e">
        <f t="shared" si="20"/>
        <v>#VALUE!</v>
      </c>
      <c r="M132" s="3" t="e">
        <f t="shared" si="20"/>
        <v>#VALUE!</v>
      </c>
      <c r="P132" s="3" t="str">
        <f>IF([1]Patrimonio!C143="","",[1]Patrimonio!C143)</f>
        <v/>
      </c>
      <c r="Q132" s="3" t="str">
        <f t="shared" ref="Q132:Q158" si="30">IF(A148="","",C149)</f>
        <v/>
      </c>
      <c r="R132" s="51" t="str">
        <f t="shared" ref="R132:R158" si="31">IF(A148="","",H148)</f>
        <v/>
      </c>
      <c r="S132" s="5">
        <f t="shared" ref="S132:V147" si="32">J148</f>
        <v>0</v>
      </c>
      <c r="T132" s="5">
        <f t="shared" si="32"/>
        <v>0</v>
      </c>
      <c r="U132" s="5">
        <f t="shared" si="32"/>
        <v>0</v>
      </c>
      <c r="V132" s="5">
        <f t="shared" si="32"/>
        <v>0</v>
      </c>
    </row>
    <row r="133" spans="1:22">
      <c r="A133" s="33" t="e">
        <f>IF(Tabela176[[#This Row],[Código]]="IBOV","^BVSP",IF(Tabela176[[#This Row],[Código]]="","",CONCATENATE(LEFT(Tabela176[[#This Row],[Código]],6),".SA")))</f>
        <v>#VALUE!</v>
      </c>
      <c r="J133" s="3" t="e">
        <f t="shared" si="20"/>
        <v>#VALUE!</v>
      </c>
      <c r="K133" s="3" t="e">
        <f t="shared" si="20"/>
        <v>#VALUE!</v>
      </c>
      <c r="L133" s="3" t="e">
        <f t="shared" si="20"/>
        <v>#VALUE!</v>
      </c>
      <c r="M133" s="3" t="e">
        <f t="shared" si="20"/>
        <v>#VALUE!</v>
      </c>
      <c r="P133" s="3" t="str">
        <f>IF([1]Patrimonio!C144="","",[1]Patrimonio!C144)</f>
        <v/>
      </c>
      <c r="Q133" s="3" t="str">
        <f t="shared" si="30"/>
        <v/>
      </c>
      <c r="R133" s="51" t="str">
        <f t="shared" si="31"/>
        <v/>
      </c>
      <c r="S133" s="5">
        <f t="shared" si="32"/>
        <v>0</v>
      </c>
      <c r="T133" s="5">
        <f t="shared" si="32"/>
        <v>0</v>
      </c>
      <c r="U133" s="5">
        <f t="shared" si="32"/>
        <v>0</v>
      </c>
      <c r="V133" s="5">
        <f t="shared" si="32"/>
        <v>0</v>
      </c>
    </row>
    <row r="134" spans="1:22">
      <c r="A134" s="33"/>
      <c r="J134" s="3">
        <f t="shared" si="20"/>
        <v>0</v>
      </c>
      <c r="K134" s="3">
        <f t="shared" si="20"/>
        <v>0</v>
      </c>
      <c r="L134" s="3">
        <f t="shared" si="20"/>
        <v>0</v>
      </c>
      <c r="M134" s="3">
        <f t="shared" si="20"/>
        <v>0</v>
      </c>
      <c r="P134" s="3" t="str">
        <f>IF([1]Patrimonio!C145="","",[1]Patrimonio!C145)</f>
        <v/>
      </c>
      <c r="Q134" s="3" t="str">
        <f t="shared" si="30"/>
        <v/>
      </c>
      <c r="R134" s="51" t="str">
        <f t="shared" si="31"/>
        <v/>
      </c>
      <c r="S134" s="5">
        <f t="shared" si="32"/>
        <v>0</v>
      </c>
      <c r="T134" s="5">
        <f t="shared" si="32"/>
        <v>0</v>
      </c>
      <c r="U134" s="5">
        <f t="shared" si="32"/>
        <v>0</v>
      </c>
      <c r="V134" s="5">
        <f t="shared" si="32"/>
        <v>0</v>
      </c>
    </row>
    <row r="135" spans="1:22">
      <c r="A135" s="33"/>
      <c r="J135" s="3">
        <f t="shared" si="20"/>
        <v>0</v>
      </c>
      <c r="K135" s="3">
        <f t="shared" si="20"/>
        <v>0</v>
      </c>
      <c r="L135" s="3">
        <f t="shared" si="20"/>
        <v>0</v>
      </c>
      <c r="M135" s="3">
        <f t="shared" si="20"/>
        <v>0</v>
      </c>
      <c r="P135" s="3" t="str">
        <f>IF([1]Patrimonio!C146="","",[1]Patrimonio!C146)</f>
        <v/>
      </c>
      <c r="Q135" s="3" t="str">
        <f t="shared" si="30"/>
        <v/>
      </c>
      <c r="R135" s="51" t="str">
        <f t="shared" si="31"/>
        <v/>
      </c>
      <c r="S135" s="5">
        <f t="shared" si="32"/>
        <v>0</v>
      </c>
      <c r="T135" s="5">
        <f t="shared" si="32"/>
        <v>0</v>
      </c>
      <c r="U135" s="5">
        <f t="shared" si="32"/>
        <v>0</v>
      </c>
      <c r="V135" s="5">
        <f t="shared" si="32"/>
        <v>0</v>
      </c>
    </row>
    <row r="136" spans="1:22">
      <c r="A136" s="33"/>
      <c r="J136" s="3">
        <f t="shared" ref="J136:M172" si="33">IF($A136="",0,VALUE(CONCATENATE(LEFT(D136,LEN(D136)-3),",",RIGHT(D136,2))))</f>
        <v>0</v>
      </c>
      <c r="K136" s="3">
        <f t="shared" si="33"/>
        <v>0</v>
      </c>
      <c r="L136" s="3">
        <f t="shared" si="33"/>
        <v>0</v>
      </c>
      <c r="M136" s="3">
        <f t="shared" si="33"/>
        <v>0</v>
      </c>
      <c r="P136" s="3" t="str">
        <f>IF([1]Patrimonio!C147="","",[1]Patrimonio!C147)</f>
        <v/>
      </c>
      <c r="Q136" s="3" t="str">
        <f t="shared" si="30"/>
        <v/>
      </c>
      <c r="R136" s="51" t="str">
        <f t="shared" si="31"/>
        <v/>
      </c>
      <c r="S136" s="5">
        <f t="shared" si="32"/>
        <v>0</v>
      </c>
      <c r="T136" s="5">
        <f t="shared" si="32"/>
        <v>0</v>
      </c>
      <c r="U136" s="5">
        <f t="shared" si="32"/>
        <v>0</v>
      </c>
      <c r="V136" s="5">
        <f t="shared" si="32"/>
        <v>0</v>
      </c>
    </row>
    <row r="137" spans="1:22">
      <c r="A137" s="33"/>
      <c r="J137" s="3">
        <f t="shared" si="33"/>
        <v>0</v>
      </c>
      <c r="K137" s="3">
        <f t="shared" si="33"/>
        <v>0</v>
      </c>
      <c r="L137" s="3">
        <f t="shared" si="33"/>
        <v>0</v>
      </c>
      <c r="M137" s="3">
        <f t="shared" si="33"/>
        <v>0</v>
      </c>
      <c r="P137" s="3" t="str">
        <f>IF([1]Patrimonio!C148="","",[1]Patrimonio!C148)</f>
        <v/>
      </c>
      <c r="Q137" s="3" t="str">
        <f t="shared" si="30"/>
        <v/>
      </c>
      <c r="R137" s="51" t="str">
        <f t="shared" si="31"/>
        <v/>
      </c>
      <c r="S137" s="5">
        <f t="shared" si="32"/>
        <v>0</v>
      </c>
      <c r="T137" s="5">
        <f t="shared" si="32"/>
        <v>0</v>
      </c>
      <c r="U137" s="5">
        <f t="shared" si="32"/>
        <v>0</v>
      </c>
      <c r="V137" s="5">
        <f t="shared" si="32"/>
        <v>0</v>
      </c>
    </row>
    <row r="138" spans="1:22">
      <c r="A138" s="33"/>
      <c r="J138" s="3">
        <f t="shared" si="33"/>
        <v>0</v>
      </c>
      <c r="K138" s="3">
        <f t="shared" si="33"/>
        <v>0</v>
      </c>
      <c r="L138" s="3">
        <f t="shared" si="33"/>
        <v>0</v>
      </c>
      <c r="M138" s="3">
        <f t="shared" si="33"/>
        <v>0</v>
      </c>
      <c r="P138" s="3" t="str">
        <f>IF([1]Patrimonio!C149="","",[1]Patrimonio!C149)</f>
        <v/>
      </c>
      <c r="Q138" s="3" t="str">
        <f t="shared" si="30"/>
        <v/>
      </c>
      <c r="R138" s="51" t="str">
        <f t="shared" si="31"/>
        <v/>
      </c>
      <c r="S138" s="5">
        <f t="shared" si="32"/>
        <v>0</v>
      </c>
      <c r="T138" s="5">
        <f t="shared" si="32"/>
        <v>0</v>
      </c>
      <c r="U138" s="5">
        <f t="shared" si="32"/>
        <v>0</v>
      </c>
      <c r="V138" s="5">
        <f t="shared" si="32"/>
        <v>0</v>
      </c>
    </row>
    <row r="139" spans="1:22">
      <c r="A139" s="33"/>
      <c r="J139" s="3">
        <f t="shared" si="33"/>
        <v>0</v>
      </c>
      <c r="K139" s="3">
        <f t="shared" si="33"/>
        <v>0</v>
      </c>
      <c r="L139" s="3">
        <f t="shared" si="33"/>
        <v>0</v>
      </c>
      <c r="M139" s="3">
        <f t="shared" si="33"/>
        <v>0</v>
      </c>
      <c r="P139" s="3" t="str">
        <f>IF([1]Patrimonio!C150="","",[1]Patrimonio!C150)</f>
        <v/>
      </c>
      <c r="Q139" s="3" t="str">
        <f t="shared" si="30"/>
        <v/>
      </c>
      <c r="R139" s="51" t="str">
        <f t="shared" si="31"/>
        <v/>
      </c>
      <c r="S139" s="5">
        <f t="shared" si="32"/>
        <v>0</v>
      </c>
      <c r="T139" s="5">
        <f t="shared" si="32"/>
        <v>0</v>
      </c>
      <c r="U139" s="5">
        <f t="shared" si="32"/>
        <v>0</v>
      </c>
      <c r="V139" s="5">
        <f t="shared" si="32"/>
        <v>0</v>
      </c>
    </row>
    <row r="140" spans="1:22">
      <c r="A140" s="33"/>
      <c r="J140" s="3">
        <f t="shared" si="33"/>
        <v>0</v>
      </c>
      <c r="K140" s="3">
        <f t="shared" si="33"/>
        <v>0</v>
      </c>
      <c r="L140" s="3">
        <f t="shared" si="33"/>
        <v>0</v>
      </c>
      <c r="M140" s="3">
        <f t="shared" si="33"/>
        <v>0</v>
      </c>
      <c r="P140" s="3" t="str">
        <f>IF([1]Patrimonio!C151="","",[1]Patrimonio!C151)</f>
        <v/>
      </c>
      <c r="Q140" s="3" t="str">
        <f t="shared" si="30"/>
        <v/>
      </c>
      <c r="R140" s="51" t="str">
        <f t="shared" si="31"/>
        <v/>
      </c>
      <c r="S140" s="5">
        <f t="shared" si="32"/>
        <v>0</v>
      </c>
      <c r="T140" s="5">
        <f t="shared" si="32"/>
        <v>0</v>
      </c>
      <c r="U140" s="5">
        <f t="shared" si="32"/>
        <v>0</v>
      </c>
      <c r="V140" s="5">
        <f t="shared" si="32"/>
        <v>0</v>
      </c>
    </row>
    <row r="141" spans="1:22">
      <c r="A141" s="33"/>
      <c r="J141" s="3">
        <f t="shared" si="33"/>
        <v>0</v>
      </c>
      <c r="K141" s="3">
        <f t="shared" si="33"/>
        <v>0</v>
      </c>
      <c r="L141" s="3">
        <f t="shared" si="33"/>
        <v>0</v>
      </c>
      <c r="M141" s="3">
        <f t="shared" si="33"/>
        <v>0</v>
      </c>
      <c r="P141" s="3" t="str">
        <f>IF([1]Patrimonio!C152="","",[1]Patrimonio!C152)</f>
        <v/>
      </c>
      <c r="Q141" s="3" t="str">
        <f t="shared" si="30"/>
        <v/>
      </c>
      <c r="R141" s="51" t="str">
        <f t="shared" si="31"/>
        <v/>
      </c>
      <c r="S141" s="5">
        <f t="shared" si="32"/>
        <v>0</v>
      </c>
      <c r="T141" s="5">
        <f t="shared" si="32"/>
        <v>0</v>
      </c>
      <c r="U141" s="5">
        <f t="shared" si="32"/>
        <v>0</v>
      </c>
      <c r="V141" s="5">
        <f t="shared" si="32"/>
        <v>0</v>
      </c>
    </row>
    <row r="142" spans="1:22">
      <c r="A142" s="33"/>
      <c r="J142" s="3">
        <f t="shared" si="33"/>
        <v>0</v>
      </c>
      <c r="K142" s="3">
        <f t="shared" si="33"/>
        <v>0</v>
      </c>
      <c r="L142" s="3">
        <f t="shared" si="33"/>
        <v>0</v>
      </c>
      <c r="M142" s="3">
        <f t="shared" si="33"/>
        <v>0</v>
      </c>
      <c r="P142" s="3" t="str">
        <f>IF([1]Patrimonio!C153="","",[1]Patrimonio!C153)</f>
        <v/>
      </c>
      <c r="Q142" s="3" t="str">
        <f t="shared" si="30"/>
        <v/>
      </c>
      <c r="R142" s="51" t="str">
        <f t="shared" si="31"/>
        <v/>
      </c>
      <c r="S142" s="5">
        <f t="shared" si="32"/>
        <v>0</v>
      </c>
      <c r="T142" s="5">
        <f t="shared" si="32"/>
        <v>0</v>
      </c>
      <c r="U142" s="5">
        <f t="shared" si="32"/>
        <v>0</v>
      </c>
      <c r="V142" s="5">
        <f t="shared" si="32"/>
        <v>0</v>
      </c>
    </row>
    <row r="143" spans="1:22">
      <c r="A143" s="33"/>
      <c r="J143" s="3">
        <f t="shared" si="33"/>
        <v>0</v>
      </c>
      <c r="K143" s="3">
        <f t="shared" si="33"/>
        <v>0</v>
      </c>
      <c r="L143" s="3">
        <f t="shared" si="33"/>
        <v>0</v>
      </c>
      <c r="M143" s="3">
        <f t="shared" si="33"/>
        <v>0</v>
      </c>
      <c r="P143" s="3" t="str">
        <f>IF([1]Patrimonio!C154="","",[1]Patrimonio!C154)</f>
        <v/>
      </c>
      <c r="Q143" s="3" t="str">
        <f t="shared" si="30"/>
        <v/>
      </c>
      <c r="R143" s="51" t="str">
        <f t="shared" si="31"/>
        <v/>
      </c>
      <c r="S143" s="5">
        <f t="shared" si="32"/>
        <v>0</v>
      </c>
      <c r="T143" s="5">
        <f t="shared" si="32"/>
        <v>0</v>
      </c>
      <c r="U143" s="5">
        <f t="shared" si="32"/>
        <v>0</v>
      </c>
      <c r="V143" s="5">
        <f t="shared" si="32"/>
        <v>0</v>
      </c>
    </row>
    <row r="144" spans="1:22">
      <c r="A144" s="33"/>
      <c r="J144" s="3">
        <f t="shared" si="33"/>
        <v>0</v>
      </c>
      <c r="K144" s="3">
        <f t="shared" si="33"/>
        <v>0</v>
      </c>
      <c r="L144" s="3">
        <f t="shared" si="33"/>
        <v>0</v>
      </c>
      <c r="M144" s="3">
        <f t="shared" si="33"/>
        <v>0</v>
      </c>
      <c r="P144" s="3" t="str">
        <f>IF([1]Patrimonio!C155="","",[1]Patrimonio!C155)</f>
        <v/>
      </c>
      <c r="Q144" s="3" t="str">
        <f t="shared" si="30"/>
        <v/>
      </c>
      <c r="R144" s="51" t="str">
        <f t="shared" si="31"/>
        <v/>
      </c>
      <c r="S144" s="5">
        <f t="shared" si="32"/>
        <v>0</v>
      </c>
      <c r="T144" s="5">
        <f t="shared" si="32"/>
        <v>0</v>
      </c>
      <c r="U144" s="5">
        <f t="shared" si="32"/>
        <v>0</v>
      </c>
      <c r="V144" s="5">
        <f t="shared" si="32"/>
        <v>0</v>
      </c>
    </row>
    <row r="145" spans="1:22">
      <c r="A145" s="33"/>
      <c r="J145" s="3">
        <f t="shared" si="33"/>
        <v>0</v>
      </c>
      <c r="K145" s="3">
        <f t="shared" si="33"/>
        <v>0</v>
      </c>
      <c r="L145" s="3">
        <f t="shared" si="33"/>
        <v>0</v>
      </c>
      <c r="M145" s="3">
        <f t="shared" si="33"/>
        <v>0</v>
      </c>
      <c r="P145" s="3" t="str">
        <f>IF([1]Patrimonio!C156="","",[1]Patrimonio!C156)</f>
        <v/>
      </c>
      <c r="Q145" s="3" t="str">
        <f t="shared" si="30"/>
        <v/>
      </c>
      <c r="R145" s="51" t="str">
        <f t="shared" si="31"/>
        <v/>
      </c>
      <c r="S145" s="5">
        <f t="shared" si="32"/>
        <v>0</v>
      </c>
      <c r="T145" s="5">
        <f t="shared" si="32"/>
        <v>0</v>
      </c>
      <c r="U145" s="5">
        <f t="shared" si="32"/>
        <v>0</v>
      </c>
      <c r="V145" s="5">
        <f t="shared" si="32"/>
        <v>0</v>
      </c>
    </row>
    <row r="146" spans="1:22">
      <c r="A146" s="33"/>
      <c r="J146" s="3">
        <f t="shared" si="33"/>
        <v>0</v>
      </c>
      <c r="K146" s="3">
        <f t="shared" si="33"/>
        <v>0</v>
      </c>
      <c r="L146" s="3">
        <f t="shared" si="33"/>
        <v>0</v>
      </c>
      <c r="M146" s="3">
        <f t="shared" si="33"/>
        <v>0</v>
      </c>
      <c r="P146" s="3" t="str">
        <f>IF([1]Patrimonio!C157="","",[1]Patrimonio!C157)</f>
        <v/>
      </c>
      <c r="Q146" s="3" t="str">
        <f t="shared" si="30"/>
        <v/>
      </c>
      <c r="R146" s="51" t="str">
        <f t="shared" si="31"/>
        <v/>
      </c>
      <c r="S146" s="5">
        <f t="shared" si="32"/>
        <v>0</v>
      </c>
      <c r="T146" s="5">
        <f t="shared" si="32"/>
        <v>0</v>
      </c>
      <c r="U146" s="5">
        <f t="shared" si="32"/>
        <v>0</v>
      </c>
      <c r="V146" s="5">
        <f t="shared" si="32"/>
        <v>0</v>
      </c>
    </row>
    <row r="147" spans="1:22">
      <c r="A147" s="33"/>
      <c r="J147" s="3">
        <f t="shared" si="33"/>
        <v>0</v>
      </c>
      <c r="K147" s="3">
        <f t="shared" si="33"/>
        <v>0</v>
      </c>
      <c r="L147" s="3">
        <f t="shared" si="33"/>
        <v>0</v>
      </c>
      <c r="M147" s="3">
        <f t="shared" si="33"/>
        <v>0</v>
      </c>
      <c r="P147" s="3" t="str">
        <f>IF([1]Patrimonio!C158="","",[1]Patrimonio!C158)</f>
        <v/>
      </c>
      <c r="Q147" s="3" t="str">
        <f t="shared" si="30"/>
        <v/>
      </c>
      <c r="R147" s="51" t="str">
        <f t="shared" si="31"/>
        <v/>
      </c>
      <c r="S147" s="5">
        <f t="shared" si="32"/>
        <v>0</v>
      </c>
      <c r="T147" s="5">
        <f t="shared" si="32"/>
        <v>0</v>
      </c>
      <c r="U147" s="5">
        <f t="shared" si="32"/>
        <v>0</v>
      </c>
      <c r="V147" s="5">
        <f t="shared" si="32"/>
        <v>0</v>
      </c>
    </row>
    <row r="148" spans="1:22">
      <c r="A148" s="33"/>
      <c r="J148" s="3">
        <f t="shared" si="33"/>
        <v>0</v>
      </c>
      <c r="K148" s="3">
        <f t="shared" si="33"/>
        <v>0</v>
      </c>
      <c r="L148" s="3">
        <f t="shared" si="33"/>
        <v>0</v>
      </c>
      <c r="M148" s="3">
        <f t="shared" si="33"/>
        <v>0</v>
      </c>
      <c r="P148" s="3" t="str">
        <f>IF([1]Patrimonio!C159="","",[1]Patrimonio!C159)</f>
        <v/>
      </c>
      <c r="Q148" s="3" t="str">
        <f t="shared" si="30"/>
        <v/>
      </c>
      <c r="R148" s="51" t="str">
        <f t="shared" si="31"/>
        <v/>
      </c>
      <c r="S148" s="5">
        <f t="shared" ref="S148:V158" si="34">J164</f>
        <v>0</v>
      </c>
      <c r="T148" s="5">
        <f t="shared" si="34"/>
        <v>0</v>
      </c>
      <c r="U148" s="5">
        <f t="shared" si="34"/>
        <v>0</v>
      </c>
      <c r="V148" s="5">
        <f t="shared" si="34"/>
        <v>0</v>
      </c>
    </row>
    <row r="149" spans="1:22">
      <c r="A149" s="33"/>
      <c r="J149" s="3">
        <f t="shared" si="33"/>
        <v>0</v>
      </c>
      <c r="K149" s="3">
        <f t="shared" si="33"/>
        <v>0</v>
      </c>
      <c r="L149" s="3">
        <f t="shared" si="33"/>
        <v>0</v>
      </c>
      <c r="M149" s="3">
        <f t="shared" si="33"/>
        <v>0</v>
      </c>
      <c r="P149" s="3" t="str">
        <f>IF([1]Patrimonio!C160="","",[1]Patrimonio!C160)</f>
        <v/>
      </c>
      <c r="Q149" s="3" t="str">
        <f t="shared" si="30"/>
        <v/>
      </c>
      <c r="R149" s="51" t="str">
        <f t="shared" si="31"/>
        <v/>
      </c>
      <c r="S149" s="5">
        <f t="shared" si="34"/>
        <v>0</v>
      </c>
      <c r="T149" s="5">
        <f t="shared" si="34"/>
        <v>0</v>
      </c>
      <c r="U149" s="5">
        <f t="shared" si="34"/>
        <v>0</v>
      </c>
      <c r="V149" s="5">
        <f t="shared" si="34"/>
        <v>0</v>
      </c>
    </row>
    <row r="150" spans="1:22">
      <c r="A150" s="33"/>
      <c r="J150" s="3">
        <f t="shared" si="33"/>
        <v>0</v>
      </c>
      <c r="K150" s="3">
        <f t="shared" si="33"/>
        <v>0</v>
      </c>
      <c r="L150" s="3">
        <f t="shared" si="33"/>
        <v>0</v>
      </c>
      <c r="M150" s="3">
        <f t="shared" si="33"/>
        <v>0</v>
      </c>
      <c r="P150" s="3" t="str">
        <f>IF([1]Patrimonio!C161="","",[1]Patrimonio!C161)</f>
        <v/>
      </c>
      <c r="Q150" s="3" t="str">
        <f t="shared" si="30"/>
        <v/>
      </c>
      <c r="R150" s="51" t="str">
        <f t="shared" si="31"/>
        <v/>
      </c>
      <c r="S150" s="5">
        <f t="shared" si="34"/>
        <v>0</v>
      </c>
      <c r="T150" s="5">
        <f t="shared" si="34"/>
        <v>0</v>
      </c>
      <c r="U150" s="5">
        <f t="shared" si="34"/>
        <v>0</v>
      </c>
      <c r="V150" s="5">
        <f t="shared" si="34"/>
        <v>0</v>
      </c>
    </row>
    <row r="151" spans="1:22">
      <c r="A151" s="33"/>
      <c r="J151" s="3">
        <f t="shared" si="33"/>
        <v>0</v>
      </c>
      <c r="K151" s="3">
        <f t="shared" si="33"/>
        <v>0</v>
      </c>
      <c r="L151" s="3">
        <f t="shared" si="33"/>
        <v>0</v>
      </c>
      <c r="M151" s="3">
        <f t="shared" si="33"/>
        <v>0</v>
      </c>
      <c r="P151" s="3" t="str">
        <f>IF([1]Patrimonio!C162="","",[1]Patrimonio!C162)</f>
        <v/>
      </c>
      <c r="Q151" s="3" t="str">
        <f t="shared" si="30"/>
        <v/>
      </c>
      <c r="R151" s="51" t="str">
        <f t="shared" si="31"/>
        <v/>
      </c>
      <c r="S151" s="5">
        <f t="shared" si="34"/>
        <v>0</v>
      </c>
      <c r="T151" s="5">
        <f t="shared" si="34"/>
        <v>0</v>
      </c>
      <c r="U151" s="5">
        <f t="shared" si="34"/>
        <v>0</v>
      </c>
      <c r="V151" s="5">
        <f t="shared" si="34"/>
        <v>0</v>
      </c>
    </row>
    <row r="152" spans="1:22">
      <c r="A152" s="33"/>
      <c r="J152" s="3">
        <f t="shared" si="33"/>
        <v>0</v>
      </c>
      <c r="K152" s="3">
        <f t="shared" si="33"/>
        <v>0</v>
      </c>
      <c r="L152" s="3">
        <f t="shared" si="33"/>
        <v>0</v>
      </c>
      <c r="M152" s="3">
        <f t="shared" si="33"/>
        <v>0</v>
      </c>
      <c r="P152" s="3" t="str">
        <f>IF([1]Patrimonio!C163="","",[1]Patrimonio!C163)</f>
        <v/>
      </c>
      <c r="Q152" s="3" t="str">
        <f t="shared" si="30"/>
        <v/>
      </c>
      <c r="R152" s="51" t="str">
        <f t="shared" si="31"/>
        <v/>
      </c>
      <c r="S152" s="5">
        <f t="shared" si="34"/>
        <v>0</v>
      </c>
      <c r="T152" s="5">
        <f t="shared" si="34"/>
        <v>0</v>
      </c>
      <c r="U152" s="5">
        <f t="shared" si="34"/>
        <v>0</v>
      </c>
      <c r="V152" s="5">
        <f t="shared" si="34"/>
        <v>0</v>
      </c>
    </row>
    <row r="153" spans="1:22">
      <c r="A153" s="33"/>
      <c r="J153" s="3">
        <f t="shared" si="33"/>
        <v>0</v>
      </c>
      <c r="K153" s="3">
        <f t="shared" si="33"/>
        <v>0</v>
      </c>
      <c r="L153" s="3">
        <f t="shared" si="33"/>
        <v>0</v>
      </c>
      <c r="M153" s="3">
        <f t="shared" si="33"/>
        <v>0</v>
      </c>
      <c r="P153" s="3" t="str">
        <f>IF([1]Patrimonio!C164="","",[1]Patrimonio!C164)</f>
        <v/>
      </c>
      <c r="Q153" s="3" t="str">
        <f t="shared" si="30"/>
        <v/>
      </c>
      <c r="R153" s="51" t="str">
        <f t="shared" si="31"/>
        <v/>
      </c>
      <c r="S153" s="5">
        <f t="shared" si="34"/>
        <v>0</v>
      </c>
      <c r="T153" s="5">
        <f t="shared" si="34"/>
        <v>0</v>
      </c>
      <c r="U153" s="5">
        <f t="shared" si="34"/>
        <v>0</v>
      </c>
      <c r="V153" s="5">
        <f t="shared" si="34"/>
        <v>0</v>
      </c>
    </row>
    <row r="154" spans="1:22">
      <c r="A154" s="33"/>
      <c r="J154" s="3">
        <f t="shared" si="33"/>
        <v>0</v>
      </c>
      <c r="K154" s="3">
        <f t="shared" si="33"/>
        <v>0</v>
      </c>
      <c r="L154" s="3">
        <f t="shared" si="33"/>
        <v>0</v>
      </c>
      <c r="M154" s="3">
        <f t="shared" si="33"/>
        <v>0</v>
      </c>
      <c r="P154" s="3" t="str">
        <f>IF([1]Patrimonio!C165="","",[1]Patrimonio!C165)</f>
        <v/>
      </c>
      <c r="Q154" s="3" t="str">
        <f t="shared" si="30"/>
        <v/>
      </c>
      <c r="R154" s="51" t="str">
        <f t="shared" si="31"/>
        <v/>
      </c>
      <c r="S154" s="5">
        <f t="shared" si="34"/>
        <v>0</v>
      </c>
      <c r="T154" s="5">
        <f t="shared" si="34"/>
        <v>0</v>
      </c>
      <c r="U154" s="5">
        <f t="shared" si="34"/>
        <v>0</v>
      </c>
      <c r="V154" s="5">
        <f t="shared" si="34"/>
        <v>0</v>
      </c>
    </row>
    <row r="155" spans="1:22">
      <c r="A155" s="33"/>
      <c r="J155" s="3">
        <f t="shared" si="33"/>
        <v>0</v>
      </c>
      <c r="K155" s="3">
        <f t="shared" si="33"/>
        <v>0</v>
      </c>
      <c r="L155" s="3">
        <f t="shared" si="33"/>
        <v>0</v>
      </c>
      <c r="M155" s="3">
        <f t="shared" si="33"/>
        <v>0</v>
      </c>
      <c r="P155" s="3" t="str">
        <f>IF([1]Patrimonio!C166="","",[1]Patrimonio!C166)</f>
        <v/>
      </c>
      <c r="Q155" s="3" t="str">
        <f t="shared" si="30"/>
        <v/>
      </c>
      <c r="R155" s="51" t="str">
        <f t="shared" si="31"/>
        <v/>
      </c>
      <c r="S155" s="5">
        <f t="shared" si="34"/>
        <v>0</v>
      </c>
      <c r="T155" s="5">
        <f t="shared" si="34"/>
        <v>0</v>
      </c>
      <c r="U155" s="5">
        <f t="shared" si="34"/>
        <v>0</v>
      </c>
      <c r="V155" s="5">
        <f t="shared" si="34"/>
        <v>0</v>
      </c>
    </row>
    <row r="156" spans="1:22">
      <c r="A156" s="33"/>
      <c r="J156" s="3">
        <f t="shared" si="33"/>
        <v>0</v>
      </c>
      <c r="K156" s="3">
        <f t="shared" si="33"/>
        <v>0</v>
      </c>
      <c r="L156" s="3">
        <f t="shared" si="33"/>
        <v>0</v>
      </c>
      <c r="M156" s="3">
        <f t="shared" si="33"/>
        <v>0</v>
      </c>
      <c r="P156" s="3" t="str">
        <f>IF([1]Patrimonio!C167="","",[1]Patrimonio!C167)</f>
        <v/>
      </c>
      <c r="Q156" s="3" t="str">
        <f t="shared" si="30"/>
        <v/>
      </c>
      <c r="R156" s="51" t="str">
        <f t="shared" si="31"/>
        <v/>
      </c>
      <c r="S156" s="5">
        <f t="shared" si="34"/>
        <v>0</v>
      </c>
      <c r="T156" s="5">
        <f t="shared" si="34"/>
        <v>0</v>
      </c>
      <c r="U156" s="5">
        <f t="shared" si="34"/>
        <v>0</v>
      </c>
      <c r="V156" s="5">
        <f t="shared" si="34"/>
        <v>0</v>
      </c>
    </row>
    <row r="157" spans="1:22">
      <c r="A157" s="33"/>
      <c r="J157" s="3">
        <f t="shared" si="33"/>
        <v>0</v>
      </c>
      <c r="K157" s="3">
        <f t="shared" si="33"/>
        <v>0</v>
      </c>
      <c r="L157" s="3">
        <f t="shared" si="33"/>
        <v>0</v>
      </c>
      <c r="M157" s="3">
        <f t="shared" si="33"/>
        <v>0</v>
      </c>
      <c r="P157" s="3" t="str">
        <f>IF([1]Patrimonio!C168="","",[1]Patrimonio!C168)</f>
        <v/>
      </c>
      <c r="Q157" s="3" t="str">
        <f t="shared" si="30"/>
        <v/>
      </c>
      <c r="R157" s="51" t="str">
        <f t="shared" si="31"/>
        <v/>
      </c>
      <c r="S157" s="5">
        <f t="shared" si="34"/>
        <v>0</v>
      </c>
      <c r="T157" s="5">
        <f t="shared" si="34"/>
        <v>0</v>
      </c>
      <c r="U157" s="5">
        <f t="shared" si="34"/>
        <v>0</v>
      </c>
      <c r="V157" s="5">
        <f t="shared" si="34"/>
        <v>0</v>
      </c>
    </row>
    <row r="158" spans="1:22">
      <c r="A158" s="33"/>
      <c r="J158" s="3">
        <f t="shared" si="33"/>
        <v>0</v>
      </c>
      <c r="K158" s="3">
        <f t="shared" si="33"/>
        <v>0</v>
      </c>
      <c r="L158" s="3">
        <f t="shared" si="33"/>
        <v>0</v>
      </c>
      <c r="M158" s="3">
        <f t="shared" si="33"/>
        <v>0</v>
      </c>
      <c r="P158" s="3" t="str">
        <f>IF([1]Patrimonio!C169="","",[1]Patrimonio!C169)</f>
        <v/>
      </c>
      <c r="Q158" s="3" t="str">
        <f t="shared" si="30"/>
        <v/>
      </c>
      <c r="R158" s="51" t="str">
        <f t="shared" si="31"/>
        <v/>
      </c>
      <c r="S158" s="5">
        <f t="shared" si="34"/>
        <v>0</v>
      </c>
      <c r="T158" s="5">
        <f t="shared" si="34"/>
        <v>0</v>
      </c>
      <c r="U158" s="5">
        <f t="shared" si="34"/>
        <v>0</v>
      </c>
      <c r="V158" s="5">
        <f t="shared" si="34"/>
        <v>0</v>
      </c>
    </row>
    <row r="159" spans="1:22">
      <c r="A159" s="33"/>
      <c r="J159" s="3">
        <f t="shared" si="33"/>
        <v>0</v>
      </c>
      <c r="K159" s="3">
        <f t="shared" si="33"/>
        <v>0</v>
      </c>
      <c r="L159" s="3">
        <f t="shared" si="33"/>
        <v>0</v>
      </c>
      <c r="M159" s="3">
        <f t="shared" si="33"/>
        <v>0</v>
      </c>
    </row>
    <row r="160" spans="1:22">
      <c r="A160" s="33"/>
      <c r="J160" s="3">
        <f t="shared" si="33"/>
        <v>0</v>
      </c>
      <c r="K160" s="3">
        <f t="shared" si="33"/>
        <v>0</v>
      </c>
      <c r="L160" s="3">
        <f t="shared" si="33"/>
        <v>0</v>
      </c>
      <c r="M160" s="3">
        <f t="shared" si="33"/>
        <v>0</v>
      </c>
    </row>
    <row r="161" spans="1:13">
      <c r="A161" s="33"/>
      <c r="J161" s="3">
        <f t="shared" si="33"/>
        <v>0</v>
      </c>
      <c r="K161" s="3">
        <f t="shared" si="33"/>
        <v>0</v>
      </c>
      <c r="L161" s="3">
        <f t="shared" si="33"/>
        <v>0</v>
      </c>
      <c r="M161" s="3">
        <f t="shared" si="33"/>
        <v>0</v>
      </c>
    </row>
    <row r="162" spans="1:13">
      <c r="A162" s="33"/>
      <c r="J162" s="3">
        <f t="shared" si="33"/>
        <v>0</v>
      </c>
      <c r="K162" s="3">
        <f t="shared" si="33"/>
        <v>0</v>
      </c>
      <c r="L162" s="3">
        <f t="shared" si="33"/>
        <v>0</v>
      </c>
      <c r="M162" s="3">
        <f t="shared" si="33"/>
        <v>0</v>
      </c>
    </row>
    <row r="163" spans="1:13">
      <c r="A163" s="33"/>
      <c r="J163" s="3">
        <f t="shared" si="33"/>
        <v>0</v>
      </c>
      <c r="K163" s="3">
        <f t="shared" si="33"/>
        <v>0</v>
      </c>
      <c r="L163" s="3">
        <f t="shared" si="33"/>
        <v>0</v>
      </c>
      <c r="M163" s="3">
        <f t="shared" si="33"/>
        <v>0</v>
      </c>
    </row>
    <row r="164" spans="1:13">
      <c r="A164" s="33"/>
      <c r="J164" s="3">
        <f t="shared" si="33"/>
        <v>0</v>
      </c>
      <c r="K164" s="3">
        <f t="shared" si="33"/>
        <v>0</v>
      </c>
      <c r="L164" s="3">
        <f t="shared" si="33"/>
        <v>0</v>
      </c>
      <c r="M164" s="3">
        <f t="shared" si="33"/>
        <v>0</v>
      </c>
    </row>
    <row r="165" spans="1:13">
      <c r="A165" s="33"/>
      <c r="J165" s="3">
        <f t="shared" si="33"/>
        <v>0</v>
      </c>
      <c r="K165" s="3">
        <f t="shared" si="33"/>
        <v>0</v>
      </c>
      <c r="L165" s="3">
        <f t="shared" si="33"/>
        <v>0</v>
      </c>
      <c r="M165" s="3">
        <f t="shared" si="33"/>
        <v>0</v>
      </c>
    </row>
    <row r="166" spans="1:13">
      <c r="A166" s="33"/>
      <c r="J166" s="3">
        <f t="shared" si="33"/>
        <v>0</v>
      </c>
      <c r="K166" s="3">
        <f t="shared" si="33"/>
        <v>0</v>
      </c>
      <c r="L166" s="3">
        <f t="shared" si="33"/>
        <v>0</v>
      </c>
      <c r="M166" s="3">
        <f t="shared" si="33"/>
        <v>0</v>
      </c>
    </row>
    <row r="167" spans="1:13">
      <c r="A167" s="33"/>
      <c r="J167" s="3">
        <f t="shared" si="33"/>
        <v>0</v>
      </c>
      <c r="K167" s="3">
        <f t="shared" si="33"/>
        <v>0</v>
      </c>
      <c r="L167" s="3">
        <f t="shared" si="33"/>
        <v>0</v>
      </c>
      <c r="M167" s="3">
        <f t="shared" si="33"/>
        <v>0</v>
      </c>
    </row>
    <row r="168" spans="1:13">
      <c r="A168" s="33"/>
      <c r="J168" s="3">
        <f t="shared" si="33"/>
        <v>0</v>
      </c>
      <c r="K168" s="3">
        <f t="shared" si="33"/>
        <v>0</v>
      </c>
      <c r="L168" s="3">
        <f t="shared" si="33"/>
        <v>0</v>
      </c>
      <c r="M168" s="3">
        <f t="shared" si="33"/>
        <v>0</v>
      </c>
    </row>
    <row r="169" spans="1:13">
      <c r="A169" s="33"/>
      <c r="J169" s="3">
        <f t="shared" si="33"/>
        <v>0</v>
      </c>
      <c r="K169" s="3">
        <f t="shared" si="33"/>
        <v>0</v>
      </c>
      <c r="L169" s="3">
        <f t="shared" si="33"/>
        <v>0</v>
      </c>
      <c r="M169" s="3">
        <f t="shared" si="33"/>
        <v>0</v>
      </c>
    </row>
    <row r="170" spans="1:13">
      <c r="A170" s="33"/>
      <c r="J170" s="3">
        <f t="shared" si="33"/>
        <v>0</v>
      </c>
      <c r="K170" s="3">
        <f t="shared" si="33"/>
        <v>0</v>
      </c>
      <c r="L170" s="3">
        <f t="shared" si="33"/>
        <v>0</v>
      </c>
      <c r="M170" s="3">
        <f t="shared" si="33"/>
        <v>0</v>
      </c>
    </row>
    <row r="171" spans="1:13">
      <c r="A171" s="33"/>
      <c r="J171" s="3">
        <f t="shared" si="33"/>
        <v>0</v>
      </c>
      <c r="K171" s="3">
        <f t="shared" si="33"/>
        <v>0</v>
      </c>
      <c r="L171" s="3">
        <f t="shared" si="33"/>
        <v>0</v>
      </c>
      <c r="M171" s="3">
        <f t="shared" si="33"/>
        <v>0</v>
      </c>
    </row>
    <row r="172" spans="1:13">
      <c r="A172" s="33"/>
      <c r="J172" s="3">
        <f t="shared" si="33"/>
        <v>0</v>
      </c>
      <c r="K172" s="3">
        <f t="shared" si="33"/>
        <v>0</v>
      </c>
      <c r="L172" s="3">
        <f t="shared" si="33"/>
        <v>0</v>
      </c>
      <c r="M172" s="3">
        <f t="shared" si="33"/>
        <v>0</v>
      </c>
    </row>
    <row r="173" spans="1:13">
      <c r="A173" s="33"/>
    </row>
    <row r="174" spans="1:13">
      <c r="A174" s="33"/>
    </row>
    <row r="175" spans="1:13">
      <c r="A175" s="33"/>
    </row>
    <row r="176" spans="1:13">
      <c r="A176" s="33"/>
    </row>
    <row r="177" spans="1:1">
      <c r="A177" s="33"/>
    </row>
    <row r="178" spans="1:1">
      <c r="A178" s="33"/>
    </row>
    <row r="179" spans="1:1">
      <c r="A179" s="33"/>
    </row>
    <row r="180" spans="1:1">
      <c r="A180" s="33"/>
    </row>
    <row r="181" spans="1:1">
      <c r="A181" s="33"/>
    </row>
    <row r="182" spans="1:1">
      <c r="A182" s="33"/>
    </row>
    <row r="183" spans="1:1">
      <c r="A183" s="33"/>
    </row>
    <row r="184" spans="1:1">
      <c r="A184" s="33"/>
    </row>
    <row r="185" spans="1:1">
      <c r="A185" s="33"/>
    </row>
    <row r="186" spans="1:1">
      <c r="A186" s="33"/>
    </row>
    <row r="187" spans="1:1">
      <c r="A187" s="33"/>
    </row>
    <row r="188" spans="1:1">
      <c r="A188" s="33"/>
    </row>
    <row r="189" spans="1:1">
      <c r="A189" s="33"/>
    </row>
    <row r="190" spans="1:1">
      <c r="A190" s="33"/>
    </row>
    <row r="191" spans="1:1">
      <c r="A191" s="33"/>
    </row>
    <row r="192" spans="1:1">
      <c r="A192" s="33"/>
    </row>
    <row r="193" spans="1:1">
      <c r="A193" s="33"/>
    </row>
    <row r="194" spans="1:1">
      <c r="A194" s="33"/>
    </row>
    <row r="195" spans="1:1">
      <c r="A195" s="33"/>
    </row>
    <row r="196" spans="1:1">
      <c r="A196" s="33"/>
    </row>
    <row r="197" spans="1:1">
      <c r="A197" s="33"/>
    </row>
    <row r="198" spans="1:1">
      <c r="A198" s="33"/>
    </row>
    <row r="199" spans="1:1">
      <c r="A199" s="33"/>
    </row>
    <row r="200" spans="1:1">
      <c r="A200" s="33"/>
    </row>
    <row r="201" spans="1:1">
      <c r="A201" s="33"/>
    </row>
    <row r="202" spans="1:1">
      <c r="A202" s="33"/>
    </row>
    <row r="203" spans="1:1">
      <c r="A203" s="33"/>
    </row>
    <row r="204" spans="1:1">
      <c r="A204" s="33"/>
    </row>
    <row r="205" spans="1:1">
      <c r="A205" s="33"/>
    </row>
    <row r="206" spans="1:1">
      <c r="A206" s="33"/>
    </row>
    <row r="207" spans="1:1">
      <c r="A207" s="33"/>
    </row>
    <row r="208" spans="1:1">
      <c r="A208" s="33"/>
    </row>
    <row r="209" spans="1:1">
      <c r="A209" s="33"/>
    </row>
    <row r="210" spans="1:1">
      <c r="A210" s="33"/>
    </row>
    <row r="211" spans="1:1">
      <c r="A211" s="33"/>
    </row>
    <row r="212" spans="1:1">
      <c r="A212" s="33"/>
    </row>
    <row r="213" spans="1:1">
      <c r="A213" s="33"/>
    </row>
    <row r="214" spans="1:1">
      <c r="A214" s="33"/>
    </row>
    <row r="215" spans="1:1">
      <c r="A215" s="33"/>
    </row>
    <row r="216" spans="1:1">
      <c r="A216" s="33"/>
    </row>
    <row r="217" spans="1:1">
      <c r="A217" s="33"/>
    </row>
    <row r="218" spans="1:1">
      <c r="A218" s="33"/>
    </row>
    <row r="219" spans="1:1">
      <c r="A219" s="33"/>
    </row>
    <row r="220" spans="1:1">
      <c r="A220" s="33"/>
    </row>
    <row r="221" spans="1:1">
      <c r="A221" s="33"/>
    </row>
    <row r="222" spans="1:1">
      <c r="A222" s="33"/>
    </row>
    <row r="223" spans="1:1">
      <c r="A223" s="33"/>
    </row>
    <row r="224" spans="1:1">
      <c r="A224" s="33"/>
    </row>
    <row r="225" spans="1:1">
      <c r="A225" s="33"/>
    </row>
    <row r="226" spans="1:1">
      <c r="A226" s="33"/>
    </row>
    <row r="227" spans="1:1">
      <c r="A227" s="33"/>
    </row>
    <row r="228" spans="1:1">
      <c r="A228" s="33"/>
    </row>
    <row r="229" spans="1:1">
      <c r="A229" s="33"/>
    </row>
    <row r="230" spans="1:1">
      <c r="A230" s="33"/>
    </row>
    <row r="231" spans="1:1">
      <c r="A231" s="33"/>
    </row>
    <row r="232" spans="1:1">
      <c r="A232" s="33"/>
    </row>
    <row r="233" spans="1:1">
      <c r="A233" s="33"/>
    </row>
    <row r="234" spans="1:1">
      <c r="A234" s="33"/>
    </row>
    <row r="235" spans="1:1">
      <c r="A235" s="33"/>
    </row>
    <row r="236" spans="1:1">
      <c r="A236" s="33"/>
    </row>
    <row r="237" spans="1:1">
      <c r="A237" s="33"/>
    </row>
    <row r="238" spans="1:1">
      <c r="A238" s="33"/>
    </row>
    <row r="239" spans="1:1">
      <c r="A239" s="33"/>
    </row>
    <row r="240" spans="1:1">
      <c r="A240" s="33"/>
    </row>
    <row r="241" spans="1:1">
      <c r="A241" s="33"/>
    </row>
    <row r="242" spans="1:1">
      <c r="A242" s="33"/>
    </row>
    <row r="243" spans="1:1">
      <c r="A243" s="33"/>
    </row>
    <row r="244" spans="1:1">
      <c r="A244" s="33"/>
    </row>
    <row r="245" spans="1:1">
      <c r="A245" s="33"/>
    </row>
    <row r="246" spans="1:1">
      <c r="A246" s="33"/>
    </row>
    <row r="247" spans="1:1">
      <c r="A247" s="33"/>
    </row>
    <row r="248" spans="1:1">
      <c r="A248" s="33"/>
    </row>
    <row r="249" spans="1:1">
      <c r="A249" s="33"/>
    </row>
    <row r="250" spans="1:1">
      <c r="A250" s="33"/>
    </row>
    <row r="251" spans="1:1">
      <c r="A251" s="33"/>
    </row>
    <row r="252" spans="1:1">
      <c r="A252" s="33"/>
    </row>
    <row r="253" spans="1:1">
      <c r="A253" s="33"/>
    </row>
    <row r="254" spans="1:1">
      <c r="A254" s="33"/>
    </row>
    <row r="255" spans="1:1">
      <c r="A255" s="33"/>
    </row>
    <row r="256" spans="1:1">
      <c r="A256" s="33"/>
    </row>
    <row r="257" spans="1:1">
      <c r="A257" s="33"/>
    </row>
    <row r="258" spans="1:1">
      <c r="A258" s="33"/>
    </row>
    <row r="259" spans="1:1">
      <c r="A259" s="33"/>
    </row>
    <row r="260" spans="1:1">
      <c r="A260" s="33"/>
    </row>
    <row r="261" spans="1:1">
      <c r="A261" s="33"/>
    </row>
    <row r="262" spans="1:1">
      <c r="A262" s="33"/>
    </row>
    <row r="263" spans="1:1">
      <c r="A263" s="33"/>
    </row>
    <row r="264" spans="1:1">
      <c r="A264" s="33"/>
    </row>
    <row r="265" spans="1:1">
      <c r="A265" s="33"/>
    </row>
    <row r="266" spans="1:1">
      <c r="A266" s="33"/>
    </row>
    <row r="267" spans="1:1">
      <c r="A267" s="33"/>
    </row>
    <row r="268" spans="1:1">
      <c r="A268" s="33"/>
    </row>
    <row r="269" spans="1:1">
      <c r="A269" s="33"/>
    </row>
    <row r="270" spans="1:1">
      <c r="A270" s="33"/>
    </row>
    <row r="271" spans="1:1">
      <c r="A271" s="33"/>
    </row>
    <row r="272" spans="1:1">
      <c r="A272" s="33"/>
    </row>
    <row r="273" spans="1:1">
      <c r="A273" s="33"/>
    </row>
    <row r="274" spans="1:1">
      <c r="A274" s="33"/>
    </row>
    <row r="275" spans="1:1">
      <c r="A275" s="33"/>
    </row>
    <row r="276" spans="1:1">
      <c r="A276" s="33"/>
    </row>
    <row r="277" spans="1:1">
      <c r="A277" s="33"/>
    </row>
    <row r="278" spans="1:1">
      <c r="A278" s="33"/>
    </row>
    <row r="279" spans="1:1">
      <c r="A279" s="33"/>
    </row>
    <row r="280" spans="1:1">
      <c r="A280" s="33"/>
    </row>
    <row r="281" spans="1:1">
      <c r="A281" s="33"/>
    </row>
    <row r="282" spans="1:1">
      <c r="A282" s="33"/>
    </row>
    <row r="283" spans="1:1">
      <c r="A283" s="33"/>
    </row>
    <row r="284" spans="1:1">
      <c r="A284" s="33"/>
    </row>
    <row r="285" spans="1:1">
      <c r="A285" s="33"/>
    </row>
    <row r="286" spans="1:1">
      <c r="A286" s="33"/>
    </row>
    <row r="287" spans="1:1">
      <c r="A287" s="33"/>
    </row>
    <row r="288" spans="1:1">
      <c r="A288" s="33"/>
    </row>
    <row r="289" spans="1:1">
      <c r="A289" s="33"/>
    </row>
    <row r="290" spans="1:1">
      <c r="A290" s="33"/>
    </row>
    <row r="291" spans="1:1">
      <c r="A291" s="33"/>
    </row>
    <row r="292" spans="1:1">
      <c r="A292" s="33"/>
    </row>
    <row r="293" spans="1:1">
      <c r="A293" s="33"/>
    </row>
    <row r="294" spans="1:1">
      <c r="A294" s="33"/>
    </row>
    <row r="295" spans="1:1">
      <c r="A295" s="33"/>
    </row>
    <row r="296" spans="1:1">
      <c r="A296" s="33"/>
    </row>
    <row r="297" spans="1:1">
      <c r="A297" s="33"/>
    </row>
    <row r="298" spans="1:1">
      <c r="A298" s="33"/>
    </row>
    <row r="299" spans="1:1">
      <c r="A299" s="33"/>
    </row>
    <row r="300" spans="1:1">
      <c r="A300" s="33"/>
    </row>
    <row r="301" spans="1:1">
      <c r="A301" s="33"/>
    </row>
    <row r="302" spans="1:1">
      <c r="A302" s="33"/>
    </row>
    <row r="303" spans="1:1">
      <c r="A303" s="33"/>
    </row>
    <row r="304" spans="1:1">
      <c r="A304" s="33"/>
    </row>
    <row r="305" spans="1:1">
      <c r="A305" s="33"/>
    </row>
    <row r="306" spans="1:1">
      <c r="A306" s="33"/>
    </row>
    <row r="307" spans="1:1">
      <c r="A307" s="33"/>
    </row>
    <row r="308" spans="1:1">
      <c r="A308" s="33"/>
    </row>
    <row r="309" spans="1:1">
      <c r="A309" s="33"/>
    </row>
    <row r="310" spans="1:1">
      <c r="A310" s="33"/>
    </row>
    <row r="311" spans="1:1">
      <c r="A311" s="33"/>
    </row>
    <row r="312" spans="1:1">
      <c r="A312" s="33"/>
    </row>
    <row r="313" spans="1:1">
      <c r="A313" s="33"/>
    </row>
    <row r="314" spans="1:1">
      <c r="A314" s="33"/>
    </row>
    <row r="315" spans="1:1">
      <c r="A315" s="33"/>
    </row>
    <row r="316" spans="1:1">
      <c r="A316" s="33"/>
    </row>
    <row r="317" spans="1:1">
      <c r="A317" s="33"/>
    </row>
    <row r="318" spans="1:1">
      <c r="A318" s="33"/>
    </row>
    <row r="319" spans="1:1">
      <c r="A319" s="33"/>
    </row>
    <row r="320" spans="1:1">
      <c r="A320" s="33"/>
    </row>
    <row r="321" spans="1:1">
      <c r="A321" s="33"/>
    </row>
    <row r="322" spans="1:1">
      <c r="A322" s="33"/>
    </row>
    <row r="323" spans="1:1">
      <c r="A323" s="33"/>
    </row>
    <row r="324" spans="1:1">
      <c r="A324" s="33"/>
    </row>
    <row r="325" spans="1:1">
      <c r="A325" s="33"/>
    </row>
    <row r="326" spans="1:1">
      <c r="A326" s="33"/>
    </row>
    <row r="327" spans="1:1">
      <c r="A327" s="33"/>
    </row>
    <row r="328" spans="1:1">
      <c r="A328" s="33"/>
    </row>
    <row r="329" spans="1:1">
      <c r="A329" s="33"/>
    </row>
    <row r="330" spans="1:1">
      <c r="A330" s="33"/>
    </row>
  </sheetData>
  <pageMargins left="0.511811024" right="0.511811024" top="0.78740157499999996" bottom="0.78740157499999996" header="0.31496062000000002" footer="0.31496062000000002"/>
  <pageSetup paperSize="9" orientation="portrait" r:id="rId1"/>
  <legacyDrawing r:id="rId2"/>
  <tableParts count="1">
    <tablePart r:id="rId3"/>
  </tableParts>
</worksheet>
</file>

<file path=xl/worksheets/sheet5.xml><?xml version="1.0" encoding="utf-8"?>
<worksheet xmlns="http://schemas.openxmlformats.org/spreadsheetml/2006/main" xmlns:r="http://schemas.openxmlformats.org/officeDocument/2006/relationships">
  <sheetPr codeName="Plan9"/>
  <dimension ref="A1:V330"/>
  <sheetViews>
    <sheetView workbookViewId="0">
      <selection activeCell="H2" sqref="H2"/>
    </sheetView>
  </sheetViews>
  <sheetFormatPr defaultRowHeight="11.25"/>
  <cols>
    <col min="1" max="1" width="9.140625" style="3" customWidth="1"/>
    <col min="2" max="2" width="9.140625" style="3" hidden="1" customWidth="1"/>
    <col min="3" max="3" width="41.7109375" style="3" hidden="1" customWidth="1"/>
    <col min="4" max="14" width="9.140625" style="3" hidden="1" customWidth="1"/>
    <col min="15" max="15" width="9.140625" style="3"/>
    <col min="16" max="16" width="9.28515625" style="3" bestFit="1" customWidth="1"/>
    <col min="17" max="17" width="15.42578125" style="3" customWidth="1"/>
    <col min="18" max="18" width="10.7109375" style="3" bestFit="1" customWidth="1"/>
    <col min="19" max="19" width="11" style="5" bestFit="1" customWidth="1"/>
    <col min="20" max="20" width="14.140625" style="5" bestFit="1" customWidth="1"/>
    <col min="21" max="21" width="10.28515625" style="5" bestFit="1" customWidth="1"/>
    <col min="22" max="22" width="10" style="5" bestFit="1" customWidth="1"/>
    <col min="23" max="16384" width="9.140625" style="3"/>
  </cols>
  <sheetData>
    <row r="1" spans="1:22">
      <c r="A1" s="3" t="s">
        <v>42</v>
      </c>
      <c r="C1" s="3" t="s">
        <v>1374</v>
      </c>
    </row>
    <row r="2" spans="1:22">
      <c r="A2" s="3" t="s">
        <v>43</v>
      </c>
      <c r="C2" s="3" t="s">
        <v>46</v>
      </c>
    </row>
    <row r="3" spans="1:22">
      <c r="A3" s="3" t="s">
        <v>44</v>
      </c>
    </row>
    <row r="4" spans="1:22">
      <c r="A4" s="3" t="s">
        <v>45</v>
      </c>
    </row>
    <row r="6" spans="1:22">
      <c r="P6" s="31" t="s">
        <v>45</v>
      </c>
      <c r="Q6" s="31" t="s">
        <v>0</v>
      </c>
      <c r="R6" s="32" t="s">
        <v>47</v>
      </c>
      <c r="S6" s="12" t="s">
        <v>48</v>
      </c>
      <c r="T6" s="12" t="s">
        <v>49</v>
      </c>
      <c r="U6" s="12" t="s">
        <v>50</v>
      </c>
      <c r="V6" s="12" t="s">
        <v>51</v>
      </c>
    </row>
    <row r="7" spans="1:22">
      <c r="A7" s="33" t="str">
        <f>IF(Tabela1768[[#This Row],[Código]]="IBOV","^BVSP",IF(Tabela1768[[#This Row],[Código]]="","",CONCATENATE(LEFT(Tabela1768[[#This Row],[Código]],6),".SA")))</f>
        <v>ABRE11.SA</v>
      </c>
      <c r="C7" s="3" t="s">
        <v>1110</v>
      </c>
      <c r="D7" s="3" t="s">
        <v>1910</v>
      </c>
      <c r="E7" s="3" t="s">
        <v>1911</v>
      </c>
      <c r="F7" s="3" t="s">
        <v>1910</v>
      </c>
      <c r="G7" s="3" t="s">
        <v>1912</v>
      </c>
      <c r="H7" s="51">
        <v>41691</v>
      </c>
      <c r="J7" s="3">
        <f>IF($A7="",0,VALUE(CONCATENATE(LEFT(D7,LEN(D7)-3),",",RIGHT(D7,2))))</f>
        <v>28.45</v>
      </c>
      <c r="K7" s="3">
        <f t="shared" ref="K7:M22" si="0">IF($A7="",0,VALUE(CONCATENATE(LEFT(E7,LEN(E7)-3),",",RIGHT(E7,2))))</f>
        <v>27.67</v>
      </c>
      <c r="L7" s="3">
        <f t="shared" si="0"/>
        <v>28.45</v>
      </c>
      <c r="M7" s="3">
        <f t="shared" si="0"/>
        <v>27.54</v>
      </c>
      <c r="P7" s="14" t="s">
        <v>1105</v>
      </c>
      <c r="Q7" s="10" t="str">
        <f t="shared" ref="Q7:Q38" si="1">IF(A7="","",C7)</f>
        <v xml:space="preserve">ABRIL EDUCA -UNT </v>
      </c>
      <c r="R7" s="51">
        <f t="shared" ref="R7:R38" si="2">IF(A7="","",H7)</f>
        <v>41691</v>
      </c>
      <c r="S7" s="5">
        <f t="shared" ref="S7:S38" si="3">J7</f>
        <v>28.45</v>
      </c>
      <c r="T7" s="5">
        <f t="shared" ref="T7:T38" si="4">K7</f>
        <v>27.67</v>
      </c>
      <c r="U7" s="5">
        <f t="shared" ref="U7:U38" si="5">L7</f>
        <v>28.45</v>
      </c>
      <c r="V7" s="5">
        <f t="shared" ref="V7:V38" si="6">M7</f>
        <v>27.54</v>
      </c>
    </row>
    <row r="8" spans="1:22">
      <c r="A8" s="33" t="str">
        <f>IF(Tabela1768[[#This Row],[Código]]="IBOV","^BVSP",IF(Tabela1768[[#This Row],[Código]]="","",CONCATENATE(LEFT(Tabela1768[[#This Row],[Código]],6),".SA")))</f>
        <v>ABRE3.SA</v>
      </c>
      <c r="C8" s="3" t="s">
        <v>1108</v>
      </c>
      <c r="D8" s="3" t="s">
        <v>442</v>
      </c>
      <c r="E8" s="3" t="s">
        <v>443</v>
      </c>
      <c r="F8" s="3" t="s">
        <v>442</v>
      </c>
      <c r="G8" s="3" t="s">
        <v>442</v>
      </c>
      <c r="H8" s="51" t="s">
        <v>442</v>
      </c>
      <c r="J8" s="3" t="e">
        <f t="shared" ref="J8:M71" si="7">IF($A8="",0,VALUE(CONCATENATE(LEFT(D8,LEN(D8)-3),",",RIGHT(D8,2))))</f>
        <v>#VALUE!</v>
      </c>
      <c r="K8" s="3">
        <f t="shared" si="0"/>
        <v>0</v>
      </c>
      <c r="L8" s="3" t="e">
        <f t="shared" si="0"/>
        <v>#VALUE!</v>
      </c>
      <c r="M8" s="3" t="e">
        <f t="shared" si="0"/>
        <v>#VALUE!</v>
      </c>
      <c r="P8" s="14" t="s">
        <v>1106</v>
      </c>
      <c r="Q8" s="10" t="str">
        <f t="shared" si="1"/>
        <v>ABRE3.SA</v>
      </c>
      <c r="R8" s="46" t="str">
        <f t="shared" si="2"/>
        <v>N/A</v>
      </c>
      <c r="S8" s="6" t="e">
        <f t="shared" si="3"/>
        <v>#VALUE!</v>
      </c>
      <c r="T8" s="6">
        <f t="shared" si="4"/>
        <v>0</v>
      </c>
      <c r="U8" s="6" t="e">
        <f t="shared" si="5"/>
        <v>#VALUE!</v>
      </c>
      <c r="V8" s="6" t="e">
        <f t="shared" si="6"/>
        <v>#VALUE!</v>
      </c>
    </row>
    <row r="9" spans="1:22">
      <c r="A9" s="33" t="str">
        <f>IF(Tabela1768[[#This Row],[Código]]="IBOV","^BVSP",IF(Tabela1768[[#This Row],[Código]]="","",CONCATENATE(LEFT(Tabela1768[[#This Row],[Código]],6),".SA")))</f>
        <v>ABRE4.SA</v>
      </c>
      <c r="C9" s="3" t="s">
        <v>1109</v>
      </c>
      <c r="D9" s="3" t="s">
        <v>442</v>
      </c>
      <c r="E9" s="3" t="s">
        <v>443</v>
      </c>
      <c r="F9" s="3" t="s">
        <v>442</v>
      </c>
      <c r="G9" s="3" t="s">
        <v>442</v>
      </c>
      <c r="H9" s="51" t="s">
        <v>442</v>
      </c>
      <c r="J9" s="3" t="e">
        <f t="shared" si="7"/>
        <v>#VALUE!</v>
      </c>
      <c r="K9" s="3">
        <f t="shared" si="0"/>
        <v>0</v>
      </c>
      <c r="L9" s="3" t="e">
        <f t="shared" si="0"/>
        <v>#VALUE!</v>
      </c>
      <c r="M9" s="3" t="e">
        <f t="shared" si="0"/>
        <v>#VALUE!</v>
      </c>
      <c r="P9" s="15" t="s">
        <v>1107</v>
      </c>
      <c r="Q9" s="10" t="str">
        <f t="shared" si="1"/>
        <v>ABRE4.SA</v>
      </c>
      <c r="R9" s="51" t="str">
        <f t="shared" si="2"/>
        <v>N/A</v>
      </c>
      <c r="S9" s="5" t="e">
        <f t="shared" si="3"/>
        <v>#VALUE!</v>
      </c>
      <c r="T9" s="5">
        <f t="shared" si="4"/>
        <v>0</v>
      </c>
      <c r="U9" s="5" t="e">
        <f t="shared" si="5"/>
        <v>#VALUE!</v>
      </c>
      <c r="V9" s="5" t="e">
        <f t="shared" si="6"/>
        <v>#VALUE!</v>
      </c>
    </row>
    <row r="10" spans="1:22">
      <c r="A10" s="33" t="str">
        <f>IF(Tabela1768[[#This Row],[Código]]="IBOV","^BVSP",IF(Tabela1768[[#This Row],[Código]]="","",CONCATENATE(LEFT(Tabela1768[[#This Row],[Código]],6),".SA")))</f>
        <v>AHEB3.SA</v>
      </c>
      <c r="C10" s="3" t="s">
        <v>893</v>
      </c>
      <c r="D10" s="3" t="s">
        <v>442</v>
      </c>
      <c r="E10" s="3" t="s">
        <v>402</v>
      </c>
      <c r="F10" s="3" t="s">
        <v>402</v>
      </c>
      <c r="G10" s="3" t="s">
        <v>402</v>
      </c>
      <c r="H10" s="51">
        <v>41691</v>
      </c>
      <c r="J10" s="3" t="e">
        <f t="shared" si="7"/>
        <v>#VALUE!</v>
      </c>
      <c r="K10" s="3">
        <f t="shared" si="0"/>
        <v>19.5</v>
      </c>
      <c r="L10" s="3">
        <f t="shared" si="0"/>
        <v>19.5</v>
      </c>
      <c r="M10" s="3">
        <f t="shared" si="0"/>
        <v>19.5</v>
      </c>
      <c r="P10" s="10" t="s">
        <v>890</v>
      </c>
      <c r="Q10" s="10" t="str">
        <f t="shared" si="1"/>
        <v>SPTURIS     -ON</v>
      </c>
      <c r="R10" s="51">
        <f t="shared" si="2"/>
        <v>41691</v>
      </c>
      <c r="S10" s="5" t="e">
        <f t="shared" si="3"/>
        <v>#VALUE!</v>
      </c>
      <c r="T10" s="5">
        <f t="shared" si="4"/>
        <v>19.5</v>
      </c>
      <c r="U10" s="5">
        <f t="shared" si="5"/>
        <v>19.5</v>
      </c>
      <c r="V10" s="5">
        <f t="shared" si="6"/>
        <v>19.5</v>
      </c>
    </row>
    <row r="11" spans="1:22">
      <c r="A11" s="33" t="str">
        <f>IF(Tabela1768[[#This Row],[Código]]="IBOV","^BVSP",IF(Tabela1768[[#This Row],[Código]]="","",CONCATENATE(LEFT(Tabela1768[[#This Row],[Código]],6),".SA")))</f>
        <v>AHEB5.SA</v>
      </c>
      <c r="C11" s="3" t="s">
        <v>894</v>
      </c>
      <c r="D11" s="3" t="s">
        <v>895</v>
      </c>
      <c r="E11" s="3" t="s">
        <v>895</v>
      </c>
      <c r="F11" s="3" t="s">
        <v>895</v>
      </c>
      <c r="G11" s="3" t="s">
        <v>895</v>
      </c>
      <c r="H11" s="51">
        <v>41691</v>
      </c>
      <c r="J11" s="3">
        <f t="shared" si="7"/>
        <v>20.010000000000002</v>
      </c>
      <c r="K11" s="3">
        <f t="shared" si="0"/>
        <v>20.010000000000002</v>
      </c>
      <c r="L11" s="3">
        <f t="shared" si="0"/>
        <v>20.010000000000002</v>
      </c>
      <c r="M11" s="3">
        <f t="shared" si="0"/>
        <v>20.010000000000002</v>
      </c>
      <c r="P11" s="10" t="s">
        <v>891</v>
      </c>
      <c r="Q11" s="10" t="str">
        <f t="shared" si="1"/>
        <v>SPTURIS     -PNA</v>
      </c>
      <c r="R11" s="51">
        <f t="shared" si="2"/>
        <v>41691</v>
      </c>
      <c r="S11" s="5">
        <f t="shared" si="3"/>
        <v>20.010000000000002</v>
      </c>
      <c r="T11" s="5">
        <f t="shared" si="4"/>
        <v>20.010000000000002</v>
      </c>
      <c r="U11" s="5">
        <f t="shared" si="5"/>
        <v>20.010000000000002</v>
      </c>
      <c r="V11" s="5">
        <f t="shared" si="6"/>
        <v>20.010000000000002</v>
      </c>
    </row>
    <row r="12" spans="1:22">
      <c r="A12" s="33" t="str">
        <f>IF(Tabela1768[[#This Row],[Código]]="IBOV","^BVSP",IF(Tabela1768[[#This Row],[Código]]="","",CONCATENATE(LEFT(Tabela1768[[#This Row],[Código]],6),".SA")))</f>
        <v>AHEB6.SA</v>
      </c>
      <c r="C12" s="3" t="s">
        <v>896</v>
      </c>
      <c r="D12" s="3" t="s">
        <v>442</v>
      </c>
      <c r="E12" s="3" t="s">
        <v>897</v>
      </c>
      <c r="F12" s="3" t="s">
        <v>897</v>
      </c>
      <c r="G12" s="3" t="s">
        <v>897</v>
      </c>
      <c r="H12" s="51">
        <v>41691</v>
      </c>
      <c r="J12" s="3" t="e">
        <f t="shared" si="7"/>
        <v>#VALUE!</v>
      </c>
      <c r="K12" s="3">
        <f t="shared" si="0"/>
        <v>35.01</v>
      </c>
      <c r="L12" s="3">
        <f t="shared" si="0"/>
        <v>35.01</v>
      </c>
      <c r="M12" s="3">
        <f t="shared" si="0"/>
        <v>35.01</v>
      </c>
      <c r="P12" s="10" t="s">
        <v>892</v>
      </c>
      <c r="Q12" s="10" t="str">
        <f t="shared" si="1"/>
        <v>SPTURIS     -PNB</v>
      </c>
      <c r="R12" s="51">
        <f t="shared" si="2"/>
        <v>41691</v>
      </c>
      <c r="S12" s="5" t="e">
        <f t="shared" si="3"/>
        <v>#VALUE!</v>
      </c>
      <c r="T12" s="5">
        <f t="shared" si="4"/>
        <v>35.01</v>
      </c>
      <c r="U12" s="5">
        <f t="shared" si="5"/>
        <v>35.01</v>
      </c>
      <c r="V12" s="5">
        <f t="shared" si="6"/>
        <v>35.01</v>
      </c>
    </row>
    <row r="13" spans="1:22">
      <c r="A13" s="33" t="str">
        <f>IF(Tabela1768[[#This Row],[Código]]="IBOV","^BVSP",IF(Tabela1768[[#This Row],[Código]]="","",CONCATENATE(LEFT(Tabela1768[[#This Row],[Código]],6),".SA")))</f>
        <v>ALPA3.SA</v>
      </c>
      <c r="C13" s="3" t="s">
        <v>1081</v>
      </c>
      <c r="D13" s="3" t="s">
        <v>1913</v>
      </c>
      <c r="E13" s="3" t="s">
        <v>1913</v>
      </c>
      <c r="F13" s="3" t="s">
        <v>1913</v>
      </c>
      <c r="G13" s="3" t="s">
        <v>1913</v>
      </c>
      <c r="H13" s="51">
        <v>41691</v>
      </c>
      <c r="J13" s="3">
        <f t="shared" si="7"/>
        <v>11.53</v>
      </c>
      <c r="K13" s="3">
        <f t="shared" si="0"/>
        <v>11.53</v>
      </c>
      <c r="L13" s="3">
        <f t="shared" si="0"/>
        <v>11.53</v>
      </c>
      <c r="M13" s="3">
        <f t="shared" si="0"/>
        <v>11.53</v>
      </c>
      <c r="P13" s="3" t="s">
        <v>1079</v>
      </c>
      <c r="Q13" s="10" t="str">
        <f t="shared" si="1"/>
        <v xml:space="preserve">ALPARGATAS  -ON  </v>
      </c>
      <c r="R13" s="51">
        <f t="shared" si="2"/>
        <v>41691</v>
      </c>
      <c r="S13" s="5">
        <f t="shared" si="3"/>
        <v>11.53</v>
      </c>
      <c r="T13" s="5">
        <f t="shared" si="4"/>
        <v>11.53</v>
      </c>
      <c r="U13" s="5">
        <f t="shared" si="5"/>
        <v>11.53</v>
      </c>
      <c r="V13" s="5">
        <f t="shared" si="6"/>
        <v>11.53</v>
      </c>
    </row>
    <row r="14" spans="1:22">
      <c r="A14" s="33" t="str">
        <f>IF(Tabela1768[[#This Row],[Código]]="IBOV","^BVSP",IF(Tabela1768[[#This Row],[Código]]="","",CONCATENATE(LEFT(Tabela1768[[#This Row],[Código]],6),".SA")))</f>
        <v>ALPA4.SA</v>
      </c>
      <c r="C14" s="3" t="s">
        <v>1082</v>
      </c>
      <c r="D14" s="3" t="s">
        <v>770</v>
      </c>
      <c r="E14" s="3" t="s">
        <v>1548</v>
      </c>
      <c r="F14" s="3" t="s">
        <v>1552</v>
      </c>
      <c r="G14" s="3" t="s">
        <v>1515</v>
      </c>
      <c r="H14" s="51">
        <v>41691</v>
      </c>
      <c r="J14" s="3">
        <f t="shared" si="7"/>
        <v>12.4</v>
      </c>
      <c r="K14" s="3">
        <f t="shared" si="0"/>
        <v>12.19</v>
      </c>
      <c r="L14" s="3">
        <f t="shared" si="0"/>
        <v>12.46</v>
      </c>
      <c r="M14" s="3">
        <f t="shared" si="0"/>
        <v>12.08</v>
      </c>
      <c r="P14" s="14" t="s">
        <v>1080</v>
      </c>
      <c r="Q14" s="10" t="str">
        <f t="shared" si="1"/>
        <v xml:space="preserve">ALPARGATAS  -PN  </v>
      </c>
      <c r="R14" s="51">
        <f t="shared" si="2"/>
        <v>41691</v>
      </c>
      <c r="S14" s="5">
        <f t="shared" si="3"/>
        <v>12.4</v>
      </c>
      <c r="T14" s="5">
        <f t="shared" si="4"/>
        <v>12.19</v>
      </c>
      <c r="U14" s="5">
        <f t="shared" si="5"/>
        <v>12.46</v>
      </c>
      <c r="V14" s="5">
        <f t="shared" si="6"/>
        <v>12.08</v>
      </c>
    </row>
    <row r="15" spans="1:22">
      <c r="A15" s="33" t="str">
        <f>IF(Tabela1768[[#This Row],[Código]]="IBOV","^BVSP",IF(Tabela1768[[#This Row],[Código]]="","",CONCATENATE(LEFT(Tabela1768[[#This Row],[Código]],6),".SA")))</f>
        <v>AMAR3.SA</v>
      </c>
      <c r="C15" s="3" t="s">
        <v>1187</v>
      </c>
      <c r="D15" s="3" t="s">
        <v>1914</v>
      </c>
      <c r="E15" s="3" t="s">
        <v>1915</v>
      </c>
      <c r="F15" s="3" t="s">
        <v>1916</v>
      </c>
      <c r="G15" s="3" t="s">
        <v>1917</v>
      </c>
      <c r="H15" s="51">
        <v>41691</v>
      </c>
      <c r="J15" s="3">
        <f t="shared" si="7"/>
        <v>13.52</v>
      </c>
      <c r="K15" s="3">
        <f t="shared" si="0"/>
        <v>13.44</v>
      </c>
      <c r="L15" s="3">
        <f t="shared" si="0"/>
        <v>13.69</v>
      </c>
      <c r="M15" s="3">
        <f t="shared" si="0"/>
        <v>13.36</v>
      </c>
      <c r="P15" s="15" t="s">
        <v>1186</v>
      </c>
      <c r="Q15" s="10" t="str">
        <f t="shared" si="1"/>
        <v xml:space="preserve">LOJAS MARISA-ON  </v>
      </c>
      <c r="R15" s="51">
        <f t="shared" si="2"/>
        <v>41691</v>
      </c>
      <c r="S15" s="5">
        <f t="shared" si="3"/>
        <v>13.52</v>
      </c>
      <c r="T15" s="5">
        <f t="shared" si="4"/>
        <v>13.44</v>
      </c>
      <c r="U15" s="5">
        <f t="shared" si="5"/>
        <v>13.69</v>
      </c>
      <c r="V15" s="5">
        <f t="shared" si="6"/>
        <v>13.36</v>
      </c>
    </row>
    <row r="16" spans="1:22">
      <c r="A16" s="33" t="str">
        <f>IF(Tabela1768[[#This Row],[Código]]="IBOV","^BVSP",IF(Tabela1768[[#This Row],[Código]]="","",CONCATENATE(LEFT(Tabela1768[[#This Row],[Código]],6),".SA")))</f>
        <v>ARZZ3.SA</v>
      </c>
      <c r="C16" s="3" t="s">
        <v>1170</v>
      </c>
      <c r="D16" s="3" t="s">
        <v>1584</v>
      </c>
      <c r="E16" s="3" t="s">
        <v>1551</v>
      </c>
      <c r="F16" s="3" t="s">
        <v>1918</v>
      </c>
      <c r="G16" s="3" t="s">
        <v>1584</v>
      </c>
      <c r="H16" s="51">
        <v>41691</v>
      </c>
      <c r="J16" s="3">
        <f t="shared" si="7"/>
        <v>26.9</v>
      </c>
      <c r="K16" s="3">
        <f t="shared" si="0"/>
        <v>27.7</v>
      </c>
      <c r="L16" s="3">
        <f t="shared" si="0"/>
        <v>27.93</v>
      </c>
      <c r="M16" s="3">
        <f t="shared" si="0"/>
        <v>26.9</v>
      </c>
      <c r="P16" s="15" t="s">
        <v>1169</v>
      </c>
      <c r="Q16" s="10" t="str">
        <f t="shared" si="1"/>
        <v xml:space="preserve">AREZZO CO   -ON  </v>
      </c>
      <c r="R16" s="51">
        <f t="shared" si="2"/>
        <v>41691</v>
      </c>
      <c r="S16" s="5">
        <f t="shared" si="3"/>
        <v>26.9</v>
      </c>
      <c r="T16" s="5">
        <f t="shared" si="4"/>
        <v>27.7</v>
      </c>
      <c r="U16" s="5">
        <f t="shared" si="5"/>
        <v>27.93</v>
      </c>
      <c r="V16" s="5">
        <f t="shared" si="6"/>
        <v>26.9</v>
      </c>
    </row>
    <row r="17" spans="1:22">
      <c r="A17" s="33" t="str">
        <f>IF(Tabela1768[[#This Row],[Código]]="IBOV","^BVSP",IF(Tabela1768[[#This Row],[Código]]="","",CONCATENATE(LEFT(Tabela1768[[#This Row],[Código]],6),".SA")))</f>
        <v>BISA3.SA</v>
      </c>
      <c r="C17" s="3" t="s">
        <v>1198</v>
      </c>
      <c r="D17" s="3" t="s">
        <v>1919</v>
      </c>
      <c r="E17" s="3" t="s">
        <v>1920</v>
      </c>
      <c r="F17" s="3" t="s">
        <v>1256</v>
      </c>
      <c r="G17" s="3" t="s">
        <v>1921</v>
      </c>
      <c r="H17" s="51">
        <v>41691</v>
      </c>
      <c r="J17" s="3">
        <f t="shared" si="7"/>
        <v>1.48</v>
      </c>
      <c r="K17" s="3">
        <f t="shared" si="0"/>
        <v>1.49</v>
      </c>
      <c r="L17" s="3">
        <f t="shared" si="0"/>
        <v>1.5</v>
      </c>
      <c r="M17" s="3">
        <f t="shared" si="0"/>
        <v>1.47</v>
      </c>
      <c r="P17" s="10" t="s">
        <v>1197</v>
      </c>
      <c r="Q17" s="10" t="str">
        <f t="shared" si="1"/>
        <v xml:space="preserve">BROOKFIELD  -ON  </v>
      </c>
      <c r="R17" s="51">
        <f t="shared" si="2"/>
        <v>41691</v>
      </c>
      <c r="S17" s="5">
        <f t="shared" si="3"/>
        <v>1.48</v>
      </c>
      <c r="T17" s="5">
        <f t="shared" si="4"/>
        <v>1.49</v>
      </c>
      <c r="U17" s="5">
        <f t="shared" si="5"/>
        <v>1.5</v>
      </c>
      <c r="V17" s="5">
        <f t="shared" si="6"/>
        <v>1.47</v>
      </c>
    </row>
    <row r="18" spans="1:22">
      <c r="A18" s="33" t="str">
        <f>IF(Tabela1768[[#This Row],[Código]]="IBOV","^BVSP",IF(Tabela1768[[#This Row],[Código]]="","",CONCATENATE(LEFT(Tabela1768[[#This Row],[Código]],6),".SA")))</f>
        <v>BMKS3.SA</v>
      </c>
      <c r="C18" s="3" t="s">
        <v>902</v>
      </c>
      <c r="D18" s="3" t="s">
        <v>1922</v>
      </c>
      <c r="E18" s="3" t="s">
        <v>1922</v>
      </c>
      <c r="F18" s="3" t="s">
        <v>1922</v>
      </c>
      <c r="G18" s="3" t="s">
        <v>1922</v>
      </c>
      <c r="H18" s="51">
        <v>41691</v>
      </c>
      <c r="J18" s="3">
        <f t="shared" si="7"/>
        <v>360</v>
      </c>
      <c r="K18" s="3">
        <f t="shared" si="0"/>
        <v>360</v>
      </c>
      <c r="L18" s="3">
        <f t="shared" si="0"/>
        <v>360</v>
      </c>
      <c r="M18" s="3">
        <f t="shared" si="0"/>
        <v>360</v>
      </c>
      <c r="P18" s="14" t="s">
        <v>901</v>
      </c>
      <c r="Q18" s="10" t="str">
        <f t="shared" si="1"/>
        <v>BIC MONARK  -ON</v>
      </c>
      <c r="R18" s="51">
        <f t="shared" si="2"/>
        <v>41691</v>
      </c>
      <c r="S18" s="5">
        <f t="shared" si="3"/>
        <v>360</v>
      </c>
      <c r="T18" s="5">
        <f t="shared" si="4"/>
        <v>360</v>
      </c>
      <c r="U18" s="5">
        <f t="shared" si="5"/>
        <v>360</v>
      </c>
      <c r="V18" s="5">
        <f t="shared" si="6"/>
        <v>360</v>
      </c>
    </row>
    <row r="19" spans="1:22">
      <c r="A19" s="33" t="str">
        <f>IF(Tabela1768[[#This Row],[Código]]="IBOV","^BVSP",IF(Tabela1768[[#This Row],[Código]]="","",CONCATENATE(LEFT(Tabela1768[[#This Row],[Código]],6),".SA")))</f>
        <v>BMTO3.SA</v>
      </c>
      <c r="C19" s="3" t="s">
        <v>914</v>
      </c>
      <c r="D19" s="3" t="s">
        <v>480</v>
      </c>
      <c r="E19" s="3" t="s">
        <v>480</v>
      </c>
      <c r="F19" s="3" t="s">
        <v>480</v>
      </c>
      <c r="G19" s="3" t="s">
        <v>480</v>
      </c>
      <c r="H19" s="51">
        <v>41691</v>
      </c>
      <c r="J19" s="3">
        <f t="shared" si="7"/>
        <v>0.75</v>
      </c>
      <c r="K19" s="3">
        <f t="shared" si="0"/>
        <v>0.75</v>
      </c>
      <c r="L19" s="3">
        <f t="shared" si="0"/>
        <v>0.75</v>
      </c>
      <c r="M19" s="3">
        <f t="shared" si="0"/>
        <v>0.75</v>
      </c>
      <c r="P19" s="15" t="s">
        <v>912</v>
      </c>
      <c r="Q19" s="10" t="str">
        <f t="shared" si="1"/>
        <v>BRASMOTOR   -ON</v>
      </c>
      <c r="R19" s="51">
        <f t="shared" si="2"/>
        <v>41691</v>
      </c>
      <c r="S19" s="5">
        <f t="shared" si="3"/>
        <v>0.75</v>
      </c>
      <c r="T19" s="5">
        <f t="shared" si="4"/>
        <v>0.75</v>
      </c>
      <c r="U19" s="5">
        <f t="shared" si="5"/>
        <v>0.75</v>
      </c>
      <c r="V19" s="5">
        <f t="shared" si="6"/>
        <v>0.75</v>
      </c>
    </row>
    <row r="20" spans="1:22">
      <c r="A20" s="33" t="str">
        <f>IF(Tabela1768[[#This Row],[Código]]="IBOV","^BVSP",IF(Tabela1768[[#This Row],[Código]]="","",CONCATENATE(LEFT(Tabela1768[[#This Row],[Código]],6),".SA")))</f>
        <v>BMTO4.SA</v>
      </c>
      <c r="C20" s="3" t="s">
        <v>915</v>
      </c>
      <c r="D20" s="3" t="s">
        <v>959</v>
      </c>
      <c r="E20" s="3" t="s">
        <v>1923</v>
      </c>
      <c r="F20" s="3" t="s">
        <v>1923</v>
      </c>
      <c r="G20" s="3" t="s">
        <v>1148</v>
      </c>
      <c r="H20" s="51">
        <v>41691</v>
      </c>
      <c r="J20" s="3">
        <f t="shared" si="7"/>
        <v>0.82</v>
      </c>
      <c r="K20" s="3">
        <f t="shared" si="0"/>
        <v>0.83</v>
      </c>
      <c r="L20" s="3">
        <f t="shared" si="0"/>
        <v>0.83</v>
      </c>
      <c r="M20" s="3">
        <f t="shared" si="0"/>
        <v>0.81</v>
      </c>
      <c r="P20" s="15" t="s">
        <v>913</v>
      </c>
      <c r="Q20" s="10" t="str">
        <f t="shared" si="1"/>
        <v>BRASMOTOR   -PN</v>
      </c>
      <c r="R20" s="51">
        <f t="shared" si="2"/>
        <v>41691</v>
      </c>
      <c r="S20" s="5">
        <f t="shared" si="3"/>
        <v>0.82</v>
      </c>
      <c r="T20" s="5">
        <f t="shared" si="4"/>
        <v>0.83</v>
      </c>
      <c r="U20" s="5">
        <f t="shared" si="5"/>
        <v>0.83</v>
      </c>
      <c r="V20" s="5">
        <f t="shared" si="6"/>
        <v>0.81</v>
      </c>
    </row>
    <row r="21" spans="1:22">
      <c r="A21" s="33" t="str">
        <f>IF(Tabela1768[[#This Row],[Código]]="IBOV","^BVSP",IF(Tabela1768[[#This Row],[Código]]="","",CONCATENATE(LEFT(Tabela1768[[#This Row],[Código]],6),".SA")))</f>
        <v>BSEV3.SA</v>
      </c>
      <c r="C21" s="3" t="s">
        <v>879</v>
      </c>
      <c r="D21" s="3" t="s">
        <v>1093</v>
      </c>
      <c r="E21" s="3" t="s">
        <v>1093</v>
      </c>
      <c r="F21" s="3" t="s">
        <v>1093</v>
      </c>
      <c r="G21" s="3" t="s">
        <v>1093</v>
      </c>
      <c r="H21" s="51">
        <v>41691</v>
      </c>
      <c r="J21" s="3">
        <f t="shared" si="7"/>
        <v>9.01</v>
      </c>
      <c r="K21" s="3">
        <f t="shared" si="0"/>
        <v>9.01</v>
      </c>
      <c r="L21" s="3">
        <f t="shared" si="0"/>
        <v>9.01</v>
      </c>
      <c r="M21" s="3">
        <f t="shared" si="0"/>
        <v>9.01</v>
      </c>
      <c r="P21" s="14" t="s">
        <v>878</v>
      </c>
      <c r="Q21" s="10" t="str">
        <f t="shared" si="1"/>
        <v xml:space="preserve">BIOSEV      -ON  </v>
      </c>
      <c r="R21" s="51">
        <f t="shared" si="2"/>
        <v>41691</v>
      </c>
      <c r="S21" s="5">
        <f t="shared" si="3"/>
        <v>9.01</v>
      </c>
      <c r="T21" s="5">
        <f t="shared" si="4"/>
        <v>9.01</v>
      </c>
      <c r="U21" s="5">
        <f t="shared" si="5"/>
        <v>9.01</v>
      </c>
      <c r="V21" s="5">
        <f t="shared" si="6"/>
        <v>9.01</v>
      </c>
    </row>
    <row r="22" spans="1:22">
      <c r="A22" s="33" t="str">
        <f>IF(Tabela1768[[#This Row],[Código]]="IBOV","^BVSP",IF(Tabela1768[[#This Row],[Código]]="","",CONCATENATE(LEFT(Tabela1768[[#This Row],[Código]],6),".SA")))</f>
        <v>CALI3.SA</v>
      </c>
      <c r="C22" s="3" t="s">
        <v>1201</v>
      </c>
      <c r="D22" s="3" t="s">
        <v>442</v>
      </c>
      <c r="E22" s="3" t="s">
        <v>1202</v>
      </c>
      <c r="F22" s="3" t="s">
        <v>1202</v>
      </c>
      <c r="G22" s="3" t="s">
        <v>1202</v>
      </c>
      <c r="H22" s="51">
        <v>41691</v>
      </c>
      <c r="J22" s="3" t="e">
        <f t="shared" si="7"/>
        <v>#VALUE!</v>
      </c>
      <c r="K22" s="3">
        <f t="shared" si="0"/>
        <v>126.01</v>
      </c>
      <c r="L22" s="3">
        <f t="shared" si="0"/>
        <v>126.01</v>
      </c>
      <c r="M22" s="3">
        <f t="shared" si="0"/>
        <v>126.01</v>
      </c>
      <c r="P22" s="16" t="s">
        <v>1199</v>
      </c>
      <c r="Q22" s="10" t="str">
        <f t="shared" si="1"/>
        <v>CONST A LIND-ON</v>
      </c>
      <c r="R22" s="51">
        <f t="shared" si="2"/>
        <v>41691</v>
      </c>
      <c r="S22" s="5" t="e">
        <f t="shared" si="3"/>
        <v>#VALUE!</v>
      </c>
      <c r="T22" s="5">
        <f t="shared" si="4"/>
        <v>126.01</v>
      </c>
      <c r="U22" s="5">
        <f t="shared" si="5"/>
        <v>126.01</v>
      </c>
      <c r="V22" s="5">
        <f t="shared" si="6"/>
        <v>126.01</v>
      </c>
    </row>
    <row r="23" spans="1:22">
      <c r="A23" s="33" t="str">
        <f>IF(Tabela1768[[#This Row],[Código]]="IBOV","^BVSP",IF(Tabela1768[[#This Row],[Código]]="","",CONCATENATE(LEFT(Tabela1768[[#This Row],[Código]],6),".SA")))</f>
        <v>CALI4.SA</v>
      </c>
      <c r="C23" s="3" t="s">
        <v>1203</v>
      </c>
      <c r="D23" s="3" t="s">
        <v>1204</v>
      </c>
      <c r="E23" s="3" t="s">
        <v>1204</v>
      </c>
      <c r="F23" s="3" t="s">
        <v>1204</v>
      </c>
      <c r="G23" s="3" t="s">
        <v>1204</v>
      </c>
      <c r="H23" s="51">
        <v>41691</v>
      </c>
      <c r="J23" s="3">
        <f t="shared" si="7"/>
        <v>250</v>
      </c>
      <c r="K23" s="3">
        <f t="shared" si="7"/>
        <v>250</v>
      </c>
      <c r="L23" s="3">
        <f t="shared" si="7"/>
        <v>250</v>
      </c>
      <c r="M23" s="3">
        <f t="shared" si="7"/>
        <v>250</v>
      </c>
      <c r="P23" s="16" t="s">
        <v>1200</v>
      </c>
      <c r="Q23" s="10" t="str">
        <f t="shared" si="1"/>
        <v>CONST A LIND-PN</v>
      </c>
      <c r="R23" s="51">
        <f t="shared" si="2"/>
        <v>41691</v>
      </c>
      <c r="S23" s="5">
        <f t="shared" si="3"/>
        <v>250</v>
      </c>
      <c r="T23" s="5">
        <f t="shared" si="4"/>
        <v>250</v>
      </c>
      <c r="U23" s="5">
        <f t="shared" si="5"/>
        <v>250</v>
      </c>
      <c r="V23" s="5">
        <f t="shared" si="6"/>
        <v>250</v>
      </c>
    </row>
    <row r="24" spans="1:22">
      <c r="A24" s="33" t="str">
        <f>IF(Tabela1768[[#This Row],[Código]]="IBOV","^BVSP",IF(Tabela1768[[#This Row],[Código]]="","",CONCATENATE(LEFT(Tabela1768[[#This Row],[Código]],6),".SA")))</f>
        <v>CAMB3.SA</v>
      </c>
      <c r="C24" s="3" t="s">
        <v>1086</v>
      </c>
      <c r="D24" s="3" t="s">
        <v>442</v>
      </c>
      <c r="E24" s="3" t="s">
        <v>443</v>
      </c>
      <c r="F24" s="3" t="s">
        <v>442</v>
      </c>
      <c r="G24" s="3" t="s">
        <v>442</v>
      </c>
      <c r="H24" s="51" t="s">
        <v>442</v>
      </c>
      <c r="J24" s="3" t="e">
        <f t="shared" si="7"/>
        <v>#VALUE!</v>
      </c>
      <c r="K24" s="3">
        <f t="shared" si="7"/>
        <v>0</v>
      </c>
      <c r="L24" s="3" t="e">
        <f t="shared" si="7"/>
        <v>#VALUE!</v>
      </c>
      <c r="M24" s="3" t="e">
        <f t="shared" si="7"/>
        <v>#VALUE!</v>
      </c>
      <c r="P24" s="14" t="s">
        <v>1084</v>
      </c>
      <c r="Q24" s="10" t="str">
        <f t="shared" si="1"/>
        <v>CAMBUCI     -ON</v>
      </c>
      <c r="R24" s="51" t="str">
        <f t="shared" si="2"/>
        <v>N/A</v>
      </c>
      <c r="S24" s="5" t="e">
        <f t="shared" si="3"/>
        <v>#VALUE!</v>
      </c>
      <c r="T24" s="5">
        <f t="shared" si="4"/>
        <v>0</v>
      </c>
      <c r="U24" s="5" t="e">
        <f t="shared" si="5"/>
        <v>#VALUE!</v>
      </c>
      <c r="V24" s="5" t="e">
        <f t="shared" si="6"/>
        <v>#VALUE!</v>
      </c>
    </row>
    <row r="25" spans="1:22">
      <c r="A25" s="33" t="str">
        <f>IF(Tabela1768[[#This Row],[Código]]="IBOV","^BVSP",IF(Tabela1768[[#This Row],[Código]]="","",CONCATENATE(LEFT(Tabela1768[[#This Row],[Código]],6),".SA")))</f>
        <v>CAMB4.SA</v>
      </c>
      <c r="C25" s="3" t="s">
        <v>1087</v>
      </c>
      <c r="D25" s="3" t="s">
        <v>1000</v>
      </c>
      <c r="E25" s="3" t="s">
        <v>1924</v>
      </c>
      <c r="F25" s="3" t="s">
        <v>1925</v>
      </c>
      <c r="G25" s="3" t="s">
        <v>1926</v>
      </c>
      <c r="H25" s="51">
        <v>41691</v>
      </c>
      <c r="J25" s="3">
        <f t="shared" si="7"/>
        <v>2.12</v>
      </c>
      <c r="K25" s="3">
        <f t="shared" si="7"/>
        <v>2.16</v>
      </c>
      <c r="L25" s="3">
        <f t="shared" si="7"/>
        <v>2.17</v>
      </c>
      <c r="M25" s="3">
        <f t="shared" si="7"/>
        <v>1.97</v>
      </c>
      <c r="P25" s="10" t="s">
        <v>1085</v>
      </c>
      <c r="Q25" s="10" t="str">
        <f t="shared" si="1"/>
        <v>CAMBUCI     -PN</v>
      </c>
      <c r="R25" s="51">
        <f t="shared" si="2"/>
        <v>41691</v>
      </c>
      <c r="S25" s="5">
        <f t="shared" si="3"/>
        <v>2.12</v>
      </c>
      <c r="T25" s="5">
        <f t="shared" si="4"/>
        <v>2.16</v>
      </c>
      <c r="U25" s="5">
        <f t="shared" si="5"/>
        <v>2.17</v>
      </c>
      <c r="V25" s="5">
        <f t="shared" si="6"/>
        <v>1.97</v>
      </c>
    </row>
    <row r="26" spans="1:22">
      <c r="A26" s="33" t="str">
        <f>IF(Tabela1768[[#This Row],[Código]]="IBOV","^BVSP",IF(Tabela1768[[#This Row],[Código]]="","",CONCATENATE(LEFT(Tabela1768[[#This Row],[Código]],6),".SA")))</f>
        <v>CEDO3.SA</v>
      </c>
      <c r="C26" s="3" t="s">
        <v>932</v>
      </c>
      <c r="D26" s="3" t="s">
        <v>771</v>
      </c>
      <c r="E26" s="3" t="s">
        <v>771</v>
      </c>
      <c r="F26" s="3" t="s">
        <v>771</v>
      </c>
      <c r="G26" s="3" t="s">
        <v>771</v>
      </c>
      <c r="H26" s="51">
        <v>41691</v>
      </c>
      <c r="J26" s="3">
        <f t="shared" si="7"/>
        <v>11.5</v>
      </c>
      <c r="K26" s="3">
        <f t="shared" si="7"/>
        <v>11.5</v>
      </c>
      <c r="L26" s="3">
        <f t="shared" si="7"/>
        <v>11.5</v>
      </c>
      <c r="M26" s="3">
        <f t="shared" si="7"/>
        <v>11.5</v>
      </c>
      <c r="P26" s="14" t="s">
        <v>930</v>
      </c>
      <c r="Q26" s="10" t="str">
        <f t="shared" si="1"/>
        <v xml:space="preserve">CEDRO       -ON  </v>
      </c>
      <c r="R26" s="51">
        <f t="shared" si="2"/>
        <v>41691</v>
      </c>
      <c r="S26" s="5">
        <f t="shared" si="3"/>
        <v>11.5</v>
      </c>
      <c r="T26" s="5">
        <f t="shared" si="4"/>
        <v>11.5</v>
      </c>
      <c r="U26" s="5">
        <f t="shared" si="5"/>
        <v>11.5</v>
      </c>
      <c r="V26" s="5">
        <f t="shared" si="6"/>
        <v>11.5</v>
      </c>
    </row>
    <row r="27" spans="1:22">
      <c r="A27" s="33" t="str">
        <f>IF(Tabela1768[[#This Row],[Código]]="IBOV","^BVSP",IF(Tabela1768[[#This Row],[Código]]="","",CONCATENATE(LEFT(Tabela1768[[#This Row],[Código]],6),".SA")))</f>
        <v>CEDO4.SA</v>
      </c>
      <c r="C27" s="3" t="s">
        <v>933</v>
      </c>
      <c r="D27" s="3" t="s">
        <v>1525</v>
      </c>
      <c r="E27" s="3" t="s">
        <v>934</v>
      </c>
      <c r="F27" s="3" t="s">
        <v>934</v>
      </c>
      <c r="G27" s="3" t="s">
        <v>1525</v>
      </c>
      <c r="H27" s="51">
        <v>41691</v>
      </c>
      <c r="J27" s="3">
        <f t="shared" si="7"/>
        <v>10.5</v>
      </c>
      <c r="K27" s="3">
        <f t="shared" si="7"/>
        <v>11.1</v>
      </c>
      <c r="L27" s="3">
        <f t="shared" si="7"/>
        <v>11.1</v>
      </c>
      <c r="M27" s="3">
        <f t="shared" si="7"/>
        <v>10.5</v>
      </c>
      <c r="P27" s="14" t="s">
        <v>931</v>
      </c>
      <c r="Q27" s="10" t="str">
        <f t="shared" si="1"/>
        <v xml:space="preserve">CEDRO       -PN  </v>
      </c>
      <c r="R27" s="51">
        <f t="shared" si="2"/>
        <v>41691</v>
      </c>
      <c r="S27" s="5">
        <f t="shared" si="3"/>
        <v>10.5</v>
      </c>
      <c r="T27" s="5">
        <f t="shared" si="4"/>
        <v>11.1</v>
      </c>
      <c r="U27" s="5">
        <f t="shared" si="5"/>
        <v>11.1</v>
      </c>
      <c r="V27" s="5">
        <f t="shared" si="6"/>
        <v>10.5</v>
      </c>
    </row>
    <row r="28" spans="1:22">
      <c r="A28" s="33" t="str">
        <f>IF(Tabela1768[[#This Row],[Código]]="IBOV","^BVSP",IF(Tabela1768[[#This Row],[Código]]="","",CONCATENATE(LEFT(Tabela1768[[#This Row],[Código]],6),".SA")))</f>
        <v>CGRA3.SA</v>
      </c>
      <c r="C28" s="3" t="s">
        <v>1173</v>
      </c>
      <c r="D28" s="3" t="s">
        <v>1723</v>
      </c>
      <c r="E28" s="3" t="s">
        <v>1927</v>
      </c>
      <c r="F28" s="3" t="s">
        <v>1927</v>
      </c>
      <c r="G28" s="3" t="s">
        <v>1723</v>
      </c>
      <c r="H28" s="51">
        <v>41691</v>
      </c>
      <c r="J28" s="3">
        <f t="shared" si="7"/>
        <v>16.29</v>
      </c>
      <c r="K28" s="3">
        <f t="shared" si="7"/>
        <v>16.3</v>
      </c>
      <c r="L28" s="3">
        <f t="shared" si="7"/>
        <v>16.3</v>
      </c>
      <c r="M28" s="3">
        <f t="shared" si="7"/>
        <v>16.29</v>
      </c>
      <c r="P28" s="15" t="s">
        <v>1171</v>
      </c>
      <c r="Q28" s="10" t="str">
        <f t="shared" si="1"/>
        <v>GRAZZIOTIN  -ON</v>
      </c>
      <c r="R28" s="51">
        <f t="shared" si="2"/>
        <v>41691</v>
      </c>
      <c r="S28" s="5">
        <f t="shared" si="3"/>
        <v>16.29</v>
      </c>
      <c r="T28" s="5">
        <f t="shared" si="4"/>
        <v>16.3</v>
      </c>
      <c r="U28" s="5">
        <f t="shared" si="5"/>
        <v>16.3</v>
      </c>
      <c r="V28" s="5">
        <f t="shared" si="6"/>
        <v>16.29</v>
      </c>
    </row>
    <row r="29" spans="1:22">
      <c r="A29" s="33" t="str">
        <f>IF(Tabela1768[[#This Row],[Código]]="IBOV","^BVSP",IF(Tabela1768[[#This Row],[Código]]="","",CONCATENATE(LEFT(Tabela1768[[#This Row],[Código]],6),".SA")))</f>
        <v>CGRA4.SA</v>
      </c>
      <c r="C29" s="3" t="s">
        <v>1174</v>
      </c>
      <c r="D29" s="3" t="s">
        <v>1129</v>
      </c>
      <c r="E29" s="3" t="s">
        <v>1129</v>
      </c>
      <c r="F29" s="3" t="s">
        <v>1129</v>
      </c>
      <c r="G29" s="3" t="s">
        <v>1129</v>
      </c>
      <c r="H29" s="51">
        <v>41691</v>
      </c>
      <c r="J29" s="3">
        <f>IF($A29="",0,VALUE(CONCATENATE(LEFT(D29,LEN(D29)-3),",",RIGHT(D29,2))))</f>
        <v>16.45</v>
      </c>
      <c r="K29" s="3">
        <f t="shared" si="7"/>
        <v>16.45</v>
      </c>
      <c r="L29" s="3">
        <f t="shared" si="7"/>
        <v>16.45</v>
      </c>
      <c r="M29" s="3">
        <f t="shared" si="7"/>
        <v>16.45</v>
      </c>
      <c r="P29" s="14" t="s">
        <v>1172</v>
      </c>
      <c r="Q29" s="10" t="str">
        <f t="shared" si="1"/>
        <v>GRAZZIOTIN  -PN</v>
      </c>
      <c r="R29" s="51">
        <f t="shared" si="2"/>
        <v>41691</v>
      </c>
      <c r="S29" s="5">
        <f t="shared" si="3"/>
        <v>16.45</v>
      </c>
      <c r="T29" s="5">
        <f t="shared" si="4"/>
        <v>16.45</v>
      </c>
      <c r="U29" s="5">
        <f t="shared" si="5"/>
        <v>16.45</v>
      </c>
      <c r="V29" s="5">
        <f t="shared" si="6"/>
        <v>16.45</v>
      </c>
    </row>
    <row r="30" spans="1:22">
      <c r="A30" s="33" t="str">
        <f>IF(Tabela1768[[#This Row],[Código]]="IBOV","^BVSP",IF(Tabela1768[[#This Row],[Código]]="","",CONCATENATE(LEFT(Tabela1768[[#This Row],[Código]],6),".SA")))</f>
        <v>CRDE3.SA</v>
      </c>
      <c r="C30" s="3" t="s">
        <v>1213</v>
      </c>
      <c r="D30" s="3" t="s">
        <v>1928</v>
      </c>
      <c r="E30" s="3" t="s">
        <v>1929</v>
      </c>
      <c r="F30" s="3" t="s">
        <v>1928</v>
      </c>
      <c r="G30" s="3" t="s">
        <v>1929</v>
      </c>
      <c r="H30" s="51">
        <v>41691</v>
      </c>
      <c r="J30" s="3">
        <f t="shared" si="7"/>
        <v>3.38</v>
      </c>
      <c r="K30" s="3">
        <f t="shared" si="7"/>
        <v>3.29</v>
      </c>
      <c r="L30" s="3">
        <f t="shared" si="7"/>
        <v>3.38</v>
      </c>
      <c r="M30" s="3">
        <f t="shared" si="7"/>
        <v>3.29</v>
      </c>
      <c r="P30" s="14" t="s">
        <v>1205</v>
      </c>
      <c r="Q30" s="10" t="str">
        <f t="shared" si="1"/>
        <v xml:space="preserve">CR2         -ON  </v>
      </c>
      <c r="R30" s="51">
        <f t="shared" si="2"/>
        <v>41691</v>
      </c>
      <c r="S30" s="5">
        <f t="shared" si="3"/>
        <v>3.38</v>
      </c>
      <c r="T30" s="5">
        <f t="shared" si="4"/>
        <v>3.29</v>
      </c>
      <c r="U30" s="5">
        <f t="shared" si="5"/>
        <v>3.38</v>
      </c>
      <c r="V30" s="5">
        <f t="shared" si="6"/>
        <v>3.29</v>
      </c>
    </row>
    <row r="31" spans="1:22">
      <c r="A31" s="33" t="str">
        <f>IF(Tabela1768[[#This Row],[Código]]="IBOV","^BVSP",IF(Tabela1768[[#This Row],[Código]]="","",CONCATENATE(LEFT(Tabela1768[[#This Row],[Código]],6),".SA")))</f>
        <v>CTKA3.SA</v>
      </c>
      <c r="C31" s="3" t="s">
        <v>1056</v>
      </c>
      <c r="D31" s="3" t="s">
        <v>1057</v>
      </c>
      <c r="E31" s="3" t="s">
        <v>1057</v>
      </c>
      <c r="F31" s="3" t="s">
        <v>1057</v>
      </c>
      <c r="G31" s="3" t="s">
        <v>1057</v>
      </c>
      <c r="H31" s="51">
        <v>41691</v>
      </c>
      <c r="J31" s="3">
        <f t="shared" si="7"/>
        <v>2.2000000000000002</v>
      </c>
      <c r="K31" s="3">
        <f t="shared" si="7"/>
        <v>2.2000000000000002</v>
      </c>
      <c r="L31" s="3">
        <f t="shared" si="7"/>
        <v>2.2000000000000002</v>
      </c>
      <c r="M31" s="3">
        <f t="shared" si="7"/>
        <v>2.2000000000000002</v>
      </c>
      <c r="P31" s="14" t="s">
        <v>1054</v>
      </c>
      <c r="Q31" s="10" t="str">
        <f t="shared" si="1"/>
        <v>KARSTEN     -ON</v>
      </c>
      <c r="R31" s="51">
        <f t="shared" si="2"/>
        <v>41691</v>
      </c>
      <c r="S31" s="5">
        <f t="shared" si="3"/>
        <v>2.2000000000000002</v>
      </c>
      <c r="T31" s="5">
        <f t="shared" si="4"/>
        <v>2.2000000000000002</v>
      </c>
      <c r="U31" s="5">
        <f t="shared" si="5"/>
        <v>2.2000000000000002</v>
      </c>
      <c r="V31" s="5">
        <f t="shared" si="6"/>
        <v>2.2000000000000002</v>
      </c>
    </row>
    <row r="32" spans="1:22">
      <c r="A32" s="33" t="str">
        <f>IF(Tabela1768[[#This Row],[Código]]="IBOV","^BVSP",IF(Tabela1768[[#This Row],[Código]]="","",CONCATENATE(LEFT(Tabela1768[[#This Row],[Código]],6),".SA")))</f>
        <v>CTKA4.SA</v>
      </c>
      <c r="C32" s="3" t="s">
        <v>1058</v>
      </c>
      <c r="D32" s="3" t="s">
        <v>1095</v>
      </c>
      <c r="E32" s="3" t="s">
        <v>1095</v>
      </c>
      <c r="F32" s="3" t="s">
        <v>1095</v>
      </c>
      <c r="G32" s="3" t="s">
        <v>1095</v>
      </c>
      <c r="H32" s="51">
        <v>41691</v>
      </c>
      <c r="J32" s="3">
        <f t="shared" si="7"/>
        <v>0.65</v>
      </c>
      <c r="K32" s="3">
        <f t="shared" si="7"/>
        <v>0.65</v>
      </c>
      <c r="L32" s="3">
        <f t="shared" si="7"/>
        <v>0.65</v>
      </c>
      <c r="M32" s="3">
        <f t="shared" si="7"/>
        <v>0.65</v>
      </c>
      <c r="P32" s="14" t="s">
        <v>1055</v>
      </c>
      <c r="Q32" s="10" t="str">
        <f t="shared" si="1"/>
        <v>KARSTEN     -PN</v>
      </c>
      <c r="R32" s="51">
        <f t="shared" si="2"/>
        <v>41691</v>
      </c>
      <c r="S32" s="5">
        <f t="shared" si="3"/>
        <v>0.65</v>
      </c>
      <c r="T32" s="5">
        <f t="shared" si="4"/>
        <v>0.65</v>
      </c>
      <c r="U32" s="5">
        <f t="shared" si="5"/>
        <v>0.65</v>
      </c>
      <c r="V32" s="5">
        <f t="shared" si="6"/>
        <v>0.65</v>
      </c>
    </row>
    <row r="33" spans="1:22">
      <c r="A33" s="33" t="str">
        <f>IF(Tabela1768[[#This Row],[Código]]="IBOV","^BVSP",IF(Tabela1768[[#This Row],[Código]]="","",CONCATENATE(LEFT(Tabela1768[[#This Row],[Código]],6),".SA")))</f>
        <v>CTNM3.SA</v>
      </c>
      <c r="C33" s="3" t="s">
        <v>1036</v>
      </c>
      <c r="D33" s="3" t="s">
        <v>1037</v>
      </c>
      <c r="E33" s="3" t="s">
        <v>1037</v>
      </c>
      <c r="F33" s="3" t="s">
        <v>1037</v>
      </c>
      <c r="G33" s="3" t="s">
        <v>1037</v>
      </c>
      <c r="H33" s="51">
        <v>41691</v>
      </c>
      <c r="J33" s="3">
        <f t="shared" si="7"/>
        <v>2.4700000000000002</v>
      </c>
      <c r="K33" s="3">
        <f t="shared" si="7"/>
        <v>2.4700000000000002</v>
      </c>
      <c r="L33" s="3">
        <f t="shared" si="7"/>
        <v>2.4700000000000002</v>
      </c>
      <c r="M33" s="3">
        <f t="shared" si="7"/>
        <v>2.4700000000000002</v>
      </c>
      <c r="P33" s="14" t="s">
        <v>1034</v>
      </c>
      <c r="Q33" s="10" t="str">
        <f t="shared" si="1"/>
        <v>COTEMINAS   -ON</v>
      </c>
      <c r="R33" s="51">
        <f t="shared" si="2"/>
        <v>41691</v>
      </c>
      <c r="S33" s="5">
        <f t="shared" si="3"/>
        <v>2.4700000000000002</v>
      </c>
      <c r="T33" s="5">
        <f t="shared" si="4"/>
        <v>2.4700000000000002</v>
      </c>
      <c r="U33" s="5">
        <f t="shared" si="5"/>
        <v>2.4700000000000002</v>
      </c>
      <c r="V33" s="5">
        <f t="shared" si="6"/>
        <v>2.4700000000000002</v>
      </c>
    </row>
    <row r="34" spans="1:22">
      <c r="A34" s="33" t="str">
        <f>IF(Tabela1768[[#This Row],[Código]]="IBOV","^BVSP",IF(Tabela1768[[#This Row],[Código]]="","",CONCATENATE(LEFT(Tabela1768[[#This Row],[Código]],6),".SA")))</f>
        <v>CTNM4.SA</v>
      </c>
      <c r="C34" s="3" t="s">
        <v>1038</v>
      </c>
      <c r="D34" s="3" t="s">
        <v>1162</v>
      </c>
      <c r="E34" s="3" t="s">
        <v>1162</v>
      </c>
      <c r="F34" s="3" t="s">
        <v>1162</v>
      </c>
      <c r="G34" s="3" t="s">
        <v>1162</v>
      </c>
      <c r="H34" s="51">
        <v>41691</v>
      </c>
      <c r="J34" s="3">
        <f t="shared" si="7"/>
        <v>2.1</v>
      </c>
      <c r="K34" s="3">
        <f t="shared" si="7"/>
        <v>2.1</v>
      </c>
      <c r="L34" s="3">
        <f t="shared" si="7"/>
        <v>2.1</v>
      </c>
      <c r="M34" s="3">
        <f t="shared" si="7"/>
        <v>2.1</v>
      </c>
      <c r="P34" s="14" t="s">
        <v>1035</v>
      </c>
      <c r="Q34" s="10" t="str">
        <f t="shared" si="1"/>
        <v>COTEMINAS   -PN</v>
      </c>
      <c r="R34" s="51">
        <f t="shared" si="2"/>
        <v>41691</v>
      </c>
      <c r="S34" s="5">
        <f t="shared" si="3"/>
        <v>2.1</v>
      </c>
      <c r="T34" s="5">
        <f t="shared" si="4"/>
        <v>2.1</v>
      </c>
      <c r="U34" s="5">
        <f t="shared" si="5"/>
        <v>2.1</v>
      </c>
      <c r="V34" s="5">
        <f t="shared" si="6"/>
        <v>2.1</v>
      </c>
    </row>
    <row r="35" spans="1:22">
      <c r="A35" s="33" t="str">
        <f>IF(Tabela1768[[#This Row],[Código]]="IBOV","^BVSP",IF(Tabela1768[[#This Row],[Código]]="","",CONCATENATE(LEFT(Tabela1768[[#This Row],[Código]],6),".SA")))</f>
        <v>CTSA3.SA</v>
      </c>
      <c r="C35" s="3" t="s">
        <v>1041</v>
      </c>
      <c r="D35" s="3" t="s">
        <v>1007</v>
      </c>
      <c r="E35" s="3" t="s">
        <v>1754</v>
      </c>
      <c r="F35" s="3" t="s">
        <v>737</v>
      </c>
      <c r="G35" s="3" t="s">
        <v>1007</v>
      </c>
      <c r="H35" s="51">
        <v>41691</v>
      </c>
      <c r="J35" s="3">
        <f t="shared" si="7"/>
        <v>4.82</v>
      </c>
      <c r="K35" s="3">
        <f t="shared" si="7"/>
        <v>4.99</v>
      </c>
      <c r="L35" s="3">
        <f t="shared" si="7"/>
        <v>5</v>
      </c>
      <c r="M35" s="3">
        <f t="shared" si="7"/>
        <v>4.82</v>
      </c>
      <c r="P35" s="14" t="s">
        <v>1039</v>
      </c>
      <c r="Q35" s="10" t="str">
        <f t="shared" si="1"/>
        <v>SANTANENSE  -ON</v>
      </c>
      <c r="R35" s="46">
        <f t="shared" si="2"/>
        <v>41691</v>
      </c>
      <c r="S35" s="6">
        <f t="shared" si="3"/>
        <v>4.82</v>
      </c>
      <c r="T35" s="6">
        <f t="shared" si="4"/>
        <v>4.99</v>
      </c>
      <c r="U35" s="6">
        <f t="shared" si="5"/>
        <v>5</v>
      </c>
      <c r="V35" s="6">
        <f t="shared" si="6"/>
        <v>4.82</v>
      </c>
    </row>
    <row r="36" spans="1:22">
      <c r="A36" s="33" t="str">
        <f>IF(Tabela1768[[#This Row],[Código]]="IBOV","^BVSP",IF(Tabela1768[[#This Row],[Código]]="","",CONCATENATE(LEFT(Tabela1768[[#This Row],[Código]],6),".SA")))</f>
        <v>CTSA4.SA</v>
      </c>
      <c r="C36" s="3" t="s">
        <v>1042</v>
      </c>
      <c r="D36" s="3" t="s">
        <v>968</v>
      </c>
      <c r="E36" s="3" t="s">
        <v>968</v>
      </c>
      <c r="F36" s="3" t="s">
        <v>968</v>
      </c>
      <c r="G36" s="3" t="s">
        <v>968</v>
      </c>
      <c r="H36" s="51">
        <v>41691</v>
      </c>
      <c r="J36" s="3">
        <f t="shared" si="7"/>
        <v>5.97</v>
      </c>
      <c r="K36" s="3">
        <f t="shared" si="7"/>
        <v>5.97</v>
      </c>
      <c r="L36" s="3">
        <f t="shared" si="7"/>
        <v>5.97</v>
      </c>
      <c r="M36" s="3">
        <f t="shared" si="7"/>
        <v>5.97</v>
      </c>
      <c r="P36" s="14" t="s">
        <v>1040</v>
      </c>
      <c r="Q36" s="10" t="str">
        <f t="shared" si="1"/>
        <v>SANTANENSE  -PN</v>
      </c>
      <c r="R36" s="51">
        <f t="shared" si="2"/>
        <v>41691</v>
      </c>
      <c r="S36" s="5">
        <f t="shared" si="3"/>
        <v>5.97</v>
      </c>
      <c r="T36" s="5">
        <f t="shared" si="4"/>
        <v>5.97</v>
      </c>
      <c r="U36" s="5">
        <f t="shared" si="5"/>
        <v>5.97</v>
      </c>
      <c r="V36" s="5">
        <f t="shared" si="6"/>
        <v>5.97</v>
      </c>
    </row>
    <row r="37" spans="1:22">
      <c r="A37" s="33" t="str">
        <f>IF(Tabela1768[[#This Row],[Código]]="IBOV","^BVSP",IF(Tabela1768[[#This Row],[Código]]="","",CONCATENATE(LEFT(Tabela1768[[#This Row],[Código]],6),".SA")))</f>
        <v>CTSA8.SA</v>
      </c>
      <c r="C37" s="3" t="s">
        <v>1044</v>
      </c>
      <c r="D37" s="3" t="s">
        <v>442</v>
      </c>
      <c r="E37" s="3" t="s">
        <v>443</v>
      </c>
      <c r="F37" s="3" t="s">
        <v>442</v>
      </c>
      <c r="G37" s="3" t="s">
        <v>442</v>
      </c>
      <c r="H37" s="51" t="s">
        <v>442</v>
      </c>
      <c r="J37" s="3" t="e">
        <f t="shared" si="7"/>
        <v>#VALUE!</v>
      </c>
      <c r="K37" s="3">
        <f t="shared" si="7"/>
        <v>0</v>
      </c>
      <c r="L37" s="3" t="e">
        <f t="shared" si="7"/>
        <v>#VALUE!</v>
      </c>
      <c r="M37" s="3" t="e">
        <f t="shared" si="7"/>
        <v>#VALUE!</v>
      </c>
      <c r="P37" s="14" t="s">
        <v>1043</v>
      </c>
      <c r="Q37" s="10" t="str">
        <f t="shared" si="1"/>
        <v>SANTANENSE  -PND</v>
      </c>
      <c r="R37" s="51" t="str">
        <f t="shared" si="2"/>
        <v>N/A</v>
      </c>
      <c r="S37" s="5" t="e">
        <f t="shared" si="3"/>
        <v>#VALUE!</v>
      </c>
      <c r="T37" s="5">
        <f t="shared" si="4"/>
        <v>0</v>
      </c>
      <c r="U37" s="5" t="e">
        <f t="shared" si="5"/>
        <v>#VALUE!</v>
      </c>
      <c r="V37" s="5" t="e">
        <f t="shared" si="6"/>
        <v>#VALUE!</v>
      </c>
    </row>
    <row r="38" spans="1:22">
      <c r="A38" s="33" t="str">
        <f>IF(Tabela1768[[#This Row],[Código]]="IBOV","^BVSP",IF(Tabela1768[[#This Row],[Código]]="","",CONCATENATE(LEFT(Tabela1768[[#This Row],[Código]],6),".SA")))</f>
        <v>CVCB3.SA</v>
      </c>
      <c r="C38" s="3" t="s">
        <v>889</v>
      </c>
      <c r="D38" s="3" t="s">
        <v>1538</v>
      </c>
      <c r="E38" s="3" t="s">
        <v>1930</v>
      </c>
      <c r="F38" s="3" t="s">
        <v>1931</v>
      </c>
      <c r="G38" s="3" t="s">
        <v>952</v>
      </c>
      <c r="H38" s="51">
        <v>41691</v>
      </c>
      <c r="J38" s="3">
        <f t="shared" si="7"/>
        <v>12.17</v>
      </c>
      <c r="K38" s="3">
        <f t="shared" si="7"/>
        <v>12.27</v>
      </c>
      <c r="L38" s="3">
        <f t="shared" si="7"/>
        <v>12.49</v>
      </c>
      <c r="M38" s="3">
        <f t="shared" si="7"/>
        <v>12</v>
      </c>
      <c r="P38" s="15" t="s">
        <v>888</v>
      </c>
      <c r="Q38" s="10" t="str">
        <f t="shared" si="1"/>
        <v xml:space="preserve">CVC BRASIL  -ON  </v>
      </c>
      <c r="R38" s="51">
        <f t="shared" si="2"/>
        <v>41691</v>
      </c>
      <c r="S38" s="5">
        <f t="shared" si="3"/>
        <v>12.17</v>
      </c>
      <c r="T38" s="5">
        <f t="shared" si="4"/>
        <v>12.27</v>
      </c>
      <c r="U38" s="5">
        <f t="shared" si="5"/>
        <v>12.49</v>
      </c>
      <c r="V38" s="5">
        <f t="shared" si="6"/>
        <v>12</v>
      </c>
    </row>
    <row r="39" spans="1:22">
      <c r="A39" s="33" t="str">
        <f>IF(Tabela1768[[#This Row],[Código]]="IBOV","^BVSP",IF(Tabela1768[[#This Row],[Código]]="","",CONCATENATE(LEFT(Tabela1768[[#This Row],[Código]],6),".SA")))</f>
        <v>CYRE3.SA</v>
      </c>
      <c r="C39" s="3" t="s">
        <v>1214</v>
      </c>
      <c r="D39" s="3" t="s">
        <v>1915</v>
      </c>
      <c r="E39" s="3" t="s">
        <v>1932</v>
      </c>
      <c r="F39" s="3" t="s">
        <v>1549</v>
      </c>
      <c r="G39" s="3" t="s">
        <v>1512</v>
      </c>
      <c r="H39" s="51">
        <v>41691</v>
      </c>
      <c r="J39" s="3">
        <f t="shared" si="7"/>
        <v>13.44</v>
      </c>
      <c r="K39" s="3">
        <f t="shared" si="7"/>
        <v>13.73</v>
      </c>
      <c r="L39" s="3">
        <f t="shared" si="7"/>
        <v>13.94</v>
      </c>
      <c r="M39" s="3">
        <f t="shared" si="7"/>
        <v>13.4</v>
      </c>
      <c r="P39" s="14" t="s">
        <v>1206</v>
      </c>
      <c r="Q39" s="10" t="str">
        <f t="shared" ref="Q39:Q70" si="8">IF(A39="","",C39)</f>
        <v xml:space="preserve">CYRELA REALT-ON  </v>
      </c>
      <c r="R39" s="51">
        <f t="shared" ref="R39:R70" si="9">IF(A39="","",H39)</f>
        <v>41691</v>
      </c>
      <c r="S39" s="5">
        <f t="shared" ref="S39:S70" si="10">J39</f>
        <v>13.44</v>
      </c>
      <c r="T39" s="5">
        <f t="shared" ref="T39:T70" si="11">K39</f>
        <v>13.73</v>
      </c>
      <c r="U39" s="5">
        <f t="shared" ref="U39:U70" si="12">L39</f>
        <v>13.94</v>
      </c>
      <c r="V39" s="5">
        <f t="shared" ref="V39:V70" si="13">M39</f>
        <v>13.4</v>
      </c>
    </row>
    <row r="40" spans="1:22">
      <c r="A40" s="33" t="str">
        <f>IF(Tabela1768[[#This Row],[Código]]="IBOV","^BVSP",IF(Tabela1768[[#This Row],[Código]]="","",CONCATENATE(LEFT(Tabela1768[[#This Row],[Código]],6),".SA")))</f>
        <v>DIRR3.SA</v>
      </c>
      <c r="C40" s="3" t="s">
        <v>1215</v>
      </c>
      <c r="D40" s="3" t="s">
        <v>1724</v>
      </c>
      <c r="E40" s="3" t="s">
        <v>1933</v>
      </c>
      <c r="F40" s="3" t="s">
        <v>1524</v>
      </c>
      <c r="G40" s="3" t="s">
        <v>1724</v>
      </c>
      <c r="H40" s="51">
        <v>41691</v>
      </c>
      <c r="J40" s="3">
        <f t="shared" si="7"/>
        <v>9.58</v>
      </c>
      <c r="K40" s="3">
        <f t="shared" si="7"/>
        <v>9.7799999999999994</v>
      </c>
      <c r="L40" s="3">
        <f t="shared" si="7"/>
        <v>9.9</v>
      </c>
      <c r="M40" s="3">
        <f t="shared" si="7"/>
        <v>9.58</v>
      </c>
      <c r="P40" s="14" t="s">
        <v>1207</v>
      </c>
      <c r="Q40" s="10" t="str">
        <f t="shared" si="8"/>
        <v xml:space="preserve">DIRECIONAL  -ON  </v>
      </c>
      <c r="R40" s="51">
        <f t="shared" si="9"/>
        <v>41691</v>
      </c>
      <c r="S40" s="5">
        <f t="shared" si="10"/>
        <v>9.58</v>
      </c>
      <c r="T40" s="5">
        <f t="shared" si="11"/>
        <v>9.7799999999999994</v>
      </c>
      <c r="U40" s="5">
        <f t="shared" si="12"/>
        <v>9.9</v>
      </c>
      <c r="V40" s="5">
        <f t="shared" si="13"/>
        <v>9.58</v>
      </c>
    </row>
    <row r="41" spans="1:22">
      <c r="A41" s="33" t="str">
        <f>IF(Tabela1768[[#This Row],[Código]]="IBOV","^BVSP",IF(Tabela1768[[#This Row],[Código]]="","",CONCATENATE(LEFT(Tabela1768[[#This Row],[Código]],6),".SA")))</f>
        <v>DOHL3.SA</v>
      </c>
      <c r="C41" s="3" t="s">
        <v>1047</v>
      </c>
      <c r="D41" s="3" t="s">
        <v>768</v>
      </c>
      <c r="E41" s="3" t="s">
        <v>768</v>
      </c>
      <c r="F41" s="3" t="s">
        <v>768</v>
      </c>
      <c r="G41" s="3" t="s">
        <v>768</v>
      </c>
      <c r="H41" s="51">
        <v>41691</v>
      </c>
      <c r="J41" s="3">
        <f t="shared" si="7"/>
        <v>5.5</v>
      </c>
      <c r="K41" s="3">
        <f t="shared" si="7"/>
        <v>5.5</v>
      </c>
      <c r="L41" s="3">
        <f t="shared" si="7"/>
        <v>5.5</v>
      </c>
      <c r="M41" s="3">
        <f t="shared" si="7"/>
        <v>5.5</v>
      </c>
      <c r="P41" s="15" t="s">
        <v>1045</v>
      </c>
      <c r="Q41" s="10" t="str">
        <f t="shared" si="8"/>
        <v>DOHLER      -ON</v>
      </c>
      <c r="R41" s="51">
        <f t="shared" si="9"/>
        <v>41691</v>
      </c>
      <c r="S41" s="5">
        <f t="shared" si="10"/>
        <v>5.5</v>
      </c>
      <c r="T41" s="5">
        <f t="shared" si="11"/>
        <v>5.5</v>
      </c>
      <c r="U41" s="5">
        <f t="shared" si="12"/>
        <v>5.5</v>
      </c>
      <c r="V41" s="5">
        <f t="shared" si="13"/>
        <v>5.5</v>
      </c>
    </row>
    <row r="42" spans="1:22">
      <c r="A42" s="33" t="str">
        <f>IF(Tabela1768[[#This Row],[Código]]="IBOV","^BVSP",IF(Tabela1768[[#This Row],[Código]]="","",CONCATENATE(LEFT(Tabela1768[[#This Row],[Código]],6),".SA")))</f>
        <v>DOHL4.SA</v>
      </c>
      <c r="C42" s="3" t="s">
        <v>1048</v>
      </c>
      <c r="D42" s="3" t="s">
        <v>1934</v>
      </c>
      <c r="E42" s="3" t="s">
        <v>1935</v>
      </c>
      <c r="F42" s="3" t="s">
        <v>1935</v>
      </c>
      <c r="G42" s="3" t="s">
        <v>732</v>
      </c>
      <c r="H42" s="51">
        <v>41691</v>
      </c>
      <c r="J42" s="3">
        <f t="shared" si="7"/>
        <v>4.91</v>
      </c>
      <c r="K42" s="3">
        <f t="shared" si="7"/>
        <v>5.19</v>
      </c>
      <c r="L42" s="3">
        <f t="shared" si="7"/>
        <v>5.19</v>
      </c>
      <c r="M42" s="3">
        <f t="shared" si="7"/>
        <v>4.9000000000000004</v>
      </c>
      <c r="P42" s="15" t="s">
        <v>1046</v>
      </c>
      <c r="Q42" s="10" t="str">
        <f t="shared" si="8"/>
        <v>DOHLER      -PN</v>
      </c>
      <c r="R42" s="46">
        <f t="shared" si="9"/>
        <v>41691</v>
      </c>
      <c r="S42" s="6">
        <f t="shared" si="10"/>
        <v>4.91</v>
      </c>
      <c r="T42" s="6">
        <f t="shared" si="11"/>
        <v>5.19</v>
      </c>
      <c r="U42" s="6">
        <f t="shared" si="12"/>
        <v>5.19</v>
      </c>
      <c r="V42" s="6">
        <f t="shared" si="13"/>
        <v>4.9000000000000004</v>
      </c>
    </row>
    <row r="43" spans="1:22">
      <c r="A43" s="33" t="str">
        <f>IF(Tabela1768[[#This Row],[Código]]="IBOV","^BVSP",IF(Tabela1768[[#This Row],[Código]]="","",CONCATENATE(LEFT(Tabela1768[[#This Row],[Código]],6),".SA")))</f>
        <v>ECPR3.SA</v>
      </c>
      <c r="C43" s="3" t="s">
        <v>1051</v>
      </c>
      <c r="D43" s="3" t="s">
        <v>1052</v>
      </c>
      <c r="E43" s="3" t="s">
        <v>1052</v>
      </c>
      <c r="F43" s="3" t="s">
        <v>1052</v>
      </c>
      <c r="G43" s="3" t="s">
        <v>1052</v>
      </c>
      <c r="H43" s="51">
        <v>41691</v>
      </c>
      <c r="J43" s="3">
        <f t="shared" si="7"/>
        <v>31.86</v>
      </c>
      <c r="K43" s="3">
        <f t="shared" si="7"/>
        <v>31.86</v>
      </c>
      <c r="L43" s="3">
        <f t="shared" si="7"/>
        <v>31.86</v>
      </c>
      <c r="M43" s="3">
        <f t="shared" si="7"/>
        <v>31.86</v>
      </c>
      <c r="P43" s="14" t="s">
        <v>1049</v>
      </c>
      <c r="Q43" s="10" t="str">
        <f t="shared" si="8"/>
        <v>ENCORPAR    -ON</v>
      </c>
      <c r="R43" s="51">
        <f t="shared" si="9"/>
        <v>41691</v>
      </c>
      <c r="S43" s="5">
        <f t="shared" si="10"/>
        <v>31.86</v>
      </c>
      <c r="T43" s="5">
        <f t="shared" si="11"/>
        <v>31.86</v>
      </c>
      <c r="U43" s="5">
        <f t="shared" si="12"/>
        <v>31.86</v>
      </c>
      <c r="V43" s="5">
        <f t="shared" si="13"/>
        <v>31.86</v>
      </c>
    </row>
    <row r="44" spans="1:22">
      <c r="A44" s="33" t="str">
        <f>IF(Tabela1768[[#This Row],[Código]]="IBOV","^BVSP",IF(Tabela1768[[#This Row],[Código]]="","",CONCATENATE(LEFT(Tabela1768[[#This Row],[Código]],6),".SA")))</f>
        <v>ECPR4.SA</v>
      </c>
      <c r="C44" s="3" t="s">
        <v>1053</v>
      </c>
      <c r="D44" s="3" t="s">
        <v>980</v>
      </c>
      <c r="E44" s="3" t="s">
        <v>980</v>
      </c>
      <c r="F44" s="3" t="s">
        <v>980</v>
      </c>
      <c r="G44" s="3" t="s">
        <v>980</v>
      </c>
      <c r="H44" s="51">
        <v>41691</v>
      </c>
      <c r="J44" s="3">
        <f t="shared" si="7"/>
        <v>49</v>
      </c>
      <c r="K44" s="3">
        <f t="shared" si="7"/>
        <v>49</v>
      </c>
      <c r="L44" s="3">
        <f t="shared" si="7"/>
        <v>49</v>
      </c>
      <c r="M44" s="3">
        <f t="shared" si="7"/>
        <v>49</v>
      </c>
      <c r="P44" s="14" t="s">
        <v>1050</v>
      </c>
      <c r="Q44" s="10" t="str">
        <f t="shared" si="8"/>
        <v>ENCORPAR    -PN</v>
      </c>
      <c r="R44" s="51">
        <f t="shared" si="9"/>
        <v>41691</v>
      </c>
      <c r="S44" s="5">
        <f t="shared" si="10"/>
        <v>49</v>
      </c>
      <c r="T44" s="5">
        <f t="shared" si="11"/>
        <v>49</v>
      </c>
      <c r="U44" s="5">
        <f t="shared" si="12"/>
        <v>49</v>
      </c>
      <c r="V44" s="5">
        <f t="shared" si="13"/>
        <v>49</v>
      </c>
    </row>
    <row r="45" spans="1:22">
      <c r="A45" s="33" t="str">
        <f>IF(Tabela1768[[#This Row],[Código]]="IBOV","^BVSP",IF(Tabela1768[[#This Row],[Código]]="","",CONCATENATE(LEFT(Tabela1768[[#This Row],[Código]],6),".SA")))</f>
        <v>ESTR3.SA</v>
      </c>
      <c r="C45" s="3" t="s">
        <v>1021</v>
      </c>
      <c r="D45" s="3" t="s">
        <v>737</v>
      </c>
      <c r="E45" s="3" t="s">
        <v>737</v>
      </c>
      <c r="F45" s="3" t="s">
        <v>737</v>
      </c>
      <c r="G45" s="3" t="s">
        <v>737</v>
      </c>
      <c r="H45" s="51">
        <v>41691</v>
      </c>
      <c r="J45" s="3">
        <f t="shared" si="7"/>
        <v>5</v>
      </c>
      <c r="K45" s="3">
        <f t="shared" si="7"/>
        <v>5</v>
      </c>
      <c r="L45" s="3">
        <f t="shared" si="7"/>
        <v>5</v>
      </c>
      <c r="M45" s="3">
        <f t="shared" si="7"/>
        <v>5</v>
      </c>
      <c r="P45" s="15" t="s">
        <v>1019</v>
      </c>
      <c r="Q45" s="10" t="str">
        <f t="shared" si="8"/>
        <v>ESTRELA     -ON</v>
      </c>
      <c r="R45" s="51">
        <f t="shared" si="9"/>
        <v>41691</v>
      </c>
      <c r="S45" s="5">
        <f t="shared" si="10"/>
        <v>5</v>
      </c>
      <c r="T45" s="5">
        <f t="shared" si="11"/>
        <v>5</v>
      </c>
      <c r="U45" s="5">
        <f t="shared" si="12"/>
        <v>5</v>
      </c>
      <c r="V45" s="5">
        <f t="shared" si="13"/>
        <v>5</v>
      </c>
    </row>
    <row r="46" spans="1:22">
      <c r="A46" s="33" t="str">
        <f>IF(Tabela1768[[#This Row],[Código]]="IBOV","^BVSP",IF(Tabela1768[[#This Row],[Código]]="","",CONCATENATE(LEFT(Tabela1768[[#This Row],[Código]],6),".SA")))</f>
        <v>ESTR4.SA</v>
      </c>
      <c r="C46" s="3" t="s">
        <v>1022</v>
      </c>
      <c r="D46" s="3" t="s">
        <v>1150</v>
      </c>
      <c r="E46" s="3" t="s">
        <v>1150</v>
      </c>
      <c r="F46" s="3" t="s">
        <v>1150</v>
      </c>
      <c r="G46" s="3" t="s">
        <v>1150</v>
      </c>
      <c r="H46" s="51">
        <v>41691</v>
      </c>
      <c r="J46" s="3">
        <f t="shared" si="7"/>
        <v>0.19</v>
      </c>
      <c r="K46" s="3">
        <f t="shared" si="7"/>
        <v>0.19</v>
      </c>
      <c r="L46" s="3">
        <f t="shared" si="7"/>
        <v>0.19</v>
      </c>
      <c r="M46" s="3">
        <f t="shared" si="7"/>
        <v>0.19</v>
      </c>
      <c r="P46" s="14" t="s">
        <v>1020</v>
      </c>
      <c r="Q46" s="10" t="str">
        <f t="shared" si="8"/>
        <v>ESTRELA     -PN</v>
      </c>
      <c r="R46" s="51">
        <f t="shared" si="9"/>
        <v>41691</v>
      </c>
      <c r="S46" s="5">
        <f t="shared" si="10"/>
        <v>0.19</v>
      </c>
      <c r="T46" s="5">
        <f t="shared" si="11"/>
        <v>0.19</v>
      </c>
      <c r="U46" s="5">
        <f t="shared" si="12"/>
        <v>0.19</v>
      </c>
      <c r="V46" s="5">
        <f t="shared" si="13"/>
        <v>0.19</v>
      </c>
    </row>
    <row r="47" spans="1:22">
      <c r="A47" s="33" t="str">
        <f>IF(Tabela1768[[#This Row],[Código]]="IBOV","^BVSP",IF(Tabela1768[[#This Row],[Código]]="","",CONCATENATE(LEFT(Tabela1768[[#This Row],[Código]],6),".SA")))</f>
        <v>EVEN3.SA</v>
      </c>
      <c r="C47" s="3" t="s">
        <v>1216</v>
      </c>
      <c r="D47" s="3" t="s">
        <v>698</v>
      </c>
      <c r="E47" s="3" t="s">
        <v>1936</v>
      </c>
      <c r="F47" s="3" t="s">
        <v>1937</v>
      </c>
      <c r="G47" s="3" t="s">
        <v>1938</v>
      </c>
      <c r="H47" s="51">
        <v>41691</v>
      </c>
      <c r="J47" s="3">
        <f t="shared" si="7"/>
        <v>7.11</v>
      </c>
      <c r="K47" s="3">
        <f t="shared" si="7"/>
        <v>7.14</v>
      </c>
      <c r="L47" s="3">
        <f t="shared" si="7"/>
        <v>7.25</v>
      </c>
      <c r="M47" s="3">
        <f t="shared" si="7"/>
        <v>6.99</v>
      </c>
      <c r="P47" s="15" t="s">
        <v>1208</v>
      </c>
      <c r="Q47" s="10" t="str">
        <f t="shared" si="8"/>
        <v xml:space="preserve">EVEN        -ON  </v>
      </c>
      <c r="R47" s="51">
        <f t="shared" si="9"/>
        <v>41691</v>
      </c>
      <c r="S47" s="5">
        <f t="shared" si="10"/>
        <v>7.11</v>
      </c>
      <c r="T47" s="5">
        <f t="shared" si="11"/>
        <v>7.14</v>
      </c>
      <c r="U47" s="5">
        <f t="shared" si="12"/>
        <v>7.25</v>
      </c>
      <c r="V47" s="5">
        <f t="shared" si="13"/>
        <v>6.99</v>
      </c>
    </row>
    <row r="48" spans="1:22">
      <c r="A48" s="33" t="str">
        <f>IF(Tabela1768[[#This Row],[Código]]="IBOV","^BVSP",IF(Tabela1768[[#This Row],[Código]]="","",CONCATENATE(LEFT(Tabela1768[[#This Row],[Código]],6),".SA")))</f>
        <v>EZTC3.SA</v>
      </c>
      <c r="C48" s="3" t="s">
        <v>1218</v>
      </c>
      <c r="D48" s="3" t="s">
        <v>1939</v>
      </c>
      <c r="E48" s="3" t="s">
        <v>1940</v>
      </c>
      <c r="F48" s="3" t="s">
        <v>1941</v>
      </c>
      <c r="G48" s="3" t="s">
        <v>1942</v>
      </c>
      <c r="H48" s="51">
        <v>41691</v>
      </c>
      <c r="J48" s="3">
        <f t="shared" si="7"/>
        <v>25.09</v>
      </c>
      <c r="K48" s="3">
        <f t="shared" si="7"/>
        <v>25.35</v>
      </c>
      <c r="L48" s="3">
        <f t="shared" si="7"/>
        <v>25.43</v>
      </c>
      <c r="M48" s="3">
        <f t="shared" si="7"/>
        <v>24.81</v>
      </c>
      <c r="P48" s="10" t="s">
        <v>1209</v>
      </c>
      <c r="Q48" s="10" t="str">
        <f t="shared" si="8"/>
        <v xml:space="preserve">EZTEC       -ON  </v>
      </c>
      <c r="R48" s="51">
        <f t="shared" si="9"/>
        <v>41691</v>
      </c>
      <c r="S48" s="5">
        <f t="shared" si="10"/>
        <v>25.09</v>
      </c>
      <c r="T48" s="5">
        <f t="shared" si="11"/>
        <v>25.35</v>
      </c>
      <c r="U48" s="5">
        <f t="shared" si="12"/>
        <v>25.43</v>
      </c>
      <c r="V48" s="5">
        <f t="shared" si="13"/>
        <v>24.81</v>
      </c>
    </row>
    <row r="49" spans="1:22">
      <c r="A49" s="33" t="str">
        <f>IF(Tabela1768[[#This Row],[Código]]="IBOV","^BVSP",IF(Tabela1768[[#This Row],[Código]]="","",CONCATENATE(LEFT(Tabela1768[[#This Row],[Código]],6),".SA")))</f>
        <v>GFSA3.SA</v>
      </c>
      <c r="C49" s="3" t="s">
        <v>1219</v>
      </c>
      <c r="D49" s="3" t="s">
        <v>1943</v>
      </c>
      <c r="E49" s="3" t="s">
        <v>194</v>
      </c>
      <c r="F49" s="3" t="s">
        <v>1944</v>
      </c>
      <c r="G49" s="3" t="s">
        <v>1147</v>
      </c>
      <c r="H49" s="51">
        <v>41691</v>
      </c>
      <c r="J49" s="3">
        <f t="shared" si="7"/>
        <v>3.06</v>
      </c>
      <c r="K49" s="3">
        <f t="shared" si="7"/>
        <v>3.08</v>
      </c>
      <c r="L49" s="3">
        <f t="shared" si="7"/>
        <v>3.15</v>
      </c>
      <c r="M49" s="3">
        <f t="shared" si="7"/>
        <v>3.01</v>
      </c>
      <c r="P49" s="14" t="s">
        <v>1210</v>
      </c>
      <c r="Q49" s="10" t="str">
        <f t="shared" si="8"/>
        <v xml:space="preserve">GAFISA      -ON  </v>
      </c>
      <c r="R49" s="51">
        <f t="shared" si="9"/>
        <v>41691</v>
      </c>
      <c r="S49" s="5">
        <f t="shared" si="10"/>
        <v>3.06</v>
      </c>
      <c r="T49" s="5">
        <f t="shared" si="11"/>
        <v>3.08</v>
      </c>
      <c r="U49" s="5">
        <f t="shared" si="12"/>
        <v>3.15</v>
      </c>
      <c r="V49" s="5">
        <f t="shared" si="13"/>
        <v>3.01</v>
      </c>
    </row>
    <row r="50" spans="1:22">
      <c r="A50" s="33" t="str">
        <f>IF(Tabela1768[[#This Row],[Código]]="IBOV","^BVSP",IF(Tabela1768[[#This Row],[Código]]="","",CONCATENATE(LEFT(Tabela1768[[#This Row],[Código]],6),".SA")))</f>
        <v>GUAR3.SA</v>
      </c>
      <c r="C50" s="3" t="s">
        <v>1177</v>
      </c>
      <c r="D50" s="3" t="s">
        <v>1945</v>
      </c>
      <c r="E50" s="3" t="s">
        <v>1946</v>
      </c>
      <c r="F50" s="3" t="s">
        <v>1945</v>
      </c>
      <c r="G50" s="3" t="s">
        <v>1947</v>
      </c>
      <c r="H50" s="51">
        <v>41691</v>
      </c>
      <c r="J50" s="3">
        <f t="shared" si="7"/>
        <v>92.2</v>
      </c>
      <c r="K50" s="3">
        <f t="shared" si="7"/>
        <v>90.2</v>
      </c>
      <c r="L50" s="3">
        <f t="shared" si="7"/>
        <v>92.2</v>
      </c>
      <c r="M50" s="3">
        <f t="shared" si="7"/>
        <v>89.58</v>
      </c>
      <c r="P50" s="14" t="s">
        <v>1175</v>
      </c>
      <c r="Q50" s="10" t="str">
        <f t="shared" si="8"/>
        <v>GUARARAPES  -ON</v>
      </c>
      <c r="R50" s="51">
        <f t="shared" si="9"/>
        <v>41691</v>
      </c>
      <c r="S50" s="5">
        <f t="shared" si="10"/>
        <v>92.2</v>
      </c>
      <c r="T50" s="5">
        <f t="shared" si="11"/>
        <v>90.2</v>
      </c>
      <c r="U50" s="5">
        <f t="shared" si="12"/>
        <v>92.2</v>
      </c>
      <c r="V50" s="5">
        <f t="shared" si="13"/>
        <v>89.58</v>
      </c>
    </row>
    <row r="51" spans="1:22">
      <c r="A51" s="33" t="str">
        <f>IF(Tabela1768[[#This Row],[Código]]="IBOV","^BVSP",IF(Tabela1768[[#This Row],[Código]]="","",CONCATENATE(LEFT(Tabela1768[[#This Row],[Código]],6),".SA")))</f>
        <v>GUAR4.SA</v>
      </c>
      <c r="C51" s="3" t="s">
        <v>1178</v>
      </c>
      <c r="D51" s="3" t="s">
        <v>1948</v>
      </c>
      <c r="E51" s="3" t="s">
        <v>1948</v>
      </c>
      <c r="F51" s="3" t="s">
        <v>1948</v>
      </c>
      <c r="G51" s="3" t="s">
        <v>1948</v>
      </c>
      <c r="H51" s="51">
        <v>41691</v>
      </c>
      <c r="J51" s="3">
        <f t="shared" si="7"/>
        <v>82.35</v>
      </c>
      <c r="K51" s="3">
        <f t="shared" si="7"/>
        <v>82.35</v>
      </c>
      <c r="L51" s="3">
        <f t="shared" si="7"/>
        <v>82.35</v>
      </c>
      <c r="M51" s="3">
        <f t="shared" si="7"/>
        <v>82.35</v>
      </c>
      <c r="P51" s="14" t="s">
        <v>1176</v>
      </c>
      <c r="Q51" s="10" t="str">
        <f t="shared" si="8"/>
        <v>GUARARAPES  -PN</v>
      </c>
      <c r="R51" s="46">
        <f t="shared" si="9"/>
        <v>41691</v>
      </c>
      <c r="S51" s="6">
        <f t="shared" si="10"/>
        <v>82.35</v>
      </c>
      <c r="T51" s="6">
        <f t="shared" si="11"/>
        <v>82.35</v>
      </c>
      <c r="U51" s="6">
        <f t="shared" si="12"/>
        <v>82.35</v>
      </c>
      <c r="V51" s="6">
        <f t="shared" si="13"/>
        <v>82.35</v>
      </c>
    </row>
    <row r="52" spans="1:22">
      <c r="A52" s="33" t="str">
        <f>IF(Tabela1768[[#This Row],[Código]]="IBOV","^BVSP",IF(Tabela1768[[#This Row],[Código]]="","",CONCATENATE(LEFT(Tabela1768[[#This Row],[Código]],6),".SA")))</f>
        <v>HBOR3.SA</v>
      </c>
      <c r="C52" s="3" t="s">
        <v>1221</v>
      </c>
      <c r="D52" s="3" t="s">
        <v>1554</v>
      </c>
      <c r="E52" s="3" t="s">
        <v>1554</v>
      </c>
      <c r="F52" s="3" t="s">
        <v>274</v>
      </c>
      <c r="G52" s="3" t="s">
        <v>1949</v>
      </c>
      <c r="H52" s="51">
        <v>41691</v>
      </c>
      <c r="J52" s="3">
        <f t="shared" si="7"/>
        <v>6.94</v>
      </c>
      <c r="K52" s="3">
        <f t="shared" si="7"/>
        <v>6.94</v>
      </c>
      <c r="L52" s="3">
        <f t="shared" si="7"/>
        <v>7.08</v>
      </c>
      <c r="M52" s="3">
        <f t="shared" si="7"/>
        <v>6.83</v>
      </c>
      <c r="P52" s="14" t="s">
        <v>1211</v>
      </c>
      <c r="Q52" s="10" t="str">
        <f t="shared" si="8"/>
        <v xml:space="preserve">HELBOR      -ON  </v>
      </c>
      <c r="R52" s="51">
        <f t="shared" si="9"/>
        <v>41691</v>
      </c>
      <c r="S52" s="5">
        <f t="shared" si="10"/>
        <v>6.94</v>
      </c>
      <c r="T52" s="5">
        <f t="shared" si="11"/>
        <v>6.94</v>
      </c>
      <c r="U52" s="5">
        <f t="shared" si="12"/>
        <v>7.08</v>
      </c>
      <c r="V52" s="5">
        <f t="shared" si="13"/>
        <v>6.83</v>
      </c>
    </row>
    <row r="53" spans="1:22">
      <c r="A53" s="33" t="str">
        <f>IF(Tabela1768[[#This Row],[Código]]="IBOV","^BVSP",IF(Tabela1768[[#This Row],[Código]]="","",CONCATENATE(LEFT(Tabela1768[[#This Row],[Código]],6),".SA")))</f>
        <v>HETA3.SA</v>
      </c>
      <c r="C53" s="3" t="s">
        <v>1030</v>
      </c>
      <c r="D53" s="3" t="s">
        <v>955</v>
      </c>
      <c r="E53" s="3" t="s">
        <v>678</v>
      </c>
      <c r="F53" s="3" t="s">
        <v>678</v>
      </c>
      <c r="G53" s="3" t="s">
        <v>955</v>
      </c>
      <c r="H53" s="51">
        <v>41691</v>
      </c>
      <c r="J53" s="3">
        <f t="shared" si="7"/>
        <v>0.6</v>
      </c>
      <c r="K53" s="3">
        <f t="shared" si="7"/>
        <v>0.61</v>
      </c>
      <c r="L53" s="3">
        <f t="shared" si="7"/>
        <v>0.61</v>
      </c>
      <c r="M53" s="3">
        <f t="shared" si="7"/>
        <v>0.6</v>
      </c>
      <c r="P53" s="14" t="s">
        <v>1028</v>
      </c>
      <c r="Q53" s="10" t="str">
        <f t="shared" si="8"/>
        <v>HERCULES    -ON</v>
      </c>
      <c r="R53" s="51">
        <f t="shared" si="9"/>
        <v>41691</v>
      </c>
      <c r="S53" s="5">
        <f t="shared" si="10"/>
        <v>0.6</v>
      </c>
      <c r="T53" s="5">
        <f t="shared" si="11"/>
        <v>0.61</v>
      </c>
      <c r="U53" s="5">
        <f t="shared" si="12"/>
        <v>0.61</v>
      </c>
      <c r="V53" s="5">
        <f t="shared" si="13"/>
        <v>0.6</v>
      </c>
    </row>
    <row r="54" spans="1:22">
      <c r="A54" s="33" t="str">
        <f>IF(Tabela1768[[#This Row],[Código]]="IBOV","^BVSP",IF(Tabela1768[[#This Row],[Código]]="","",CONCATENATE(LEFT(Tabela1768[[#This Row],[Código]],6),".SA")))</f>
        <v>HETA4.SA</v>
      </c>
      <c r="C54" s="3" t="s">
        <v>1031</v>
      </c>
      <c r="D54" s="3" t="s">
        <v>1032</v>
      </c>
      <c r="E54" s="61" t="s">
        <v>961</v>
      </c>
      <c r="F54" s="61" t="s">
        <v>961</v>
      </c>
      <c r="G54" s="61" t="s">
        <v>1032</v>
      </c>
      <c r="H54" s="51">
        <v>41691</v>
      </c>
      <c r="J54" s="3">
        <f t="shared" si="7"/>
        <v>0.3</v>
      </c>
      <c r="K54" s="3">
        <f t="shared" si="7"/>
        <v>0.31</v>
      </c>
      <c r="L54" s="3">
        <f t="shared" si="7"/>
        <v>0.31</v>
      </c>
      <c r="M54" s="3">
        <f t="shared" si="7"/>
        <v>0.3</v>
      </c>
      <c r="P54" s="14" t="s">
        <v>1029</v>
      </c>
      <c r="Q54" s="10" t="str">
        <f t="shared" si="8"/>
        <v>HERCULES    -PN</v>
      </c>
      <c r="R54" s="51">
        <f t="shared" si="9"/>
        <v>41691</v>
      </c>
      <c r="S54" s="5">
        <f t="shared" si="10"/>
        <v>0.3</v>
      </c>
      <c r="T54" s="5">
        <f t="shared" si="11"/>
        <v>0.31</v>
      </c>
      <c r="U54" s="5">
        <f t="shared" si="12"/>
        <v>0.31</v>
      </c>
      <c r="V54" s="5">
        <f t="shared" si="13"/>
        <v>0.3</v>
      </c>
    </row>
    <row r="55" spans="1:22">
      <c r="A55" s="33" t="str">
        <f>IF(Tabela1768[[#This Row],[Código]]="IBOV","^BVSP",IF(Tabela1768[[#This Row],[Código]]="","",CONCATENATE(LEFT(Tabela1768[[#This Row],[Código]],6),".SA")))</f>
        <v>HGTX3.SA</v>
      </c>
      <c r="C55" s="3" t="s">
        <v>928</v>
      </c>
      <c r="D55" s="3" t="s">
        <v>1950</v>
      </c>
      <c r="E55" s="3" t="s">
        <v>1951</v>
      </c>
      <c r="F55" s="3" t="s">
        <v>1616</v>
      </c>
      <c r="G55" s="3" t="s">
        <v>1952</v>
      </c>
      <c r="H55" s="51">
        <v>41691</v>
      </c>
      <c r="J55" s="3">
        <f t="shared" si="7"/>
        <v>24.16</v>
      </c>
      <c r="K55" s="3">
        <f t="shared" si="7"/>
        <v>24.38</v>
      </c>
      <c r="L55" s="3">
        <f t="shared" si="7"/>
        <v>24.55</v>
      </c>
      <c r="M55" s="3">
        <f t="shared" si="7"/>
        <v>23.95</v>
      </c>
      <c r="P55" s="14" t="s">
        <v>927</v>
      </c>
      <c r="Q55" s="10" t="str">
        <f t="shared" si="8"/>
        <v xml:space="preserve">CIA HERING  -ON  </v>
      </c>
      <c r="R55" s="51">
        <f t="shared" si="9"/>
        <v>41691</v>
      </c>
      <c r="S55" s="5">
        <f t="shared" si="10"/>
        <v>24.16</v>
      </c>
      <c r="T55" s="5">
        <f t="shared" si="11"/>
        <v>24.38</v>
      </c>
      <c r="U55" s="5">
        <f t="shared" si="12"/>
        <v>24.55</v>
      </c>
      <c r="V55" s="5">
        <f t="shared" si="13"/>
        <v>23.95</v>
      </c>
    </row>
    <row r="56" spans="1:22">
      <c r="A56" s="33" t="str">
        <f>IF(Tabela1768[[#This Row],[Código]]="IBOV","^BVSP",IF(Tabela1768[[#This Row],[Código]]="","",CONCATENATE(LEFT(Tabela1768[[#This Row],[Código]],6),".SA")))</f>
        <v>IGBR3.SA</v>
      </c>
      <c r="C56" s="3" t="s">
        <v>926</v>
      </c>
      <c r="D56" s="3" t="s">
        <v>1953</v>
      </c>
      <c r="E56" s="3" t="s">
        <v>1954</v>
      </c>
      <c r="F56" s="3" t="s">
        <v>1954</v>
      </c>
      <c r="G56" s="3" t="s">
        <v>1955</v>
      </c>
      <c r="H56" s="51">
        <v>41691</v>
      </c>
      <c r="J56" s="3">
        <f t="shared" si="7"/>
        <v>6.09</v>
      </c>
      <c r="K56" s="3">
        <f t="shared" si="7"/>
        <v>6.4</v>
      </c>
      <c r="L56" s="3">
        <f t="shared" si="7"/>
        <v>6.4</v>
      </c>
      <c r="M56" s="3">
        <f t="shared" si="7"/>
        <v>5.95</v>
      </c>
      <c r="P56" s="14" t="s">
        <v>925</v>
      </c>
      <c r="Q56" s="10" t="str">
        <f t="shared" si="8"/>
        <v>IGB S/A     -ON</v>
      </c>
      <c r="R56" s="51">
        <f t="shared" si="9"/>
        <v>41691</v>
      </c>
      <c r="S56" s="5">
        <f t="shared" si="10"/>
        <v>6.09</v>
      </c>
      <c r="T56" s="5">
        <f t="shared" si="11"/>
        <v>6.4</v>
      </c>
      <c r="U56" s="5">
        <f t="shared" si="12"/>
        <v>6.4</v>
      </c>
      <c r="V56" s="5">
        <f t="shared" si="13"/>
        <v>5.95</v>
      </c>
    </row>
    <row r="57" spans="1:22">
      <c r="A57" s="33" t="str">
        <f>IF(Tabela1768[[#This Row],[Código]]="IBOV","^BVSP",IF(Tabela1768[[#This Row],[Código]]="","",CONCATENATE(LEFT(Tabela1768[[#This Row],[Código]],6),".SA")))</f>
        <v>IGUA3.SA</v>
      </c>
      <c r="C57" s="3" t="s">
        <v>872</v>
      </c>
      <c r="D57" s="3" t="s">
        <v>873</v>
      </c>
      <c r="E57" s="3" t="s">
        <v>873</v>
      </c>
      <c r="F57" s="3" t="s">
        <v>873</v>
      </c>
      <c r="G57" s="3" t="s">
        <v>873</v>
      </c>
      <c r="H57" s="51">
        <v>41691</v>
      </c>
      <c r="J57" s="3">
        <f t="shared" si="7"/>
        <v>3.75</v>
      </c>
      <c r="K57" s="3">
        <f t="shared" si="7"/>
        <v>3.75</v>
      </c>
      <c r="L57" s="3">
        <f t="shared" si="7"/>
        <v>3.75</v>
      </c>
      <c r="M57" s="3">
        <f t="shared" si="7"/>
        <v>3.75</v>
      </c>
      <c r="P57" s="14" t="s">
        <v>869</v>
      </c>
      <c r="Q57" s="10" t="str">
        <f t="shared" si="8"/>
        <v>IGUACU CAFE -ON</v>
      </c>
      <c r="R57" s="51">
        <f t="shared" si="9"/>
        <v>41691</v>
      </c>
      <c r="S57" s="5">
        <f t="shared" si="10"/>
        <v>3.75</v>
      </c>
      <c r="T57" s="5">
        <f t="shared" si="11"/>
        <v>3.75</v>
      </c>
      <c r="U57" s="5">
        <f t="shared" si="12"/>
        <v>3.75</v>
      </c>
      <c r="V57" s="5">
        <f t="shared" si="13"/>
        <v>3.75</v>
      </c>
    </row>
    <row r="58" spans="1:22">
      <c r="A58" s="33" t="str">
        <f>IF(Tabela1768[[#This Row],[Código]]="IBOV","^BVSP",IF(Tabela1768[[#This Row],[Código]]="","",CONCATENATE(LEFT(Tabela1768[[#This Row],[Código]],6),".SA")))</f>
        <v>IGUA5.SA</v>
      </c>
      <c r="C58" s="3" t="s">
        <v>874</v>
      </c>
      <c r="D58" s="3" t="s">
        <v>986</v>
      </c>
      <c r="E58" s="3" t="s">
        <v>986</v>
      </c>
      <c r="F58" s="3" t="s">
        <v>986</v>
      </c>
      <c r="G58" s="3" t="s">
        <v>986</v>
      </c>
      <c r="H58" s="51">
        <v>41691</v>
      </c>
      <c r="J58" s="3">
        <f t="shared" si="7"/>
        <v>2.81</v>
      </c>
      <c r="K58" s="3">
        <f t="shared" si="7"/>
        <v>2.81</v>
      </c>
      <c r="L58" s="3">
        <f t="shared" si="7"/>
        <v>2.81</v>
      </c>
      <c r="M58" s="3">
        <f t="shared" si="7"/>
        <v>2.81</v>
      </c>
      <c r="P58" s="15" t="s">
        <v>870</v>
      </c>
      <c r="Q58" s="10" t="str">
        <f t="shared" si="8"/>
        <v>IGUACU CAFE -PNA</v>
      </c>
      <c r="R58" s="51">
        <f t="shared" si="9"/>
        <v>41691</v>
      </c>
      <c r="S58" s="5">
        <f t="shared" si="10"/>
        <v>2.81</v>
      </c>
      <c r="T58" s="5">
        <f t="shared" si="11"/>
        <v>2.81</v>
      </c>
      <c r="U58" s="5">
        <f t="shared" si="12"/>
        <v>2.81</v>
      </c>
      <c r="V58" s="5">
        <f t="shared" si="13"/>
        <v>2.81</v>
      </c>
    </row>
    <row r="59" spans="1:22">
      <c r="A59" s="33" t="str">
        <f>IF(Tabela1768[[#This Row],[Código]]="IBOV","^BVSP",IF(Tabela1768[[#This Row],[Código]]="","",CONCATENATE(LEFT(Tabela1768[[#This Row],[Código]],6),".SA")))</f>
        <v>IGUA6.SA</v>
      </c>
      <c r="C59" s="3" t="s">
        <v>875</v>
      </c>
      <c r="D59" s="3" t="s">
        <v>792</v>
      </c>
      <c r="E59" s="61" t="s">
        <v>792</v>
      </c>
      <c r="F59" s="61" t="s">
        <v>792</v>
      </c>
      <c r="G59" s="61" t="s">
        <v>792</v>
      </c>
      <c r="H59" s="51">
        <v>41691</v>
      </c>
      <c r="J59" s="3">
        <f t="shared" si="7"/>
        <v>3.3</v>
      </c>
      <c r="K59" s="3">
        <f t="shared" si="7"/>
        <v>3.3</v>
      </c>
      <c r="L59" s="3">
        <f t="shared" si="7"/>
        <v>3.3</v>
      </c>
      <c r="M59" s="3">
        <f t="shared" si="7"/>
        <v>3.3</v>
      </c>
      <c r="P59" s="14" t="s">
        <v>871</v>
      </c>
      <c r="Q59" s="10" t="str">
        <f t="shared" si="8"/>
        <v>IGUACU CAFE -PNB</v>
      </c>
      <c r="R59" s="51">
        <f t="shared" si="9"/>
        <v>41691</v>
      </c>
      <c r="S59" s="5">
        <f t="shared" si="10"/>
        <v>3.3</v>
      </c>
      <c r="T59" s="5">
        <f t="shared" si="11"/>
        <v>3.3</v>
      </c>
      <c r="U59" s="5">
        <f t="shared" si="12"/>
        <v>3.3</v>
      </c>
      <c r="V59" s="5">
        <f t="shared" si="13"/>
        <v>3.3</v>
      </c>
    </row>
    <row r="60" spans="1:22">
      <c r="A60" s="33" t="str">
        <f>IF(Tabela1768[[#This Row],[Código]]="IBOV","^BVSP",IF(Tabela1768[[#This Row],[Código]]="","",CONCATENATE(LEFT(Tabela1768[[#This Row],[Código]],6),".SA")))</f>
        <v>IMCH3.SA</v>
      </c>
      <c r="C60" s="3" t="s">
        <v>1164</v>
      </c>
      <c r="D60" s="3" t="s">
        <v>1956</v>
      </c>
      <c r="E60" s="61" t="s">
        <v>773</v>
      </c>
      <c r="F60" s="61" t="s">
        <v>1655</v>
      </c>
      <c r="G60" s="61" t="s">
        <v>1957</v>
      </c>
      <c r="H60" s="51">
        <v>41691</v>
      </c>
      <c r="J60" s="3">
        <f t="shared" si="7"/>
        <v>16.13</v>
      </c>
      <c r="K60" s="3">
        <f t="shared" si="7"/>
        <v>16</v>
      </c>
      <c r="L60" s="3">
        <f t="shared" si="7"/>
        <v>16.190000000000001</v>
      </c>
      <c r="M60" s="3">
        <f t="shared" si="7"/>
        <v>15.83</v>
      </c>
      <c r="P60" s="14" t="s">
        <v>1158</v>
      </c>
      <c r="Q60" s="10" t="str">
        <f t="shared" si="8"/>
        <v xml:space="preserve">IMC HOLDINGS-ON  </v>
      </c>
      <c r="R60" s="51">
        <f t="shared" si="9"/>
        <v>41691</v>
      </c>
      <c r="S60" s="5">
        <f t="shared" si="10"/>
        <v>16.13</v>
      </c>
      <c r="T60" s="5">
        <f t="shared" si="11"/>
        <v>16</v>
      </c>
      <c r="U60" s="5">
        <f t="shared" si="12"/>
        <v>16.190000000000001</v>
      </c>
      <c r="V60" s="5">
        <f t="shared" si="13"/>
        <v>15.83</v>
      </c>
    </row>
    <row r="61" spans="1:22">
      <c r="A61" s="33" t="str">
        <f>IF(Tabela1768[[#This Row],[Código]]="IBOV","^BVSP",IF(Tabela1768[[#This Row],[Código]]="","",CONCATENATE(LEFT(Tabela1768[[#This Row],[Código]],6),".SA")))</f>
        <v>JFEN3.SA</v>
      </c>
      <c r="C61" s="3" t="s">
        <v>1233</v>
      </c>
      <c r="D61" s="3" t="s">
        <v>768</v>
      </c>
      <c r="E61" s="3" t="s">
        <v>768</v>
      </c>
      <c r="F61" s="3" t="s">
        <v>768</v>
      </c>
      <c r="G61" s="3" t="s">
        <v>768</v>
      </c>
      <c r="H61" s="51">
        <v>41691</v>
      </c>
      <c r="J61" s="3">
        <f t="shared" si="7"/>
        <v>5.5</v>
      </c>
      <c r="K61" s="3">
        <f t="shared" si="7"/>
        <v>5.5</v>
      </c>
      <c r="L61" s="3">
        <f t="shared" si="7"/>
        <v>5.5</v>
      </c>
      <c r="M61" s="3">
        <f t="shared" si="7"/>
        <v>5.5</v>
      </c>
      <c r="P61" s="10" t="s">
        <v>1223</v>
      </c>
      <c r="Q61" s="10" t="str">
        <f t="shared" si="8"/>
        <v>JOAO FORTES -ON</v>
      </c>
      <c r="R61" s="51">
        <f t="shared" si="9"/>
        <v>41691</v>
      </c>
      <c r="S61" s="5">
        <f t="shared" si="10"/>
        <v>5.5</v>
      </c>
      <c r="T61" s="5">
        <f t="shared" si="11"/>
        <v>5.5</v>
      </c>
      <c r="U61" s="5">
        <f t="shared" si="12"/>
        <v>5.5</v>
      </c>
      <c r="V61" s="5">
        <f t="shared" si="13"/>
        <v>5.5</v>
      </c>
    </row>
    <row r="62" spans="1:22">
      <c r="A62" s="33" t="str">
        <f>IF(Tabela1768[[#This Row],[Código]]="IBOV","^BVSP",IF(Tabela1768[[#This Row],[Código]]="","",CONCATENATE(LEFT(Tabela1768[[#This Row],[Código]],6),".SA")))</f>
        <v>JHSF3.SA</v>
      </c>
      <c r="C62" s="3" t="s">
        <v>1222</v>
      </c>
      <c r="D62" s="3" t="s">
        <v>159</v>
      </c>
      <c r="E62" s="3" t="s">
        <v>1958</v>
      </c>
      <c r="F62" s="3" t="s">
        <v>1135</v>
      </c>
      <c r="G62" s="3" t="s">
        <v>159</v>
      </c>
      <c r="H62" s="51">
        <v>41691</v>
      </c>
      <c r="J62" s="3">
        <f t="shared" si="7"/>
        <v>4.12</v>
      </c>
      <c r="K62" s="3">
        <f t="shared" si="7"/>
        <v>4.1399999999999997</v>
      </c>
      <c r="L62" s="3">
        <f t="shared" si="7"/>
        <v>4.2300000000000004</v>
      </c>
      <c r="M62" s="3">
        <f t="shared" si="7"/>
        <v>4.12</v>
      </c>
      <c r="P62" s="10" t="s">
        <v>1212</v>
      </c>
      <c r="Q62" s="10" t="str">
        <f t="shared" si="8"/>
        <v xml:space="preserve">JHSF PART   -ON  </v>
      </c>
      <c r="R62" s="51">
        <f t="shared" si="9"/>
        <v>41691</v>
      </c>
      <c r="S62" s="5">
        <f t="shared" si="10"/>
        <v>4.12</v>
      </c>
      <c r="T62" s="5">
        <f t="shared" si="11"/>
        <v>4.1399999999999997</v>
      </c>
      <c r="U62" s="5">
        <f t="shared" si="12"/>
        <v>4.2300000000000004</v>
      </c>
      <c r="V62" s="5">
        <f t="shared" si="13"/>
        <v>4.12</v>
      </c>
    </row>
    <row r="63" spans="1:22">
      <c r="A63" s="33" t="str">
        <f>IF(Tabela1768[[#This Row],[Código]]="IBOV","^BVSP",IF(Tabela1768[[#This Row],[Código]]="","",CONCATENATE(LEFT(Tabela1768[[#This Row],[Código]],6),".SA")))</f>
        <v>JOPA3.SA</v>
      </c>
      <c r="C63" s="3" t="s">
        <v>254</v>
      </c>
      <c r="D63" s="3" t="s">
        <v>796</v>
      </c>
      <c r="E63" s="3" t="s">
        <v>796</v>
      </c>
      <c r="F63" s="3" t="s">
        <v>796</v>
      </c>
      <c r="G63" s="3" t="s">
        <v>796</v>
      </c>
      <c r="H63" s="51">
        <v>41691</v>
      </c>
      <c r="J63" s="3">
        <f t="shared" si="7"/>
        <v>17.010000000000002</v>
      </c>
      <c r="K63" s="3">
        <f t="shared" si="7"/>
        <v>17.010000000000002</v>
      </c>
      <c r="L63" s="3">
        <f t="shared" si="7"/>
        <v>17.010000000000002</v>
      </c>
      <c r="M63" s="3">
        <f t="shared" si="7"/>
        <v>17.010000000000002</v>
      </c>
      <c r="P63" s="14" t="s">
        <v>252</v>
      </c>
      <c r="Q63" s="10" t="str">
        <f t="shared" si="8"/>
        <v>JOSAPAR     -ON</v>
      </c>
      <c r="R63" s="46">
        <f t="shared" si="9"/>
        <v>41691</v>
      </c>
      <c r="S63" s="6">
        <f t="shared" si="10"/>
        <v>17.010000000000002</v>
      </c>
      <c r="T63" s="6">
        <f t="shared" si="11"/>
        <v>17.010000000000002</v>
      </c>
      <c r="U63" s="5">
        <f t="shared" si="12"/>
        <v>17.010000000000002</v>
      </c>
      <c r="V63" s="5">
        <f t="shared" si="13"/>
        <v>17.010000000000002</v>
      </c>
    </row>
    <row r="64" spans="1:22">
      <c r="A64" s="33" t="str">
        <f>IF(Tabela1768[[#This Row],[Código]]="IBOV","^BVSP",IF(Tabela1768[[#This Row],[Código]]="","",CONCATENATE(LEFT(Tabela1768[[#This Row],[Código]],6),".SA")))</f>
        <v>JOPA4.SA</v>
      </c>
      <c r="C64" s="3" t="s">
        <v>255</v>
      </c>
      <c r="D64" s="3" t="s">
        <v>412</v>
      </c>
      <c r="E64" s="3" t="s">
        <v>412</v>
      </c>
      <c r="F64" s="3" t="s">
        <v>412</v>
      </c>
      <c r="G64" s="3" t="s">
        <v>412</v>
      </c>
      <c r="H64" s="51">
        <v>41691</v>
      </c>
      <c r="J64" s="3">
        <f t="shared" si="7"/>
        <v>20</v>
      </c>
      <c r="K64" s="3">
        <f t="shared" si="7"/>
        <v>20</v>
      </c>
      <c r="L64" s="3">
        <f t="shared" si="7"/>
        <v>20</v>
      </c>
      <c r="M64" s="3">
        <f t="shared" si="7"/>
        <v>20</v>
      </c>
      <c r="P64" s="14" t="s">
        <v>253</v>
      </c>
      <c r="Q64" s="10" t="str">
        <f t="shared" si="8"/>
        <v>JOSAPAR     -PN</v>
      </c>
      <c r="R64" s="51">
        <f t="shared" si="9"/>
        <v>41691</v>
      </c>
      <c r="S64" s="5">
        <f t="shared" si="10"/>
        <v>20</v>
      </c>
      <c r="T64" s="5">
        <f t="shared" si="11"/>
        <v>20</v>
      </c>
      <c r="U64" s="5">
        <f t="shared" si="12"/>
        <v>20</v>
      </c>
      <c r="V64" s="5">
        <f t="shared" si="13"/>
        <v>20</v>
      </c>
    </row>
    <row r="65" spans="1:22">
      <c r="A65" s="33" t="str">
        <f>IF(Tabela1768[[#This Row],[Código]]="IBOV","^BVSP",IF(Tabela1768[[#This Row],[Código]]="","",CONCATENATE(LEFT(Tabela1768[[#This Row],[Código]],6),".SA")))</f>
        <v>LHER3.SA</v>
      </c>
      <c r="C65" s="3" t="s">
        <v>1181</v>
      </c>
      <c r="D65" s="3" t="s">
        <v>442</v>
      </c>
      <c r="E65" s="3" t="s">
        <v>443</v>
      </c>
      <c r="F65" s="3" t="s">
        <v>442</v>
      </c>
      <c r="G65" s="3" t="s">
        <v>442</v>
      </c>
      <c r="H65" s="51" t="s">
        <v>442</v>
      </c>
      <c r="J65" s="3" t="e">
        <f t="shared" si="7"/>
        <v>#VALUE!</v>
      </c>
      <c r="K65" s="3">
        <f t="shared" si="7"/>
        <v>0</v>
      </c>
      <c r="L65" s="3" t="e">
        <f t="shared" si="7"/>
        <v>#VALUE!</v>
      </c>
      <c r="M65" s="3" t="e">
        <f t="shared" si="7"/>
        <v>#VALUE!</v>
      </c>
      <c r="P65" s="43" t="s">
        <v>1179</v>
      </c>
      <c r="Q65" s="10" t="str">
        <f t="shared" si="8"/>
        <v>LOJAS HERING-ON</v>
      </c>
      <c r="R65" s="51" t="str">
        <f t="shared" si="9"/>
        <v>N/A</v>
      </c>
      <c r="S65" s="5" t="e">
        <f t="shared" si="10"/>
        <v>#VALUE!</v>
      </c>
      <c r="T65" s="5">
        <f t="shared" si="11"/>
        <v>0</v>
      </c>
      <c r="U65" s="5" t="e">
        <f t="shared" si="12"/>
        <v>#VALUE!</v>
      </c>
      <c r="V65" s="5" t="e">
        <f t="shared" si="13"/>
        <v>#VALUE!</v>
      </c>
    </row>
    <row r="66" spans="1:22">
      <c r="A66" s="33" t="str">
        <f>IF(Tabela1768[[#This Row],[Código]]="IBOV","^BVSP",IF(Tabela1768[[#This Row],[Código]]="","",CONCATENATE(LEFT(Tabela1768[[#This Row],[Código]],6),".SA")))</f>
        <v>LHER4.SA</v>
      </c>
      <c r="C66" s="3" t="s">
        <v>1182</v>
      </c>
      <c r="D66" s="3" t="s">
        <v>442</v>
      </c>
      <c r="E66" s="3" t="s">
        <v>1183</v>
      </c>
      <c r="F66" s="3" t="s">
        <v>1183</v>
      </c>
      <c r="G66" s="3" t="s">
        <v>1183</v>
      </c>
      <c r="H66" s="51">
        <v>41691</v>
      </c>
      <c r="J66" s="3" t="e">
        <f t="shared" si="7"/>
        <v>#VALUE!</v>
      </c>
      <c r="K66" s="3">
        <f t="shared" si="7"/>
        <v>65</v>
      </c>
      <c r="L66" s="3">
        <f t="shared" si="7"/>
        <v>65</v>
      </c>
      <c r="M66" s="3">
        <f t="shared" si="7"/>
        <v>65</v>
      </c>
      <c r="P66" s="15" t="s">
        <v>1180</v>
      </c>
      <c r="Q66" s="10" t="str">
        <f t="shared" si="8"/>
        <v>LOJAS HERING-PN</v>
      </c>
      <c r="R66" s="51">
        <f t="shared" si="9"/>
        <v>41691</v>
      </c>
      <c r="S66" s="5" t="e">
        <f t="shared" si="10"/>
        <v>#VALUE!</v>
      </c>
      <c r="T66" s="5">
        <f t="shared" si="11"/>
        <v>65</v>
      </c>
      <c r="U66" s="5">
        <f t="shared" si="12"/>
        <v>65</v>
      </c>
      <c r="V66" s="5">
        <f t="shared" si="13"/>
        <v>65</v>
      </c>
    </row>
    <row r="67" spans="1:22">
      <c r="A67" s="33" t="str">
        <f>IF(Tabela1768[[#This Row],[Código]]="IBOV","^BVSP",IF(Tabela1768[[#This Row],[Código]]="","",CONCATENATE(LEFT(Tabela1768[[#This Row],[Código]],6),".SA")))</f>
        <v>LLIS3.SA</v>
      </c>
      <c r="C67" s="3" t="s">
        <v>1166</v>
      </c>
      <c r="D67" s="3" t="s">
        <v>1959</v>
      </c>
      <c r="E67" s="3" t="s">
        <v>1960</v>
      </c>
      <c r="F67" s="3" t="s">
        <v>1961</v>
      </c>
      <c r="G67" s="3" t="s">
        <v>1959</v>
      </c>
      <c r="H67" s="51">
        <v>41691</v>
      </c>
      <c r="J67" s="3">
        <f t="shared" si="7"/>
        <v>5.98</v>
      </c>
      <c r="K67" s="3">
        <f t="shared" si="7"/>
        <v>6.02</v>
      </c>
      <c r="L67" s="3">
        <f t="shared" si="7"/>
        <v>6.05</v>
      </c>
      <c r="M67" s="3">
        <f t="shared" si="7"/>
        <v>5.98</v>
      </c>
      <c r="P67" s="15" t="s">
        <v>1165</v>
      </c>
      <c r="Q67" s="10" t="str">
        <f t="shared" si="8"/>
        <v xml:space="preserve">LE LIS BLANC-ON  </v>
      </c>
      <c r="R67" s="51">
        <f t="shared" si="9"/>
        <v>41691</v>
      </c>
      <c r="S67" s="5">
        <f t="shared" si="10"/>
        <v>5.98</v>
      </c>
      <c r="T67" s="5">
        <f t="shared" si="11"/>
        <v>6.02</v>
      </c>
      <c r="U67" s="5">
        <f t="shared" si="12"/>
        <v>6.05</v>
      </c>
      <c r="V67" s="5">
        <f t="shared" si="13"/>
        <v>5.98</v>
      </c>
    </row>
    <row r="68" spans="1:22">
      <c r="A68" s="33" t="str">
        <f>IF(Tabela1768[[#This Row],[Código]]="IBOV","^BVSP",IF(Tabela1768[[#This Row],[Código]]="","",CONCATENATE(LEFT(Tabela1768[[#This Row],[Código]],6),".SA")))</f>
        <v>LREN3.SA</v>
      </c>
      <c r="C68" s="3" t="s">
        <v>1185</v>
      </c>
      <c r="D68" s="3" t="s">
        <v>1962</v>
      </c>
      <c r="E68" s="3" t="s">
        <v>1963</v>
      </c>
      <c r="F68" s="3" t="s">
        <v>1964</v>
      </c>
      <c r="G68" s="3" t="s">
        <v>1965</v>
      </c>
      <c r="H68" s="51">
        <v>41691</v>
      </c>
      <c r="J68" s="3">
        <f t="shared" si="7"/>
        <v>56.15</v>
      </c>
      <c r="K68" s="3">
        <f t="shared" si="7"/>
        <v>56.65</v>
      </c>
      <c r="L68" s="3">
        <f t="shared" si="7"/>
        <v>56.81</v>
      </c>
      <c r="M68" s="3">
        <f t="shared" si="7"/>
        <v>55.35</v>
      </c>
      <c r="P68" s="15" t="s">
        <v>1184</v>
      </c>
      <c r="Q68" s="10" t="str">
        <f t="shared" si="8"/>
        <v xml:space="preserve">LOJAS RENNER-ON  </v>
      </c>
      <c r="R68" s="51">
        <f t="shared" si="9"/>
        <v>41691</v>
      </c>
      <c r="S68" s="5">
        <f t="shared" si="10"/>
        <v>56.15</v>
      </c>
      <c r="T68" s="5">
        <f t="shared" si="11"/>
        <v>56.65</v>
      </c>
      <c r="U68" s="5">
        <f t="shared" si="12"/>
        <v>56.81</v>
      </c>
      <c r="V68" s="5">
        <f t="shared" si="13"/>
        <v>55.35</v>
      </c>
    </row>
    <row r="69" spans="1:22">
      <c r="A69" s="33" t="str">
        <f>IF(Tabela1768[[#This Row],[Código]]="IBOV","^BVSP",IF(Tabela1768[[#This Row],[Código]]="","",CONCATENATE(LEFT(Tabela1768[[#This Row],[Código]],6),".SA")))</f>
        <v>MGLU3.SA</v>
      </c>
      <c r="C69" s="3" t="s">
        <v>918</v>
      </c>
      <c r="D69" s="3" t="s">
        <v>1966</v>
      </c>
      <c r="E69" s="3" t="s">
        <v>1143</v>
      </c>
      <c r="F69" s="3" t="s">
        <v>1967</v>
      </c>
      <c r="G69" s="3" t="s">
        <v>1966</v>
      </c>
      <c r="H69" s="51">
        <v>41691</v>
      </c>
      <c r="J69" s="3">
        <f t="shared" si="7"/>
        <v>7.23</v>
      </c>
      <c r="K69" s="3">
        <f t="shared" si="7"/>
        <v>7.5</v>
      </c>
      <c r="L69" s="3">
        <f t="shared" si="7"/>
        <v>7.65</v>
      </c>
      <c r="M69" s="3">
        <f t="shared" si="7"/>
        <v>7.23</v>
      </c>
      <c r="P69" s="15" t="s">
        <v>917</v>
      </c>
      <c r="Q69" s="10" t="str">
        <f t="shared" si="8"/>
        <v xml:space="preserve">MAGAZ LUIZA -ON  </v>
      </c>
      <c r="R69" s="51">
        <f t="shared" si="9"/>
        <v>41691</v>
      </c>
      <c r="S69" s="5">
        <f t="shared" si="10"/>
        <v>7.23</v>
      </c>
      <c r="T69" s="5">
        <f t="shared" si="11"/>
        <v>7.5</v>
      </c>
      <c r="U69" s="5">
        <f t="shared" si="12"/>
        <v>7.65</v>
      </c>
      <c r="V69" s="5">
        <f t="shared" si="13"/>
        <v>7.23</v>
      </c>
    </row>
    <row r="70" spans="1:22">
      <c r="A70" s="33" t="str">
        <f>IF(Tabela1768[[#This Row],[Código]]="IBOV","^BVSP",IF(Tabela1768[[#This Row],[Código]]="","",CONCATENATE(LEFT(Tabela1768[[#This Row],[Código]],6),".SA")))</f>
        <v>MNDL3.SA</v>
      </c>
      <c r="C70" s="3" t="s">
        <v>1096</v>
      </c>
      <c r="D70" s="3" t="s">
        <v>1968</v>
      </c>
      <c r="E70" s="3" t="s">
        <v>1968</v>
      </c>
      <c r="F70" s="3" t="s">
        <v>1968</v>
      </c>
      <c r="G70" s="3" t="s">
        <v>1968</v>
      </c>
      <c r="H70" s="51">
        <v>41691</v>
      </c>
      <c r="J70" s="3">
        <f t="shared" si="7"/>
        <v>9.9600000000000009</v>
      </c>
      <c r="K70" s="3">
        <f t="shared" si="7"/>
        <v>9.9600000000000009</v>
      </c>
      <c r="L70" s="3">
        <f t="shared" si="7"/>
        <v>9.9600000000000009</v>
      </c>
      <c r="M70" s="3">
        <f t="shared" si="7"/>
        <v>9.9600000000000009</v>
      </c>
      <c r="P70" s="14" t="s">
        <v>1091</v>
      </c>
      <c r="Q70" s="10" t="str">
        <f t="shared" si="8"/>
        <v>MUNDIAL     -ON</v>
      </c>
      <c r="R70" s="51">
        <f t="shared" si="9"/>
        <v>41691</v>
      </c>
      <c r="S70" s="5">
        <f t="shared" si="10"/>
        <v>9.9600000000000009</v>
      </c>
      <c r="T70" s="5">
        <f t="shared" si="11"/>
        <v>9.9600000000000009</v>
      </c>
      <c r="U70" s="5">
        <f t="shared" si="12"/>
        <v>9.9600000000000009</v>
      </c>
      <c r="V70" s="5">
        <f t="shared" si="13"/>
        <v>9.9600000000000009</v>
      </c>
    </row>
    <row r="71" spans="1:22">
      <c r="A71" s="33" t="str">
        <f>IF(Tabela1768[[#This Row],[Código]]="IBOV","^BVSP",IF(Tabela1768[[#This Row],[Código]]="","",CONCATENATE(LEFT(Tabela1768[[#This Row],[Código]],6),".SA")))</f>
        <v>MRVE3.SA</v>
      </c>
      <c r="C71" s="3" t="s">
        <v>1234</v>
      </c>
      <c r="D71" s="3" t="s">
        <v>1411</v>
      </c>
      <c r="E71" s="3" t="s">
        <v>1137</v>
      </c>
      <c r="F71" s="3" t="s">
        <v>1644</v>
      </c>
      <c r="G71" s="3" t="s">
        <v>1411</v>
      </c>
      <c r="H71" s="51">
        <v>41691</v>
      </c>
      <c r="J71" s="3">
        <f t="shared" si="7"/>
        <v>8.06</v>
      </c>
      <c r="K71" s="3">
        <f t="shared" si="7"/>
        <v>8.34</v>
      </c>
      <c r="L71" s="3">
        <f t="shared" si="7"/>
        <v>8.43</v>
      </c>
      <c r="M71" s="3">
        <f t="shared" si="7"/>
        <v>8.06</v>
      </c>
      <c r="P71" s="15" t="s">
        <v>1224</v>
      </c>
      <c r="Q71" s="10" t="str">
        <f t="shared" ref="Q71:Q102" si="14">IF(A71="","",C71)</f>
        <v xml:space="preserve">MRV         -ON  </v>
      </c>
      <c r="R71" s="51">
        <f t="shared" ref="R71:R102" si="15">IF(A71="","",H71)</f>
        <v>41691</v>
      </c>
      <c r="S71" s="5">
        <f t="shared" ref="S71:S102" si="16">J71</f>
        <v>8.06</v>
      </c>
      <c r="T71" s="5">
        <f t="shared" ref="T71:T102" si="17">K71</f>
        <v>8.34</v>
      </c>
      <c r="U71" s="5">
        <f t="shared" ref="U71:U102" si="18">L71</f>
        <v>8.43</v>
      </c>
      <c r="V71" s="5">
        <f t="shared" ref="V71:V102" si="19">M71</f>
        <v>8.06</v>
      </c>
    </row>
    <row r="72" spans="1:22">
      <c r="A72" s="33" t="str">
        <f>IF(Tabela1768[[#This Row],[Código]]="IBOV","^BVSP",IF(Tabela1768[[#This Row],[Código]]="","",CONCATENATE(LEFT(Tabela1768[[#This Row],[Código]],6),".SA")))</f>
        <v>NAFG3.SA</v>
      </c>
      <c r="C72" s="3" t="s">
        <v>1025</v>
      </c>
      <c r="D72" s="3" t="s">
        <v>442</v>
      </c>
      <c r="E72" s="3" t="s">
        <v>443</v>
      </c>
      <c r="F72" s="3" t="s">
        <v>442</v>
      </c>
      <c r="G72" s="3" t="s">
        <v>442</v>
      </c>
      <c r="H72" s="51" t="s">
        <v>442</v>
      </c>
      <c r="J72" s="3" t="e">
        <f t="shared" ref="J72:M135" si="20">IF($A72="",0,VALUE(CONCATENATE(LEFT(D72,LEN(D72)-3),",",RIGHT(D72,2))))</f>
        <v>#VALUE!</v>
      </c>
      <c r="K72" s="3">
        <f t="shared" si="20"/>
        <v>0</v>
      </c>
      <c r="L72" s="3" t="e">
        <f t="shared" si="20"/>
        <v>#VALUE!</v>
      </c>
      <c r="M72" s="3" t="e">
        <f t="shared" si="20"/>
        <v>#VALUE!</v>
      </c>
      <c r="P72" s="14" t="s">
        <v>1023</v>
      </c>
      <c r="Q72" s="10" t="str">
        <f t="shared" si="14"/>
        <v>NADIR FIGUEI-ON</v>
      </c>
      <c r="R72" s="51" t="str">
        <f t="shared" si="15"/>
        <v>N/A</v>
      </c>
      <c r="S72" s="5" t="e">
        <f t="shared" si="16"/>
        <v>#VALUE!</v>
      </c>
      <c r="T72" s="5">
        <f t="shared" si="17"/>
        <v>0</v>
      </c>
      <c r="U72" s="5" t="e">
        <f t="shared" si="18"/>
        <v>#VALUE!</v>
      </c>
      <c r="V72" s="5" t="e">
        <f t="shared" si="19"/>
        <v>#VALUE!</v>
      </c>
    </row>
    <row r="73" spans="1:22">
      <c r="A73" s="33" t="str">
        <f>IF(Tabela1768[[#This Row],[Código]]="IBOV","^BVSP",IF(Tabela1768[[#This Row],[Código]]="","",CONCATENATE(LEFT(Tabela1768[[#This Row],[Código]],6),".SA")))</f>
        <v>NAFG4.SA</v>
      </c>
      <c r="C73" s="3" t="s">
        <v>1026</v>
      </c>
      <c r="D73" s="3" t="s">
        <v>977</v>
      </c>
      <c r="E73" s="3" t="s">
        <v>410</v>
      </c>
      <c r="F73" s="3" t="s">
        <v>410</v>
      </c>
      <c r="G73" s="3" t="s">
        <v>977</v>
      </c>
      <c r="H73" s="51">
        <v>41691</v>
      </c>
      <c r="J73" s="3">
        <f t="shared" si="20"/>
        <v>14.71</v>
      </c>
      <c r="K73" s="3">
        <f t="shared" si="20"/>
        <v>15</v>
      </c>
      <c r="L73" s="3">
        <f t="shared" si="20"/>
        <v>15</v>
      </c>
      <c r="M73" s="3">
        <f t="shared" si="20"/>
        <v>14.71</v>
      </c>
      <c r="P73" s="14" t="s">
        <v>1024</v>
      </c>
      <c r="Q73" s="10" t="str">
        <f t="shared" si="14"/>
        <v>NADIR FIGUEI-PN</v>
      </c>
      <c r="R73" s="51">
        <f t="shared" si="15"/>
        <v>41691</v>
      </c>
      <c r="S73" s="5">
        <f t="shared" si="16"/>
        <v>14.71</v>
      </c>
      <c r="T73" s="5">
        <f t="shared" si="17"/>
        <v>15</v>
      </c>
      <c r="U73" s="5">
        <f t="shared" si="18"/>
        <v>15</v>
      </c>
      <c r="V73" s="5">
        <f t="shared" si="19"/>
        <v>14.71</v>
      </c>
    </row>
    <row r="74" spans="1:22">
      <c r="A74" s="33" t="str">
        <f>IF(Tabela1768[[#This Row],[Código]]="IBOV","^BVSP",IF(Tabela1768[[#This Row],[Código]]="","",CONCATENATE(LEFT(Tabela1768[[#This Row],[Código]],6),".SA")))</f>
        <v>NETC3.SA</v>
      </c>
      <c r="C74" s="3" t="s">
        <v>1102</v>
      </c>
      <c r="D74" s="3" t="s">
        <v>1555</v>
      </c>
      <c r="E74" s="3" t="s">
        <v>1555</v>
      </c>
      <c r="F74" s="3" t="s">
        <v>1555</v>
      </c>
      <c r="G74" s="3" t="s">
        <v>1555</v>
      </c>
      <c r="H74" s="51">
        <v>41691</v>
      </c>
      <c r="J74" s="3">
        <f t="shared" si="20"/>
        <v>29.73</v>
      </c>
      <c r="K74" s="3">
        <f t="shared" si="20"/>
        <v>29.73</v>
      </c>
      <c r="L74" s="3">
        <f t="shared" si="20"/>
        <v>29.73</v>
      </c>
      <c r="M74" s="3">
        <f t="shared" si="20"/>
        <v>29.73</v>
      </c>
      <c r="P74" s="14" t="s">
        <v>1100</v>
      </c>
      <c r="Q74" s="10" t="str">
        <f t="shared" si="14"/>
        <v>NET         -ON</v>
      </c>
      <c r="R74" s="51">
        <f t="shared" si="15"/>
        <v>41691</v>
      </c>
      <c r="S74" s="5">
        <f t="shared" si="16"/>
        <v>29.73</v>
      </c>
      <c r="T74" s="5">
        <f t="shared" si="17"/>
        <v>29.73</v>
      </c>
      <c r="U74" s="5">
        <f t="shared" si="18"/>
        <v>29.73</v>
      </c>
      <c r="V74" s="5">
        <f t="shared" si="19"/>
        <v>29.73</v>
      </c>
    </row>
    <row r="75" spans="1:22">
      <c r="A75" s="33" t="str">
        <f>IF(Tabela1768[[#This Row],[Código]]="IBOV","^BVSP",IF(Tabela1768[[#This Row],[Código]]="","",CONCATENATE(LEFT(Tabela1768[[#This Row],[Código]],6),".SA")))</f>
        <v>NETC4.SA</v>
      </c>
      <c r="C75" s="3" t="s">
        <v>1103</v>
      </c>
      <c r="D75" s="3" t="s">
        <v>1969</v>
      </c>
      <c r="E75" s="3" t="s">
        <v>1970</v>
      </c>
      <c r="F75" s="3" t="s">
        <v>1970</v>
      </c>
      <c r="G75" s="3" t="s">
        <v>1969</v>
      </c>
      <c r="H75" s="51">
        <v>41691</v>
      </c>
      <c r="J75" s="3">
        <f t="shared" si="20"/>
        <v>30.34</v>
      </c>
      <c r="K75" s="3">
        <f t="shared" si="20"/>
        <v>31.16</v>
      </c>
      <c r="L75" s="3">
        <f t="shared" si="20"/>
        <v>31.16</v>
      </c>
      <c r="M75" s="3">
        <f t="shared" si="20"/>
        <v>30.34</v>
      </c>
      <c r="P75" s="14" t="s">
        <v>1101</v>
      </c>
      <c r="Q75" s="10" t="str">
        <f t="shared" si="14"/>
        <v>NET         -PN</v>
      </c>
      <c r="R75" s="51">
        <f t="shared" si="15"/>
        <v>41691</v>
      </c>
      <c r="S75" s="5">
        <f t="shared" si="16"/>
        <v>30.34</v>
      </c>
      <c r="T75" s="5">
        <f t="shared" si="17"/>
        <v>31.16</v>
      </c>
      <c r="U75" s="5">
        <f t="shared" si="18"/>
        <v>31.16</v>
      </c>
      <c r="V75" s="5">
        <f t="shared" si="19"/>
        <v>30.34</v>
      </c>
    </row>
    <row r="76" spans="1:22">
      <c r="A76" s="33" t="str">
        <f>IF(Tabela1768[[#This Row],[Código]]="IBOV","^BVSP",IF(Tabela1768[[#This Row],[Código]]="","",CONCATENATE(LEFT(Tabela1768[[#This Row],[Código]],6),".SA")))</f>
        <v>PDGR3.SA</v>
      </c>
      <c r="C76" s="3" t="s">
        <v>1235</v>
      </c>
      <c r="D76" s="3" t="s">
        <v>1141</v>
      </c>
      <c r="E76" s="3" t="s">
        <v>1494</v>
      </c>
      <c r="F76" s="3" t="s">
        <v>1971</v>
      </c>
      <c r="G76" s="3" t="s">
        <v>1972</v>
      </c>
      <c r="H76" s="51">
        <v>41691</v>
      </c>
      <c r="J76" s="3">
        <f t="shared" si="20"/>
        <v>1.57</v>
      </c>
      <c r="K76" s="3">
        <f t="shared" si="20"/>
        <v>1.58</v>
      </c>
      <c r="L76" s="3">
        <f t="shared" si="20"/>
        <v>1.61</v>
      </c>
      <c r="M76" s="3">
        <f t="shared" si="20"/>
        <v>1.55</v>
      </c>
      <c r="P76" s="15" t="s">
        <v>1225</v>
      </c>
      <c r="Q76" s="10" t="str">
        <f t="shared" si="14"/>
        <v xml:space="preserve">PDG REALT   -ON  </v>
      </c>
      <c r="R76" s="51">
        <f t="shared" si="15"/>
        <v>41691</v>
      </c>
      <c r="S76" s="5">
        <f t="shared" si="16"/>
        <v>1.57</v>
      </c>
      <c r="T76" s="5">
        <f t="shared" si="17"/>
        <v>1.58</v>
      </c>
      <c r="U76" s="5">
        <f t="shared" si="18"/>
        <v>1.61</v>
      </c>
      <c r="V76" s="5">
        <f t="shared" si="19"/>
        <v>1.55</v>
      </c>
    </row>
    <row r="77" spans="1:22">
      <c r="A77" s="33" t="str">
        <f>IF(Tabela1768[[#This Row],[Código]]="IBOV","^BVSP",IF(Tabela1768[[#This Row],[Código]]="","",CONCATENATE(LEFT(Tabela1768[[#This Row],[Código]],6),".SA")))</f>
        <v>PTNT3.SA</v>
      </c>
      <c r="C77" s="3" t="s">
        <v>1061</v>
      </c>
      <c r="D77" s="3" t="s">
        <v>1062</v>
      </c>
      <c r="E77" s="3" t="s">
        <v>1062</v>
      </c>
      <c r="F77" s="3" t="s">
        <v>1062</v>
      </c>
      <c r="G77" s="3" t="s">
        <v>1062</v>
      </c>
      <c r="H77" s="51">
        <v>41691</v>
      </c>
      <c r="J77" s="3">
        <f t="shared" si="20"/>
        <v>2.25</v>
      </c>
      <c r="K77" s="3">
        <f t="shared" si="20"/>
        <v>2.25</v>
      </c>
      <c r="L77" s="3">
        <f t="shared" si="20"/>
        <v>2.25</v>
      </c>
      <c r="M77" s="3">
        <f t="shared" si="20"/>
        <v>2.25</v>
      </c>
      <c r="P77" s="43" t="s">
        <v>1059</v>
      </c>
      <c r="Q77" s="10" t="str">
        <f t="shared" si="14"/>
        <v>PETTENATI   -ON</v>
      </c>
      <c r="R77" s="51">
        <f t="shared" si="15"/>
        <v>41691</v>
      </c>
      <c r="S77" s="5">
        <f t="shared" si="16"/>
        <v>2.25</v>
      </c>
      <c r="T77" s="5">
        <f t="shared" si="17"/>
        <v>2.25</v>
      </c>
      <c r="U77" s="5">
        <f t="shared" si="18"/>
        <v>2.25</v>
      </c>
      <c r="V77" s="5">
        <f t="shared" si="19"/>
        <v>2.25</v>
      </c>
    </row>
    <row r="78" spans="1:22">
      <c r="A78" s="33" t="str">
        <f>IF(Tabela1768[[#This Row],[Código]]="IBOV","^BVSP",IF(Tabela1768[[#This Row],[Código]]="","",CONCATENATE(LEFT(Tabela1768[[#This Row],[Código]],6),".SA")))</f>
        <v>PTNT4.SA</v>
      </c>
      <c r="C78" s="3" t="s">
        <v>1063</v>
      </c>
      <c r="D78" s="3" t="s">
        <v>1142</v>
      </c>
      <c r="E78" s="3" t="s">
        <v>1142</v>
      </c>
      <c r="F78" s="3" t="s">
        <v>1142</v>
      </c>
      <c r="G78" s="3" t="s">
        <v>1142</v>
      </c>
      <c r="H78" s="51">
        <v>41691</v>
      </c>
      <c r="J78" s="3">
        <f t="shared" si="20"/>
        <v>1.4</v>
      </c>
      <c r="K78" s="3">
        <f t="shared" si="20"/>
        <v>1.4</v>
      </c>
      <c r="L78" s="3">
        <f t="shared" si="20"/>
        <v>1.4</v>
      </c>
      <c r="M78" s="3">
        <f t="shared" si="20"/>
        <v>1.4</v>
      </c>
      <c r="P78" s="15" t="s">
        <v>1060</v>
      </c>
      <c r="Q78" s="10" t="str">
        <f t="shared" si="14"/>
        <v>PETTENATI   -PN</v>
      </c>
      <c r="R78" s="51">
        <f t="shared" si="15"/>
        <v>41691</v>
      </c>
      <c r="S78" s="5">
        <f t="shared" si="16"/>
        <v>1.4</v>
      </c>
      <c r="T78" s="5">
        <f t="shared" si="17"/>
        <v>1.4</v>
      </c>
      <c r="U78" s="5">
        <f t="shared" si="18"/>
        <v>1.4</v>
      </c>
      <c r="V78" s="5">
        <f t="shared" si="19"/>
        <v>1.4</v>
      </c>
    </row>
    <row r="79" spans="1:22">
      <c r="A79" s="33" t="str">
        <f>IF(Tabela1768[[#This Row],[Código]]="IBOV","^BVSP",IF(Tabela1768[[#This Row],[Código]]="","",CONCATENATE(LEFT(Tabela1768[[#This Row],[Código]],6),".SA")))</f>
        <v>RDNI3.SA</v>
      </c>
      <c r="C79" s="3" t="s">
        <v>1236</v>
      </c>
      <c r="D79" s="3" t="s">
        <v>1973</v>
      </c>
      <c r="E79" s="3" t="s">
        <v>1154</v>
      </c>
      <c r="F79" s="3" t="s">
        <v>1974</v>
      </c>
      <c r="G79" s="3" t="s">
        <v>1008</v>
      </c>
      <c r="H79" s="51">
        <v>41691</v>
      </c>
      <c r="J79" s="3">
        <f t="shared" si="20"/>
        <v>10.6</v>
      </c>
      <c r="K79" s="3">
        <f t="shared" si="20"/>
        <v>10.68</v>
      </c>
      <c r="L79" s="3">
        <f t="shared" si="20"/>
        <v>10.88</v>
      </c>
      <c r="M79" s="3">
        <f t="shared" si="20"/>
        <v>10.52</v>
      </c>
      <c r="P79" s="15" t="s">
        <v>1226</v>
      </c>
      <c r="Q79" s="10" t="str">
        <f t="shared" si="14"/>
        <v xml:space="preserve">RODOBENSIMOB-ON  </v>
      </c>
      <c r="R79" s="51">
        <f t="shared" si="15"/>
        <v>41691</v>
      </c>
      <c r="S79" s="5">
        <f t="shared" si="16"/>
        <v>10.6</v>
      </c>
      <c r="T79" s="5">
        <f t="shared" si="17"/>
        <v>10.68</v>
      </c>
      <c r="U79" s="5">
        <f t="shared" si="18"/>
        <v>10.88</v>
      </c>
      <c r="V79" s="5">
        <f t="shared" si="19"/>
        <v>10.52</v>
      </c>
    </row>
    <row r="80" spans="1:22">
      <c r="A80" s="33" t="str">
        <f>IF(Tabela1768[[#This Row],[Código]]="IBOV","^BVSP",IF(Tabela1768[[#This Row],[Código]]="","",CONCATENATE(LEFT(Tabela1768[[#This Row],[Código]],6),".SA")))</f>
        <v>RENT3.SA</v>
      </c>
      <c r="C80" s="3" t="s">
        <v>1163</v>
      </c>
      <c r="D80" s="3" t="s">
        <v>1975</v>
      </c>
      <c r="E80" s="3" t="s">
        <v>1976</v>
      </c>
      <c r="F80" s="3" t="s">
        <v>1513</v>
      </c>
      <c r="G80" s="3" t="s">
        <v>1977</v>
      </c>
      <c r="H80" s="51">
        <v>41691</v>
      </c>
      <c r="J80" s="3">
        <f t="shared" si="20"/>
        <v>31.85</v>
      </c>
      <c r="K80" s="3">
        <f t="shared" si="20"/>
        <v>32.049999999999997</v>
      </c>
      <c r="L80" s="3">
        <f t="shared" si="20"/>
        <v>32.17</v>
      </c>
      <c r="M80" s="3">
        <f t="shared" si="20"/>
        <v>31.7</v>
      </c>
      <c r="P80" s="15" t="s">
        <v>1159</v>
      </c>
      <c r="Q80" s="10" t="str">
        <f t="shared" si="14"/>
        <v xml:space="preserve">LOCALIZA    -ON  </v>
      </c>
      <c r="R80" s="51">
        <f t="shared" si="15"/>
        <v>41691</v>
      </c>
      <c r="S80" s="5">
        <f t="shared" si="16"/>
        <v>31.85</v>
      </c>
      <c r="T80" s="5">
        <f t="shared" si="17"/>
        <v>32.049999999999997</v>
      </c>
      <c r="U80" s="5">
        <f t="shared" si="18"/>
        <v>32.17</v>
      </c>
      <c r="V80" s="5">
        <f t="shared" si="19"/>
        <v>31.7</v>
      </c>
    </row>
    <row r="81" spans="1:22">
      <c r="A81" s="33" t="str">
        <f>IF(Tabela1768[[#This Row],[Código]]="IBOV","^BVSP",IF(Tabela1768[[#This Row],[Código]]="","",CONCATENATE(LEFT(Tabela1768[[#This Row],[Código]],6),".SA")))</f>
        <v>RNAR3.SA</v>
      </c>
      <c r="C81" s="3" t="s">
        <v>884</v>
      </c>
      <c r="D81" s="3" t="s">
        <v>747</v>
      </c>
      <c r="E81" s="3" t="s">
        <v>1450</v>
      </c>
      <c r="F81" s="3" t="s">
        <v>747</v>
      </c>
      <c r="G81" s="3" t="s">
        <v>1450</v>
      </c>
      <c r="H81" s="51">
        <v>41691</v>
      </c>
      <c r="J81" s="3">
        <f t="shared" si="20"/>
        <v>0.17</v>
      </c>
      <c r="K81" s="3">
        <f t="shared" si="20"/>
        <v>0.15</v>
      </c>
      <c r="L81" s="3">
        <f t="shared" si="20"/>
        <v>0.17</v>
      </c>
      <c r="M81" s="3">
        <f t="shared" si="20"/>
        <v>0.15</v>
      </c>
      <c r="P81" s="14" t="s">
        <v>883</v>
      </c>
      <c r="Q81" s="10" t="str">
        <f t="shared" si="14"/>
        <v xml:space="preserve">RENAR       -ON  </v>
      </c>
      <c r="R81" s="51">
        <f t="shared" si="15"/>
        <v>41691</v>
      </c>
      <c r="S81" s="5">
        <f t="shared" si="16"/>
        <v>0.17</v>
      </c>
      <c r="T81" s="5">
        <f t="shared" si="17"/>
        <v>0.15</v>
      </c>
      <c r="U81" s="5">
        <f t="shared" si="18"/>
        <v>0.17</v>
      </c>
      <c r="V81" s="5">
        <f t="shared" si="19"/>
        <v>0.15</v>
      </c>
    </row>
    <row r="82" spans="1:22">
      <c r="A82" s="33" t="str">
        <f>IF(Tabela1768[[#This Row],[Código]]="IBOV","^BVSP",IF(Tabela1768[[#This Row],[Código]]="","",CONCATENATE(LEFT(Tabela1768[[#This Row],[Código]],6),".SA")))</f>
        <v>RSID3.SA</v>
      </c>
      <c r="C82" s="3" t="s">
        <v>1237</v>
      </c>
      <c r="D82" s="3" t="s">
        <v>1978</v>
      </c>
      <c r="E82" s="3" t="s">
        <v>1979</v>
      </c>
      <c r="F82" s="3" t="s">
        <v>1384</v>
      </c>
      <c r="G82" s="3" t="s">
        <v>1980</v>
      </c>
      <c r="H82" s="51">
        <v>41691</v>
      </c>
      <c r="J82" s="3">
        <f t="shared" si="20"/>
        <v>1.73</v>
      </c>
      <c r="K82" s="3">
        <f t="shared" si="20"/>
        <v>1.72</v>
      </c>
      <c r="L82" s="3">
        <f t="shared" si="20"/>
        <v>1.75</v>
      </c>
      <c r="M82" s="3">
        <f t="shared" si="20"/>
        <v>1.69</v>
      </c>
      <c r="P82" s="14" t="s">
        <v>1227</v>
      </c>
      <c r="Q82" s="10" t="str">
        <f t="shared" si="14"/>
        <v xml:space="preserve">ROSSI RESID -ON  </v>
      </c>
      <c r="R82" s="51">
        <f t="shared" si="15"/>
        <v>41691</v>
      </c>
      <c r="S82" s="5">
        <f t="shared" si="16"/>
        <v>1.73</v>
      </c>
      <c r="T82" s="5">
        <f t="shared" si="17"/>
        <v>1.72</v>
      </c>
      <c r="U82" s="5">
        <f t="shared" si="18"/>
        <v>1.75</v>
      </c>
      <c r="V82" s="5">
        <f t="shared" si="19"/>
        <v>1.69</v>
      </c>
    </row>
    <row r="83" spans="1:22">
      <c r="A83" s="33" t="str">
        <f>IF(Tabela1768[[#This Row],[Código]]="IBOV","^BVSP",IF(Tabela1768[[#This Row],[Código]]="","",CONCATENATE(LEFT(Tabela1768[[#This Row],[Código]],6),".SA")))</f>
        <v>SGEN3.SA</v>
      </c>
      <c r="C83" s="3" t="s">
        <v>1239</v>
      </c>
      <c r="D83" s="3" t="s">
        <v>442</v>
      </c>
      <c r="E83" s="3" t="s">
        <v>737</v>
      </c>
      <c r="F83" s="3" t="s">
        <v>737</v>
      </c>
      <c r="G83" s="3" t="s">
        <v>737</v>
      </c>
      <c r="H83" s="51">
        <v>41691</v>
      </c>
      <c r="J83" s="3" t="e">
        <f t="shared" si="20"/>
        <v>#VALUE!</v>
      </c>
      <c r="K83" s="3">
        <f t="shared" si="20"/>
        <v>5</v>
      </c>
      <c r="L83" s="3">
        <f t="shared" si="20"/>
        <v>5</v>
      </c>
      <c r="M83" s="3">
        <f t="shared" si="20"/>
        <v>5</v>
      </c>
      <c r="P83" s="14" t="s">
        <v>1228</v>
      </c>
      <c r="Q83" s="10" t="str">
        <f t="shared" si="14"/>
        <v>SERGEN      -ON *</v>
      </c>
      <c r="R83" s="51">
        <f t="shared" si="15"/>
        <v>41691</v>
      </c>
      <c r="S83" s="5" t="e">
        <f t="shared" si="16"/>
        <v>#VALUE!</v>
      </c>
      <c r="T83" s="5">
        <f t="shared" si="17"/>
        <v>5</v>
      </c>
      <c r="U83" s="5">
        <f t="shared" si="18"/>
        <v>5</v>
      </c>
      <c r="V83" s="5">
        <f t="shared" si="19"/>
        <v>5</v>
      </c>
    </row>
    <row r="84" spans="1:22">
      <c r="A84" s="33" t="str">
        <f>IF(Tabela1768[[#This Row],[Código]]="IBOV","^BVSP",IF(Tabela1768[[#This Row],[Código]]="","",CONCATENATE(LEFT(Tabela1768[[#This Row],[Código]],6),".SA")))</f>
        <v>SGEN4.SA</v>
      </c>
      <c r="C84" s="3" t="s">
        <v>1240</v>
      </c>
      <c r="D84" s="3" t="s">
        <v>442</v>
      </c>
      <c r="E84" s="3" t="s">
        <v>955</v>
      </c>
      <c r="F84" s="3" t="s">
        <v>955</v>
      </c>
      <c r="G84" s="3" t="s">
        <v>955</v>
      </c>
      <c r="H84" s="51">
        <v>41691</v>
      </c>
      <c r="J84" s="3" t="e">
        <f t="shared" si="20"/>
        <v>#VALUE!</v>
      </c>
      <c r="K84" s="3">
        <f t="shared" si="20"/>
        <v>0.6</v>
      </c>
      <c r="L84" s="3">
        <f t="shared" si="20"/>
        <v>0.6</v>
      </c>
      <c r="M84" s="3">
        <f t="shared" si="20"/>
        <v>0.6</v>
      </c>
      <c r="P84" s="14" t="s">
        <v>1229</v>
      </c>
      <c r="Q84" s="10" t="str">
        <f t="shared" si="14"/>
        <v>SERGEN      -PN *</v>
      </c>
      <c r="R84" s="51">
        <f t="shared" si="15"/>
        <v>41691</v>
      </c>
      <c r="S84" s="5" t="e">
        <f t="shared" si="16"/>
        <v>#VALUE!</v>
      </c>
      <c r="T84" s="5">
        <f t="shared" si="17"/>
        <v>0.6</v>
      </c>
      <c r="U84" s="5">
        <f t="shared" si="18"/>
        <v>0.6</v>
      </c>
      <c r="V84" s="5">
        <f t="shared" si="19"/>
        <v>0.6</v>
      </c>
    </row>
    <row r="85" spans="1:22">
      <c r="A85" s="33" t="str">
        <f>IF(Tabela1768[[#This Row],[Código]]="IBOV","^BVSP",IF(Tabela1768[[#This Row],[Código]]="","",CONCATENATE(LEFT(Tabela1768[[#This Row],[Código]],6),".SA")))</f>
        <v>SGPS3.SA</v>
      </c>
      <c r="C85" s="3" t="s">
        <v>1068</v>
      </c>
      <c r="D85" s="3" t="s">
        <v>1981</v>
      </c>
      <c r="E85" s="3" t="s">
        <v>1413</v>
      </c>
      <c r="F85" s="3" t="s">
        <v>1413</v>
      </c>
      <c r="G85" s="3" t="s">
        <v>1981</v>
      </c>
      <c r="H85" s="51">
        <v>41691</v>
      </c>
      <c r="J85" s="3">
        <f t="shared" si="20"/>
        <v>1.37</v>
      </c>
      <c r="K85" s="3">
        <f t="shared" si="20"/>
        <v>1.39</v>
      </c>
      <c r="L85" s="3">
        <f t="shared" si="20"/>
        <v>1.39</v>
      </c>
      <c r="M85" s="3">
        <f t="shared" si="20"/>
        <v>1.37</v>
      </c>
      <c r="P85" s="14" t="s">
        <v>1067</v>
      </c>
      <c r="Q85" s="10" t="str">
        <f t="shared" si="14"/>
        <v xml:space="preserve">SPRINGS     -ON  </v>
      </c>
      <c r="R85" s="51">
        <f t="shared" si="15"/>
        <v>41691</v>
      </c>
      <c r="S85" s="5">
        <f t="shared" si="16"/>
        <v>1.37</v>
      </c>
      <c r="T85" s="5">
        <f t="shared" si="17"/>
        <v>1.39</v>
      </c>
      <c r="U85" s="5">
        <f t="shared" si="18"/>
        <v>1.39</v>
      </c>
      <c r="V85" s="5">
        <f t="shared" si="19"/>
        <v>1.37</v>
      </c>
    </row>
    <row r="86" spans="1:22">
      <c r="A86" s="33" t="str">
        <f>IF(Tabela1768[[#This Row],[Código]]="IBOV","^BVSP",IF(Tabela1768[[#This Row],[Código]]="","",CONCATENATE(LEFT(Tabela1768[[#This Row],[Código]],6),".SA")))</f>
        <v>SHOW3.SA</v>
      </c>
      <c r="C86" s="3" t="s">
        <v>900</v>
      </c>
      <c r="D86" s="3" t="s">
        <v>1160</v>
      </c>
      <c r="E86" s="3" t="s">
        <v>1161</v>
      </c>
      <c r="F86" s="3" t="s">
        <v>1982</v>
      </c>
      <c r="G86" s="3" t="s">
        <v>1983</v>
      </c>
      <c r="H86" s="51">
        <v>41691</v>
      </c>
      <c r="J86" s="3">
        <f t="shared" si="20"/>
        <v>4.55</v>
      </c>
      <c r="K86" s="3">
        <f t="shared" si="20"/>
        <v>4.51</v>
      </c>
      <c r="L86" s="3">
        <f t="shared" si="20"/>
        <v>4.59</v>
      </c>
      <c r="M86" s="3">
        <f t="shared" si="20"/>
        <v>4.46</v>
      </c>
      <c r="P86" s="14" t="s">
        <v>899</v>
      </c>
      <c r="Q86" s="10" t="str">
        <f t="shared" si="14"/>
        <v xml:space="preserve">TIME FOR FUN-ON  </v>
      </c>
      <c r="R86" s="51">
        <f t="shared" si="15"/>
        <v>41691</v>
      </c>
      <c r="S86" s="5">
        <f t="shared" si="16"/>
        <v>4.55</v>
      </c>
      <c r="T86" s="5">
        <f t="shared" si="17"/>
        <v>4.51</v>
      </c>
      <c r="U86" s="5">
        <f t="shared" si="18"/>
        <v>4.59</v>
      </c>
      <c r="V86" s="5">
        <f t="shared" si="19"/>
        <v>4.46</v>
      </c>
    </row>
    <row r="87" spans="1:22">
      <c r="A87" s="33" t="str">
        <f>IF(Tabela1768[[#This Row],[Código]]="IBOV","^BVSP",IF(Tabela1768[[#This Row],[Código]]="","",CONCATENATE(LEFT(Tabela1768[[#This Row],[Código]],6),".SA")))</f>
        <v>SLCE3.SA</v>
      </c>
      <c r="C87" s="3" t="s">
        <v>886</v>
      </c>
      <c r="D87" s="3" t="s">
        <v>1611</v>
      </c>
      <c r="E87" s="3" t="s">
        <v>1984</v>
      </c>
      <c r="F87" s="3" t="s">
        <v>1985</v>
      </c>
      <c r="G87" s="3" t="s">
        <v>1611</v>
      </c>
      <c r="H87" s="51">
        <v>41691</v>
      </c>
      <c r="J87" s="3">
        <f t="shared" si="20"/>
        <v>17.14</v>
      </c>
      <c r="K87" s="3">
        <f t="shared" si="20"/>
        <v>17.64</v>
      </c>
      <c r="L87" s="3">
        <f t="shared" si="20"/>
        <v>17.670000000000002</v>
      </c>
      <c r="M87" s="3">
        <f t="shared" si="20"/>
        <v>17.14</v>
      </c>
      <c r="P87" s="14" t="s">
        <v>885</v>
      </c>
      <c r="Q87" s="10" t="str">
        <f t="shared" si="14"/>
        <v xml:space="preserve">SLC AGRICOLA-ON  </v>
      </c>
      <c r="R87" s="51">
        <f t="shared" si="15"/>
        <v>41691</v>
      </c>
      <c r="S87" s="5">
        <f t="shared" si="16"/>
        <v>17.14</v>
      </c>
      <c r="T87" s="5">
        <f t="shared" si="17"/>
        <v>17.64</v>
      </c>
      <c r="U87" s="5">
        <f t="shared" si="18"/>
        <v>17.670000000000002</v>
      </c>
      <c r="V87" s="5">
        <f t="shared" si="19"/>
        <v>17.14</v>
      </c>
    </row>
    <row r="88" spans="1:22">
      <c r="A88" s="33" t="str">
        <f>IF(Tabela1768[[#This Row],[Código]]="IBOV","^BVSP",IF(Tabela1768[[#This Row],[Código]]="","",CONCATENATE(LEFT(Tabela1768[[#This Row],[Código]],6),".SA")))</f>
        <v>SLED3.SA</v>
      </c>
      <c r="C88" s="3" t="s">
        <v>1113</v>
      </c>
      <c r="D88" s="3" t="s">
        <v>1114</v>
      </c>
      <c r="E88" s="3" t="s">
        <v>1114</v>
      </c>
      <c r="F88" s="3" t="s">
        <v>1114</v>
      </c>
      <c r="G88" s="3" t="s">
        <v>1114</v>
      </c>
      <c r="H88" s="51">
        <v>41691</v>
      </c>
      <c r="J88" s="3">
        <f t="shared" si="20"/>
        <v>18.48</v>
      </c>
      <c r="K88" s="3">
        <f t="shared" si="20"/>
        <v>18.48</v>
      </c>
      <c r="L88" s="3">
        <f t="shared" si="20"/>
        <v>18.48</v>
      </c>
      <c r="M88" s="3">
        <f t="shared" si="20"/>
        <v>18.48</v>
      </c>
      <c r="P88" s="14" t="s">
        <v>1111</v>
      </c>
      <c r="Q88" s="10" t="str">
        <f t="shared" si="14"/>
        <v xml:space="preserve">SARAIVA LIVR-ON  </v>
      </c>
      <c r="R88" s="51">
        <f t="shared" si="15"/>
        <v>41691</v>
      </c>
      <c r="S88" s="5">
        <f t="shared" si="16"/>
        <v>18.48</v>
      </c>
      <c r="T88" s="5">
        <f t="shared" si="17"/>
        <v>18.48</v>
      </c>
      <c r="U88" s="5">
        <f t="shared" si="18"/>
        <v>18.48</v>
      </c>
      <c r="V88" s="5">
        <f t="shared" si="19"/>
        <v>18.48</v>
      </c>
    </row>
    <row r="89" spans="1:22">
      <c r="A89" s="33" t="str">
        <f>IF(Tabela1768[[#This Row],[Código]]="IBOV","^BVSP",IF(Tabela1768[[#This Row],[Código]]="","",CONCATENATE(LEFT(Tabela1768[[#This Row],[Código]],6),".SA")))</f>
        <v>SLED4.SA</v>
      </c>
      <c r="C89" s="3" t="s">
        <v>1115</v>
      </c>
      <c r="D89" s="3" t="s">
        <v>1986</v>
      </c>
      <c r="E89" s="3" t="s">
        <v>234</v>
      </c>
      <c r="F89" s="3" t="s">
        <v>1546</v>
      </c>
      <c r="G89" s="3" t="s">
        <v>1545</v>
      </c>
      <c r="H89" s="51">
        <v>41691</v>
      </c>
      <c r="J89" s="3">
        <f t="shared" si="20"/>
        <v>19.07</v>
      </c>
      <c r="K89" s="3">
        <f t="shared" si="20"/>
        <v>19</v>
      </c>
      <c r="L89" s="3">
        <f t="shared" si="20"/>
        <v>19.14</v>
      </c>
      <c r="M89" s="3">
        <f t="shared" si="20"/>
        <v>18.920000000000002</v>
      </c>
      <c r="P89" s="14" t="s">
        <v>1112</v>
      </c>
      <c r="Q89" s="10" t="str">
        <f t="shared" si="14"/>
        <v xml:space="preserve">SARAIVA LIVR-PN  </v>
      </c>
      <c r="R89" s="51">
        <f t="shared" si="15"/>
        <v>41691</v>
      </c>
      <c r="S89" s="5">
        <f t="shared" si="16"/>
        <v>19.07</v>
      </c>
      <c r="T89" s="5">
        <f t="shared" si="17"/>
        <v>19</v>
      </c>
      <c r="U89" s="5">
        <f t="shared" si="18"/>
        <v>19.14</v>
      </c>
      <c r="V89" s="5">
        <f t="shared" si="19"/>
        <v>18.920000000000002</v>
      </c>
    </row>
    <row r="90" spans="1:22">
      <c r="A90" s="33" t="str">
        <f>IF(Tabela1768[[#This Row],[Código]]="IBOV","^BVSP",IF(Tabela1768[[#This Row],[Código]]="","",CONCATENATE(LEFT(Tabela1768[[#This Row],[Código]],6),".SA")))</f>
        <v>SMTO3.SA</v>
      </c>
      <c r="C90" s="3" t="s">
        <v>271</v>
      </c>
      <c r="D90" s="3" t="s">
        <v>1138</v>
      </c>
      <c r="E90" s="3" t="s">
        <v>1531</v>
      </c>
      <c r="F90" s="3" t="s">
        <v>1138</v>
      </c>
      <c r="G90" s="3" t="s">
        <v>1771</v>
      </c>
      <c r="H90" s="51">
        <v>41691</v>
      </c>
      <c r="J90" s="3">
        <f t="shared" si="20"/>
        <v>27.1</v>
      </c>
      <c r="K90" s="3">
        <f t="shared" si="20"/>
        <v>27.01</v>
      </c>
      <c r="L90" s="3">
        <f t="shared" si="20"/>
        <v>27.1</v>
      </c>
      <c r="M90" s="3">
        <f t="shared" si="20"/>
        <v>26.98</v>
      </c>
      <c r="P90" s="14" t="s">
        <v>270</v>
      </c>
      <c r="Q90" s="10" t="str">
        <f t="shared" si="14"/>
        <v xml:space="preserve">SAO MARTINHO-ON  </v>
      </c>
      <c r="R90" s="46">
        <f t="shared" si="15"/>
        <v>41691</v>
      </c>
      <c r="S90" s="6">
        <f t="shared" si="16"/>
        <v>27.1</v>
      </c>
      <c r="T90" s="6">
        <f t="shared" si="17"/>
        <v>27.01</v>
      </c>
      <c r="U90" s="6">
        <f t="shared" si="18"/>
        <v>27.1</v>
      </c>
      <c r="V90" s="6">
        <f t="shared" si="19"/>
        <v>26.98</v>
      </c>
    </row>
    <row r="91" spans="1:22">
      <c r="A91" s="33" t="str">
        <f>IF(Tabela1768[[#This Row],[Código]]="IBOV","^BVSP",IF(Tabela1768[[#This Row],[Código]]="","",CONCATENATE(LEFT(Tabela1768[[#This Row],[Código]],6),".SA")))</f>
        <v>SPRI3.SA</v>
      </c>
      <c r="C91" s="3" t="s">
        <v>1191</v>
      </c>
      <c r="D91" s="3" t="s">
        <v>1193</v>
      </c>
      <c r="E91" s="3" t="s">
        <v>1987</v>
      </c>
      <c r="F91" s="3" t="s">
        <v>1987</v>
      </c>
      <c r="G91" s="3" t="s">
        <v>1556</v>
      </c>
      <c r="H91" s="51">
        <v>41691</v>
      </c>
      <c r="J91" s="3">
        <f t="shared" si="20"/>
        <v>0.36</v>
      </c>
      <c r="K91" s="3">
        <f t="shared" si="20"/>
        <v>0.38</v>
      </c>
      <c r="L91" s="3">
        <f t="shared" si="20"/>
        <v>0.38</v>
      </c>
      <c r="M91" s="3">
        <f t="shared" si="20"/>
        <v>0.35</v>
      </c>
      <c r="P91" s="15" t="s">
        <v>1188</v>
      </c>
      <c r="Q91" s="10" t="str">
        <f t="shared" si="14"/>
        <v>SPRINGER    -ON</v>
      </c>
      <c r="R91" s="51">
        <f t="shared" si="15"/>
        <v>41691</v>
      </c>
      <c r="S91" s="5">
        <f t="shared" si="16"/>
        <v>0.36</v>
      </c>
      <c r="T91" s="5">
        <f t="shared" si="17"/>
        <v>0.38</v>
      </c>
      <c r="U91" s="5">
        <f t="shared" si="18"/>
        <v>0.38</v>
      </c>
      <c r="V91" s="5">
        <f t="shared" si="19"/>
        <v>0.35</v>
      </c>
    </row>
    <row r="92" spans="1:22">
      <c r="A92" s="33" t="str">
        <f>IF(Tabela1768[[#This Row],[Código]]="IBOV","^BVSP",IF(Tabela1768[[#This Row],[Código]]="","",CONCATENATE(LEFT(Tabela1768[[#This Row],[Código]],6),".SA")))</f>
        <v>SPRI5.SA</v>
      </c>
      <c r="C92" s="3" t="s">
        <v>1192</v>
      </c>
      <c r="D92" s="3" t="s">
        <v>1193</v>
      </c>
      <c r="E92" s="3" t="s">
        <v>1193</v>
      </c>
      <c r="F92" s="3" t="s">
        <v>1193</v>
      </c>
      <c r="G92" s="3" t="s">
        <v>1193</v>
      </c>
      <c r="H92" s="51">
        <v>41691</v>
      </c>
      <c r="J92" s="3">
        <f t="shared" si="20"/>
        <v>0.36</v>
      </c>
      <c r="K92" s="3">
        <f t="shared" si="20"/>
        <v>0.36</v>
      </c>
      <c r="L92" s="3">
        <f t="shared" si="20"/>
        <v>0.36</v>
      </c>
      <c r="M92" s="3">
        <f t="shared" si="20"/>
        <v>0.36</v>
      </c>
      <c r="P92" s="10" t="s">
        <v>1189</v>
      </c>
      <c r="Q92" s="10" t="str">
        <f t="shared" si="14"/>
        <v>SPRINGER    -PNA</v>
      </c>
      <c r="R92" s="51">
        <f t="shared" si="15"/>
        <v>41691</v>
      </c>
      <c r="S92" s="5">
        <f t="shared" si="16"/>
        <v>0.36</v>
      </c>
      <c r="T92" s="5">
        <f t="shared" si="17"/>
        <v>0.36</v>
      </c>
      <c r="U92" s="5">
        <f t="shared" si="18"/>
        <v>0.36</v>
      </c>
      <c r="V92" s="5">
        <f t="shared" si="19"/>
        <v>0.36</v>
      </c>
    </row>
    <row r="93" spans="1:22">
      <c r="A93" s="33" t="str">
        <f>IF(Tabela1768[[#This Row],[Código]]="IBOV","^BVSP",IF(Tabela1768[[#This Row],[Código]]="","",CONCATENATE(LEFT(Tabela1768[[#This Row],[Código]],6),".SA")))</f>
        <v>SPRI6.SA</v>
      </c>
      <c r="C93" s="3" t="s">
        <v>1194</v>
      </c>
      <c r="D93" s="3" t="s">
        <v>1195</v>
      </c>
      <c r="E93" s="3" t="s">
        <v>1195</v>
      </c>
      <c r="F93" s="3" t="s">
        <v>1195</v>
      </c>
      <c r="G93" s="3" t="s">
        <v>1195</v>
      </c>
      <c r="H93" s="51">
        <v>41691</v>
      </c>
      <c r="J93" s="3">
        <f t="shared" si="20"/>
        <v>0.39</v>
      </c>
      <c r="K93" s="3">
        <f t="shared" si="20"/>
        <v>0.39</v>
      </c>
      <c r="L93" s="3">
        <f t="shared" si="20"/>
        <v>0.39</v>
      </c>
      <c r="M93" s="3">
        <f t="shared" si="20"/>
        <v>0.39</v>
      </c>
      <c r="P93" s="10" t="s">
        <v>1190</v>
      </c>
      <c r="Q93" s="10" t="str">
        <f t="shared" si="14"/>
        <v>SPRINGER    -PNB</v>
      </c>
      <c r="R93" s="51">
        <f t="shared" si="15"/>
        <v>41691</v>
      </c>
      <c r="S93" s="5">
        <f t="shared" si="16"/>
        <v>0.39</v>
      </c>
      <c r="T93" s="5">
        <f t="shared" si="17"/>
        <v>0.39</v>
      </c>
      <c r="U93" s="5">
        <f t="shared" si="18"/>
        <v>0.39</v>
      </c>
      <c r="V93" s="5">
        <f t="shared" si="19"/>
        <v>0.39</v>
      </c>
    </row>
    <row r="94" spans="1:22">
      <c r="A94" s="33" t="str">
        <f>IF(Tabela1768[[#This Row],[Código]]="IBOV","^BVSP",IF(Tabela1768[[#This Row],[Código]]="","",CONCATENATE(LEFT(Tabela1768[[#This Row],[Código]],6),".SA")))</f>
        <v>TCSA3.SA</v>
      </c>
      <c r="C94" s="3" t="s">
        <v>1241</v>
      </c>
      <c r="D94" s="3" t="s">
        <v>1988</v>
      </c>
      <c r="E94" s="3" t="s">
        <v>1519</v>
      </c>
      <c r="F94" s="3" t="s">
        <v>1989</v>
      </c>
      <c r="G94" s="3" t="s">
        <v>1662</v>
      </c>
      <c r="H94" s="51">
        <v>41691</v>
      </c>
      <c r="J94" s="3">
        <f t="shared" si="20"/>
        <v>7.48</v>
      </c>
      <c r="K94" s="3">
        <f t="shared" si="20"/>
        <v>7.59</v>
      </c>
      <c r="L94" s="3">
        <f t="shared" si="20"/>
        <v>7.64</v>
      </c>
      <c r="M94" s="3">
        <f t="shared" si="20"/>
        <v>7.39</v>
      </c>
      <c r="P94" s="14" t="s">
        <v>1230</v>
      </c>
      <c r="Q94" s="10" t="str">
        <f t="shared" si="14"/>
        <v xml:space="preserve">TECNISA     -ON  </v>
      </c>
      <c r="R94" s="51">
        <f t="shared" si="15"/>
        <v>41691</v>
      </c>
      <c r="S94" s="5">
        <f t="shared" si="16"/>
        <v>7.48</v>
      </c>
      <c r="T94" s="5">
        <f t="shared" si="17"/>
        <v>7.59</v>
      </c>
      <c r="U94" s="5">
        <f t="shared" si="18"/>
        <v>7.64</v>
      </c>
      <c r="V94" s="5">
        <f t="shared" si="19"/>
        <v>7.39</v>
      </c>
    </row>
    <row r="95" spans="1:22">
      <c r="A95" s="33" t="str">
        <f>IF(Tabela1768[[#This Row],[Código]]="IBOV","^BVSP",IF(Tabela1768[[#This Row],[Código]]="","",CONCATENATE(LEFT(Tabela1768[[#This Row],[Código]],6),".SA")))</f>
        <v>TECN3.SA</v>
      </c>
      <c r="C95" s="3" t="s">
        <v>1097</v>
      </c>
      <c r="D95" s="3" t="s">
        <v>1990</v>
      </c>
      <c r="E95" s="3" t="s">
        <v>1991</v>
      </c>
      <c r="F95" s="3" t="s">
        <v>1991</v>
      </c>
      <c r="G95" s="3" t="s">
        <v>1990</v>
      </c>
      <c r="H95" s="51">
        <v>41691</v>
      </c>
      <c r="J95" s="3">
        <f t="shared" si="20"/>
        <v>14.14</v>
      </c>
      <c r="K95" s="3">
        <f t="shared" si="20"/>
        <v>14.37</v>
      </c>
      <c r="L95" s="3">
        <f t="shared" si="20"/>
        <v>14.37</v>
      </c>
      <c r="M95" s="3">
        <f t="shared" si="20"/>
        <v>14.14</v>
      </c>
      <c r="P95" s="14" t="s">
        <v>1092</v>
      </c>
      <c r="Q95" s="10" t="str">
        <f t="shared" si="14"/>
        <v xml:space="preserve">TECHNOS     -ON  </v>
      </c>
      <c r="R95" s="51">
        <f t="shared" si="15"/>
        <v>41691</v>
      </c>
      <c r="S95" s="5">
        <f t="shared" si="16"/>
        <v>14.14</v>
      </c>
      <c r="T95" s="5">
        <f t="shared" si="17"/>
        <v>14.37</v>
      </c>
      <c r="U95" s="5">
        <f t="shared" si="18"/>
        <v>14.37</v>
      </c>
      <c r="V95" s="5">
        <f t="shared" si="19"/>
        <v>14.14</v>
      </c>
    </row>
    <row r="96" spans="1:22">
      <c r="A96" s="33" t="str">
        <f>IF(Tabela1768[[#This Row],[Código]]="IBOV","^BVSP",IF(Tabela1768[[#This Row],[Código]]="","",CONCATENATE(LEFT(Tabela1768[[#This Row],[Código]],6),".SA")))</f>
        <v>TENE3.SA</v>
      </c>
      <c r="C96" s="3" t="s">
        <v>1074</v>
      </c>
      <c r="D96" s="3" t="s">
        <v>442</v>
      </c>
      <c r="E96" s="3" t="s">
        <v>443</v>
      </c>
      <c r="F96" s="3" t="s">
        <v>442</v>
      </c>
      <c r="G96" s="3" t="s">
        <v>442</v>
      </c>
      <c r="H96" s="51" t="s">
        <v>442</v>
      </c>
      <c r="J96" s="3" t="e">
        <f t="shared" si="20"/>
        <v>#VALUE!</v>
      </c>
      <c r="K96" s="3">
        <f t="shared" si="20"/>
        <v>0</v>
      </c>
      <c r="L96" s="3" t="e">
        <f t="shared" si="20"/>
        <v>#VALUE!</v>
      </c>
      <c r="M96" s="3" t="e">
        <f t="shared" si="20"/>
        <v>#VALUE!</v>
      </c>
      <c r="P96" s="14" t="s">
        <v>1070</v>
      </c>
      <c r="Q96" s="10" t="str">
        <f t="shared" si="14"/>
        <v>TEC BLUMENAU-ON</v>
      </c>
      <c r="R96" s="46" t="str">
        <f t="shared" si="15"/>
        <v>N/A</v>
      </c>
      <c r="S96" s="6" t="e">
        <f t="shared" si="16"/>
        <v>#VALUE!</v>
      </c>
      <c r="T96" s="6">
        <f t="shared" si="17"/>
        <v>0</v>
      </c>
      <c r="U96" s="6" t="e">
        <f t="shared" si="18"/>
        <v>#VALUE!</v>
      </c>
      <c r="V96" s="6" t="e">
        <f t="shared" si="19"/>
        <v>#VALUE!</v>
      </c>
    </row>
    <row r="97" spans="1:22">
      <c r="A97" s="33" t="str">
        <f>IF(Tabela1768[[#This Row],[Código]]="IBOV","^BVSP",IF(Tabela1768[[#This Row],[Código]]="","",CONCATENATE(LEFT(Tabela1768[[#This Row],[Código]],6),".SA")))</f>
        <v>TENE5.SA</v>
      </c>
      <c r="C97" s="3" t="s">
        <v>1075</v>
      </c>
      <c r="D97" s="3" t="s">
        <v>983</v>
      </c>
      <c r="E97" s="3" t="s">
        <v>983</v>
      </c>
      <c r="F97" s="3" t="s">
        <v>983</v>
      </c>
      <c r="G97" s="3" t="s">
        <v>983</v>
      </c>
      <c r="H97" s="51">
        <v>41691</v>
      </c>
      <c r="J97" s="3">
        <f t="shared" si="20"/>
        <v>0.54</v>
      </c>
      <c r="K97" s="3">
        <f t="shared" si="20"/>
        <v>0.54</v>
      </c>
      <c r="L97" s="3">
        <f t="shared" si="20"/>
        <v>0.54</v>
      </c>
      <c r="M97" s="3">
        <f t="shared" si="20"/>
        <v>0.54</v>
      </c>
      <c r="P97" s="14" t="s">
        <v>1071</v>
      </c>
      <c r="Q97" s="10" t="str">
        <f t="shared" si="14"/>
        <v>TEC BLUMENAU-PNA</v>
      </c>
      <c r="R97" s="51">
        <f t="shared" si="15"/>
        <v>41691</v>
      </c>
      <c r="S97" s="5">
        <f t="shared" si="16"/>
        <v>0.54</v>
      </c>
      <c r="T97" s="5">
        <f t="shared" si="17"/>
        <v>0.54</v>
      </c>
      <c r="U97" s="5">
        <f t="shared" si="18"/>
        <v>0.54</v>
      </c>
      <c r="V97" s="5">
        <f t="shared" si="19"/>
        <v>0.54</v>
      </c>
    </row>
    <row r="98" spans="1:22">
      <c r="A98" s="33" t="str">
        <f>IF(Tabela1768[[#This Row],[Código]]="IBOV","^BVSP",IF(Tabela1768[[#This Row],[Código]]="","",CONCATENATE(LEFT(Tabela1768[[#This Row],[Código]],6),".SA")))</f>
        <v>TENE6.SA</v>
      </c>
      <c r="C98" s="3" t="s">
        <v>1076</v>
      </c>
      <c r="D98" s="3" t="s">
        <v>442</v>
      </c>
      <c r="E98" s="3" t="s">
        <v>443</v>
      </c>
      <c r="F98" s="3" t="s">
        <v>442</v>
      </c>
      <c r="G98" s="3" t="s">
        <v>442</v>
      </c>
      <c r="H98" s="51" t="s">
        <v>442</v>
      </c>
      <c r="J98" s="3" t="e">
        <f t="shared" si="20"/>
        <v>#VALUE!</v>
      </c>
      <c r="K98" s="3">
        <f t="shared" si="20"/>
        <v>0</v>
      </c>
      <c r="L98" s="3" t="e">
        <f t="shared" si="20"/>
        <v>#VALUE!</v>
      </c>
      <c r="M98" s="3" t="e">
        <f t="shared" si="20"/>
        <v>#VALUE!</v>
      </c>
      <c r="P98" s="14" t="s">
        <v>1072</v>
      </c>
      <c r="Q98" s="10" t="str">
        <f t="shared" si="14"/>
        <v>TEC BLUMENAU-PNB</v>
      </c>
      <c r="R98" s="51" t="str">
        <f t="shared" si="15"/>
        <v>N/A</v>
      </c>
      <c r="S98" s="5" t="e">
        <f t="shared" si="16"/>
        <v>#VALUE!</v>
      </c>
      <c r="T98" s="5">
        <f t="shared" si="17"/>
        <v>0</v>
      </c>
      <c r="U98" s="5" t="e">
        <f t="shared" si="18"/>
        <v>#VALUE!</v>
      </c>
      <c r="V98" s="5" t="e">
        <f t="shared" si="19"/>
        <v>#VALUE!</v>
      </c>
    </row>
    <row r="99" spans="1:22">
      <c r="A99" s="33" t="str">
        <f>IF(Tabela1768[[#This Row],[Código]]="IBOV","^BVSP",IF(Tabela1768[[#This Row],[Código]]="","",CONCATENATE(LEFT(Tabela1768[[#This Row],[Código]],6),".SA")))</f>
        <v>TENE7.SA</v>
      </c>
      <c r="C99" s="3" t="s">
        <v>1077</v>
      </c>
      <c r="D99" s="3" t="s">
        <v>1078</v>
      </c>
      <c r="E99" s="3" t="s">
        <v>1078</v>
      </c>
      <c r="F99" s="3" t="s">
        <v>1078</v>
      </c>
      <c r="G99" s="3" t="s">
        <v>1078</v>
      </c>
      <c r="H99" s="51">
        <v>41691</v>
      </c>
      <c r="J99" s="3">
        <f t="shared" si="20"/>
        <v>0.78</v>
      </c>
      <c r="K99" s="3">
        <f t="shared" si="20"/>
        <v>0.78</v>
      </c>
      <c r="L99" s="3">
        <f t="shared" si="20"/>
        <v>0.78</v>
      </c>
      <c r="M99" s="3">
        <f t="shared" si="20"/>
        <v>0.78</v>
      </c>
      <c r="P99" s="14" t="s">
        <v>1073</v>
      </c>
      <c r="Q99" s="10" t="str">
        <f t="shared" si="14"/>
        <v>TEC BLUMENAU-PNC</v>
      </c>
      <c r="R99" s="51">
        <f t="shared" si="15"/>
        <v>41691</v>
      </c>
      <c r="S99" s="5">
        <f t="shared" si="16"/>
        <v>0.78</v>
      </c>
      <c r="T99" s="5">
        <f t="shared" si="17"/>
        <v>0.78</v>
      </c>
      <c r="U99" s="5">
        <f t="shared" si="18"/>
        <v>0.78</v>
      </c>
      <c r="V99" s="5">
        <f t="shared" si="19"/>
        <v>0.78</v>
      </c>
    </row>
    <row r="100" spans="1:22">
      <c r="A100" s="33" t="str">
        <f>IF(Tabela1768[[#This Row],[Código]]="IBOV","^BVSP",IF(Tabela1768[[#This Row],[Código]]="","",CONCATENATE(LEFT(Tabela1768[[#This Row],[Código]],6),".SA")))</f>
        <v>TOYB3.SA</v>
      </c>
      <c r="C100" s="3" t="s">
        <v>1015</v>
      </c>
      <c r="D100" s="3" t="s">
        <v>1016</v>
      </c>
      <c r="E100" s="3" t="s">
        <v>1018</v>
      </c>
      <c r="F100" s="3" t="s">
        <v>1016</v>
      </c>
      <c r="G100" s="3" t="s">
        <v>1018</v>
      </c>
      <c r="H100" s="51">
        <v>41691</v>
      </c>
      <c r="J100" s="3">
        <f t="shared" si="20"/>
        <v>0.02</v>
      </c>
      <c r="K100" s="3">
        <f t="shared" si="20"/>
        <v>0.01</v>
      </c>
      <c r="L100" s="3">
        <f t="shared" si="20"/>
        <v>0.02</v>
      </c>
      <c r="M100" s="3">
        <f t="shared" si="20"/>
        <v>0.01</v>
      </c>
      <c r="P100" s="14" t="s">
        <v>1013</v>
      </c>
      <c r="Q100" s="10" t="str">
        <f t="shared" si="14"/>
        <v>TECTOY      -ON *</v>
      </c>
      <c r="R100" s="51">
        <f t="shared" si="15"/>
        <v>41691</v>
      </c>
      <c r="S100" s="5">
        <f t="shared" si="16"/>
        <v>0.02</v>
      </c>
      <c r="T100" s="5">
        <f t="shared" si="17"/>
        <v>0.01</v>
      </c>
      <c r="U100" s="5">
        <f t="shared" si="18"/>
        <v>0.02</v>
      </c>
      <c r="V100" s="5">
        <f t="shared" si="19"/>
        <v>0.01</v>
      </c>
    </row>
    <row r="101" spans="1:22">
      <c r="A101" s="33" t="str">
        <f>IF(Tabela1768[[#This Row],[Código]]="IBOV","^BVSP",IF(Tabela1768[[#This Row],[Código]]="","",CONCATENATE(LEFT(Tabela1768[[#This Row],[Código]],6),".SA")))</f>
        <v>TOYB4.SA</v>
      </c>
      <c r="C101" s="3" t="s">
        <v>1017</v>
      </c>
      <c r="D101" s="3" t="s">
        <v>1016</v>
      </c>
      <c r="E101" s="3" t="s">
        <v>1016</v>
      </c>
      <c r="F101" s="3" t="s">
        <v>1016</v>
      </c>
      <c r="G101" s="3" t="s">
        <v>1016</v>
      </c>
      <c r="H101" s="51">
        <v>41691</v>
      </c>
      <c r="J101" s="3">
        <f t="shared" si="20"/>
        <v>0.02</v>
      </c>
      <c r="K101" s="3">
        <f t="shared" si="20"/>
        <v>0.02</v>
      </c>
      <c r="L101" s="3">
        <f t="shared" si="20"/>
        <v>0.02</v>
      </c>
      <c r="M101" s="3">
        <f t="shared" si="20"/>
        <v>0.02</v>
      </c>
      <c r="P101" s="15" t="s">
        <v>1014</v>
      </c>
      <c r="Q101" s="10" t="str">
        <f t="shared" si="14"/>
        <v>TECTOY      -PN *</v>
      </c>
      <c r="R101" s="51">
        <f t="shared" si="15"/>
        <v>41691</v>
      </c>
      <c r="S101" s="5">
        <f t="shared" si="16"/>
        <v>0.02</v>
      </c>
      <c r="T101" s="5">
        <f t="shared" si="17"/>
        <v>0.02</v>
      </c>
      <c r="U101" s="5">
        <f t="shared" si="18"/>
        <v>0.02</v>
      </c>
      <c r="V101" s="5">
        <f t="shared" si="19"/>
        <v>0.02</v>
      </c>
    </row>
    <row r="102" spans="1:22">
      <c r="A102" s="33" t="str">
        <f>IF(Tabela1768[[#This Row],[Código]]="IBOV","^BVSP",IF(Tabela1768[[#This Row],[Código]]="","",CONCATENATE(LEFT(Tabela1768[[#This Row],[Código]],6),".SA")))</f>
        <v>TRIS3.SA</v>
      </c>
      <c r="C102" s="3" t="s">
        <v>1242</v>
      </c>
      <c r="D102" s="3" t="s">
        <v>1992</v>
      </c>
      <c r="E102" s="3" t="s">
        <v>1992</v>
      </c>
      <c r="F102" s="3" t="s">
        <v>1992</v>
      </c>
      <c r="G102" s="3" t="s">
        <v>1992</v>
      </c>
      <c r="H102" s="51">
        <v>41691</v>
      </c>
      <c r="J102" s="3">
        <f t="shared" si="20"/>
        <v>3.61</v>
      </c>
      <c r="K102" s="3">
        <f t="shared" si="20"/>
        <v>3.61</v>
      </c>
      <c r="L102" s="3">
        <f t="shared" si="20"/>
        <v>3.61</v>
      </c>
      <c r="M102" s="3">
        <f t="shared" si="20"/>
        <v>3.61</v>
      </c>
      <c r="P102" s="15" t="s">
        <v>1231</v>
      </c>
      <c r="Q102" s="10" t="str">
        <f t="shared" si="14"/>
        <v xml:space="preserve">TRISUL      -ON  </v>
      </c>
      <c r="R102" s="51">
        <f t="shared" si="15"/>
        <v>41691</v>
      </c>
      <c r="S102" s="5">
        <f t="shared" si="16"/>
        <v>3.61</v>
      </c>
      <c r="T102" s="5">
        <f t="shared" si="17"/>
        <v>3.61</v>
      </c>
      <c r="U102" s="5">
        <f t="shared" si="18"/>
        <v>3.61</v>
      </c>
      <c r="V102" s="5">
        <f t="shared" si="19"/>
        <v>3.61</v>
      </c>
    </row>
    <row r="103" spans="1:22">
      <c r="A103" s="33" t="str">
        <f>IF(Tabela1768[[#This Row],[Código]]="IBOV","^BVSP",IF(Tabela1768[[#This Row],[Código]]="","",CONCATENATE(LEFT(Tabela1768[[#This Row],[Código]],6),".SA")))</f>
        <v>UCAS3.SA</v>
      </c>
      <c r="C103" s="3" t="s">
        <v>906</v>
      </c>
      <c r="D103" s="3" t="s">
        <v>1160</v>
      </c>
      <c r="E103" s="3" t="s">
        <v>1011</v>
      </c>
      <c r="F103" s="3" t="s">
        <v>1160</v>
      </c>
      <c r="G103" s="3" t="s">
        <v>1562</v>
      </c>
      <c r="H103" s="51">
        <v>41691</v>
      </c>
      <c r="J103" s="3">
        <f t="shared" si="20"/>
        <v>4.55</v>
      </c>
      <c r="K103" s="3">
        <f t="shared" si="20"/>
        <v>4.5</v>
      </c>
      <c r="L103" s="3">
        <f t="shared" si="20"/>
        <v>4.55</v>
      </c>
      <c r="M103" s="3">
        <f t="shared" si="20"/>
        <v>4.4800000000000004</v>
      </c>
      <c r="P103" s="14" t="s">
        <v>905</v>
      </c>
      <c r="Q103" s="10" t="str">
        <f t="shared" ref="Q103:Q112" si="21">IF(A103="","",C103)</f>
        <v xml:space="preserve">UNICASA     -ON  </v>
      </c>
      <c r="R103" s="51">
        <f t="shared" ref="R103:R112" si="22">IF(A103="","",H103)</f>
        <v>41691</v>
      </c>
      <c r="S103" s="5">
        <f t="shared" ref="S103:S112" si="23">J103</f>
        <v>4.55</v>
      </c>
      <c r="T103" s="5">
        <f t="shared" ref="T103:T112" si="24">K103</f>
        <v>4.5</v>
      </c>
      <c r="U103" s="5">
        <f t="shared" ref="U103:U112" si="25">L103</f>
        <v>4.55</v>
      </c>
      <c r="V103" s="5">
        <f t="shared" ref="V103:V112" si="26">M103</f>
        <v>4.4800000000000004</v>
      </c>
    </row>
    <row r="104" spans="1:22">
      <c r="A104" s="33" t="str">
        <f>IF(Tabela1768[[#This Row],[Código]]="IBOV","^BVSP",IF(Tabela1768[[#This Row],[Código]]="","",CONCATENATE(LEFT(Tabela1768[[#This Row],[Código]],6),".SA")))</f>
        <v>VAGR3.SA</v>
      </c>
      <c r="C104" s="3" t="s">
        <v>882</v>
      </c>
      <c r="D104" s="3" t="s">
        <v>987</v>
      </c>
      <c r="E104" s="3" t="s">
        <v>987</v>
      </c>
      <c r="F104" s="3" t="s">
        <v>987</v>
      </c>
      <c r="G104" s="3" t="s">
        <v>194</v>
      </c>
      <c r="H104" s="51">
        <v>41691</v>
      </c>
      <c r="J104" s="3">
        <f t="shared" si="20"/>
        <v>3.09</v>
      </c>
      <c r="K104" s="3">
        <f t="shared" si="20"/>
        <v>3.09</v>
      </c>
      <c r="L104" s="3">
        <f t="shared" si="20"/>
        <v>3.09</v>
      </c>
      <c r="M104" s="3">
        <f t="shared" si="20"/>
        <v>3.08</v>
      </c>
      <c r="P104" s="15" t="s">
        <v>880</v>
      </c>
      <c r="Q104" s="10" t="str">
        <f t="shared" si="21"/>
        <v xml:space="preserve">V-AGRO      -ON  </v>
      </c>
      <c r="R104" s="51">
        <f t="shared" si="22"/>
        <v>41691</v>
      </c>
      <c r="S104" s="5">
        <f t="shared" si="23"/>
        <v>3.09</v>
      </c>
      <c r="T104" s="5">
        <f t="shared" si="24"/>
        <v>3.09</v>
      </c>
      <c r="U104" s="5">
        <f t="shared" si="25"/>
        <v>3.09</v>
      </c>
      <c r="V104" s="5">
        <f t="shared" si="26"/>
        <v>3.08</v>
      </c>
    </row>
    <row r="105" spans="1:22">
      <c r="A105" s="33" t="str">
        <f>IF(Tabela1768[[#This Row],[Código]]="IBOV","^BVSP",IF(Tabela1768[[#This Row],[Código]]="","",CONCATENATE(LEFT(Tabela1768[[#This Row],[Código]],6),".SA")))</f>
        <v>VIVR3.SA</v>
      </c>
      <c r="C105" s="3" t="s">
        <v>1243</v>
      </c>
      <c r="D105" s="3" t="s">
        <v>533</v>
      </c>
      <c r="E105" s="3" t="s">
        <v>747</v>
      </c>
      <c r="F105" s="3" t="s">
        <v>533</v>
      </c>
      <c r="G105" s="3" t="s">
        <v>747</v>
      </c>
      <c r="H105" s="51">
        <v>41691</v>
      </c>
      <c r="J105" s="3">
        <f t="shared" si="20"/>
        <v>0.18</v>
      </c>
      <c r="K105" s="3">
        <f t="shared" si="20"/>
        <v>0.17</v>
      </c>
      <c r="L105" s="3">
        <f t="shared" si="20"/>
        <v>0.18</v>
      </c>
      <c r="M105" s="3">
        <f t="shared" si="20"/>
        <v>0.17</v>
      </c>
      <c r="P105" s="14" t="s">
        <v>1232</v>
      </c>
      <c r="Q105" s="10" t="str">
        <f t="shared" si="21"/>
        <v xml:space="preserve">VIVER       -ON  </v>
      </c>
      <c r="R105" s="51">
        <f t="shared" si="22"/>
        <v>41691</v>
      </c>
      <c r="S105" s="5">
        <f t="shared" si="23"/>
        <v>0.18</v>
      </c>
      <c r="T105" s="5">
        <f t="shared" si="24"/>
        <v>0.17</v>
      </c>
      <c r="U105" s="5">
        <f t="shared" si="25"/>
        <v>0.18</v>
      </c>
      <c r="V105" s="5">
        <f t="shared" si="26"/>
        <v>0.17</v>
      </c>
    </row>
    <row r="106" spans="1:22">
      <c r="A106" s="33" t="str">
        <f>IF(Tabela1768[[#This Row],[Código]]="IBOV","^BVSP",IF(Tabela1768[[#This Row],[Código]]="","",CONCATENATE(LEFT(Tabela1768[[#This Row],[Código]],6),".SA")))</f>
        <v>VVAR11.SA</v>
      </c>
      <c r="C106" s="3" t="s">
        <v>922</v>
      </c>
      <c r="D106" s="3" t="s">
        <v>1993</v>
      </c>
      <c r="E106" s="3" t="s">
        <v>1994</v>
      </c>
      <c r="F106" s="3" t="s">
        <v>1995</v>
      </c>
      <c r="G106" s="3" t="s">
        <v>1996</v>
      </c>
      <c r="H106" s="51">
        <v>41691</v>
      </c>
      <c r="J106" s="3">
        <f t="shared" si="20"/>
        <v>23.49</v>
      </c>
      <c r="K106" s="3">
        <f t="shared" si="20"/>
        <v>23.64</v>
      </c>
      <c r="L106" s="3">
        <f t="shared" si="20"/>
        <v>23.8</v>
      </c>
      <c r="M106" s="3">
        <f t="shared" si="20"/>
        <v>23.13</v>
      </c>
      <c r="P106" s="15" t="s">
        <v>919</v>
      </c>
      <c r="Q106" s="10" t="str">
        <f t="shared" si="21"/>
        <v xml:space="preserve">VIAVAREJO   -UNT </v>
      </c>
      <c r="R106" s="51">
        <f t="shared" si="22"/>
        <v>41691</v>
      </c>
      <c r="S106" s="5">
        <f t="shared" si="23"/>
        <v>23.49</v>
      </c>
      <c r="T106" s="5">
        <f t="shared" si="24"/>
        <v>23.64</v>
      </c>
      <c r="U106" s="5">
        <f t="shared" si="25"/>
        <v>23.8</v>
      </c>
      <c r="V106" s="5">
        <f t="shared" si="26"/>
        <v>23.13</v>
      </c>
    </row>
    <row r="107" spans="1:22">
      <c r="A107" s="33" t="str">
        <f>IF(Tabela1768[[#This Row],[Código]]="IBOV","^BVSP",IF(Tabela1768[[#This Row],[Código]]="","",CONCATENATE(LEFT(Tabela1768[[#This Row],[Código]],6),".SA")))</f>
        <v>VVAR3.SA</v>
      </c>
      <c r="C107" s="3" t="s">
        <v>923</v>
      </c>
      <c r="D107" s="3" t="s">
        <v>1954</v>
      </c>
      <c r="E107" s="3" t="s">
        <v>1954</v>
      </c>
      <c r="F107" s="3" t="s">
        <v>1954</v>
      </c>
      <c r="G107" s="3" t="s">
        <v>1954</v>
      </c>
      <c r="H107" s="51">
        <v>41691</v>
      </c>
      <c r="J107" s="3">
        <f t="shared" si="20"/>
        <v>6.4</v>
      </c>
      <c r="K107" s="3">
        <f t="shared" si="20"/>
        <v>6.4</v>
      </c>
      <c r="L107" s="3">
        <f t="shared" si="20"/>
        <v>6.4</v>
      </c>
      <c r="M107" s="3">
        <f t="shared" si="20"/>
        <v>6.4</v>
      </c>
      <c r="P107" s="14" t="s">
        <v>920</v>
      </c>
      <c r="Q107" s="10" t="str">
        <f t="shared" si="21"/>
        <v xml:space="preserve">VIAVAREJO   -ON  </v>
      </c>
      <c r="R107" s="51">
        <f t="shared" si="22"/>
        <v>41691</v>
      </c>
      <c r="S107" s="5">
        <f t="shared" si="23"/>
        <v>6.4</v>
      </c>
      <c r="T107" s="5">
        <f t="shared" si="24"/>
        <v>6.4</v>
      </c>
      <c r="U107" s="5">
        <f t="shared" si="25"/>
        <v>6.4</v>
      </c>
      <c r="V107" s="5">
        <f t="shared" si="26"/>
        <v>6.4</v>
      </c>
    </row>
    <row r="108" spans="1:22">
      <c r="A108" s="33" t="str">
        <f>IF(Tabela1768[[#This Row],[Código]]="IBOV","^BVSP",IF(Tabela1768[[#This Row],[Código]]="","",CONCATENATE(LEFT(Tabela1768[[#This Row],[Código]],6),".SA")))</f>
        <v>VVAR4.SA</v>
      </c>
      <c r="C108" s="3" t="s">
        <v>924</v>
      </c>
      <c r="D108" s="3" t="s">
        <v>442</v>
      </c>
      <c r="E108" s="3" t="s">
        <v>443</v>
      </c>
      <c r="F108" s="3" t="s">
        <v>442</v>
      </c>
      <c r="G108" s="3" t="s">
        <v>442</v>
      </c>
      <c r="H108" s="51" t="s">
        <v>442</v>
      </c>
      <c r="J108" s="3" t="e">
        <f t="shared" si="20"/>
        <v>#VALUE!</v>
      </c>
      <c r="K108" s="3">
        <f t="shared" si="20"/>
        <v>0</v>
      </c>
      <c r="L108" s="3" t="e">
        <f t="shared" si="20"/>
        <v>#VALUE!</v>
      </c>
      <c r="M108" s="3" t="e">
        <f t="shared" si="20"/>
        <v>#VALUE!</v>
      </c>
      <c r="P108" s="14" t="s">
        <v>921</v>
      </c>
      <c r="Q108" s="10" t="str">
        <f t="shared" si="21"/>
        <v xml:space="preserve">VIAVAREJO   -PN  </v>
      </c>
      <c r="R108" s="51" t="str">
        <f t="shared" si="22"/>
        <v>N/A</v>
      </c>
      <c r="S108" s="5" t="e">
        <f t="shared" si="23"/>
        <v>#VALUE!</v>
      </c>
      <c r="T108" s="5">
        <f t="shared" si="24"/>
        <v>0</v>
      </c>
      <c r="U108" s="5" t="e">
        <f t="shared" si="25"/>
        <v>#VALUE!</v>
      </c>
      <c r="V108" s="5" t="e">
        <f t="shared" si="26"/>
        <v>#VALUE!</v>
      </c>
    </row>
    <row r="109" spans="1:22">
      <c r="A109" s="33" t="str">
        <f>IF(Tabela1768[[#This Row],[Código]]="IBOV","^BVSP",IF(Tabela1768[[#This Row],[Código]]="","",CONCATENATE(LEFT(Tabela1768[[#This Row],[Código]],6),".SA")))</f>
        <v>WHRL3.SA</v>
      </c>
      <c r="C109" s="3" t="s">
        <v>910</v>
      </c>
      <c r="D109" s="3" t="s">
        <v>873</v>
      </c>
      <c r="E109" s="3" t="s">
        <v>873</v>
      </c>
      <c r="F109" s="3" t="s">
        <v>873</v>
      </c>
      <c r="G109" s="3" t="s">
        <v>873</v>
      </c>
      <c r="H109" s="51">
        <v>41691</v>
      </c>
      <c r="J109" s="3">
        <f t="shared" si="20"/>
        <v>3.75</v>
      </c>
      <c r="K109" s="3">
        <f t="shared" si="20"/>
        <v>3.75</v>
      </c>
      <c r="L109" s="3">
        <f t="shared" si="20"/>
        <v>3.75</v>
      </c>
      <c r="M109" s="3">
        <f t="shared" si="20"/>
        <v>3.75</v>
      </c>
      <c r="P109" s="15" t="s">
        <v>908</v>
      </c>
      <c r="Q109" s="10" t="str">
        <f t="shared" si="21"/>
        <v>WHIRLPOOL   -ON</v>
      </c>
      <c r="R109" s="51">
        <f t="shared" si="22"/>
        <v>41691</v>
      </c>
      <c r="S109" s="5">
        <f t="shared" si="23"/>
        <v>3.75</v>
      </c>
      <c r="T109" s="5">
        <f t="shared" si="24"/>
        <v>3.75</v>
      </c>
      <c r="U109" s="5">
        <f t="shared" si="25"/>
        <v>3.75</v>
      </c>
      <c r="V109" s="5">
        <f t="shared" si="26"/>
        <v>3.75</v>
      </c>
    </row>
    <row r="110" spans="1:22">
      <c r="A110" s="33" t="str">
        <f>IF(Tabela1768[[#This Row],[Código]]="IBOV","^BVSP",IF(Tabela1768[[#This Row],[Código]]="","",CONCATENATE(LEFT(Tabela1768[[#This Row],[Código]],6),".SA")))</f>
        <v>WHRL4.SA</v>
      </c>
      <c r="C110" s="3" t="s">
        <v>911</v>
      </c>
      <c r="D110" s="3" t="s">
        <v>189</v>
      </c>
      <c r="E110" s="3" t="s">
        <v>189</v>
      </c>
      <c r="F110" s="3" t="s">
        <v>189</v>
      </c>
      <c r="G110" s="3" t="s">
        <v>1763</v>
      </c>
      <c r="H110" s="51">
        <v>41691</v>
      </c>
      <c r="J110" s="3">
        <f t="shared" si="20"/>
        <v>4</v>
      </c>
      <c r="K110" s="3">
        <f t="shared" si="20"/>
        <v>4</v>
      </c>
      <c r="L110" s="3">
        <f t="shared" si="20"/>
        <v>4</v>
      </c>
      <c r="M110" s="3">
        <f t="shared" si="20"/>
        <v>3.92</v>
      </c>
      <c r="P110" s="10" t="s">
        <v>909</v>
      </c>
      <c r="Q110" s="10" t="str">
        <f t="shared" si="21"/>
        <v>WHIRLPOOL   -PN</v>
      </c>
      <c r="R110" s="51">
        <f t="shared" si="22"/>
        <v>41691</v>
      </c>
      <c r="S110" s="5">
        <f t="shared" si="23"/>
        <v>4</v>
      </c>
      <c r="T110" s="5">
        <f t="shared" si="24"/>
        <v>4</v>
      </c>
      <c r="U110" s="5">
        <f t="shared" si="25"/>
        <v>4</v>
      </c>
      <c r="V110" s="5">
        <f t="shared" si="26"/>
        <v>3.92</v>
      </c>
    </row>
    <row r="111" spans="1:22">
      <c r="A111" s="33" t="str">
        <f>IF(Tabela1768[[#This Row],[Código]]="IBOV","^BVSP",IF(Tabela1768[[#This Row],[Código]]="","",CONCATENATE(LEFT(Tabela1768[[#This Row],[Código]],6),".SA")))</f>
        <v>WMBY3.SA</v>
      </c>
      <c r="C111" s="3" t="s">
        <v>1065</v>
      </c>
      <c r="D111" s="3" t="s">
        <v>442</v>
      </c>
      <c r="E111" s="3" t="s">
        <v>1066</v>
      </c>
      <c r="F111" s="3" t="s">
        <v>1066</v>
      </c>
      <c r="G111" s="3" t="s">
        <v>1066</v>
      </c>
      <c r="H111" s="51">
        <v>41691</v>
      </c>
      <c r="J111" s="3" t="e">
        <f t="shared" si="20"/>
        <v>#VALUE!</v>
      </c>
      <c r="K111" s="3">
        <f t="shared" si="20"/>
        <v>25.39</v>
      </c>
      <c r="L111" s="3">
        <f t="shared" si="20"/>
        <v>25.39</v>
      </c>
      <c r="M111" s="3">
        <f t="shared" si="20"/>
        <v>25.39</v>
      </c>
      <c r="P111" s="10" t="s">
        <v>1064</v>
      </c>
      <c r="Q111" s="10" t="str">
        <f t="shared" si="21"/>
        <v>WEMBLEY     -ON</v>
      </c>
      <c r="R111" s="51">
        <f t="shared" si="22"/>
        <v>41691</v>
      </c>
      <c r="S111" s="5" t="e">
        <f t="shared" si="23"/>
        <v>#VALUE!</v>
      </c>
      <c r="T111" s="5">
        <f t="shared" si="24"/>
        <v>25.39</v>
      </c>
      <c r="U111" s="5">
        <f t="shared" si="25"/>
        <v>25.39</v>
      </c>
      <c r="V111" s="5">
        <f t="shared" si="26"/>
        <v>25.39</v>
      </c>
    </row>
    <row r="112" spans="1:22">
      <c r="A112" s="33" t="str">
        <f>IF(Tabela1768[[#This Row],[Código]]="IBOV","^BVSP",IF(Tabela1768[[#This Row],[Código]]="","",CONCATENATE(LEFT(Tabela1768[[#This Row],[Código]],6),".SA")))</f>
        <v/>
      </c>
      <c r="C112" s="3" t="s">
        <v>101</v>
      </c>
      <c r="H112" s="51"/>
      <c r="J112" s="3">
        <f t="shared" si="20"/>
        <v>0</v>
      </c>
      <c r="K112" s="3">
        <f t="shared" si="20"/>
        <v>0</v>
      </c>
      <c r="L112" s="3">
        <f t="shared" si="20"/>
        <v>0</v>
      </c>
      <c r="M112" s="3">
        <f t="shared" si="20"/>
        <v>0</v>
      </c>
      <c r="Q112" s="10" t="str">
        <f t="shared" si="21"/>
        <v/>
      </c>
      <c r="R112" s="51" t="str">
        <f t="shared" si="22"/>
        <v/>
      </c>
      <c r="S112" s="5">
        <f t="shared" si="23"/>
        <v>0</v>
      </c>
      <c r="T112" s="5">
        <f t="shared" si="24"/>
        <v>0</v>
      </c>
      <c r="U112" s="5">
        <f t="shared" si="25"/>
        <v>0</v>
      </c>
      <c r="V112" s="5">
        <f t="shared" si="26"/>
        <v>0</v>
      </c>
    </row>
    <row r="113" spans="1:22">
      <c r="A113" s="33"/>
      <c r="H113" s="51"/>
      <c r="J113" s="3">
        <f t="shared" si="20"/>
        <v>0</v>
      </c>
      <c r="K113" s="3">
        <f t="shared" si="20"/>
        <v>0</v>
      </c>
      <c r="L113" s="3">
        <f t="shared" si="20"/>
        <v>0</v>
      </c>
      <c r="M113" s="3">
        <f t="shared" si="20"/>
        <v>0</v>
      </c>
      <c r="Q113" s="10" t="str">
        <f t="shared" ref="Q113:Q131" si="27">IF(A117="","",C117)</f>
        <v/>
      </c>
      <c r="R113" s="51" t="str">
        <f t="shared" ref="R113:R131" si="28">IF(A117="","",H117)</f>
        <v/>
      </c>
      <c r="S113" s="5">
        <f t="shared" ref="S113:V131" si="29">J117</f>
        <v>0</v>
      </c>
      <c r="T113" s="5">
        <f t="shared" si="29"/>
        <v>0</v>
      </c>
      <c r="U113" s="5">
        <f t="shared" si="29"/>
        <v>0</v>
      </c>
      <c r="V113" s="5">
        <f t="shared" si="29"/>
        <v>0</v>
      </c>
    </row>
    <row r="114" spans="1:22">
      <c r="A114" s="33"/>
      <c r="J114" s="3">
        <f t="shared" si="20"/>
        <v>0</v>
      </c>
      <c r="K114" s="3">
        <f>IF($A114="",0,VALUE(CONCATENATE(LEFT(E114,LEN(E114)-3),",",RIGHT(E114,2))))</f>
        <v>0</v>
      </c>
      <c r="L114" s="3">
        <f t="shared" si="20"/>
        <v>0</v>
      </c>
      <c r="M114" s="3">
        <f t="shared" si="20"/>
        <v>0</v>
      </c>
      <c r="Q114" s="10" t="str">
        <f t="shared" si="27"/>
        <v/>
      </c>
      <c r="R114" s="51" t="str">
        <f t="shared" si="28"/>
        <v/>
      </c>
      <c r="S114" s="5">
        <f t="shared" si="29"/>
        <v>0</v>
      </c>
      <c r="T114" s="5">
        <f t="shared" si="29"/>
        <v>0</v>
      </c>
      <c r="U114" s="5">
        <f t="shared" si="29"/>
        <v>0</v>
      </c>
      <c r="V114" s="5">
        <f t="shared" si="29"/>
        <v>0</v>
      </c>
    </row>
    <row r="115" spans="1:22">
      <c r="A115" s="33"/>
      <c r="J115" s="3">
        <f t="shared" si="20"/>
        <v>0</v>
      </c>
      <c r="K115" s="3">
        <f t="shared" si="20"/>
        <v>0</v>
      </c>
      <c r="L115" s="3">
        <f t="shared" si="20"/>
        <v>0</v>
      </c>
      <c r="M115" s="3">
        <f t="shared" si="20"/>
        <v>0</v>
      </c>
      <c r="Q115" s="10" t="str">
        <f t="shared" si="27"/>
        <v/>
      </c>
      <c r="R115" s="51" t="str">
        <f t="shared" si="28"/>
        <v/>
      </c>
      <c r="S115" s="5">
        <f t="shared" si="29"/>
        <v>0</v>
      </c>
      <c r="T115" s="5">
        <f t="shared" si="29"/>
        <v>0</v>
      </c>
      <c r="U115" s="5">
        <f t="shared" si="29"/>
        <v>0</v>
      </c>
      <c r="V115" s="5">
        <f t="shared" si="29"/>
        <v>0</v>
      </c>
    </row>
    <row r="116" spans="1:22">
      <c r="A116" s="33"/>
      <c r="J116" s="3">
        <f t="shared" si="20"/>
        <v>0</v>
      </c>
      <c r="K116" s="3">
        <f t="shared" si="20"/>
        <v>0</v>
      </c>
      <c r="L116" s="3">
        <f t="shared" si="20"/>
        <v>0</v>
      </c>
      <c r="M116" s="3">
        <f t="shared" si="20"/>
        <v>0</v>
      </c>
      <c r="Q116" s="10" t="str">
        <f t="shared" si="27"/>
        <v/>
      </c>
      <c r="R116" s="51" t="str">
        <f t="shared" si="28"/>
        <v/>
      </c>
      <c r="S116" s="5">
        <f t="shared" si="29"/>
        <v>0</v>
      </c>
      <c r="T116" s="5">
        <f t="shared" si="29"/>
        <v>0</v>
      </c>
      <c r="U116" s="5">
        <f t="shared" si="29"/>
        <v>0</v>
      </c>
      <c r="V116" s="5">
        <f t="shared" si="29"/>
        <v>0</v>
      </c>
    </row>
    <row r="117" spans="1:22">
      <c r="A117" s="33"/>
      <c r="J117" s="3">
        <f t="shared" si="20"/>
        <v>0</v>
      </c>
      <c r="K117" s="3">
        <f t="shared" si="20"/>
        <v>0</v>
      </c>
      <c r="L117" s="3">
        <f t="shared" si="20"/>
        <v>0</v>
      </c>
      <c r="M117" s="3">
        <f t="shared" si="20"/>
        <v>0</v>
      </c>
      <c r="Q117" s="10" t="e">
        <f t="shared" si="27"/>
        <v>#VALUE!</v>
      </c>
      <c r="R117" s="51" t="e">
        <f t="shared" si="28"/>
        <v>#VALUE!</v>
      </c>
      <c r="S117" s="5" t="e">
        <f t="shared" si="29"/>
        <v>#VALUE!</v>
      </c>
      <c r="T117" s="5" t="e">
        <f t="shared" si="29"/>
        <v>#VALUE!</v>
      </c>
      <c r="U117" s="5" t="e">
        <f t="shared" si="29"/>
        <v>#VALUE!</v>
      </c>
      <c r="V117" s="5" t="e">
        <f t="shared" si="29"/>
        <v>#VALUE!</v>
      </c>
    </row>
    <row r="118" spans="1:22">
      <c r="A118" s="33"/>
      <c r="J118" s="3">
        <f t="shared" si="20"/>
        <v>0</v>
      </c>
      <c r="K118" s="3">
        <f t="shared" si="20"/>
        <v>0</v>
      </c>
      <c r="L118" s="3">
        <f t="shared" si="20"/>
        <v>0</v>
      </c>
      <c r="M118" s="3">
        <f t="shared" si="20"/>
        <v>0</v>
      </c>
      <c r="Q118" s="10" t="e">
        <f t="shared" si="27"/>
        <v>#VALUE!</v>
      </c>
      <c r="R118" s="51" t="e">
        <f t="shared" si="28"/>
        <v>#VALUE!</v>
      </c>
      <c r="S118" s="5" t="e">
        <f t="shared" si="29"/>
        <v>#VALUE!</v>
      </c>
      <c r="T118" s="5" t="e">
        <f t="shared" si="29"/>
        <v>#VALUE!</v>
      </c>
      <c r="U118" s="5" t="e">
        <f t="shared" si="29"/>
        <v>#VALUE!</v>
      </c>
      <c r="V118" s="5" t="e">
        <f t="shared" si="29"/>
        <v>#VALUE!</v>
      </c>
    </row>
    <row r="119" spans="1:22">
      <c r="A119" s="33"/>
      <c r="J119" s="3">
        <f t="shared" si="20"/>
        <v>0</v>
      </c>
      <c r="K119" s="3">
        <f t="shared" si="20"/>
        <v>0</v>
      </c>
      <c r="L119" s="3">
        <f t="shared" si="20"/>
        <v>0</v>
      </c>
      <c r="M119" s="3">
        <f t="shared" si="20"/>
        <v>0</v>
      </c>
      <c r="Q119" s="10" t="e">
        <f t="shared" si="27"/>
        <v>#VALUE!</v>
      </c>
      <c r="R119" s="51" t="e">
        <f t="shared" si="28"/>
        <v>#VALUE!</v>
      </c>
      <c r="S119" s="5" t="e">
        <f t="shared" si="29"/>
        <v>#VALUE!</v>
      </c>
      <c r="T119" s="5" t="e">
        <f t="shared" si="29"/>
        <v>#VALUE!</v>
      </c>
      <c r="U119" s="5" t="e">
        <f t="shared" si="29"/>
        <v>#VALUE!</v>
      </c>
      <c r="V119" s="5" t="e">
        <f t="shared" si="29"/>
        <v>#VALUE!</v>
      </c>
    </row>
    <row r="120" spans="1:22">
      <c r="A120" s="33"/>
      <c r="J120" s="3">
        <f t="shared" si="20"/>
        <v>0</v>
      </c>
      <c r="K120" s="3">
        <f t="shared" si="20"/>
        <v>0</v>
      </c>
      <c r="L120" s="3">
        <f t="shared" si="20"/>
        <v>0</v>
      </c>
      <c r="M120" s="3">
        <f t="shared" si="20"/>
        <v>0</v>
      </c>
      <c r="Q120" s="10" t="e">
        <f t="shared" si="27"/>
        <v>#VALUE!</v>
      </c>
      <c r="R120" s="51" t="e">
        <f t="shared" si="28"/>
        <v>#VALUE!</v>
      </c>
      <c r="S120" s="5" t="e">
        <f t="shared" si="29"/>
        <v>#VALUE!</v>
      </c>
      <c r="T120" s="5" t="e">
        <f t="shared" si="29"/>
        <v>#VALUE!</v>
      </c>
      <c r="U120" s="5" t="e">
        <f t="shared" si="29"/>
        <v>#VALUE!</v>
      </c>
      <c r="V120" s="5" t="e">
        <f t="shared" si="29"/>
        <v>#VALUE!</v>
      </c>
    </row>
    <row r="121" spans="1:22">
      <c r="A121" s="33" t="e">
        <f>IF(Tabela1768[[#This Row],[Código]]="IBOV","^BVSP",IF(Tabela1768[[#This Row],[Código]]="","",CONCATENATE(LEFT(Tabela1768[[#This Row],[Código]],6),".SA")))</f>
        <v>#VALUE!</v>
      </c>
      <c r="J121" s="3" t="e">
        <f t="shared" si="20"/>
        <v>#VALUE!</v>
      </c>
      <c r="K121" s="3" t="e">
        <f t="shared" si="20"/>
        <v>#VALUE!</v>
      </c>
      <c r="L121" s="3" t="e">
        <f t="shared" si="20"/>
        <v>#VALUE!</v>
      </c>
      <c r="M121" s="3" t="e">
        <f t="shared" si="20"/>
        <v>#VALUE!</v>
      </c>
      <c r="Q121" s="10" t="e">
        <f t="shared" si="27"/>
        <v>#VALUE!</v>
      </c>
      <c r="R121" s="51" t="e">
        <f t="shared" si="28"/>
        <v>#VALUE!</v>
      </c>
      <c r="S121" s="5" t="e">
        <f t="shared" si="29"/>
        <v>#VALUE!</v>
      </c>
      <c r="T121" s="5" t="e">
        <f t="shared" si="29"/>
        <v>#VALUE!</v>
      </c>
      <c r="U121" s="5" t="e">
        <f t="shared" si="29"/>
        <v>#VALUE!</v>
      </c>
      <c r="V121" s="5" t="e">
        <f t="shared" si="29"/>
        <v>#VALUE!</v>
      </c>
    </row>
    <row r="122" spans="1:22">
      <c r="A122" s="33" t="e">
        <f>IF(Tabela1768[[#This Row],[Código]]="IBOV","^BVSP",IF(Tabela1768[[#This Row],[Código]]="","",CONCATENATE(LEFT(Tabela1768[[#This Row],[Código]],6),".SA")))</f>
        <v>#VALUE!</v>
      </c>
      <c r="J122" s="3" t="e">
        <f t="shared" si="20"/>
        <v>#VALUE!</v>
      </c>
      <c r="K122" s="3" t="e">
        <f t="shared" si="20"/>
        <v>#VALUE!</v>
      </c>
      <c r="L122" s="3" t="e">
        <f t="shared" si="20"/>
        <v>#VALUE!</v>
      </c>
      <c r="M122" s="3" t="e">
        <f t="shared" si="20"/>
        <v>#VALUE!</v>
      </c>
      <c r="Q122" s="10" t="e">
        <f t="shared" si="27"/>
        <v>#VALUE!</v>
      </c>
      <c r="R122" s="51" t="e">
        <f t="shared" si="28"/>
        <v>#VALUE!</v>
      </c>
      <c r="S122" s="5" t="e">
        <f t="shared" si="29"/>
        <v>#VALUE!</v>
      </c>
      <c r="T122" s="5" t="e">
        <f t="shared" si="29"/>
        <v>#VALUE!</v>
      </c>
      <c r="U122" s="5" t="e">
        <f t="shared" si="29"/>
        <v>#VALUE!</v>
      </c>
      <c r="V122" s="5" t="e">
        <f t="shared" si="29"/>
        <v>#VALUE!</v>
      </c>
    </row>
    <row r="123" spans="1:22">
      <c r="A123" s="33" t="e">
        <f>IF(Tabela1768[[#This Row],[Código]]="IBOV","^BVSP",IF(Tabela1768[[#This Row],[Código]]="","",CONCATENATE(LEFT(Tabela1768[[#This Row],[Código]],6),".SA")))</f>
        <v>#VALUE!</v>
      </c>
      <c r="J123" s="3" t="e">
        <f>IF($A123="",0,VALUE(CONCATENATE(LEFT(D123,LEN(D123)-3),",",RIGHT(D123,2))))</f>
        <v>#VALUE!</v>
      </c>
      <c r="K123" s="3" t="e">
        <f t="shared" si="20"/>
        <v>#VALUE!</v>
      </c>
      <c r="L123" s="3" t="e">
        <f t="shared" si="20"/>
        <v>#VALUE!</v>
      </c>
      <c r="M123" s="3" t="e">
        <f t="shared" si="20"/>
        <v>#VALUE!</v>
      </c>
      <c r="Q123" s="10" t="e">
        <f t="shared" si="27"/>
        <v>#VALUE!</v>
      </c>
      <c r="R123" s="51" t="e">
        <f t="shared" si="28"/>
        <v>#VALUE!</v>
      </c>
      <c r="S123" s="5" t="e">
        <f t="shared" si="29"/>
        <v>#VALUE!</v>
      </c>
      <c r="T123" s="5" t="e">
        <f t="shared" si="29"/>
        <v>#VALUE!</v>
      </c>
      <c r="U123" s="5" t="e">
        <f t="shared" si="29"/>
        <v>#VALUE!</v>
      </c>
      <c r="V123" s="5" t="e">
        <f t="shared" si="29"/>
        <v>#VALUE!</v>
      </c>
    </row>
    <row r="124" spans="1:22">
      <c r="A124" s="33" t="e">
        <f>IF(Tabela1768[[#This Row],[Código]]="IBOV","^BVSP",IF(Tabela1768[[#This Row],[Código]]="","",CONCATENATE(LEFT(Tabela1768[[#This Row],[Código]],6),".SA")))</f>
        <v>#VALUE!</v>
      </c>
      <c r="J124" s="3" t="e">
        <f t="shared" si="20"/>
        <v>#VALUE!</v>
      </c>
      <c r="K124" s="3" t="e">
        <f t="shared" si="20"/>
        <v>#VALUE!</v>
      </c>
      <c r="L124" s="3" t="e">
        <f t="shared" si="20"/>
        <v>#VALUE!</v>
      </c>
      <c r="M124" s="3" t="e">
        <f t="shared" si="20"/>
        <v>#VALUE!</v>
      </c>
      <c r="Q124" s="10" t="e">
        <f t="shared" si="27"/>
        <v>#VALUE!</v>
      </c>
      <c r="R124" s="51" t="e">
        <f t="shared" si="28"/>
        <v>#VALUE!</v>
      </c>
      <c r="S124" s="5" t="e">
        <f t="shared" si="29"/>
        <v>#VALUE!</v>
      </c>
      <c r="T124" s="5" t="e">
        <f t="shared" si="29"/>
        <v>#VALUE!</v>
      </c>
      <c r="U124" s="5" t="e">
        <f t="shared" si="29"/>
        <v>#VALUE!</v>
      </c>
      <c r="V124" s="5" t="e">
        <f t="shared" si="29"/>
        <v>#VALUE!</v>
      </c>
    </row>
    <row r="125" spans="1:22">
      <c r="A125" s="33" t="e">
        <f>IF(Tabela1768[[#This Row],[Código]]="IBOV","^BVSP",IF(Tabela1768[[#This Row],[Código]]="","",CONCATENATE(LEFT(Tabela1768[[#This Row],[Código]],6),".SA")))</f>
        <v>#VALUE!</v>
      </c>
      <c r="J125" s="3" t="e">
        <f t="shared" si="20"/>
        <v>#VALUE!</v>
      </c>
      <c r="K125" s="3" t="e">
        <f t="shared" si="20"/>
        <v>#VALUE!</v>
      </c>
      <c r="L125" s="3" t="e">
        <f t="shared" si="20"/>
        <v>#VALUE!</v>
      </c>
      <c r="M125" s="3" t="e">
        <f t="shared" si="20"/>
        <v>#VALUE!</v>
      </c>
      <c r="Q125" s="10" t="e">
        <f t="shared" si="27"/>
        <v>#VALUE!</v>
      </c>
      <c r="R125" s="51" t="e">
        <f t="shared" si="28"/>
        <v>#VALUE!</v>
      </c>
      <c r="S125" s="5" t="e">
        <f t="shared" si="29"/>
        <v>#VALUE!</v>
      </c>
      <c r="T125" s="5" t="e">
        <f t="shared" si="29"/>
        <v>#VALUE!</v>
      </c>
      <c r="U125" s="5" t="e">
        <f t="shared" si="29"/>
        <v>#VALUE!</v>
      </c>
      <c r="V125" s="5" t="e">
        <f t="shared" si="29"/>
        <v>#VALUE!</v>
      </c>
    </row>
    <row r="126" spans="1:22">
      <c r="A126" s="33" t="e">
        <f>IF(Tabela1768[[#This Row],[Código]]="IBOV","^BVSP",IF(Tabela1768[[#This Row],[Código]]="","",CONCATENATE(LEFT(Tabela1768[[#This Row],[Código]],6),".SA")))</f>
        <v>#VALUE!</v>
      </c>
      <c r="J126" s="3" t="e">
        <f t="shared" si="20"/>
        <v>#VALUE!</v>
      </c>
      <c r="K126" s="3" t="e">
        <f t="shared" si="20"/>
        <v>#VALUE!</v>
      </c>
      <c r="L126" s="3" t="e">
        <f t="shared" si="20"/>
        <v>#VALUE!</v>
      </c>
      <c r="M126" s="3" t="e">
        <f t="shared" si="20"/>
        <v>#VALUE!</v>
      </c>
      <c r="Q126" s="10" t="e">
        <f t="shared" si="27"/>
        <v>#VALUE!</v>
      </c>
      <c r="R126" s="51" t="e">
        <f t="shared" si="28"/>
        <v>#VALUE!</v>
      </c>
      <c r="S126" s="5" t="e">
        <f t="shared" si="29"/>
        <v>#VALUE!</v>
      </c>
      <c r="T126" s="5" t="e">
        <f t="shared" si="29"/>
        <v>#VALUE!</v>
      </c>
      <c r="U126" s="5" t="e">
        <f t="shared" si="29"/>
        <v>#VALUE!</v>
      </c>
      <c r="V126" s="5" t="e">
        <f t="shared" si="29"/>
        <v>#VALUE!</v>
      </c>
    </row>
    <row r="127" spans="1:22">
      <c r="A127" s="33" t="e">
        <f>IF(Tabela1768[[#This Row],[Código]]="IBOV","^BVSP",IF(Tabela1768[[#This Row],[Código]]="","",CONCATENATE(LEFT(Tabela1768[[#This Row],[Código]],6),".SA")))</f>
        <v>#VALUE!</v>
      </c>
      <c r="J127" s="3" t="e">
        <f t="shared" si="20"/>
        <v>#VALUE!</v>
      </c>
      <c r="K127" s="3" t="e">
        <f t="shared" si="20"/>
        <v>#VALUE!</v>
      </c>
      <c r="L127" s="3" t="e">
        <f t="shared" si="20"/>
        <v>#VALUE!</v>
      </c>
      <c r="M127" s="3" t="e">
        <f t="shared" si="20"/>
        <v>#VALUE!</v>
      </c>
      <c r="Q127" s="10" t="e">
        <f t="shared" si="27"/>
        <v>#VALUE!</v>
      </c>
      <c r="R127" s="51" t="e">
        <f t="shared" si="28"/>
        <v>#VALUE!</v>
      </c>
      <c r="S127" s="5" t="e">
        <f t="shared" si="29"/>
        <v>#VALUE!</v>
      </c>
      <c r="T127" s="5" t="e">
        <f t="shared" si="29"/>
        <v>#VALUE!</v>
      </c>
      <c r="U127" s="5" t="e">
        <f t="shared" si="29"/>
        <v>#VALUE!</v>
      </c>
      <c r="V127" s="5" t="e">
        <f t="shared" si="29"/>
        <v>#VALUE!</v>
      </c>
    </row>
    <row r="128" spans="1:22">
      <c r="A128" s="33" t="e">
        <f>IF(Tabela1768[[#This Row],[Código]]="IBOV","^BVSP",IF(Tabela1768[[#This Row],[Código]]="","",CONCATENATE(LEFT(Tabela1768[[#This Row],[Código]],6),".SA")))</f>
        <v>#VALUE!</v>
      </c>
      <c r="J128" s="3" t="e">
        <f t="shared" si="20"/>
        <v>#VALUE!</v>
      </c>
      <c r="K128" s="3" t="e">
        <f t="shared" si="20"/>
        <v>#VALUE!</v>
      </c>
      <c r="L128" s="3" t="e">
        <f t="shared" si="20"/>
        <v>#VALUE!</v>
      </c>
      <c r="M128" s="3" t="e">
        <f t="shared" si="20"/>
        <v>#VALUE!</v>
      </c>
      <c r="Q128" s="10" t="e">
        <f t="shared" si="27"/>
        <v>#VALUE!</v>
      </c>
      <c r="R128" s="51" t="e">
        <f t="shared" si="28"/>
        <v>#VALUE!</v>
      </c>
      <c r="S128" s="5" t="e">
        <f t="shared" si="29"/>
        <v>#VALUE!</v>
      </c>
      <c r="T128" s="5" t="e">
        <f t="shared" si="29"/>
        <v>#VALUE!</v>
      </c>
      <c r="U128" s="5" t="e">
        <f t="shared" si="29"/>
        <v>#VALUE!</v>
      </c>
      <c r="V128" s="5" t="e">
        <f t="shared" si="29"/>
        <v>#VALUE!</v>
      </c>
    </row>
    <row r="129" spans="1:22">
      <c r="A129" s="33" t="e">
        <f>IF(Tabela1768[[#This Row],[Código]]="IBOV","^BVSP",IF(Tabela1768[[#This Row],[Código]]="","",CONCATENATE(LEFT(Tabela1768[[#This Row],[Código]],6),".SA")))</f>
        <v>#VALUE!</v>
      </c>
      <c r="J129" s="3" t="e">
        <f t="shared" si="20"/>
        <v>#VALUE!</v>
      </c>
      <c r="K129" s="3" t="e">
        <f t="shared" si="20"/>
        <v>#VALUE!</v>
      </c>
      <c r="L129" s="3" t="e">
        <f t="shared" si="20"/>
        <v>#VALUE!</v>
      </c>
      <c r="M129" s="3" t="e">
        <f t="shared" si="20"/>
        <v>#VALUE!</v>
      </c>
      <c r="P129" s="4"/>
      <c r="Q129" s="10" t="e">
        <f t="shared" si="27"/>
        <v>#VALUE!</v>
      </c>
      <c r="R129" s="51" t="e">
        <f t="shared" si="28"/>
        <v>#VALUE!</v>
      </c>
      <c r="S129" s="5" t="e">
        <f t="shared" si="29"/>
        <v>#VALUE!</v>
      </c>
      <c r="T129" s="5" t="e">
        <f t="shared" si="29"/>
        <v>#VALUE!</v>
      </c>
      <c r="U129" s="5" t="e">
        <f t="shared" si="29"/>
        <v>#VALUE!</v>
      </c>
      <c r="V129" s="5" t="e">
        <f t="shared" si="29"/>
        <v>#VALUE!</v>
      </c>
    </row>
    <row r="130" spans="1:22">
      <c r="A130" s="33" t="e">
        <f>IF(Tabela1768[[#This Row],[Código]]="IBOV","^BVSP",IF(Tabela1768[[#This Row],[Código]]="","",CONCATENATE(LEFT(Tabela1768[[#This Row],[Código]],6),".SA")))</f>
        <v>#VALUE!</v>
      </c>
      <c r="J130" s="3" t="e">
        <f t="shared" si="20"/>
        <v>#VALUE!</v>
      </c>
      <c r="K130" s="3" t="e">
        <f t="shared" si="20"/>
        <v>#VALUE!</v>
      </c>
      <c r="L130" s="3" t="e">
        <f t="shared" si="20"/>
        <v>#VALUE!</v>
      </c>
      <c r="M130" s="3" t="e">
        <f t="shared" si="20"/>
        <v>#VALUE!</v>
      </c>
      <c r="P130" s="10"/>
      <c r="Q130" s="10" t="str">
        <f t="shared" si="27"/>
        <v/>
      </c>
      <c r="R130" s="51" t="str">
        <f t="shared" si="28"/>
        <v/>
      </c>
      <c r="S130" s="5">
        <f t="shared" si="29"/>
        <v>0</v>
      </c>
      <c r="T130" s="5">
        <f t="shared" si="29"/>
        <v>0</v>
      </c>
      <c r="U130" s="5">
        <f t="shared" si="29"/>
        <v>0</v>
      </c>
      <c r="V130" s="5">
        <f t="shared" si="29"/>
        <v>0</v>
      </c>
    </row>
    <row r="131" spans="1:22">
      <c r="A131" s="33" t="e">
        <f>IF(Tabela1768[[#This Row],[Código]]="IBOV","^BVSP",IF(Tabela1768[[#This Row],[Código]]="","",CONCATENATE(LEFT(Tabela1768[[#This Row],[Código]],6),".SA")))</f>
        <v>#VALUE!</v>
      </c>
      <c r="J131" s="3" t="e">
        <f t="shared" si="20"/>
        <v>#VALUE!</v>
      </c>
      <c r="K131" s="3" t="e">
        <f t="shared" si="20"/>
        <v>#VALUE!</v>
      </c>
      <c r="L131" s="3" t="e">
        <f t="shared" si="20"/>
        <v>#VALUE!</v>
      </c>
      <c r="M131" s="3" t="e">
        <f t="shared" si="20"/>
        <v>#VALUE!</v>
      </c>
      <c r="Q131" s="10" t="str">
        <f t="shared" si="27"/>
        <v/>
      </c>
      <c r="R131" s="51" t="str">
        <f t="shared" si="28"/>
        <v/>
      </c>
      <c r="S131" s="5">
        <f t="shared" si="29"/>
        <v>0</v>
      </c>
      <c r="T131" s="5">
        <f t="shared" si="29"/>
        <v>0</v>
      </c>
      <c r="U131" s="5">
        <f t="shared" si="29"/>
        <v>0</v>
      </c>
      <c r="V131" s="5">
        <f t="shared" si="29"/>
        <v>0</v>
      </c>
    </row>
    <row r="132" spans="1:22">
      <c r="A132" s="33" t="e">
        <f>IF(Tabela1768[[#This Row],[Código]]="IBOV","^BVSP",IF(Tabela1768[[#This Row],[Código]]="","",CONCATENATE(LEFT(Tabela1768[[#This Row],[Código]],6),".SA")))</f>
        <v>#VALUE!</v>
      </c>
      <c r="J132" s="3" t="e">
        <f t="shared" si="20"/>
        <v>#VALUE!</v>
      </c>
      <c r="K132" s="3" t="e">
        <f t="shared" si="20"/>
        <v>#VALUE!</v>
      </c>
      <c r="L132" s="3" t="e">
        <f t="shared" si="20"/>
        <v>#VALUE!</v>
      </c>
      <c r="M132" s="3" t="e">
        <f t="shared" si="20"/>
        <v>#VALUE!</v>
      </c>
      <c r="P132" s="3" t="str">
        <f>IF([1]Patrimonio!C143="","",[1]Patrimonio!C143)</f>
        <v/>
      </c>
      <c r="Q132" s="3" t="str">
        <f t="shared" ref="Q132:Q158" si="30">IF(A148="","",C149)</f>
        <v/>
      </c>
      <c r="R132" s="51" t="str">
        <f t="shared" ref="R132:R158" si="31">IF(A148="","",H148)</f>
        <v/>
      </c>
      <c r="S132" s="5">
        <f t="shared" ref="S132:V147" si="32">J148</f>
        <v>0</v>
      </c>
      <c r="T132" s="5">
        <f t="shared" si="32"/>
        <v>0</v>
      </c>
      <c r="U132" s="5">
        <f t="shared" si="32"/>
        <v>0</v>
      </c>
      <c r="V132" s="5">
        <f t="shared" si="32"/>
        <v>0</v>
      </c>
    </row>
    <row r="133" spans="1:22">
      <c r="A133" s="33" t="e">
        <f>IF(Tabela1768[[#This Row],[Código]]="IBOV","^BVSP",IF(Tabela1768[[#This Row],[Código]]="","",CONCATENATE(LEFT(Tabela1768[[#This Row],[Código]],6),".SA")))</f>
        <v>#VALUE!</v>
      </c>
      <c r="J133" s="3" t="e">
        <f t="shared" si="20"/>
        <v>#VALUE!</v>
      </c>
      <c r="K133" s="3" t="e">
        <f t="shared" si="20"/>
        <v>#VALUE!</v>
      </c>
      <c r="L133" s="3" t="e">
        <f t="shared" si="20"/>
        <v>#VALUE!</v>
      </c>
      <c r="M133" s="3" t="e">
        <f t="shared" si="20"/>
        <v>#VALUE!</v>
      </c>
      <c r="P133" s="3" t="str">
        <f>IF([1]Patrimonio!C144="","",[1]Patrimonio!C144)</f>
        <v/>
      </c>
      <c r="Q133" s="3" t="str">
        <f t="shared" si="30"/>
        <v/>
      </c>
      <c r="R133" s="51" t="str">
        <f t="shared" si="31"/>
        <v/>
      </c>
      <c r="S133" s="5">
        <f t="shared" si="32"/>
        <v>0</v>
      </c>
      <c r="T133" s="5">
        <f t="shared" si="32"/>
        <v>0</v>
      </c>
      <c r="U133" s="5">
        <f t="shared" si="32"/>
        <v>0</v>
      </c>
      <c r="V133" s="5">
        <f t="shared" si="32"/>
        <v>0</v>
      </c>
    </row>
    <row r="134" spans="1:22">
      <c r="A134" s="33"/>
      <c r="J134" s="3">
        <f t="shared" si="20"/>
        <v>0</v>
      </c>
      <c r="K134" s="3">
        <f t="shared" si="20"/>
        <v>0</v>
      </c>
      <c r="L134" s="3">
        <f t="shared" si="20"/>
        <v>0</v>
      </c>
      <c r="M134" s="3">
        <f t="shared" si="20"/>
        <v>0</v>
      </c>
      <c r="P134" s="3" t="str">
        <f>IF([1]Patrimonio!C145="","",[1]Patrimonio!C145)</f>
        <v/>
      </c>
      <c r="Q134" s="3" t="str">
        <f t="shared" si="30"/>
        <v/>
      </c>
      <c r="R134" s="51" t="str">
        <f t="shared" si="31"/>
        <v/>
      </c>
      <c r="S134" s="5">
        <f t="shared" si="32"/>
        <v>0</v>
      </c>
      <c r="T134" s="5">
        <f t="shared" si="32"/>
        <v>0</v>
      </c>
      <c r="U134" s="5">
        <f t="shared" si="32"/>
        <v>0</v>
      </c>
      <c r="V134" s="5">
        <f t="shared" si="32"/>
        <v>0</v>
      </c>
    </row>
    <row r="135" spans="1:22">
      <c r="A135" s="33"/>
      <c r="J135" s="3">
        <f t="shared" si="20"/>
        <v>0</v>
      </c>
      <c r="K135" s="3">
        <f t="shared" si="20"/>
        <v>0</v>
      </c>
      <c r="L135" s="3">
        <f t="shared" si="20"/>
        <v>0</v>
      </c>
      <c r="M135" s="3">
        <f t="shared" si="20"/>
        <v>0</v>
      </c>
      <c r="P135" s="3" t="str">
        <f>IF([1]Patrimonio!C146="","",[1]Patrimonio!C146)</f>
        <v/>
      </c>
      <c r="Q135" s="3" t="str">
        <f t="shared" si="30"/>
        <v/>
      </c>
      <c r="R135" s="51" t="str">
        <f t="shared" si="31"/>
        <v/>
      </c>
      <c r="S135" s="5">
        <f t="shared" si="32"/>
        <v>0</v>
      </c>
      <c r="T135" s="5">
        <f t="shared" si="32"/>
        <v>0</v>
      </c>
      <c r="U135" s="5">
        <f t="shared" si="32"/>
        <v>0</v>
      </c>
      <c r="V135" s="5">
        <f t="shared" si="32"/>
        <v>0</v>
      </c>
    </row>
    <row r="136" spans="1:22">
      <c r="A136" s="33"/>
      <c r="J136" s="3">
        <f t="shared" ref="J136:M172" si="33">IF($A136="",0,VALUE(CONCATENATE(LEFT(D136,LEN(D136)-3),",",RIGHT(D136,2))))</f>
        <v>0</v>
      </c>
      <c r="K136" s="3">
        <f t="shared" si="33"/>
        <v>0</v>
      </c>
      <c r="L136" s="3">
        <f t="shared" si="33"/>
        <v>0</v>
      </c>
      <c r="M136" s="3">
        <f t="shared" si="33"/>
        <v>0</v>
      </c>
      <c r="P136" s="3" t="str">
        <f>IF([1]Patrimonio!C147="","",[1]Patrimonio!C147)</f>
        <v/>
      </c>
      <c r="Q136" s="3" t="str">
        <f t="shared" si="30"/>
        <v/>
      </c>
      <c r="R136" s="51" t="str">
        <f t="shared" si="31"/>
        <v/>
      </c>
      <c r="S136" s="5">
        <f t="shared" si="32"/>
        <v>0</v>
      </c>
      <c r="T136" s="5">
        <f t="shared" si="32"/>
        <v>0</v>
      </c>
      <c r="U136" s="5">
        <f t="shared" si="32"/>
        <v>0</v>
      </c>
      <c r="V136" s="5">
        <f t="shared" si="32"/>
        <v>0</v>
      </c>
    </row>
    <row r="137" spans="1:22">
      <c r="A137" s="33"/>
      <c r="J137" s="3">
        <f t="shared" si="33"/>
        <v>0</v>
      </c>
      <c r="K137" s="3">
        <f t="shared" si="33"/>
        <v>0</v>
      </c>
      <c r="L137" s="3">
        <f t="shared" si="33"/>
        <v>0</v>
      </c>
      <c r="M137" s="3">
        <f t="shared" si="33"/>
        <v>0</v>
      </c>
      <c r="P137" s="3" t="str">
        <f>IF([1]Patrimonio!C148="","",[1]Patrimonio!C148)</f>
        <v/>
      </c>
      <c r="Q137" s="3" t="str">
        <f t="shared" si="30"/>
        <v/>
      </c>
      <c r="R137" s="51" t="str">
        <f t="shared" si="31"/>
        <v/>
      </c>
      <c r="S137" s="5">
        <f t="shared" si="32"/>
        <v>0</v>
      </c>
      <c r="T137" s="5">
        <f t="shared" si="32"/>
        <v>0</v>
      </c>
      <c r="U137" s="5">
        <f t="shared" si="32"/>
        <v>0</v>
      </c>
      <c r="V137" s="5">
        <f t="shared" si="32"/>
        <v>0</v>
      </c>
    </row>
    <row r="138" spans="1:22">
      <c r="A138" s="33"/>
      <c r="J138" s="3">
        <f t="shared" si="33"/>
        <v>0</v>
      </c>
      <c r="K138" s="3">
        <f t="shared" si="33"/>
        <v>0</v>
      </c>
      <c r="L138" s="3">
        <f t="shared" si="33"/>
        <v>0</v>
      </c>
      <c r="M138" s="3">
        <f t="shared" si="33"/>
        <v>0</v>
      </c>
      <c r="P138" s="3" t="str">
        <f>IF([1]Patrimonio!C149="","",[1]Patrimonio!C149)</f>
        <v/>
      </c>
      <c r="Q138" s="3" t="str">
        <f t="shared" si="30"/>
        <v/>
      </c>
      <c r="R138" s="51" t="str">
        <f t="shared" si="31"/>
        <v/>
      </c>
      <c r="S138" s="5">
        <f t="shared" si="32"/>
        <v>0</v>
      </c>
      <c r="T138" s="5">
        <f t="shared" si="32"/>
        <v>0</v>
      </c>
      <c r="U138" s="5">
        <f t="shared" si="32"/>
        <v>0</v>
      </c>
      <c r="V138" s="5">
        <f t="shared" si="32"/>
        <v>0</v>
      </c>
    </row>
    <row r="139" spans="1:22">
      <c r="A139" s="33"/>
      <c r="J139" s="3">
        <f t="shared" si="33"/>
        <v>0</v>
      </c>
      <c r="K139" s="3">
        <f t="shared" si="33"/>
        <v>0</v>
      </c>
      <c r="L139" s="3">
        <f t="shared" si="33"/>
        <v>0</v>
      </c>
      <c r="M139" s="3">
        <f t="shared" si="33"/>
        <v>0</v>
      </c>
      <c r="P139" s="3" t="str">
        <f>IF([1]Patrimonio!C150="","",[1]Patrimonio!C150)</f>
        <v/>
      </c>
      <c r="Q139" s="3" t="str">
        <f t="shared" si="30"/>
        <v/>
      </c>
      <c r="R139" s="51" t="str">
        <f t="shared" si="31"/>
        <v/>
      </c>
      <c r="S139" s="5">
        <f t="shared" si="32"/>
        <v>0</v>
      </c>
      <c r="T139" s="5">
        <f t="shared" si="32"/>
        <v>0</v>
      </c>
      <c r="U139" s="5">
        <f t="shared" si="32"/>
        <v>0</v>
      </c>
      <c r="V139" s="5">
        <f t="shared" si="32"/>
        <v>0</v>
      </c>
    </row>
    <row r="140" spans="1:22">
      <c r="A140" s="33"/>
      <c r="J140" s="3">
        <f t="shared" si="33"/>
        <v>0</v>
      </c>
      <c r="K140" s="3">
        <f t="shared" si="33"/>
        <v>0</v>
      </c>
      <c r="L140" s="3">
        <f t="shared" si="33"/>
        <v>0</v>
      </c>
      <c r="M140" s="3">
        <f t="shared" si="33"/>
        <v>0</v>
      </c>
      <c r="P140" s="3" t="str">
        <f>IF([1]Patrimonio!C151="","",[1]Patrimonio!C151)</f>
        <v/>
      </c>
      <c r="Q140" s="3" t="str">
        <f t="shared" si="30"/>
        <v/>
      </c>
      <c r="R140" s="51" t="str">
        <f t="shared" si="31"/>
        <v/>
      </c>
      <c r="S140" s="5">
        <f t="shared" si="32"/>
        <v>0</v>
      </c>
      <c r="T140" s="5">
        <f t="shared" si="32"/>
        <v>0</v>
      </c>
      <c r="U140" s="5">
        <f t="shared" si="32"/>
        <v>0</v>
      </c>
      <c r="V140" s="5">
        <f t="shared" si="32"/>
        <v>0</v>
      </c>
    </row>
    <row r="141" spans="1:22">
      <c r="A141" s="33"/>
      <c r="J141" s="3">
        <f t="shared" si="33"/>
        <v>0</v>
      </c>
      <c r="K141" s="3">
        <f t="shared" si="33"/>
        <v>0</v>
      </c>
      <c r="L141" s="3">
        <f t="shared" si="33"/>
        <v>0</v>
      </c>
      <c r="M141" s="3">
        <f t="shared" si="33"/>
        <v>0</v>
      </c>
      <c r="P141" s="3" t="str">
        <f>IF([1]Patrimonio!C152="","",[1]Patrimonio!C152)</f>
        <v/>
      </c>
      <c r="Q141" s="3" t="str">
        <f t="shared" si="30"/>
        <v/>
      </c>
      <c r="R141" s="51" t="str">
        <f t="shared" si="31"/>
        <v/>
      </c>
      <c r="S141" s="5">
        <f t="shared" si="32"/>
        <v>0</v>
      </c>
      <c r="T141" s="5">
        <f t="shared" si="32"/>
        <v>0</v>
      </c>
      <c r="U141" s="5">
        <f t="shared" si="32"/>
        <v>0</v>
      </c>
      <c r="V141" s="5">
        <f t="shared" si="32"/>
        <v>0</v>
      </c>
    </row>
    <row r="142" spans="1:22">
      <c r="A142" s="33"/>
      <c r="J142" s="3">
        <f t="shared" si="33"/>
        <v>0</v>
      </c>
      <c r="K142" s="3">
        <f t="shared" si="33"/>
        <v>0</v>
      </c>
      <c r="L142" s="3">
        <f t="shared" si="33"/>
        <v>0</v>
      </c>
      <c r="M142" s="3">
        <f t="shared" si="33"/>
        <v>0</v>
      </c>
      <c r="P142" s="3" t="str">
        <f>IF([1]Patrimonio!C153="","",[1]Patrimonio!C153)</f>
        <v/>
      </c>
      <c r="Q142" s="3" t="str">
        <f t="shared" si="30"/>
        <v/>
      </c>
      <c r="R142" s="51" t="str">
        <f t="shared" si="31"/>
        <v/>
      </c>
      <c r="S142" s="5">
        <f t="shared" si="32"/>
        <v>0</v>
      </c>
      <c r="T142" s="5">
        <f t="shared" si="32"/>
        <v>0</v>
      </c>
      <c r="U142" s="5">
        <f t="shared" si="32"/>
        <v>0</v>
      </c>
      <c r="V142" s="5">
        <f t="shared" si="32"/>
        <v>0</v>
      </c>
    </row>
    <row r="143" spans="1:22">
      <c r="A143" s="33"/>
      <c r="J143" s="3">
        <f t="shared" si="33"/>
        <v>0</v>
      </c>
      <c r="K143" s="3">
        <f t="shared" si="33"/>
        <v>0</v>
      </c>
      <c r="L143" s="3">
        <f t="shared" si="33"/>
        <v>0</v>
      </c>
      <c r="M143" s="3">
        <f t="shared" si="33"/>
        <v>0</v>
      </c>
      <c r="P143" s="3" t="str">
        <f>IF([1]Patrimonio!C154="","",[1]Patrimonio!C154)</f>
        <v/>
      </c>
      <c r="Q143" s="3" t="str">
        <f t="shared" si="30"/>
        <v/>
      </c>
      <c r="R143" s="51" t="str">
        <f t="shared" si="31"/>
        <v/>
      </c>
      <c r="S143" s="5">
        <f t="shared" si="32"/>
        <v>0</v>
      </c>
      <c r="T143" s="5">
        <f t="shared" si="32"/>
        <v>0</v>
      </c>
      <c r="U143" s="5">
        <f t="shared" si="32"/>
        <v>0</v>
      </c>
      <c r="V143" s="5">
        <f t="shared" si="32"/>
        <v>0</v>
      </c>
    </row>
    <row r="144" spans="1:22">
      <c r="A144" s="33"/>
      <c r="J144" s="3">
        <f t="shared" si="33"/>
        <v>0</v>
      </c>
      <c r="K144" s="3">
        <f t="shared" si="33"/>
        <v>0</v>
      </c>
      <c r="L144" s="3">
        <f t="shared" si="33"/>
        <v>0</v>
      </c>
      <c r="M144" s="3">
        <f t="shared" si="33"/>
        <v>0</v>
      </c>
      <c r="P144" s="3" t="str">
        <f>IF([1]Patrimonio!C155="","",[1]Patrimonio!C155)</f>
        <v/>
      </c>
      <c r="Q144" s="3" t="str">
        <f t="shared" si="30"/>
        <v/>
      </c>
      <c r="R144" s="51" t="str">
        <f t="shared" si="31"/>
        <v/>
      </c>
      <c r="S144" s="5">
        <f t="shared" si="32"/>
        <v>0</v>
      </c>
      <c r="T144" s="5">
        <f t="shared" si="32"/>
        <v>0</v>
      </c>
      <c r="U144" s="5">
        <f t="shared" si="32"/>
        <v>0</v>
      </c>
      <c r="V144" s="5">
        <f t="shared" si="32"/>
        <v>0</v>
      </c>
    </row>
    <row r="145" spans="1:22">
      <c r="A145" s="33"/>
      <c r="J145" s="3">
        <f t="shared" si="33"/>
        <v>0</v>
      </c>
      <c r="K145" s="3">
        <f t="shared" si="33"/>
        <v>0</v>
      </c>
      <c r="L145" s="3">
        <f t="shared" si="33"/>
        <v>0</v>
      </c>
      <c r="M145" s="3">
        <f t="shared" si="33"/>
        <v>0</v>
      </c>
      <c r="P145" s="3" t="str">
        <f>IF([1]Patrimonio!C156="","",[1]Patrimonio!C156)</f>
        <v/>
      </c>
      <c r="Q145" s="3" t="str">
        <f t="shared" si="30"/>
        <v/>
      </c>
      <c r="R145" s="51" t="str">
        <f t="shared" si="31"/>
        <v/>
      </c>
      <c r="S145" s="5">
        <f t="shared" si="32"/>
        <v>0</v>
      </c>
      <c r="T145" s="5">
        <f t="shared" si="32"/>
        <v>0</v>
      </c>
      <c r="U145" s="5">
        <f t="shared" si="32"/>
        <v>0</v>
      </c>
      <c r="V145" s="5">
        <f t="shared" si="32"/>
        <v>0</v>
      </c>
    </row>
    <row r="146" spans="1:22">
      <c r="A146" s="33"/>
      <c r="J146" s="3">
        <f t="shared" si="33"/>
        <v>0</v>
      </c>
      <c r="K146" s="3">
        <f t="shared" si="33"/>
        <v>0</v>
      </c>
      <c r="L146" s="3">
        <f t="shared" si="33"/>
        <v>0</v>
      </c>
      <c r="M146" s="3">
        <f t="shared" si="33"/>
        <v>0</v>
      </c>
      <c r="P146" s="3" t="str">
        <f>IF([1]Patrimonio!C157="","",[1]Patrimonio!C157)</f>
        <v/>
      </c>
      <c r="Q146" s="3" t="str">
        <f t="shared" si="30"/>
        <v/>
      </c>
      <c r="R146" s="51" t="str">
        <f t="shared" si="31"/>
        <v/>
      </c>
      <c r="S146" s="5">
        <f t="shared" si="32"/>
        <v>0</v>
      </c>
      <c r="T146" s="5">
        <f t="shared" si="32"/>
        <v>0</v>
      </c>
      <c r="U146" s="5">
        <f t="shared" si="32"/>
        <v>0</v>
      </c>
      <c r="V146" s="5">
        <f t="shared" si="32"/>
        <v>0</v>
      </c>
    </row>
    <row r="147" spans="1:22">
      <c r="A147" s="33"/>
      <c r="J147" s="3">
        <f t="shared" si="33"/>
        <v>0</v>
      </c>
      <c r="K147" s="3">
        <f t="shared" si="33"/>
        <v>0</v>
      </c>
      <c r="L147" s="3">
        <f t="shared" si="33"/>
        <v>0</v>
      </c>
      <c r="M147" s="3">
        <f t="shared" si="33"/>
        <v>0</v>
      </c>
      <c r="P147" s="3" t="str">
        <f>IF([1]Patrimonio!C158="","",[1]Patrimonio!C158)</f>
        <v/>
      </c>
      <c r="Q147" s="3" t="str">
        <f t="shared" si="30"/>
        <v/>
      </c>
      <c r="R147" s="51" t="str">
        <f t="shared" si="31"/>
        <v/>
      </c>
      <c r="S147" s="5">
        <f t="shared" si="32"/>
        <v>0</v>
      </c>
      <c r="T147" s="5">
        <f t="shared" si="32"/>
        <v>0</v>
      </c>
      <c r="U147" s="5">
        <f t="shared" si="32"/>
        <v>0</v>
      </c>
      <c r="V147" s="5">
        <f t="shared" si="32"/>
        <v>0</v>
      </c>
    </row>
    <row r="148" spans="1:22">
      <c r="A148" s="33"/>
      <c r="J148" s="3">
        <f t="shared" si="33"/>
        <v>0</v>
      </c>
      <c r="K148" s="3">
        <f t="shared" si="33"/>
        <v>0</v>
      </c>
      <c r="L148" s="3">
        <f t="shared" si="33"/>
        <v>0</v>
      </c>
      <c r="M148" s="3">
        <f t="shared" si="33"/>
        <v>0</v>
      </c>
      <c r="P148" s="3" t="str">
        <f>IF([1]Patrimonio!C159="","",[1]Patrimonio!C159)</f>
        <v/>
      </c>
      <c r="Q148" s="3" t="str">
        <f t="shared" si="30"/>
        <v/>
      </c>
      <c r="R148" s="51" t="str">
        <f t="shared" si="31"/>
        <v/>
      </c>
      <c r="S148" s="5">
        <f t="shared" ref="S148:V158" si="34">J164</f>
        <v>0</v>
      </c>
      <c r="T148" s="5">
        <f t="shared" si="34"/>
        <v>0</v>
      </c>
      <c r="U148" s="5">
        <f t="shared" si="34"/>
        <v>0</v>
      </c>
      <c r="V148" s="5">
        <f t="shared" si="34"/>
        <v>0</v>
      </c>
    </row>
    <row r="149" spans="1:22">
      <c r="A149" s="33"/>
      <c r="J149" s="3">
        <f t="shared" si="33"/>
        <v>0</v>
      </c>
      <c r="K149" s="3">
        <f t="shared" si="33"/>
        <v>0</v>
      </c>
      <c r="L149" s="3">
        <f t="shared" si="33"/>
        <v>0</v>
      </c>
      <c r="M149" s="3">
        <f t="shared" si="33"/>
        <v>0</v>
      </c>
      <c r="P149" s="3" t="str">
        <f>IF([1]Patrimonio!C160="","",[1]Patrimonio!C160)</f>
        <v/>
      </c>
      <c r="Q149" s="3" t="str">
        <f t="shared" si="30"/>
        <v/>
      </c>
      <c r="R149" s="51" t="str">
        <f t="shared" si="31"/>
        <v/>
      </c>
      <c r="S149" s="5">
        <f t="shared" si="34"/>
        <v>0</v>
      </c>
      <c r="T149" s="5">
        <f t="shared" si="34"/>
        <v>0</v>
      </c>
      <c r="U149" s="5">
        <f t="shared" si="34"/>
        <v>0</v>
      </c>
      <c r="V149" s="5">
        <f t="shared" si="34"/>
        <v>0</v>
      </c>
    </row>
    <row r="150" spans="1:22">
      <c r="A150" s="33"/>
      <c r="J150" s="3">
        <f t="shared" si="33"/>
        <v>0</v>
      </c>
      <c r="K150" s="3">
        <f t="shared" si="33"/>
        <v>0</v>
      </c>
      <c r="L150" s="3">
        <f t="shared" si="33"/>
        <v>0</v>
      </c>
      <c r="M150" s="3">
        <f t="shared" si="33"/>
        <v>0</v>
      </c>
      <c r="P150" s="3" t="str">
        <f>IF([1]Patrimonio!C161="","",[1]Patrimonio!C161)</f>
        <v/>
      </c>
      <c r="Q150" s="3" t="str">
        <f t="shared" si="30"/>
        <v/>
      </c>
      <c r="R150" s="51" t="str">
        <f t="shared" si="31"/>
        <v/>
      </c>
      <c r="S150" s="5">
        <f t="shared" si="34"/>
        <v>0</v>
      </c>
      <c r="T150" s="5">
        <f t="shared" si="34"/>
        <v>0</v>
      </c>
      <c r="U150" s="5">
        <f t="shared" si="34"/>
        <v>0</v>
      </c>
      <c r="V150" s="5">
        <f t="shared" si="34"/>
        <v>0</v>
      </c>
    </row>
    <row r="151" spans="1:22">
      <c r="A151" s="33"/>
      <c r="J151" s="3">
        <f t="shared" si="33"/>
        <v>0</v>
      </c>
      <c r="K151" s="3">
        <f t="shared" si="33"/>
        <v>0</v>
      </c>
      <c r="L151" s="3">
        <f t="shared" si="33"/>
        <v>0</v>
      </c>
      <c r="M151" s="3">
        <f t="shared" si="33"/>
        <v>0</v>
      </c>
      <c r="P151" s="3" t="str">
        <f>IF([1]Patrimonio!C162="","",[1]Patrimonio!C162)</f>
        <v/>
      </c>
      <c r="Q151" s="3" t="str">
        <f t="shared" si="30"/>
        <v/>
      </c>
      <c r="R151" s="51" t="str">
        <f t="shared" si="31"/>
        <v/>
      </c>
      <c r="S151" s="5">
        <f t="shared" si="34"/>
        <v>0</v>
      </c>
      <c r="T151" s="5">
        <f t="shared" si="34"/>
        <v>0</v>
      </c>
      <c r="U151" s="5">
        <f t="shared" si="34"/>
        <v>0</v>
      </c>
      <c r="V151" s="5">
        <f t="shared" si="34"/>
        <v>0</v>
      </c>
    </row>
    <row r="152" spans="1:22">
      <c r="A152" s="33"/>
      <c r="J152" s="3">
        <f t="shared" si="33"/>
        <v>0</v>
      </c>
      <c r="K152" s="3">
        <f t="shared" si="33"/>
        <v>0</v>
      </c>
      <c r="L152" s="3">
        <f t="shared" si="33"/>
        <v>0</v>
      </c>
      <c r="M152" s="3">
        <f t="shared" si="33"/>
        <v>0</v>
      </c>
      <c r="P152" s="3" t="str">
        <f>IF([1]Patrimonio!C163="","",[1]Patrimonio!C163)</f>
        <v/>
      </c>
      <c r="Q152" s="3" t="str">
        <f t="shared" si="30"/>
        <v/>
      </c>
      <c r="R152" s="51" t="str">
        <f t="shared" si="31"/>
        <v/>
      </c>
      <c r="S152" s="5">
        <f t="shared" si="34"/>
        <v>0</v>
      </c>
      <c r="T152" s="5">
        <f t="shared" si="34"/>
        <v>0</v>
      </c>
      <c r="U152" s="5">
        <f t="shared" si="34"/>
        <v>0</v>
      </c>
      <c r="V152" s="5">
        <f t="shared" si="34"/>
        <v>0</v>
      </c>
    </row>
    <row r="153" spans="1:22">
      <c r="A153" s="33"/>
      <c r="J153" s="3">
        <f t="shared" si="33"/>
        <v>0</v>
      </c>
      <c r="K153" s="3">
        <f t="shared" si="33"/>
        <v>0</v>
      </c>
      <c r="L153" s="3">
        <f t="shared" si="33"/>
        <v>0</v>
      </c>
      <c r="M153" s="3">
        <f t="shared" si="33"/>
        <v>0</v>
      </c>
      <c r="P153" s="3" t="str">
        <f>IF([1]Patrimonio!C164="","",[1]Patrimonio!C164)</f>
        <v/>
      </c>
      <c r="Q153" s="3" t="str">
        <f t="shared" si="30"/>
        <v/>
      </c>
      <c r="R153" s="51" t="str">
        <f t="shared" si="31"/>
        <v/>
      </c>
      <c r="S153" s="5">
        <f t="shared" si="34"/>
        <v>0</v>
      </c>
      <c r="T153" s="5">
        <f t="shared" si="34"/>
        <v>0</v>
      </c>
      <c r="U153" s="5">
        <f t="shared" si="34"/>
        <v>0</v>
      </c>
      <c r="V153" s="5">
        <f t="shared" si="34"/>
        <v>0</v>
      </c>
    </row>
    <row r="154" spans="1:22">
      <c r="A154" s="33"/>
      <c r="J154" s="3">
        <f t="shared" si="33"/>
        <v>0</v>
      </c>
      <c r="K154" s="3">
        <f t="shared" si="33"/>
        <v>0</v>
      </c>
      <c r="L154" s="3">
        <f t="shared" si="33"/>
        <v>0</v>
      </c>
      <c r="M154" s="3">
        <f t="shared" si="33"/>
        <v>0</v>
      </c>
      <c r="P154" s="3" t="str">
        <f>IF([1]Patrimonio!C165="","",[1]Patrimonio!C165)</f>
        <v/>
      </c>
      <c r="Q154" s="3" t="str">
        <f t="shared" si="30"/>
        <v/>
      </c>
      <c r="R154" s="51" t="str">
        <f t="shared" si="31"/>
        <v/>
      </c>
      <c r="S154" s="5">
        <f t="shared" si="34"/>
        <v>0</v>
      </c>
      <c r="T154" s="5">
        <f t="shared" si="34"/>
        <v>0</v>
      </c>
      <c r="U154" s="5">
        <f t="shared" si="34"/>
        <v>0</v>
      </c>
      <c r="V154" s="5">
        <f t="shared" si="34"/>
        <v>0</v>
      </c>
    </row>
    <row r="155" spans="1:22">
      <c r="A155" s="33"/>
      <c r="J155" s="3">
        <f t="shared" si="33"/>
        <v>0</v>
      </c>
      <c r="K155" s="3">
        <f t="shared" si="33"/>
        <v>0</v>
      </c>
      <c r="L155" s="3">
        <f t="shared" si="33"/>
        <v>0</v>
      </c>
      <c r="M155" s="3">
        <f t="shared" si="33"/>
        <v>0</v>
      </c>
      <c r="P155" s="3" t="str">
        <f>IF([1]Patrimonio!C166="","",[1]Patrimonio!C166)</f>
        <v/>
      </c>
      <c r="Q155" s="3" t="str">
        <f t="shared" si="30"/>
        <v/>
      </c>
      <c r="R155" s="51" t="str">
        <f t="shared" si="31"/>
        <v/>
      </c>
      <c r="S155" s="5">
        <f t="shared" si="34"/>
        <v>0</v>
      </c>
      <c r="T155" s="5">
        <f t="shared" si="34"/>
        <v>0</v>
      </c>
      <c r="U155" s="5">
        <f t="shared" si="34"/>
        <v>0</v>
      </c>
      <c r="V155" s="5">
        <f t="shared" si="34"/>
        <v>0</v>
      </c>
    </row>
    <row r="156" spans="1:22">
      <c r="A156" s="33"/>
      <c r="J156" s="3">
        <f t="shared" si="33"/>
        <v>0</v>
      </c>
      <c r="K156" s="3">
        <f t="shared" si="33"/>
        <v>0</v>
      </c>
      <c r="L156" s="3">
        <f t="shared" si="33"/>
        <v>0</v>
      </c>
      <c r="M156" s="3">
        <f t="shared" si="33"/>
        <v>0</v>
      </c>
      <c r="P156" s="3" t="str">
        <f>IF([1]Patrimonio!C167="","",[1]Patrimonio!C167)</f>
        <v/>
      </c>
      <c r="Q156" s="3" t="str">
        <f t="shared" si="30"/>
        <v/>
      </c>
      <c r="R156" s="51" t="str">
        <f t="shared" si="31"/>
        <v/>
      </c>
      <c r="S156" s="5">
        <f t="shared" si="34"/>
        <v>0</v>
      </c>
      <c r="T156" s="5">
        <f t="shared" si="34"/>
        <v>0</v>
      </c>
      <c r="U156" s="5">
        <f t="shared" si="34"/>
        <v>0</v>
      </c>
      <c r="V156" s="5">
        <f t="shared" si="34"/>
        <v>0</v>
      </c>
    </row>
    <row r="157" spans="1:22">
      <c r="A157" s="33"/>
      <c r="J157" s="3">
        <f t="shared" si="33"/>
        <v>0</v>
      </c>
      <c r="K157" s="3">
        <f t="shared" si="33"/>
        <v>0</v>
      </c>
      <c r="L157" s="3">
        <f t="shared" si="33"/>
        <v>0</v>
      </c>
      <c r="M157" s="3">
        <f t="shared" si="33"/>
        <v>0</v>
      </c>
      <c r="P157" s="3" t="str">
        <f>IF([1]Patrimonio!C168="","",[1]Patrimonio!C168)</f>
        <v/>
      </c>
      <c r="Q157" s="3" t="str">
        <f t="shared" si="30"/>
        <v/>
      </c>
      <c r="R157" s="51" t="str">
        <f t="shared" si="31"/>
        <v/>
      </c>
      <c r="S157" s="5">
        <f t="shared" si="34"/>
        <v>0</v>
      </c>
      <c r="T157" s="5">
        <f t="shared" si="34"/>
        <v>0</v>
      </c>
      <c r="U157" s="5">
        <f t="shared" si="34"/>
        <v>0</v>
      </c>
      <c r="V157" s="5">
        <f t="shared" si="34"/>
        <v>0</v>
      </c>
    </row>
    <row r="158" spans="1:22">
      <c r="A158" s="33"/>
      <c r="J158" s="3">
        <f t="shared" si="33"/>
        <v>0</v>
      </c>
      <c r="K158" s="3">
        <f t="shared" si="33"/>
        <v>0</v>
      </c>
      <c r="L158" s="3">
        <f t="shared" si="33"/>
        <v>0</v>
      </c>
      <c r="M158" s="3">
        <f t="shared" si="33"/>
        <v>0</v>
      </c>
      <c r="P158" s="3" t="str">
        <f>IF([1]Patrimonio!C169="","",[1]Patrimonio!C169)</f>
        <v/>
      </c>
      <c r="Q158" s="3" t="str">
        <f t="shared" si="30"/>
        <v/>
      </c>
      <c r="R158" s="51" t="str">
        <f t="shared" si="31"/>
        <v/>
      </c>
      <c r="S158" s="5">
        <f t="shared" si="34"/>
        <v>0</v>
      </c>
      <c r="T158" s="5">
        <f t="shared" si="34"/>
        <v>0</v>
      </c>
      <c r="U158" s="5">
        <f t="shared" si="34"/>
        <v>0</v>
      </c>
      <c r="V158" s="5">
        <f t="shared" si="34"/>
        <v>0</v>
      </c>
    </row>
    <row r="159" spans="1:22">
      <c r="A159" s="33"/>
      <c r="J159" s="3">
        <f t="shared" si="33"/>
        <v>0</v>
      </c>
      <c r="K159" s="3">
        <f t="shared" si="33"/>
        <v>0</v>
      </c>
      <c r="L159" s="3">
        <f t="shared" si="33"/>
        <v>0</v>
      </c>
      <c r="M159" s="3">
        <f t="shared" si="33"/>
        <v>0</v>
      </c>
    </row>
    <row r="160" spans="1:22">
      <c r="A160" s="33"/>
      <c r="J160" s="3">
        <f t="shared" si="33"/>
        <v>0</v>
      </c>
      <c r="K160" s="3">
        <f t="shared" si="33"/>
        <v>0</v>
      </c>
      <c r="L160" s="3">
        <f t="shared" si="33"/>
        <v>0</v>
      </c>
      <c r="M160" s="3">
        <f t="shared" si="33"/>
        <v>0</v>
      </c>
    </row>
    <row r="161" spans="1:13">
      <c r="A161" s="33"/>
      <c r="J161" s="3">
        <f t="shared" si="33"/>
        <v>0</v>
      </c>
      <c r="K161" s="3">
        <f t="shared" si="33"/>
        <v>0</v>
      </c>
      <c r="L161" s="3">
        <f t="shared" si="33"/>
        <v>0</v>
      </c>
      <c r="M161" s="3">
        <f t="shared" si="33"/>
        <v>0</v>
      </c>
    </row>
    <row r="162" spans="1:13">
      <c r="A162" s="33"/>
      <c r="J162" s="3">
        <f t="shared" si="33"/>
        <v>0</v>
      </c>
      <c r="K162" s="3">
        <f t="shared" si="33"/>
        <v>0</v>
      </c>
      <c r="L162" s="3">
        <f t="shared" si="33"/>
        <v>0</v>
      </c>
      <c r="M162" s="3">
        <f t="shared" si="33"/>
        <v>0</v>
      </c>
    </row>
    <row r="163" spans="1:13">
      <c r="A163" s="33"/>
      <c r="J163" s="3">
        <f t="shared" si="33"/>
        <v>0</v>
      </c>
      <c r="K163" s="3">
        <f t="shared" si="33"/>
        <v>0</v>
      </c>
      <c r="L163" s="3">
        <f t="shared" si="33"/>
        <v>0</v>
      </c>
      <c r="M163" s="3">
        <f t="shared" si="33"/>
        <v>0</v>
      </c>
    </row>
    <row r="164" spans="1:13">
      <c r="A164" s="33"/>
      <c r="J164" s="3">
        <f t="shared" si="33"/>
        <v>0</v>
      </c>
      <c r="K164" s="3">
        <f t="shared" si="33"/>
        <v>0</v>
      </c>
      <c r="L164" s="3">
        <f t="shared" si="33"/>
        <v>0</v>
      </c>
      <c r="M164" s="3">
        <f t="shared" si="33"/>
        <v>0</v>
      </c>
    </row>
    <row r="165" spans="1:13">
      <c r="A165" s="33"/>
      <c r="J165" s="3">
        <f t="shared" si="33"/>
        <v>0</v>
      </c>
      <c r="K165" s="3">
        <f t="shared" si="33"/>
        <v>0</v>
      </c>
      <c r="L165" s="3">
        <f t="shared" si="33"/>
        <v>0</v>
      </c>
      <c r="M165" s="3">
        <f t="shared" si="33"/>
        <v>0</v>
      </c>
    </row>
    <row r="166" spans="1:13">
      <c r="A166" s="33"/>
      <c r="J166" s="3">
        <f t="shared" si="33"/>
        <v>0</v>
      </c>
      <c r="K166" s="3">
        <f t="shared" si="33"/>
        <v>0</v>
      </c>
      <c r="L166" s="3">
        <f t="shared" si="33"/>
        <v>0</v>
      </c>
      <c r="M166" s="3">
        <f t="shared" si="33"/>
        <v>0</v>
      </c>
    </row>
    <row r="167" spans="1:13">
      <c r="A167" s="33"/>
      <c r="J167" s="3">
        <f t="shared" si="33"/>
        <v>0</v>
      </c>
      <c r="K167" s="3">
        <f t="shared" si="33"/>
        <v>0</v>
      </c>
      <c r="L167" s="3">
        <f t="shared" si="33"/>
        <v>0</v>
      </c>
      <c r="M167" s="3">
        <f t="shared" si="33"/>
        <v>0</v>
      </c>
    </row>
    <row r="168" spans="1:13">
      <c r="A168" s="33"/>
      <c r="J168" s="3">
        <f t="shared" si="33"/>
        <v>0</v>
      </c>
      <c r="K168" s="3">
        <f t="shared" si="33"/>
        <v>0</v>
      </c>
      <c r="L168" s="3">
        <f t="shared" si="33"/>
        <v>0</v>
      </c>
      <c r="M168" s="3">
        <f t="shared" si="33"/>
        <v>0</v>
      </c>
    </row>
    <row r="169" spans="1:13">
      <c r="A169" s="33"/>
      <c r="J169" s="3">
        <f t="shared" si="33"/>
        <v>0</v>
      </c>
      <c r="K169" s="3">
        <f t="shared" si="33"/>
        <v>0</v>
      </c>
      <c r="L169" s="3">
        <f t="shared" si="33"/>
        <v>0</v>
      </c>
      <c r="M169" s="3">
        <f t="shared" si="33"/>
        <v>0</v>
      </c>
    </row>
    <row r="170" spans="1:13">
      <c r="A170" s="33"/>
      <c r="J170" s="3">
        <f t="shared" si="33"/>
        <v>0</v>
      </c>
      <c r="K170" s="3">
        <f t="shared" si="33"/>
        <v>0</v>
      </c>
      <c r="L170" s="3">
        <f t="shared" si="33"/>
        <v>0</v>
      </c>
      <c r="M170" s="3">
        <f t="shared" si="33"/>
        <v>0</v>
      </c>
    </row>
    <row r="171" spans="1:13">
      <c r="A171" s="33"/>
      <c r="J171" s="3">
        <f t="shared" si="33"/>
        <v>0</v>
      </c>
      <c r="K171" s="3">
        <f t="shared" si="33"/>
        <v>0</v>
      </c>
      <c r="L171" s="3">
        <f t="shared" si="33"/>
        <v>0</v>
      </c>
      <c r="M171" s="3">
        <f t="shared" si="33"/>
        <v>0</v>
      </c>
    </row>
    <row r="172" spans="1:13">
      <c r="A172" s="33"/>
      <c r="J172" s="3">
        <f t="shared" si="33"/>
        <v>0</v>
      </c>
      <c r="K172" s="3">
        <f t="shared" si="33"/>
        <v>0</v>
      </c>
      <c r="L172" s="3">
        <f t="shared" si="33"/>
        <v>0</v>
      </c>
      <c r="M172" s="3">
        <f t="shared" si="33"/>
        <v>0</v>
      </c>
    </row>
    <row r="173" spans="1:13">
      <c r="A173" s="33"/>
    </row>
    <row r="174" spans="1:13">
      <c r="A174" s="33"/>
    </row>
    <row r="175" spans="1:13">
      <c r="A175" s="33"/>
    </row>
    <row r="176" spans="1:13">
      <c r="A176" s="33"/>
    </row>
    <row r="177" spans="1:1">
      <c r="A177" s="33"/>
    </row>
    <row r="178" spans="1:1">
      <c r="A178" s="33"/>
    </row>
    <row r="179" spans="1:1">
      <c r="A179" s="33"/>
    </row>
    <row r="180" spans="1:1">
      <c r="A180" s="33"/>
    </row>
    <row r="181" spans="1:1">
      <c r="A181" s="33"/>
    </row>
    <row r="182" spans="1:1">
      <c r="A182" s="33"/>
    </row>
    <row r="183" spans="1:1">
      <c r="A183" s="33"/>
    </row>
    <row r="184" spans="1:1">
      <c r="A184" s="33"/>
    </row>
    <row r="185" spans="1:1">
      <c r="A185" s="33"/>
    </row>
    <row r="186" spans="1:1">
      <c r="A186" s="33"/>
    </row>
    <row r="187" spans="1:1">
      <c r="A187" s="33"/>
    </row>
    <row r="188" spans="1:1">
      <c r="A188" s="33"/>
    </row>
    <row r="189" spans="1:1">
      <c r="A189" s="33"/>
    </row>
    <row r="190" spans="1:1">
      <c r="A190" s="33"/>
    </row>
    <row r="191" spans="1:1">
      <c r="A191" s="33"/>
    </row>
    <row r="192" spans="1:1">
      <c r="A192" s="33"/>
    </row>
    <row r="193" spans="1:1">
      <c r="A193" s="33"/>
    </row>
    <row r="194" spans="1:1">
      <c r="A194" s="33"/>
    </row>
    <row r="195" spans="1:1">
      <c r="A195" s="33"/>
    </row>
    <row r="196" spans="1:1">
      <c r="A196" s="33"/>
    </row>
    <row r="197" spans="1:1">
      <c r="A197" s="33"/>
    </row>
    <row r="198" spans="1:1">
      <c r="A198" s="33"/>
    </row>
    <row r="199" spans="1:1">
      <c r="A199" s="33"/>
    </row>
    <row r="200" spans="1:1">
      <c r="A200" s="33"/>
    </row>
    <row r="201" spans="1:1">
      <c r="A201" s="33"/>
    </row>
    <row r="202" spans="1:1">
      <c r="A202" s="33"/>
    </row>
    <row r="203" spans="1:1">
      <c r="A203" s="33"/>
    </row>
    <row r="204" spans="1:1">
      <c r="A204" s="33"/>
    </row>
    <row r="205" spans="1:1">
      <c r="A205" s="33"/>
    </row>
    <row r="206" spans="1:1">
      <c r="A206" s="33"/>
    </row>
    <row r="207" spans="1:1">
      <c r="A207" s="33"/>
    </row>
    <row r="208" spans="1:1">
      <c r="A208" s="33"/>
    </row>
    <row r="209" spans="1:1">
      <c r="A209" s="33"/>
    </row>
    <row r="210" spans="1:1">
      <c r="A210" s="33"/>
    </row>
    <row r="211" spans="1:1">
      <c r="A211" s="33"/>
    </row>
    <row r="212" spans="1:1">
      <c r="A212" s="33"/>
    </row>
    <row r="213" spans="1:1">
      <c r="A213" s="33"/>
    </row>
    <row r="214" spans="1:1">
      <c r="A214" s="33"/>
    </row>
    <row r="215" spans="1:1">
      <c r="A215" s="33"/>
    </row>
    <row r="216" spans="1:1">
      <c r="A216" s="33"/>
    </row>
    <row r="217" spans="1:1">
      <c r="A217" s="33"/>
    </row>
    <row r="218" spans="1:1">
      <c r="A218" s="33"/>
    </row>
    <row r="219" spans="1:1">
      <c r="A219" s="33"/>
    </row>
    <row r="220" spans="1:1">
      <c r="A220" s="33"/>
    </row>
    <row r="221" spans="1:1">
      <c r="A221" s="33"/>
    </row>
    <row r="222" spans="1:1">
      <c r="A222" s="33"/>
    </row>
    <row r="223" spans="1:1">
      <c r="A223" s="33"/>
    </row>
    <row r="224" spans="1:1">
      <c r="A224" s="33"/>
    </row>
    <row r="225" spans="1:1">
      <c r="A225" s="33"/>
    </row>
    <row r="226" spans="1:1">
      <c r="A226" s="33"/>
    </row>
    <row r="227" spans="1:1">
      <c r="A227" s="33"/>
    </row>
    <row r="228" spans="1:1">
      <c r="A228" s="33"/>
    </row>
    <row r="229" spans="1:1">
      <c r="A229" s="33"/>
    </row>
    <row r="230" spans="1:1">
      <c r="A230" s="33"/>
    </row>
    <row r="231" spans="1:1">
      <c r="A231" s="33"/>
    </row>
    <row r="232" spans="1:1">
      <c r="A232" s="33"/>
    </row>
    <row r="233" spans="1:1">
      <c r="A233" s="33"/>
    </row>
    <row r="234" spans="1:1">
      <c r="A234" s="33"/>
    </row>
    <row r="235" spans="1:1">
      <c r="A235" s="33"/>
    </row>
    <row r="236" spans="1:1">
      <c r="A236" s="33"/>
    </row>
    <row r="237" spans="1:1">
      <c r="A237" s="33"/>
    </row>
    <row r="238" spans="1:1">
      <c r="A238" s="33"/>
    </row>
    <row r="239" spans="1:1">
      <c r="A239" s="33"/>
    </row>
    <row r="240" spans="1:1">
      <c r="A240" s="33"/>
    </row>
    <row r="241" spans="1:1">
      <c r="A241" s="33"/>
    </row>
    <row r="242" spans="1:1">
      <c r="A242" s="33"/>
    </row>
    <row r="243" spans="1:1">
      <c r="A243" s="33"/>
    </row>
    <row r="244" spans="1:1">
      <c r="A244" s="33"/>
    </row>
    <row r="245" spans="1:1">
      <c r="A245" s="33"/>
    </row>
    <row r="246" spans="1:1">
      <c r="A246" s="33"/>
    </row>
    <row r="247" spans="1:1">
      <c r="A247" s="33"/>
    </row>
    <row r="248" spans="1:1">
      <c r="A248" s="33"/>
    </row>
    <row r="249" spans="1:1">
      <c r="A249" s="33"/>
    </row>
    <row r="250" spans="1:1">
      <c r="A250" s="33"/>
    </row>
    <row r="251" spans="1:1">
      <c r="A251" s="33"/>
    </row>
    <row r="252" spans="1:1">
      <c r="A252" s="33"/>
    </row>
    <row r="253" spans="1:1">
      <c r="A253" s="33"/>
    </row>
    <row r="254" spans="1:1">
      <c r="A254" s="33"/>
    </row>
    <row r="255" spans="1:1">
      <c r="A255" s="33"/>
    </row>
    <row r="256" spans="1:1">
      <c r="A256" s="33"/>
    </row>
    <row r="257" spans="1:1">
      <c r="A257" s="33"/>
    </row>
    <row r="258" spans="1:1">
      <c r="A258" s="33"/>
    </row>
    <row r="259" spans="1:1">
      <c r="A259" s="33"/>
    </row>
    <row r="260" spans="1:1">
      <c r="A260" s="33"/>
    </row>
    <row r="261" spans="1:1">
      <c r="A261" s="33"/>
    </row>
    <row r="262" spans="1:1">
      <c r="A262" s="33"/>
    </row>
    <row r="263" spans="1:1">
      <c r="A263" s="33"/>
    </row>
    <row r="264" spans="1:1">
      <c r="A264" s="33"/>
    </row>
    <row r="265" spans="1:1">
      <c r="A265" s="33"/>
    </row>
    <row r="266" spans="1:1">
      <c r="A266" s="33"/>
    </row>
    <row r="267" spans="1:1">
      <c r="A267" s="33"/>
    </row>
    <row r="268" spans="1:1">
      <c r="A268" s="33"/>
    </row>
    <row r="269" spans="1:1">
      <c r="A269" s="33"/>
    </row>
    <row r="270" spans="1:1">
      <c r="A270" s="33"/>
    </row>
    <row r="271" spans="1:1">
      <c r="A271" s="33"/>
    </row>
    <row r="272" spans="1:1">
      <c r="A272" s="33"/>
    </row>
    <row r="273" spans="1:1">
      <c r="A273" s="33"/>
    </row>
    <row r="274" spans="1:1">
      <c r="A274" s="33"/>
    </row>
    <row r="275" spans="1:1">
      <c r="A275" s="33"/>
    </row>
    <row r="276" spans="1:1">
      <c r="A276" s="33"/>
    </row>
    <row r="277" spans="1:1">
      <c r="A277" s="33"/>
    </row>
    <row r="278" spans="1:1">
      <c r="A278" s="33"/>
    </row>
    <row r="279" spans="1:1">
      <c r="A279" s="33"/>
    </row>
    <row r="280" spans="1:1">
      <c r="A280" s="33"/>
    </row>
    <row r="281" spans="1:1">
      <c r="A281" s="33"/>
    </row>
    <row r="282" spans="1:1">
      <c r="A282" s="33"/>
    </row>
    <row r="283" spans="1:1">
      <c r="A283" s="33"/>
    </row>
    <row r="284" spans="1:1">
      <c r="A284" s="33"/>
    </row>
    <row r="285" spans="1:1">
      <c r="A285" s="33"/>
    </row>
    <row r="286" spans="1:1">
      <c r="A286" s="33"/>
    </row>
    <row r="287" spans="1:1">
      <c r="A287" s="33"/>
    </row>
    <row r="288" spans="1:1">
      <c r="A288" s="33"/>
    </row>
    <row r="289" spans="1:1">
      <c r="A289" s="33"/>
    </row>
    <row r="290" spans="1:1">
      <c r="A290" s="33"/>
    </row>
    <row r="291" spans="1:1">
      <c r="A291" s="33"/>
    </row>
    <row r="292" spans="1:1">
      <c r="A292" s="33"/>
    </row>
    <row r="293" spans="1:1">
      <c r="A293" s="33"/>
    </row>
    <row r="294" spans="1:1">
      <c r="A294" s="33"/>
    </row>
    <row r="295" spans="1:1">
      <c r="A295" s="33"/>
    </row>
    <row r="296" spans="1:1">
      <c r="A296" s="33"/>
    </row>
    <row r="297" spans="1:1">
      <c r="A297" s="33"/>
    </row>
    <row r="298" spans="1:1">
      <c r="A298" s="33"/>
    </row>
    <row r="299" spans="1:1">
      <c r="A299" s="33"/>
    </row>
    <row r="300" spans="1:1">
      <c r="A300" s="33"/>
    </row>
    <row r="301" spans="1:1">
      <c r="A301" s="33"/>
    </row>
    <row r="302" spans="1:1">
      <c r="A302" s="33"/>
    </row>
    <row r="303" spans="1:1">
      <c r="A303" s="33"/>
    </row>
    <row r="304" spans="1:1">
      <c r="A304" s="33"/>
    </row>
    <row r="305" spans="1:1">
      <c r="A305" s="33"/>
    </row>
    <row r="306" spans="1:1">
      <c r="A306" s="33"/>
    </row>
    <row r="307" spans="1:1">
      <c r="A307" s="33"/>
    </row>
    <row r="308" spans="1:1">
      <c r="A308" s="33"/>
    </row>
    <row r="309" spans="1:1">
      <c r="A309" s="33"/>
    </row>
    <row r="310" spans="1:1">
      <c r="A310" s="33"/>
    </row>
    <row r="311" spans="1:1">
      <c r="A311" s="33"/>
    </row>
    <row r="312" spans="1:1">
      <c r="A312" s="33"/>
    </row>
    <row r="313" spans="1:1">
      <c r="A313" s="33"/>
    </row>
    <row r="314" spans="1:1">
      <c r="A314" s="33"/>
    </row>
    <row r="315" spans="1:1">
      <c r="A315" s="33"/>
    </row>
    <row r="316" spans="1:1">
      <c r="A316" s="33"/>
    </row>
    <row r="317" spans="1:1">
      <c r="A317" s="33"/>
    </row>
    <row r="318" spans="1:1">
      <c r="A318" s="33"/>
    </row>
    <row r="319" spans="1:1">
      <c r="A319" s="33"/>
    </row>
    <row r="320" spans="1:1">
      <c r="A320" s="33"/>
    </row>
    <row r="321" spans="1:1">
      <c r="A321" s="33"/>
    </row>
    <row r="322" spans="1:1">
      <c r="A322" s="33"/>
    </row>
    <row r="323" spans="1:1">
      <c r="A323" s="33"/>
    </row>
    <row r="324" spans="1:1">
      <c r="A324" s="33"/>
    </row>
    <row r="325" spans="1:1">
      <c r="A325" s="33"/>
    </row>
    <row r="326" spans="1:1">
      <c r="A326" s="33"/>
    </row>
    <row r="327" spans="1:1">
      <c r="A327" s="33"/>
    </row>
    <row r="328" spans="1:1">
      <c r="A328" s="33"/>
    </row>
    <row r="329" spans="1:1">
      <c r="A329" s="33"/>
    </row>
    <row r="330" spans="1:1">
      <c r="A330" s="33"/>
    </row>
  </sheetData>
  <pageMargins left="0.511811024" right="0.511811024" top="0.78740157499999996" bottom="0.78740157499999996" header="0.31496062000000002" footer="0.31496062000000002"/>
  <pageSetup paperSize="9" orientation="portrait" r:id="rId1"/>
  <legacyDrawing r:id="rId2"/>
  <tableParts count="1">
    <tablePart r:id="rId3"/>
  </tableParts>
</worksheet>
</file>

<file path=xl/worksheets/sheet6.xml><?xml version="1.0" encoding="utf-8"?>
<worksheet xmlns="http://schemas.openxmlformats.org/spreadsheetml/2006/main" xmlns:r="http://schemas.openxmlformats.org/officeDocument/2006/relationships">
  <sheetPr codeName="Plan10"/>
  <dimension ref="A1:V330"/>
  <sheetViews>
    <sheetView workbookViewId="0">
      <selection activeCell="H2" sqref="H2"/>
    </sheetView>
  </sheetViews>
  <sheetFormatPr defaultRowHeight="11.25"/>
  <cols>
    <col min="1" max="1" width="9.140625" style="3" customWidth="1"/>
    <col min="2" max="2" width="9.140625" style="3" hidden="1" customWidth="1"/>
    <col min="3" max="3" width="41.7109375" style="3" hidden="1" customWidth="1"/>
    <col min="4" max="14" width="9.140625" style="3" hidden="1" customWidth="1"/>
    <col min="15" max="15" width="9.140625" style="3"/>
    <col min="16" max="16" width="9.28515625" style="3" bestFit="1" customWidth="1"/>
    <col min="17" max="17" width="15.42578125" style="3" customWidth="1"/>
    <col min="18" max="18" width="10.7109375" style="3" bestFit="1" customWidth="1"/>
    <col min="19" max="19" width="11" style="5" bestFit="1" customWidth="1"/>
    <col min="20" max="20" width="14.140625" style="5" bestFit="1" customWidth="1"/>
    <col min="21" max="21" width="10.28515625" style="5" bestFit="1" customWidth="1"/>
    <col min="22" max="22" width="10" style="5" bestFit="1" customWidth="1"/>
    <col min="23" max="16384" width="9.140625" style="3"/>
  </cols>
  <sheetData>
    <row r="1" spans="1:22">
      <c r="A1" s="3" t="s">
        <v>42</v>
      </c>
      <c r="C1" s="3" t="s">
        <v>1500</v>
      </c>
    </row>
    <row r="2" spans="1:22">
      <c r="A2" s="3" t="s">
        <v>43</v>
      </c>
      <c r="C2" s="3" t="s">
        <v>46</v>
      </c>
    </row>
    <row r="3" spans="1:22">
      <c r="A3" s="3" t="s">
        <v>44</v>
      </c>
    </row>
    <row r="4" spans="1:22">
      <c r="A4" s="3" t="s">
        <v>45</v>
      </c>
    </row>
    <row r="6" spans="1:22">
      <c r="P6" s="31" t="s">
        <v>45</v>
      </c>
      <c r="Q6" s="31" t="s">
        <v>0</v>
      </c>
      <c r="R6" s="32" t="s">
        <v>47</v>
      </c>
      <c r="S6" s="12" t="s">
        <v>48</v>
      </c>
      <c r="T6" s="12" t="s">
        <v>49</v>
      </c>
      <c r="U6" s="12" t="s">
        <v>50</v>
      </c>
      <c r="V6" s="12" t="s">
        <v>51</v>
      </c>
    </row>
    <row r="7" spans="1:22">
      <c r="A7" s="33" t="str">
        <f>IF(Tabela17683[[#This Row],[Código]]="IBOV","^BVSP",IF(Tabela17683[[#This Row],[Código]]="","",CONCATENATE(LEFT(Tabela17683[[#This Row],[Código]],6),".SA")))</f>
        <v>AZEV3.SA</v>
      </c>
      <c r="C7" s="3" t="s">
        <v>1253</v>
      </c>
      <c r="D7" s="3" t="s">
        <v>1254</v>
      </c>
      <c r="E7" s="3" t="s">
        <v>1254</v>
      </c>
      <c r="F7" s="3" t="s">
        <v>1254</v>
      </c>
      <c r="G7" s="3" t="s">
        <v>1254</v>
      </c>
      <c r="H7" s="51">
        <v>41691</v>
      </c>
      <c r="J7" s="3">
        <f>IF($A7="",0,VALUE(CONCATENATE(LEFT(D7,LEN(D7)-3),",",RIGHT(D7,2))))</f>
        <v>1.95</v>
      </c>
      <c r="K7" s="3">
        <f t="shared" ref="K7:M22" si="0">IF($A7="",0,VALUE(CONCATENATE(LEFT(E7,LEN(E7)-3),",",RIGHT(E7,2))))</f>
        <v>1.95</v>
      </c>
      <c r="L7" s="3">
        <f t="shared" si="0"/>
        <v>1.95</v>
      </c>
      <c r="M7" s="3">
        <f t="shared" si="0"/>
        <v>1.95</v>
      </c>
      <c r="P7" s="14" t="s">
        <v>1244</v>
      </c>
      <c r="Q7" s="10" t="str">
        <f t="shared" ref="Q7:Q38" si="1">IF(A7="","",C7)</f>
        <v>AZEVEDO     -ON</v>
      </c>
      <c r="R7" s="51">
        <f t="shared" ref="R7:R38" si="2">IF(A7="","",H7)</f>
        <v>41691</v>
      </c>
      <c r="S7" s="5">
        <f t="shared" ref="S7:S38" si="3">J7</f>
        <v>1.95</v>
      </c>
      <c r="T7" s="5">
        <f t="shared" ref="T7:T38" si="4">K7</f>
        <v>1.95</v>
      </c>
      <c r="U7" s="5">
        <f t="shared" ref="U7:U38" si="5">L7</f>
        <v>1.95</v>
      </c>
      <c r="V7" s="5">
        <f t="shared" ref="V7:V38" si="6">M7</f>
        <v>1.95</v>
      </c>
    </row>
    <row r="8" spans="1:22">
      <c r="A8" s="33" t="str">
        <f>IF(Tabela17683[[#This Row],[Código]]="IBOV","^BVSP",IF(Tabela17683[[#This Row],[Código]]="","",CONCATENATE(LEFT(Tabela17683[[#This Row],[Código]],6),".SA")))</f>
        <v>AZEV4.SA</v>
      </c>
      <c r="C8" s="3" t="s">
        <v>1255</v>
      </c>
      <c r="D8" s="3" t="s">
        <v>1256</v>
      </c>
      <c r="E8" s="3" t="s">
        <v>1256</v>
      </c>
      <c r="F8" s="3" t="s">
        <v>1256</v>
      </c>
      <c r="G8" s="3" t="s">
        <v>1256</v>
      </c>
      <c r="H8" s="51">
        <v>41691</v>
      </c>
      <c r="J8" s="3">
        <f t="shared" ref="J8:M71" si="7">IF($A8="",0,VALUE(CONCATENATE(LEFT(D8,LEN(D8)-3),",",RIGHT(D8,2))))</f>
        <v>1.5</v>
      </c>
      <c r="K8" s="3">
        <f t="shared" si="0"/>
        <v>1.5</v>
      </c>
      <c r="L8" s="3">
        <f t="shared" si="0"/>
        <v>1.5</v>
      </c>
      <c r="M8" s="3">
        <f t="shared" si="0"/>
        <v>1.5</v>
      </c>
      <c r="P8" s="15" t="s">
        <v>1245</v>
      </c>
      <c r="Q8" s="10" t="str">
        <f t="shared" si="1"/>
        <v>AZEVEDO     -PN</v>
      </c>
      <c r="R8" s="51">
        <f t="shared" si="2"/>
        <v>41691</v>
      </c>
      <c r="S8" s="5">
        <f t="shared" si="3"/>
        <v>1.5</v>
      </c>
      <c r="T8" s="5">
        <f t="shared" si="4"/>
        <v>1.5</v>
      </c>
      <c r="U8" s="5">
        <f t="shared" si="5"/>
        <v>1.5</v>
      </c>
      <c r="V8" s="5">
        <f t="shared" si="6"/>
        <v>1.5</v>
      </c>
    </row>
    <row r="9" spans="1:22">
      <c r="A9" s="33" t="str">
        <f>IF(Tabela17683[[#This Row],[Código]]="IBOV","^BVSP",IF(Tabela17683[[#This Row],[Código]]="","",CONCATENATE(LEFT(Tabela17683[[#This Row],[Código]],6),".SA")))</f>
        <v>LIXC3.SA</v>
      </c>
      <c r="C9" s="3" t="s">
        <v>1258</v>
      </c>
      <c r="D9" s="3" t="s">
        <v>982</v>
      </c>
      <c r="E9" s="3" t="s">
        <v>1543</v>
      </c>
      <c r="F9" s="3" t="s">
        <v>1543</v>
      </c>
      <c r="G9" s="3" t="s">
        <v>982</v>
      </c>
      <c r="H9" s="51">
        <v>41691</v>
      </c>
      <c r="J9" s="3">
        <f t="shared" si="7"/>
        <v>2.61</v>
      </c>
      <c r="K9" s="3">
        <f t="shared" si="0"/>
        <v>2.66</v>
      </c>
      <c r="L9" s="3">
        <f t="shared" si="0"/>
        <v>2.66</v>
      </c>
      <c r="M9" s="3">
        <f t="shared" si="0"/>
        <v>2.61</v>
      </c>
      <c r="P9" s="14" t="s">
        <v>1246</v>
      </c>
      <c r="Q9" s="10" t="str">
        <f t="shared" si="1"/>
        <v>LIX DA CUNHA-ON</v>
      </c>
      <c r="R9" s="46">
        <f t="shared" si="2"/>
        <v>41691</v>
      </c>
      <c r="S9" s="6">
        <f t="shared" si="3"/>
        <v>2.61</v>
      </c>
      <c r="T9" s="6">
        <f t="shared" si="4"/>
        <v>2.66</v>
      </c>
      <c r="U9" s="6">
        <f t="shared" si="5"/>
        <v>2.66</v>
      </c>
      <c r="V9" s="6">
        <f t="shared" si="6"/>
        <v>2.61</v>
      </c>
    </row>
    <row r="10" spans="1:22">
      <c r="A10" s="33" t="str">
        <f>IF(Tabela17683[[#This Row],[Código]]="IBOV","^BVSP",IF(Tabela17683[[#This Row],[Código]]="","",CONCATENATE(LEFT(Tabela17683[[#This Row],[Código]],6),".SA")))</f>
        <v>LIXC4.SA</v>
      </c>
      <c r="C10" s="3" t="s">
        <v>1259</v>
      </c>
      <c r="D10" s="3" t="s">
        <v>1220</v>
      </c>
      <c r="E10" s="3" t="s">
        <v>987</v>
      </c>
      <c r="F10" s="3" t="s">
        <v>1534</v>
      </c>
      <c r="G10" s="3" t="s">
        <v>1220</v>
      </c>
      <c r="H10" s="51">
        <v>41691</v>
      </c>
      <c r="J10" s="3">
        <f t="shared" si="7"/>
        <v>2.95</v>
      </c>
      <c r="K10" s="3">
        <f t="shared" si="0"/>
        <v>3.09</v>
      </c>
      <c r="L10" s="3">
        <f t="shared" si="0"/>
        <v>3.13</v>
      </c>
      <c r="M10" s="3">
        <f t="shared" si="0"/>
        <v>2.95</v>
      </c>
      <c r="P10" s="14" t="s">
        <v>1247</v>
      </c>
      <c r="Q10" s="10" t="str">
        <f t="shared" si="1"/>
        <v>LIX DA CUNHA-PN</v>
      </c>
      <c r="R10" s="51">
        <f t="shared" si="2"/>
        <v>41691</v>
      </c>
      <c r="S10" s="5">
        <f t="shared" si="3"/>
        <v>2.95</v>
      </c>
      <c r="T10" s="5">
        <f t="shared" si="4"/>
        <v>3.09</v>
      </c>
      <c r="U10" s="5">
        <f t="shared" si="5"/>
        <v>3.13</v>
      </c>
      <c r="V10" s="5">
        <f t="shared" si="6"/>
        <v>2.95</v>
      </c>
    </row>
    <row r="11" spans="1:22">
      <c r="A11" s="33" t="str">
        <f>IF(Tabela17683[[#This Row],[Código]]="IBOV","^BVSP",IF(Tabela17683[[#This Row],[Código]]="","",CONCATENATE(LEFT(Tabela17683[[#This Row],[Código]],6),".SA")))</f>
        <v>MEND3.SA</v>
      </c>
      <c r="C11" s="3" t="s">
        <v>1263</v>
      </c>
      <c r="D11" s="3" t="s">
        <v>442</v>
      </c>
      <c r="E11" s="3" t="s">
        <v>443</v>
      </c>
      <c r="F11" s="3" t="s">
        <v>442</v>
      </c>
      <c r="G11" s="3" t="s">
        <v>442</v>
      </c>
      <c r="H11" s="51" t="s">
        <v>442</v>
      </c>
      <c r="J11" s="3" t="e">
        <f t="shared" si="7"/>
        <v>#VALUE!</v>
      </c>
      <c r="K11" s="3">
        <f t="shared" si="0"/>
        <v>0</v>
      </c>
      <c r="L11" s="3" t="e">
        <f t="shared" si="0"/>
        <v>#VALUE!</v>
      </c>
      <c r="M11" s="3" t="e">
        <f t="shared" si="0"/>
        <v>#VALUE!</v>
      </c>
      <c r="P11" s="14" t="s">
        <v>1250</v>
      </c>
      <c r="Q11" s="10" t="str">
        <f t="shared" si="1"/>
        <v>MENDES JR   -ON</v>
      </c>
      <c r="R11" s="51" t="str">
        <f t="shared" si="2"/>
        <v>N/A</v>
      </c>
      <c r="S11" s="5" t="e">
        <f t="shared" si="3"/>
        <v>#VALUE!</v>
      </c>
      <c r="T11" s="5">
        <f t="shared" si="4"/>
        <v>0</v>
      </c>
      <c r="U11" s="5" t="e">
        <f t="shared" si="5"/>
        <v>#VALUE!</v>
      </c>
      <c r="V11" s="5" t="e">
        <f t="shared" si="6"/>
        <v>#VALUE!</v>
      </c>
    </row>
    <row r="12" spans="1:22">
      <c r="A12" s="33" t="str">
        <f>IF(Tabela17683[[#This Row],[Código]]="IBOV","^BVSP",IF(Tabela17683[[#This Row],[Código]]="","",CONCATENATE(LEFT(Tabela17683[[#This Row],[Código]],6),".SA")))</f>
        <v>MEND5.SA</v>
      </c>
      <c r="C12" s="3" t="s">
        <v>1264</v>
      </c>
      <c r="D12" s="3" t="s">
        <v>1265</v>
      </c>
      <c r="E12" s="3" t="s">
        <v>1265</v>
      </c>
      <c r="F12" s="3" t="s">
        <v>1265</v>
      </c>
      <c r="G12" s="3" t="s">
        <v>1265</v>
      </c>
      <c r="H12" s="51">
        <v>41691</v>
      </c>
      <c r="J12" s="3">
        <f t="shared" si="7"/>
        <v>11.22</v>
      </c>
      <c r="K12" s="3">
        <f t="shared" si="0"/>
        <v>11.22</v>
      </c>
      <c r="L12" s="3">
        <f t="shared" si="0"/>
        <v>11.22</v>
      </c>
      <c r="M12" s="3">
        <f t="shared" si="0"/>
        <v>11.22</v>
      </c>
      <c r="P12" s="15" t="s">
        <v>1251</v>
      </c>
      <c r="Q12" s="10" t="str">
        <f t="shared" si="1"/>
        <v>MENDES JR   -PNA</v>
      </c>
      <c r="R12" s="46">
        <f t="shared" si="2"/>
        <v>41691</v>
      </c>
      <c r="S12" s="6">
        <f t="shared" si="3"/>
        <v>11.22</v>
      </c>
      <c r="T12" s="6">
        <f t="shared" si="4"/>
        <v>11.22</v>
      </c>
      <c r="U12" s="5">
        <f t="shared" si="5"/>
        <v>11.22</v>
      </c>
      <c r="V12" s="5">
        <f t="shared" si="6"/>
        <v>11.22</v>
      </c>
    </row>
    <row r="13" spans="1:22">
      <c r="A13" s="33" t="str">
        <f>IF(Tabela17683[[#This Row],[Código]]="IBOV","^BVSP",IF(Tabela17683[[#This Row],[Código]]="","",CONCATENATE(LEFT(Tabela17683[[#This Row],[Código]],6),".SA")))</f>
        <v>MEND6.SA</v>
      </c>
      <c r="C13" s="3" t="s">
        <v>1266</v>
      </c>
      <c r="D13" s="3" t="s">
        <v>1267</v>
      </c>
      <c r="E13" s="3" t="s">
        <v>1267</v>
      </c>
      <c r="F13" s="3" t="s">
        <v>1267</v>
      </c>
      <c r="G13" s="3" t="s">
        <v>1267</v>
      </c>
      <c r="H13" s="51">
        <v>41691</v>
      </c>
      <c r="J13" s="3">
        <f t="shared" si="7"/>
        <v>11.6</v>
      </c>
      <c r="K13" s="3">
        <f t="shared" si="0"/>
        <v>11.6</v>
      </c>
      <c r="L13" s="3">
        <f t="shared" si="0"/>
        <v>11.6</v>
      </c>
      <c r="M13" s="3">
        <f t="shared" si="0"/>
        <v>11.6</v>
      </c>
      <c r="P13" s="10" t="s">
        <v>1252</v>
      </c>
      <c r="Q13" s="10" t="str">
        <f t="shared" si="1"/>
        <v>MENDES JR   -PNB</v>
      </c>
      <c r="R13" s="51">
        <f t="shared" si="2"/>
        <v>41691</v>
      </c>
      <c r="S13" s="5">
        <f t="shared" si="3"/>
        <v>11.6</v>
      </c>
      <c r="T13" s="5">
        <f t="shared" si="4"/>
        <v>11.6</v>
      </c>
      <c r="U13" s="5">
        <f t="shared" si="5"/>
        <v>11.6</v>
      </c>
      <c r="V13" s="5">
        <f t="shared" si="6"/>
        <v>11.6</v>
      </c>
    </row>
    <row r="14" spans="1:22">
      <c r="A14" s="33" t="str">
        <f>IF(Tabela17683[[#This Row],[Código]]="IBOV","^BVSP",IF(Tabela17683[[#This Row],[Código]]="","",CONCATENATE(LEFT(Tabela17683[[#This Row],[Código]],6),".SA")))</f>
        <v>SULT3.SA</v>
      </c>
      <c r="C14" s="3" t="s">
        <v>1260</v>
      </c>
      <c r="D14" s="3" t="s">
        <v>1261</v>
      </c>
      <c r="E14" s="3" t="s">
        <v>1261</v>
      </c>
      <c r="F14" s="3" t="s">
        <v>1261</v>
      </c>
      <c r="G14" s="3" t="s">
        <v>1261</v>
      </c>
      <c r="H14" s="51">
        <v>41691</v>
      </c>
      <c r="J14" s="3">
        <f t="shared" si="7"/>
        <v>1.1499999999999999</v>
      </c>
      <c r="K14" s="3">
        <f t="shared" si="0"/>
        <v>1.1499999999999999</v>
      </c>
      <c r="L14" s="3">
        <f t="shared" si="0"/>
        <v>1.1499999999999999</v>
      </c>
      <c r="M14" s="3">
        <f t="shared" si="0"/>
        <v>1.1499999999999999</v>
      </c>
      <c r="P14" s="15" t="s">
        <v>1248</v>
      </c>
      <c r="Q14" s="10" t="str">
        <f t="shared" si="1"/>
        <v>SULTEPA     -ON</v>
      </c>
      <c r="R14" s="51">
        <f t="shared" si="2"/>
        <v>41691</v>
      </c>
      <c r="S14" s="5">
        <f t="shared" si="3"/>
        <v>1.1499999999999999</v>
      </c>
      <c r="T14" s="5">
        <f t="shared" si="4"/>
        <v>1.1499999999999999</v>
      </c>
      <c r="U14" s="5">
        <f t="shared" si="5"/>
        <v>1.1499999999999999</v>
      </c>
      <c r="V14" s="5">
        <f t="shared" si="6"/>
        <v>1.1499999999999999</v>
      </c>
    </row>
    <row r="15" spans="1:22">
      <c r="A15" s="33" t="str">
        <f>IF(Tabela17683[[#This Row],[Código]]="IBOV","^BVSP",IF(Tabela17683[[#This Row],[Código]]="","",CONCATENATE(LEFT(Tabela17683[[#This Row],[Código]],6),".SA")))</f>
        <v>SULT4.SA</v>
      </c>
      <c r="C15" s="3" t="s">
        <v>1262</v>
      </c>
      <c r="D15" s="3" t="s">
        <v>478</v>
      </c>
      <c r="E15" s="3" t="s">
        <v>1997</v>
      </c>
      <c r="F15" s="3" t="s">
        <v>1997</v>
      </c>
      <c r="G15" s="3" t="s">
        <v>478</v>
      </c>
      <c r="H15" s="51">
        <v>41691</v>
      </c>
      <c r="J15" s="3">
        <f t="shared" si="7"/>
        <v>1</v>
      </c>
      <c r="K15" s="3">
        <f t="shared" si="0"/>
        <v>1.0900000000000001</v>
      </c>
      <c r="L15" s="3">
        <f t="shared" si="0"/>
        <v>1.0900000000000001</v>
      </c>
      <c r="M15" s="3">
        <f t="shared" si="0"/>
        <v>1</v>
      </c>
      <c r="P15" s="14" t="s">
        <v>1249</v>
      </c>
      <c r="Q15" s="10" t="str">
        <f t="shared" si="1"/>
        <v>SULTEPA     -PN</v>
      </c>
      <c r="R15" s="51">
        <f t="shared" si="2"/>
        <v>41691</v>
      </c>
      <c r="S15" s="5">
        <f t="shared" si="3"/>
        <v>1</v>
      </c>
      <c r="T15" s="5">
        <f t="shared" si="4"/>
        <v>1.0900000000000001</v>
      </c>
      <c r="U15" s="5">
        <f t="shared" si="5"/>
        <v>1.0900000000000001</v>
      </c>
      <c r="V15" s="5">
        <f t="shared" si="6"/>
        <v>1</v>
      </c>
    </row>
    <row r="16" spans="1:22">
      <c r="A16" s="33" t="str">
        <f>IF(Tabela17683[[#This Row],[Código]]="IBOV","^BVSP",IF(Tabela17683[[#This Row],[Código]]="","",CONCATENATE(LEFT(Tabela17683[[#This Row],[Código]],6),".SA")))</f>
        <v>SOND3.SA</v>
      </c>
      <c r="C16" s="3" t="s">
        <v>1275</v>
      </c>
      <c r="D16" s="3" t="s">
        <v>442</v>
      </c>
      <c r="E16" s="3" t="s">
        <v>1276</v>
      </c>
      <c r="F16" s="3" t="s">
        <v>1276</v>
      </c>
      <c r="G16" s="3" t="s">
        <v>1276</v>
      </c>
      <c r="H16" s="51">
        <v>41691</v>
      </c>
      <c r="J16" s="3" t="e">
        <f t="shared" si="7"/>
        <v>#VALUE!</v>
      </c>
      <c r="K16" s="3">
        <f t="shared" si="0"/>
        <v>42</v>
      </c>
      <c r="L16" s="3">
        <f t="shared" si="0"/>
        <v>42</v>
      </c>
      <c r="M16" s="3">
        <f t="shared" si="0"/>
        <v>42</v>
      </c>
      <c r="P16" s="14" t="s">
        <v>1270</v>
      </c>
      <c r="Q16" s="10" t="str">
        <f t="shared" si="1"/>
        <v>SONDOTECNICA-ON</v>
      </c>
      <c r="R16" s="51">
        <f t="shared" si="2"/>
        <v>41691</v>
      </c>
      <c r="S16" s="5" t="e">
        <f t="shared" si="3"/>
        <v>#VALUE!</v>
      </c>
      <c r="T16" s="5">
        <f t="shared" si="4"/>
        <v>42</v>
      </c>
      <c r="U16" s="5">
        <f t="shared" si="5"/>
        <v>42</v>
      </c>
      <c r="V16" s="5">
        <f t="shared" si="6"/>
        <v>42</v>
      </c>
    </row>
    <row r="17" spans="1:22">
      <c r="A17" s="33" t="str">
        <f>IF(Tabela17683[[#This Row],[Código]]="IBOV","^BVSP",IF(Tabela17683[[#This Row],[Código]]="","",CONCATENATE(LEFT(Tabela17683[[#This Row],[Código]],6),".SA")))</f>
        <v>SOND5.SA</v>
      </c>
      <c r="C17" s="3" t="s">
        <v>1277</v>
      </c>
      <c r="D17" s="3" t="s">
        <v>989</v>
      </c>
      <c r="E17" s="3" t="s">
        <v>989</v>
      </c>
      <c r="F17" s="3" t="s">
        <v>989</v>
      </c>
      <c r="G17" s="3" t="s">
        <v>989</v>
      </c>
      <c r="H17" s="51">
        <v>41691</v>
      </c>
      <c r="J17" s="3">
        <f t="shared" si="7"/>
        <v>41</v>
      </c>
      <c r="K17" s="3">
        <f t="shared" si="0"/>
        <v>41</v>
      </c>
      <c r="L17" s="3">
        <f t="shared" si="0"/>
        <v>41</v>
      </c>
      <c r="M17" s="3">
        <f t="shared" si="0"/>
        <v>41</v>
      </c>
      <c r="P17" s="14" t="s">
        <v>1271</v>
      </c>
      <c r="Q17" s="10" t="str">
        <f t="shared" si="1"/>
        <v>SONDOTECNICA-PNA</v>
      </c>
      <c r="R17" s="51">
        <f t="shared" si="2"/>
        <v>41691</v>
      </c>
      <c r="S17" s="5">
        <f t="shared" si="3"/>
        <v>41</v>
      </c>
      <c r="T17" s="5">
        <f t="shared" si="4"/>
        <v>41</v>
      </c>
      <c r="U17" s="5">
        <f t="shared" si="5"/>
        <v>41</v>
      </c>
      <c r="V17" s="5">
        <f t="shared" si="6"/>
        <v>41</v>
      </c>
    </row>
    <row r="18" spans="1:22">
      <c r="A18" s="33" t="str">
        <f>IF(Tabela17683[[#This Row],[Código]]="IBOV","^BVSP",IF(Tabela17683[[#This Row],[Código]]="","",CONCATENATE(LEFT(Tabela17683[[#This Row],[Código]],6),".SA")))</f>
        <v>SOND6.SA</v>
      </c>
      <c r="C18" s="3" t="s">
        <v>1278</v>
      </c>
      <c r="D18" s="3" t="s">
        <v>1279</v>
      </c>
      <c r="E18" s="3" t="s">
        <v>1279</v>
      </c>
      <c r="F18" s="3" t="s">
        <v>1279</v>
      </c>
      <c r="G18" s="3" t="s">
        <v>1279</v>
      </c>
      <c r="H18" s="51">
        <v>41691</v>
      </c>
      <c r="J18" s="3">
        <f t="shared" si="7"/>
        <v>44</v>
      </c>
      <c r="K18" s="3">
        <f t="shared" si="0"/>
        <v>44</v>
      </c>
      <c r="L18" s="3">
        <f t="shared" si="0"/>
        <v>44</v>
      </c>
      <c r="M18" s="3">
        <f t="shared" si="0"/>
        <v>44</v>
      </c>
      <c r="P18" s="14" t="s">
        <v>1272</v>
      </c>
      <c r="Q18" s="10" t="str">
        <f t="shared" si="1"/>
        <v>SONDOTECNICA-PNB</v>
      </c>
      <c r="R18" s="51">
        <f t="shared" si="2"/>
        <v>41691</v>
      </c>
      <c r="S18" s="5">
        <f t="shared" si="3"/>
        <v>44</v>
      </c>
      <c r="T18" s="5">
        <f t="shared" si="4"/>
        <v>44</v>
      </c>
      <c r="U18" s="5">
        <f t="shared" si="5"/>
        <v>44</v>
      </c>
      <c r="V18" s="5">
        <f t="shared" si="6"/>
        <v>44</v>
      </c>
    </row>
    <row r="19" spans="1:22">
      <c r="A19" s="33" t="str">
        <f>IF(Tabela17683[[#This Row],[Código]]="IBOV","^BVSP",IF(Tabela17683[[#This Row],[Código]]="","",CONCATENATE(LEFT(Tabela17683[[#This Row],[Código]],6),".SA")))</f>
        <v>TCNO3.SA</v>
      </c>
      <c r="C19" s="3" t="s">
        <v>1280</v>
      </c>
      <c r="D19" s="3" t="s">
        <v>679</v>
      </c>
      <c r="E19" s="3" t="s">
        <v>679</v>
      </c>
      <c r="F19" s="3" t="s">
        <v>679</v>
      </c>
      <c r="G19" s="3" t="s">
        <v>679</v>
      </c>
      <c r="H19" s="51">
        <v>41691</v>
      </c>
      <c r="J19" s="3">
        <f t="shared" si="7"/>
        <v>0.08</v>
      </c>
      <c r="K19" s="3">
        <f t="shared" si="0"/>
        <v>0.08</v>
      </c>
      <c r="L19" s="3">
        <f t="shared" si="0"/>
        <v>0.08</v>
      </c>
      <c r="M19" s="3">
        <f t="shared" si="0"/>
        <v>0.08</v>
      </c>
      <c r="P19" s="10" t="s">
        <v>1273</v>
      </c>
      <c r="Q19" s="10" t="str">
        <f t="shared" si="1"/>
        <v>TECNOSOLO   -ON</v>
      </c>
      <c r="R19" s="51">
        <f t="shared" si="2"/>
        <v>41691</v>
      </c>
      <c r="S19" s="5">
        <f t="shared" si="3"/>
        <v>0.08</v>
      </c>
      <c r="T19" s="5">
        <f t="shared" si="4"/>
        <v>0.08</v>
      </c>
      <c r="U19" s="5">
        <f t="shared" si="5"/>
        <v>0.08</v>
      </c>
      <c r="V19" s="5">
        <f t="shared" si="6"/>
        <v>0.08</v>
      </c>
    </row>
    <row r="20" spans="1:22">
      <c r="A20" s="33" t="str">
        <f>IF(Tabela17683[[#This Row],[Código]]="IBOV","^BVSP",IF(Tabela17683[[#This Row],[Código]]="","",CONCATENATE(LEFT(Tabela17683[[#This Row],[Código]],6),".SA")))</f>
        <v>TCNO4.SA</v>
      </c>
      <c r="C20" s="3" t="s">
        <v>1281</v>
      </c>
      <c r="D20" s="3" t="s">
        <v>808</v>
      </c>
      <c r="E20" s="3" t="s">
        <v>1282</v>
      </c>
      <c r="F20" s="3" t="s">
        <v>808</v>
      </c>
      <c r="G20" s="3" t="s">
        <v>1282</v>
      </c>
      <c r="H20" s="51">
        <v>41691</v>
      </c>
      <c r="J20" s="3">
        <f t="shared" si="7"/>
        <v>7.0000000000000007E-2</v>
      </c>
      <c r="K20" s="3">
        <f t="shared" si="0"/>
        <v>0.06</v>
      </c>
      <c r="L20" s="3">
        <f t="shared" si="0"/>
        <v>7.0000000000000007E-2</v>
      </c>
      <c r="M20" s="3">
        <f t="shared" si="0"/>
        <v>0.06</v>
      </c>
      <c r="P20" s="10" t="s">
        <v>1274</v>
      </c>
      <c r="Q20" s="10" t="str">
        <f t="shared" si="1"/>
        <v>TECNOSOLO   -PN</v>
      </c>
      <c r="R20" s="51">
        <f t="shared" si="2"/>
        <v>41691</v>
      </c>
      <c r="S20" s="5">
        <f t="shared" si="3"/>
        <v>7.0000000000000007E-2</v>
      </c>
      <c r="T20" s="5">
        <f t="shared" si="4"/>
        <v>0.06</v>
      </c>
      <c r="U20" s="5">
        <f t="shared" si="5"/>
        <v>7.0000000000000007E-2</v>
      </c>
      <c r="V20" s="5">
        <f t="shared" si="6"/>
        <v>0.06</v>
      </c>
    </row>
    <row r="21" spans="1:22">
      <c r="A21" s="33" t="str">
        <f>IF(Tabela17683[[#This Row],[Código]]="IBOV","^BVSP",IF(Tabela17683[[#This Row],[Código]]="","",CONCATENATE(LEFT(Tabela17683[[#This Row],[Código]],6),".SA")))</f>
        <v>BBRK3.SA</v>
      </c>
      <c r="C21" s="3" t="s">
        <v>1286</v>
      </c>
      <c r="D21" s="3" t="s">
        <v>1998</v>
      </c>
      <c r="E21" s="3" t="s">
        <v>732</v>
      </c>
      <c r="F21" s="3" t="s">
        <v>1998</v>
      </c>
      <c r="G21" s="3" t="s">
        <v>1999</v>
      </c>
      <c r="H21" s="51">
        <v>41691</v>
      </c>
      <c r="J21" s="3">
        <f t="shared" si="7"/>
        <v>4.97</v>
      </c>
      <c r="K21" s="3">
        <f t="shared" si="0"/>
        <v>4.9000000000000004</v>
      </c>
      <c r="L21" s="3">
        <f t="shared" si="0"/>
        <v>4.97</v>
      </c>
      <c r="M21" s="3">
        <f t="shared" si="0"/>
        <v>4.84</v>
      </c>
      <c r="P21" s="14" t="s">
        <v>1284</v>
      </c>
      <c r="Q21" s="10" t="str">
        <f t="shared" si="1"/>
        <v xml:space="preserve">BR BROKERS  -ON  </v>
      </c>
      <c r="R21" s="51">
        <f t="shared" si="2"/>
        <v>41691</v>
      </c>
      <c r="S21" s="5">
        <f t="shared" si="3"/>
        <v>4.97</v>
      </c>
      <c r="T21" s="5">
        <f t="shared" si="4"/>
        <v>4.9000000000000004</v>
      </c>
      <c r="U21" s="5">
        <f t="shared" si="5"/>
        <v>4.97</v>
      </c>
      <c r="V21" s="5">
        <f t="shared" si="6"/>
        <v>4.84</v>
      </c>
    </row>
    <row r="22" spans="1:22">
      <c r="A22" s="33" t="str">
        <f>IF(Tabela17683[[#This Row],[Código]]="IBOV","^BVSP",IF(Tabela17683[[#This Row],[Código]]="","",CONCATENATE(LEFT(Tabela17683[[#This Row],[Código]],6),".SA")))</f>
        <v>LPSB3.SA</v>
      </c>
      <c r="C22" s="3" t="s">
        <v>1287</v>
      </c>
      <c r="D22" s="3" t="s">
        <v>2000</v>
      </c>
      <c r="E22" s="3" t="s">
        <v>2001</v>
      </c>
      <c r="F22" s="3" t="s">
        <v>2001</v>
      </c>
      <c r="G22" s="3" t="s">
        <v>1557</v>
      </c>
      <c r="H22" s="51">
        <v>41691</v>
      </c>
      <c r="J22" s="3">
        <f t="shared" si="7"/>
        <v>13.27</v>
      </c>
      <c r="K22" s="3">
        <f t="shared" si="0"/>
        <v>13.37</v>
      </c>
      <c r="L22" s="3">
        <f t="shared" si="0"/>
        <v>13.37</v>
      </c>
      <c r="M22" s="3">
        <f t="shared" si="0"/>
        <v>13.18</v>
      </c>
      <c r="P22" s="14" t="s">
        <v>1285</v>
      </c>
      <c r="Q22" s="10" t="str">
        <f t="shared" si="1"/>
        <v xml:space="preserve">LOPES BRASIL-ON  </v>
      </c>
      <c r="R22" s="51">
        <f t="shared" si="2"/>
        <v>41691</v>
      </c>
      <c r="S22" s="5">
        <f t="shared" si="3"/>
        <v>13.27</v>
      </c>
      <c r="T22" s="5">
        <f t="shared" si="4"/>
        <v>13.37</v>
      </c>
      <c r="U22" s="5">
        <f t="shared" si="5"/>
        <v>13.37</v>
      </c>
      <c r="V22" s="5">
        <f t="shared" si="6"/>
        <v>13.18</v>
      </c>
    </row>
    <row r="23" spans="1:22">
      <c r="A23" s="33" t="str">
        <f>IF(Tabela17683[[#This Row],[Código]]="IBOV","^BVSP",IF(Tabela17683[[#This Row],[Código]]="","",CONCATENATE(LEFT(Tabela17683[[#This Row],[Código]],6),".SA")))</f>
        <v>CCHI3.SA</v>
      </c>
      <c r="C23" s="3" t="s">
        <v>1295</v>
      </c>
      <c r="D23" s="3" t="s">
        <v>2002</v>
      </c>
      <c r="E23" s="3" t="s">
        <v>1450</v>
      </c>
      <c r="F23" s="3" t="s">
        <v>1450</v>
      </c>
      <c r="G23" s="3" t="s">
        <v>2002</v>
      </c>
      <c r="H23" s="51">
        <v>41691</v>
      </c>
      <c r="J23" s="3">
        <f t="shared" si="7"/>
        <v>0.14000000000000001</v>
      </c>
      <c r="K23" s="3">
        <f t="shared" si="7"/>
        <v>0.15</v>
      </c>
      <c r="L23" s="3">
        <f t="shared" si="7"/>
        <v>0.15</v>
      </c>
      <c r="M23" s="3">
        <f t="shared" si="7"/>
        <v>0.14000000000000001</v>
      </c>
      <c r="P23" s="14" t="s">
        <v>1290</v>
      </c>
      <c r="Q23" s="10" t="str">
        <f t="shared" si="1"/>
        <v>CHIARELLI   -ON</v>
      </c>
      <c r="R23" s="51">
        <f t="shared" si="2"/>
        <v>41691</v>
      </c>
      <c r="S23" s="5">
        <f t="shared" si="3"/>
        <v>0.14000000000000001</v>
      </c>
      <c r="T23" s="5">
        <f t="shared" si="4"/>
        <v>0.15</v>
      </c>
      <c r="U23" s="5">
        <f t="shared" si="5"/>
        <v>0.15</v>
      </c>
      <c r="V23" s="5">
        <f t="shared" si="6"/>
        <v>0.14000000000000001</v>
      </c>
    </row>
    <row r="24" spans="1:22">
      <c r="A24" s="33" t="str">
        <f>IF(Tabela17683[[#This Row],[Código]]="IBOV","^BVSP",IF(Tabela17683[[#This Row],[Código]]="","",CONCATENATE(LEFT(Tabela17683[[#This Row],[Código]],6),".SA")))</f>
        <v>CCHI4.SA</v>
      </c>
      <c r="C24" s="3" t="s">
        <v>1296</v>
      </c>
      <c r="D24" s="3" t="s">
        <v>1642</v>
      </c>
      <c r="E24" s="3" t="s">
        <v>411</v>
      </c>
      <c r="F24" s="3" t="s">
        <v>1642</v>
      </c>
      <c r="G24" s="3" t="s">
        <v>411</v>
      </c>
      <c r="H24" s="51">
        <v>41691</v>
      </c>
      <c r="J24" s="3">
        <f t="shared" si="7"/>
        <v>0.13</v>
      </c>
      <c r="K24" s="3">
        <f t="shared" si="7"/>
        <v>0.12</v>
      </c>
      <c r="L24" s="3">
        <f t="shared" si="7"/>
        <v>0.13</v>
      </c>
      <c r="M24" s="3">
        <f t="shared" si="7"/>
        <v>0.12</v>
      </c>
      <c r="P24" s="15" t="s">
        <v>1291</v>
      </c>
      <c r="Q24" s="10" t="str">
        <f t="shared" si="1"/>
        <v>CHIARELLI   -PN</v>
      </c>
      <c r="R24" s="51">
        <f t="shared" si="2"/>
        <v>41691</v>
      </c>
      <c r="S24" s="5">
        <f t="shared" si="3"/>
        <v>0.13</v>
      </c>
      <c r="T24" s="5">
        <f t="shared" si="4"/>
        <v>0.12</v>
      </c>
      <c r="U24" s="5">
        <f t="shared" si="5"/>
        <v>0.13</v>
      </c>
      <c r="V24" s="5">
        <f t="shared" si="6"/>
        <v>0.12</v>
      </c>
    </row>
    <row r="25" spans="1:22">
      <c r="A25" s="33" t="str">
        <f>IF(Tabela17683[[#This Row],[Código]]="IBOV","^BVSP",IF(Tabela17683[[#This Row],[Código]]="","",CONCATENATE(LEFT(Tabela17683[[#This Row],[Código]],6),".SA")))</f>
        <v>HAGA3.SA</v>
      </c>
      <c r="C25" s="3" t="s">
        <v>1297</v>
      </c>
      <c r="D25" s="3" t="s">
        <v>499</v>
      </c>
      <c r="E25" s="3" t="s">
        <v>1298</v>
      </c>
      <c r="F25" s="3" t="s">
        <v>1298</v>
      </c>
      <c r="G25" s="3" t="s">
        <v>499</v>
      </c>
      <c r="H25" s="51">
        <v>41691</v>
      </c>
      <c r="J25" s="3">
        <f t="shared" si="7"/>
        <v>1.6</v>
      </c>
      <c r="K25" s="3">
        <f t="shared" si="7"/>
        <v>1.98</v>
      </c>
      <c r="L25" s="3">
        <f t="shared" si="7"/>
        <v>1.98</v>
      </c>
      <c r="M25" s="3">
        <f t="shared" si="7"/>
        <v>1.6</v>
      </c>
      <c r="P25" s="10" t="s">
        <v>1292</v>
      </c>
      <c r="Q25" s="10" t="str">
        <f t="shared" si="1"/>
        <v>HAGA S/A    -ON</v>
      </c>
      <c r="R25" s="51">
        <f t="shared" si="2"/>
        <v>41691</v>
      </c>
      <c r="S25" s="5">
        <f t="shared" si="3"/>
        <v>1.6</v>
      </c>
      <c r="T25" s="5">
        <f t="shared" si="4"/>
        <v>1.98</v>
      </c>
      <c r="U25" s="5">
        <f t="shared" si="5"/>
        <v>1.98</v>
      </c>
      <c r="V25" s="5">
        <f t="shared" si="6"/>
        <v>1.6</v>
      </c>
    </row>
    <row r="26" spans="1:22">
      <c r="A26" s="33" t="str">
        <f>IF(Tabela17683[[#This Row],[Código]]="IBOV","^BVSP",IF(Tabela17683[[#This Row],[Código]]="","",CONCATENATE(LEFT(Tabela17683[[#This Row],[Código]],6),".SA")))</f>
        <v>HAGA4.SA</v>
      </c>
      <c r="C26" s="3" t="s">
        <v>1299</v>
      </c>
      <c r="D26" s="3" t="s">
        <v>1300</v>
      </c>
      <c r="E26" s="3" t="s">
        <v>1301</v>
      </c>
      <c r="F26" s="3" t="s">
        <v>1301</v>
      </c>
      <c r="G26" s="3" t="s">
        <v>1300</v>
      </c>
      <c r="H26" s="51">
        <v>41691</v>
      </c>
      <c r="J26" s="3">
        <f t="shared" si="7"/>
        <v>1.29</v>
      </c>
      <c r="K26" s="3">
        <f t="shared" si="7"/>
        <v>1.35</v>
      </c>
      <c r="L26" s="3">
        <f t="shared" si="7"/>
        <v>1.35</v>
      </c>
      <c r="M26" s="3">
        <f t="shared" si="7"/>
        <v>1.29</v>
      </c>
      <c r="P26" s="15" t="s">
        <v>1293</v>
      </c>
      <c r="Q26" s="10" t="str">
        <f t="shared" si="1"/>
        <v>HAGA S/A    -PN</v>
      </c>
      <c r="R26" s="51">
        <f t="shared" si="2"/>
        <v>41691</v>
      </c>
      <c r="S26" s="5">
        <f t="shared" si="3"/>
        <v>1.29</v>
      </c>
      <c r="T26" s="5">
        <f t="shared" si="4"/>
        <v>1.35</v>
      </c>
      <c r="U26" s="5">
        <f t="shared" si="5"/>
        <v>1.35</v>
      </c>
      <c r="V26" s="5">
        <f t="shared" si="6"/>
        <v>1.29</v>
      </c>
    </row>
    <row r="27" spans="1:22">
      <c r="A27" s="33" t="str">
        <f>IF(Tabela17683[[#This Row],[Código]]="IBOV","^BVSP",IF(Tabela17683[[#This Row],[Código]]="","",CONCATENATE(LEFT(Tabela17683[[#This Row],[Código]],6),".SA")))</f>
        <v>PTBL3.SA</v>
      </c>
      <c r="C27" s="3" t="s">
        <v>1302</v>
      </c>
      <c r="D27" s="3" t="s">
        <v>999</v>
      </c>
      <c r="E27" s="3" t="s">
        <v>999</v>
      </c>
      <c r="F27" s="3" t="s">
        <v>999</v>
      </c>
      <c r="G27" s="3" t="s">
        <v>999</v>
      </c>
      <c r="H27" s="51">
        <v>41691</v>
      </c>
      <c r="J27" s="3">
        <f t="shared" si="7"/>
        <v>4.3</v>
      </c>
      <c r="K27" s="3">
        <f t="shared" si="7"/>
        <v>4.3</v>
      </c>
      <c r="L27" s="3">
        <f t="shared" si="7"/>
        <v>4.3</v>
      </c>
      <c r="M27" s="3">
        <f t="shared" si="7"/>
        <v>4.3</v>
      </c>
      <c r="P27" s="15" t="s">
        <v>1294</v>
      </c>
      <c r="Q27" s="10" t="str">
        <f t="shared" si="1"/>
        <v xml:space="preserve">PORTOBELLO  -ON  </v>
      </c>
      <c r="R27" s="51">
        <f t="shared" si="2"/>
        <v>41691</v>
      </c>
      <c r="S27" s="5">
        <f t="shared" si="3"/>
        <v>4.3</v>
      </c>
      <c r="T27" s="5">
        <f t="shared" si="4"/>
        <v>4.3</v>
      </c>
      <c r="U27" s="5">
        <f t="shared" si="5"/>
        <v>4.3</v>
      </c>
      <c r="V27" s="5">
        <f t="shared" si="6"/>
        <v>4.3</v>
      </c>
    </row>
    <row r="28" spans="1:22">
      <c r="A28" s="33" t="str">
        <f>IF(Tabela17683[[#This Row],[Código]]="IBOV","^BVSP",IF(Tabela17683[[#This Row],[Código]]="","",CONCATENATE(LEFT(Tabela17683[[#This Row],[Código]],6),".SA")))</f>
        <v>CTAX11.SA</v>
      </c>
      <c r="C28" s="3" t="s">
        <v>1311</v>
      </c>
      <c r="D28" s="3" t="s">
        <v>2003</v>
      </c>
      <c r="E28" s="3" t="s">
        <v>2004</v>
      </c>
      <c r="F28" s="3" t="s">
        <v>2005</v>
      </c>
      <c r="G28" s="3" t="s">
        <v>2006</v>
      </c>
      <c r="H28" s="51">
        <v>41691</v>
      </c>
      <c r="J28" s="3">
        <f t="shared" si="7"/>
        <v>21.5</v>
      </c>
      <c r="K28" s="3">
        <f t="shared" si="7"/>
        <v>21.1</v>
      </c>
      <c r="L28" s="3">
        <f t="shared" si="7"/>
        <v>22</v>
      </c>
      <c r="M28" s="3">
        <f t="shared" si="7"/>
        <v>20.93</v>
      </c>
      <c r="P28" s="15" t="s">
        <v>1303</v>
      </c>
      <c r="Q28" s="10" t="str">
        <f t="shared" si="1"/>
        <v xml:space="preserve">CONTAX      -UNT </v>
      </c>
      <c r="R28" s="51">
        <f t="shared" si="2"/>
        <v>41691</v>
      </c>
      <c r="S28" s="5">
        <f t="shared" si="3"/>
        <v>21.5</v>
      </c>
      <c r="T28" s="5">
        <f t="shared" si="4"/>
        <v>21.1</v>
      </c>
      <c r="U28" s="5">
        <f t="shared" si="5"/>
        <v>22</v>
      </c>
      <c r="V28" s="5">
        <f t="shared" si="6"/>
        <v>20.93</v>
      </c>
    </row>
    <row r="29" spans="1:22">
      <c r="A29" s="33" t="str">
        <f>IF(Tabela17683[[#This Row],[Código]]="IBOV","^BVSP",IF(Tabela17683[[#This Row],[Código]]="","",CONCATENATE(LEFT(Tabela17683[[#This Row],[Código]],6),".SA")))</f>
        <v>CTAX3.SA</v>
      </c>
      <c r="C29" s="3" t="s">
        <v>1312</v>
      </c>
      <c r="D29" s="3" t="s">
        <v>976</v>
      </c>
      <c r="E29" s="3" t="s">
        <v>976</v>
      </c>
      <c r="F29" s="3" t="s">
        <v>976</v>
      </c>
      <c r="G29" s="3" t="s">
        <v>976</v>
      </c>
      <c r="H29" s="51">
        <v>41691</v>
      </c>
      <c r="J29" s="3">
        <f>IF($A29="",0,VALUE(CONCATENATE(LEFT(D29,LEN(D29)-3),",",RIGHT(D29,2))))</f>
        <v>6</v>
      </c>
      <c r="K29" s="3">
        <f t="shared" si="7"/>
        <v>6</v>
      </c>
      <c r="L29" s="3">
        <f t="shared" si="7"/>
        <v>6</v>
      </c>
      <c r="M29" s="3">
        <f t="shared" si="7"/>
        <v>6</v>
      </c>
      <c r="P29" s="14" t="s">
        <v>1304</v>
      </c>
      <c r="Q29" s="10" t="str">
        <f t="shared" si="1"/>
        <v xml:space="preserve">CONTAX      -ON  </v>
      </c>
      <c r="R29" s="51">
        <f t="shared" si="2"/>
        <v>41691</v>
      </c>
      <c r="S29" s="5">
        <f t="shared" si="3"/>
        <v>6</v>
      </c>
      <c r="T29" s="5">
        <f t="shared" si="4"/>
        <v>6</v>
      </c>
      <c r="U29" s="5">
        <f t="shared" si="5"/>
        <v>6</v>
      </c>
      <c r="V29" s="5">
        <f t="shared" si="6"/>
        <v>6</v>
      </c>
    </row>
    <row r="30" spans="1:22">
      <c r="A30" s="33" t="str">
        <f>IF(Tabela17683[[#This Row],[Código]]="IBOV","^BVSP",IF(Tabela17683[[#This Row],[Código]]="","",CONCATENATE(LEFT(Tabela17683[[#This Row],[Código]],6),".SA")))</f>
        <v>CTAX4.SA</v>
      </c>
      <c r="C30" s="3" t="s">
        <v>1313</v>
      </c>
      <c r="D30" s="3" t="s">
        <v>937</v>
      </c>
      <c r="E30" s="3" t="s">
        <v>1541</v>
      </c>
      <c r="F30" s="3" t="s">
        <v>963</v>
      </c>
      <c r="G30" s="3" t="s">
        <v>937</v>
      </c>
      <c r="H30" s="51">
        <v>41691</v>
      </c>
      <c r="J30" s="3">
        <f t="shared" si="7"/>
        <v>3.68</v>
      </c>
      <c r="K30" s="3">
        <f t="shared" si="7"/>
        <v>3.77</v>
      </c>
      <c r="L30" s="3">
        <f t="shared" si="7"/>
        <v>3.87</v>
      </c>
      <c r="M30" s="3">
        <f t="shared" si="7"/>
        <v>3.68</v>
      </c>
      <c r="P30" s="14" t="s">
        <v>1305</v>
      </c>
      <c r="Q30" s="10" t="str">
        <f t="shared" si="1"/>
        <v xml:space="preserve">CONTAX      -PN  </v>
      </c>
      <c r="R30" s="51">
        <f t="shared" si="2"/>
        <v>41691</v>
      </c>
      <c r="S30" s="5">
        <f t="shared" si="3"/>
        <v>3.68</v>
      </c>
      <c r="T30" s="5">
        <f t="shared" si="4"/>
        <v>3.77</v>
      </c>
      <c r="U30" s="5">
        <f t="shared" si="5"/>
        <v>3.87</v>
      </c>
      <c r="V30" s="5">
        <f t="shared" si="6"/>
        <v>3.68</v>
      </c>
    </row>
    <row r="31" spans="1:22">
      <c r="A31" s="33" t="str">
        <f>IF(Tabela17683[[#This Row],[Código]]="IBOV","^BVSP",IF(Tabela17683[[#This Row],[Código]]="","",CONCATENATE(LEFT(Tabela17683[[#This Row],[Código]],6),".SA")))</f>
        <v>CARD3.SA</v>
      </c>
      <c r="C31" s="3" t="s">
        <v>1314</v>
      </c>
      <c r="D31" s="3" t="s">
        <v>1520</v>
      </c>
      <c r="E31" s="3" t="s">
        <v>1315</v>
      </c>
      <c r="F31" s="3" t="s">
        <v>2007</v>
      </c>
      <c r="G31" s="3" t="s">
        <v>1520</v>
      </c>
      <c r="H31" s="51">
        <v>41691</v>
      </c>
      <c r="J31" s="3">
        <f t="shared" si="7"/>
        <v>2.62</v>
      </c>
      <c r="K31" s="3">
        <f t="shared" si="7"/>
        <v>2.65</v>
      </c>
      <c r="L31" s="3">
        <f t="shared" si="7"/>
        <v>2.68</v>
      </c>
      <c r="M31" s="3">
        <f t="shared" si="7"/>
        <v>2.62</v>
      </c>
      <c r="P31" s="14" t="s">
        <v>1306</v>
      </c>
      <c r="Q31" s="10" t="str">
        <f t="shared" si="1"/>
        <v xml:space="preserve">CSU CARDSYST-ON  </v>
      </c>
      <c r="R31" s="51">
        <f t="shared" si="2"/>
        <v>41691</v>
      </c>
      <c r="S31" s="5">
        <f t="shared" si="3"/>
        <v>2.62</v>
      </c>
      <c r="T31" s="5">
        <f t="shared" si="4"/>
        <v>2.65</v>
      </c>
      <c r="U31" s="5">
        <f t="shared" si="5"/>
        <v>2.68</v>
      </c>
      <c r="V31" s="5">
        <f t="shared" si="6"/>
        <v>2.62</v>
      </c>
    </row>
    <row r="32" spans="1:22">
      <c r="A32" s="33" t="str">
        <f>IF(Tabela17683[[#This Row],[Código]]="IBOV","^BVSP",IF(Tabela17683[[#This Row],[Código]]="","",CONCATENATE(LEFT(Tabela17683[[#This Row],[Código]],6),".SA")))</f>
        <v>DTCY3.SA</v>
      </c>
      <c r="C32" s="3" t="s">
        <v>1316</v>
      </c>
      <c r="D32" s="3" t="s">
        <v>957</v>
      </c>
      <c r="E32" s="3" t="s">
        <v>957</v>
      </c>
      <c r="F32" s="3" t="s">
        <v>957</v>
      </c>
      <c r="G32" s="3" t="s">
        <v>957</v>
      </c>
      <c r="H32" s="51">
        <v>41691</v>
      </c>
      <c r="J32" s="3">
        <f t="shared" si="7"/>
        <v>0.32</v>
      </c>
      <c r="K32" s="3">
        <f t="shared" si="7"/>
        <v>0.32</v>
      </c>
      <c r="L32" s="3">
        <f t="shared" si="7"/>
        <v>0.32</v>
      </c>
      <c r="M32" s="3">
        <f t="shared" si="7"/>
        <v>0.32</v>
      </c>
      <c r="P32" s="14" t="s">
        <v>1307</v>
      </c>
      <c r="Q32" s="10" t="str">
        <f t="shared" si="1"/>
        <v>DTCOM-DIRECT-ON</v>
      </c>
      <c r="R32" s="51">
        <f t="shared" si="2"/>
        <v>41691</v>
      </c>
      <c r="S32" s="5">
        <f t="shared" si="3"/>
        <v>0.32</v>
      </c>
      <c r="T32" s="5">
        <f t="shared" si="4"/>
        <v>0.32</v>
      </c>
      <c r="U32" s="5">
        <f t="shared" si="5"/>
        <v>0.32</v>
      </c>
      <c r="V32" s="5">
        <f t="shared" si="6"/>
        <v>0.32</v>
      </c>
    </row>
    <row r="33" spans="1:22">
      <c r="A33" s="33" t="str">
        <f>IF(Tabela17683[[#This Row],[Código]]="IBOV","^BVSP",IF(Tabela17683[[#This Row],[Código]]="","",CONCATENATE(LEFT(Tabela17683[[#This Row],[Código]],6),".SA")))</f>
        <v>DTCY4.SA</v>
      </c>
      <c r="C33" s="3" t="s">
        <v>1317</v>
      </c>
      <c r="D33" s="3" t="s">
        <v>442</v>
      </c>
      <c r="E33" s="3" t="s">
        <v>443</v>
      </c>
      <c r="F33" s="3" t="s">
        <v>442</v>
      </c>
      <c r="G33" s="3" t="s">
        <v>442</v>
      </c>
      <c r="H33" s="51" t="s">
        <v>442</v>
      </c>
      <c r="J33" s="3" t="e">
        <f t="shared" si="7"/>
        <v>#VALUE!</v>
      </c>
      <c r="K33" s="3">
        <f t="shared" si="7"/>
        <v>0</v>
      </c>
      <c r="L33" s="3" t="e">
        <f t="shared" si="7"/>
        <v>#VALUE!</v>
      </c>
      <c r="M33" s="3" t="e">
        <f t="shared" si="7"/>
        <v>#VALUE!</v>
      </c>
      <c r="P33" s="14" t="s">
        <v>1308</v>
      </c>
      <c r="Q33" s="10" t="str">
        <f t="shared" si="1"/>
        <v>DTCOM-DIRECT-PN</v>
      </c>
      <c r="R33" s="51" t="str">
        <f t="shared" si="2"/>
        <v>N/A</v>
      </c>
      <c r="S33" s="5" t="e">
        <f t="shared" si="3"/>
        <v>#VALUE!</v>
      </c>
      <c r="T33" s="5">
        <f t="shared" si="4"/>
        <v>0</v>
      </c>
      <c r="U33" s="5" t="e">
        <f t="shared" si="5"/>
        <v>#VALUE!</v>
      </c>
      <c r="V33" s="5" t="e">
        <f t="shared" si="6"/>
        <v>#VALUE!</v>
      </c>
    </row>
    <row r="34" spans="1:22">
      <c r="A34" s="33" t="str">
        <f>IF(Tabela17683[[#This Row],[Código]]="IBOV","^BVSP",IF(Tabela17683[[#This Row],[Código]]="","",CONCATENATE(LEFT(Tabela17683[[#This Row],[Código]],6),".SA")))</f>
        <v>MILS3.SA</v>
      </c>
      <c r="C34" s="3" t="s">
        <v>1318</v>
      </c>
      <c r="D34" s="3" t="s">
        <v>2008</v>
      </c>
      <c r="E34" s="3" t="s">
        <v>2009</v>
      </c>
      <c r="F34" s="3" t="s">
        <v>2010</v>
      </c>
      <c r="G34" s="3" t="s">
        <v>2011</v>
      </c>
      <c r="H34" s="51">
        <v>41691</v>
      </c>
      <c r="J34" s="3">
        <f t="shared" si="7"/>
        <v>25.27</v>
      </c>
      <c r="K34" s="3">
        <f t="shared" si="7"/>
        <v>25.34</v>
      </c>
      <c r="L34" s="3">
        <f t="shared" si="7"/>
        <v>25.47</v>
      </c>
      <c r="M34" s="3">
        <f t="shared" si="7"/>
        <v>25.26</v>
      </c>
      <c r="P34" s="14" t="s">
        <v>1309</v>
      </c>
      <c r="Q34" s="10" t="str">
        <f t="shared" si="1"/>
        <v xml:space="preserve">MILLS       -ON  </v>
      </c>
      <c r="R34" s="51">
        <f t="shared" si="2"/>
        <v>41691</v>
      </c>
      <c r="S34" s="5">
        <f t="shared" si="3"/>
        <v>25.27</v>
      </c>
      <c r="T34" s="5">
        <f t="shared" si="4"/>
        <v>25.34</v>
      </c>
      <c r="U34" s="5">
        <f t="shared" si="5"/>
        <v>25.47</v>
      </c>
      <c r="V34" s="5">
        <f t="shared" si="6"/>
        <v>25.26</v>
      </c>
    </row>
    <row r="35" spans="1:22">
      <c r="A35" s="33" t="str">
        <f>IF(Tabela17683[[#This Row],[Código]]="IBOV","^BVSP",IF(Tabela17683[[#This Row],[Código]]="","",CONCATENATE(LEFT(Tabela17683[[#This Row],[Código]],6),".SA")))</f>
        <v>VLID3.SA</v>
      </c>
      <c r="C35" s="3" t="s">
        <v>1319</v>
      </c>
      <c r="D35" s="3" t="s">
        <v>2012</v>
      </c>
      <c r="E35" s="3" t="s">
        <v>2012</v>
      </c>
      <c r="F35" s="3" t="s">
        <v>2013</v>
      </c>
      <c r="G35" s="3" t="s">
        <v>2014</v>
      </c>
      <c r="H35" s="51">
        <v>41691</v>
      </c>
      <c r="J35" s="3">
        <f t="shared" si="7"/>
        <v>27.99</v>
      </c>
      <c r="K35" s="3">
        <f t="shared" si="7"/>
        <v>27.99</v>
      </c>
      <c r="L35" s="3">
        <f t="shared" si="7"/>
        <v>28.04</v>
      </c>
      <c r="M35" s="3">
        <f t="shared" si="7"/>
        <v>27.9</v>
      </c>
      <c r="P35" s="14" t="s">
        <v>1310</v>
      </c>
      <c r="Q35" s="10" t="str">
        <f t="shared" si="1"/>
        <v xml:space="preserve">VALID       -ON  </v>
      </c>
      <c r="R35" s="51">
        <f t="shared" si="2"/>
        <v>41691</v>
      </c>
      <c r="S35" s="5">
        <f t="shared" si="3"/>
        <v>27.99</v>
      </c>
      <c r="T35" s="5">
        <f t="shared" si="4"/>
        <v>27.99</v>
      </c>
      <c r="U35" s="5">
        <f t="shared" si="5"/>
        <v>28.04</v>
      </c>
      <c r="V35" s="5">
        <f t="shared" si="6"/>
        <v>27.9</v>
      </c>
    </row>
    <row r="36" spans="1:22">
      <c r="A36" s="33" t="str">
        <f>IF(Tabela17683[[#This Row],[Código]]="IBOV","^BVSP",IF(Tabela17683[[#This Row],[Código]]="","",CONCATENATE(LEFT(Tabela17683[[#This Row],[Código]],6),".SA")))</f>
        <v>ARTR3.SA</v>
      </c>
      <c r="C36" s="3" t="s">
        <v>1325</v>
      </c>
      <c r="D36" s="3" t="s">
        <v>1774</v>
      </c>
      <c r="E36" s="3" t="s">
        <v>1505</v>
      </c>
      <c r="F36" s="3" t="s">
        <v>1774</v>
      </c>
      <c r="G36" s="3" t="s">
        <v>1723</v>
      </c>
      <c r="H36" s="51">
        <v>41691</v>
      </c>
      <c r="J36" s="3">
        <f t="shared" si="7"/>
        <v>16.53</v>
      </c>
      <c r="K36" s="3">
        <f t="shared" si="7"/>
        <v>16.420000000000002</v>
      </c>
      <c r="L36" s="3">
        <f t="shared" si="7"/>
        <v>16.53</v>
      </c>
      <c r="M36" s="3">
        <f t="shared" si="7"/>
        <v>16.29</v>
      </c>
      <c r="P36" s="14" t="s">
        <v>1321</v>
      </c>
      <c r="Q36" s="10" t="str">
        <f t="shared" si="1"/>
        <v xml:space="preserve">ARTERIS     -ON  </v>
      </c>
      <c r="R36" s="51">
        <f t="shared" si="2"/>
        <v>41691</v>
      </c>
      <c r="S36" s="5">
        <f t="shared" si="3"/>
        <v>16.53</v>
      </c>
      <c r="T36" s="5">
        <f t="shared" si="4"/>
        <v>16.420000000000002</v>
      </c>
      <c r="U36" s="5">
        <f t="shared" si="5"/>
        <v>16.53</v>
      </c>
      <c r="V36" s="5">
        <f t="shared" si="6"/>
        <v>16.29</v>
      </c>
    </row>
    <row r="37" spans="1:22">
      <c r="A37" s="33" t="str">
        <f>IF(Tabela17683[[#This Row],[Código]]="IBOV","^BVSP",IF(Tabela17683[[#This Row],[Código]]="","",CONCATENATE(LEFT(Tabela17683[[#This Row],[Código]],6),".SA")))</f>
        <v>CCRO3.SA</v>
      </c>
      <c r="C37" s="3" t="s">
        <v>1326</v>
      </c>
      <c r="D37" s="3" t="s">
        <v>1600</v>
      </c>
      <c r="E37" s="3" t="s">
        <v>2015</v>
      </c>
      <c r="F37" s="3" t="s">
        <v>1507</v>
      </c>
      <c r="G37" s="3" t="s">
        <v>2016</v>
      </c>
      <c r="H37" s="51">
        <v>41691</v>
      </c>
      <c r="J37" s="3">
        <f t="shared" si="7"/>
        <v>15.7</v>
      </c>
      <c r="K37" s="3">
        <f t="shared" si="7"/>
        <v>15.61</v>
      </c>
      <c r="L37" s="3">
        <f t="shared" si="7"/>
        <v>15.78</v>
      </c>
      <c r="M37" s="3">
        <f t="shared" si="7"/>
        <v>15.43</v>
      </c>
      <c r="P37" s="15" t="s">
        <v>1322</v>
      </c>
      <c r="Q37" s="10" t="str">
        <f t="shared" si="1"/>
        <v xml:space="preserve">CCR SA      -ON  </v>
      </c>
      <c r="R37" s="51">
        <f t="shared" si="2"/>
        <v>41691</v>
      </c>
      <c r="S37" s="5">
        <f t="shared" si="3"/>
        <v>15.7</v>
      </c>
      <c r="T37" s="5">
        <f t="shared" si="4"/>
        <v>15.61</v>
      </c>
      <c r="U37" s="5">
        <f t="shared" si="5"/>
        <v>15.78</v>
      </c>
      <c r="V37" s="5">
        <f t="shared" si="6"/>
        <v>15.43</v>
      </c>
    </row>
    <row r="38" spans="1:22">
      <c r="A38" s="33" t="str">
        <f>IF(Tabela17683[[#This Row],[Código]]="IBOV","^BVSP",IF(Tabela17683[[#This Row],[Código]]="","",CONCATENATE(LEFT(Tabela17683[[#This Row],[Código]],6),".SA")))</f>
        <v>ECOR3.SA</v>
      </c>
      <c r="C38" s="3" t="s">
        <v>1327</v>
      </c>
      <c r="D38" s="3" t="s">
        <v>2017</v>
      </c>
      <c r="E38" s="3" t="s">
        <v>1145</v>
      </c>
      <c r="F38" s="3" t="s">
        <v>791</v>
      </c>
      <c r="G38" s="3" t="s">
        <v>1538</v>
      </c>
      <c r="H38" s="51">
        <v>41691</v>
      </c>
      <c r="J38" s="3">
        <f t="shared" si="7"/>
        <v>12.33</v>
      </c>
      <c r="K38" s="3">
        <f t="shared" si="7"/>
        <v>12.36</v>
      </c>
      <c r="L38" s="3">
        <f t="shared" si="7"/>
        <v>12.52</v>
      </c>
      <c r="M38" s="3">
        <f t="shared" si="7"/>
        <v>12.17</v>
      </c>
      <c r="P38" s="15" t="s">
        <v>1323</v>
      </c>
      <c r="Q38" s="10" t="str">
        <f t="shared" si="1"/>
        <v xml:space="preserve">ECORODOVIAS -ON  </v>
      </c>
      <c r="R38" s="51">
        <f t="shared" si="2"/>
        <v>41691</v>
      </c>
      <c r="S38" s="5">
        <f t="shared" si="3"/>
        <v>12.33</v>
      </c>
      <c r="T38" s="5">
        <f t="shared" si="4"/>
        <v>12.36</v>
      </c>
      <c r="U38" s="5">
        <f t="shared" si="5"/>
        <v>12.52</v>
      </c>
      <c r="V38" s="5">
        <f t="shared" si="6"/>
        <v>12.17</v>
      </c>
    </row>
    <row r="39" spans="1:22">
      <c r="A39" s="33" t="str">
        <f>IF(Tabela17683[[#This Row],[Código]]="IBOV","^BVSP",IF(Tabela17683[[#This Row],[Código]]="","",CONCATENATE(LEFT(Tabela17683[[#This Row],[Código]],6),".SA")))</f>
        <v>TPIS3.SA</v>
      </c>
      <c r="C39" s="3" t="s">
        <v>1328</v>
      </c>
      <c r="D39" s="3" t="s">
        <v>1767</v>
      </c>
      <c r="E39" s="3" t="s">
        <v>2018</v>
      </c>
      <c r="F39" s="3" t="s">
        <v>1504</v>
      </c>
      <c r="G39" s="3" t="s">
        <v>2019</v>
      </c>
      <c r="H39" s="51">
        <v>41691</v>
      </c>
      <c r="J39" s="3">
        <f t="shared" si="7"/>
        <v>8.64</v>
      </c>
      <c r="K39" s="3">
        <f t="shared" si="7"/>
        <v>8.77</v>
      </c>
      <c r="L39" s="3">
        <f t="shared" si="7"/>
        <v>8.82</v>
      </c>
      <c r="M39" s="3">
        <f t="shared" si="7"/>
        <v>8.6300000000000008</v>
      </c>
      <c r="P39" s="14" t="s">
        <v>1324</v>
      </c>
      <c r="Q39" s="10" t="str">
        <f t="shared" ref="Q39:Q70" si="8">IF(A39="","",C39)</f>
        <v xml:space="preserve">TRIUNFO PART-ON  </v>
      </c>
      <c r="R39" s="51">
        <f t="shared" ref="R39:R70" si="9">IF(A39="","",H39)</f>
        <v>41691</v>
      </c>
      <c r="S39" s="5">
        <f t="shared" ref="S39:S70" si="10">J39</f>
        <v>8.64</v>
      </c>
      <c r="T39" s="5">
        <f t="shared" ref="T39:T70" si="11">K39</f>
        <v>8.77</v>
      </c>
      <c r="U39" s="5">
        <f t="shared" ref="U39:U70" si="12">L39</f>
        <v>8.82</v>
      </c>
      <c r="V39" s="5">
        <f t="shared" ref="V39:V70" si="13">M39</f>
        <v>8.6300000000000008</v>
      </c>
    </row>
    <row r="40" spans="1:22">
      <c r="A40" s="33" t="str">
        <f>IF(Tabela17683[[#This Row],[Código]]="IBOV","^BVSP",IF(Tabela17683[[#This Row],[Código]]="","",CONCATENATE(LEFT(Tabela17683[[#This Row],[Código]],6),".SA")))</f>
        <v>IMBI3.SA</v>
      </c>
      <c r="C40" s="3" t="s">
        <v>1337</v>
      </c>
      <c r="D40" s="3" t="s">
        <v>804</v>
      </c>
      <c r="E40" s="3" t="s">
        <v>804</v>
      </c>
      <c r="F40" s="3" t="s">
        <v>804</v>
      </c>
      <c r="G40" s="3" t="s">
        <v>804</v>
      </c>
      <c r="H40" s="51">
        <v>41691</v>
      </c>
      <c r="J40" s="3">
        <f t="shared" si="7"/>
        <v>1.01</v>
      </c>
      <c r="K40" s="3">
        <f t="shared" si="7"/>
        <v>1.01</v>
      </c>
      <c r="L40" s="3">
        <f t="shared" si="7"/>
        <v>1.01</v>
      </c>
      <c r="M40" s="3">
        <f t="shared" si="7"/>
        <v>1.01</v>
      </c>
      <c r="P40" s="14" t="s">
        <v>1331</v>
      </c>
      <c r="Q40" s="10" t="str">
        <f t="shared" si="8"/>
        <v>DOC IMBITUBA-ON</v>
      </c>
      <c r="R40" s="51">
        <f t="shared" si="9"/>
        <v>41691</v>
      </c>
      <c r="S40" s="5">
        <f t="shared" si="10"/>
        <v>1.01</v>
      </c>
      <c r="T40" s="5">
        <f t="shared" si="11"/>
        <v>1.01</v>
      </c>
      <c r="U40" s="5">
        <f t="shared" si="12"/>
        <v>1.01</v>
      </c>
      <c r="V40" s="5">
        <f t="shared" si="13"/>
        <v>1.01</v>
      </c>
    </row>
    <row r="41" spans="1:22">
      <c r="A41" s="33" t="str">
        <f>IF(Tabela17683[[#This Row],[Código]]="IBOV","^BVSP",IF(Tabela17683[[#This Row],[Código]]="","",CONCATENATE(LEFT(Tabela17683[[#This Row],[Código]],6),".SA")))</f>
        <v>IMBI4.SA</v>
      </c>
      <c r="C41" s="3" t="s">
        <v>1338</v>
      </c>
      <c r="D41" s="3" t="s">
        <v>2020</v>
      </c>
      <c r="E41" s="3" t="s">
        <v>2020</v>
      </c>
      <c r="F41" s="3" t="s">
        <v>2020</v>
      </c>
      <c r="G41" s="3" t="s">
        <v>2020</v>
      </c>
      <c r="H41" s="51">
        <v>41691</v>
      </c>
      <c r="J41" s="3">
        <f t="shared" si="7"/>
        <v>0.74</v>
      </c>
      <c r="K41" s="3">
        <f t="shared" si="7"/>
        <v>0.74</v>
      </c>
      <c r="L41" s="3">
        <f t="shared" si="7"/>
        <v>0.74</v>
      </c>
      <c r="M41" s="3">
        <f t="shared" si="7"/>
        <v>0.74</v>
      </c>
      <c r="P41" s="14" t="s">
        <v>1332</v>
      </c>
      <c r="Q41" s="10" t="str">
        <f t="shared" si="8"/>
        <v>DOC IMBITUBA-PN</v>
      </c>
      <c r="R41" s="51">
        <f t="shared" si="9"/>
        <v>41691</v>
      </c>
      <c r="S41" s="5">
        <f t="shared" si="10"/>
        <v>0.74</v>
      </c>
      <c r="T41" s="5">
        <f t="shared" si="11"/>
        <v>0.74</v>
      </c>
      <c r="U41" s="5">
        <f t="shared" si="12"/>
        <v>0.74</v>
      </c>
      <c r="V41" s="5">
        <f t="shared" si="13"/>
        <v>0.74</v>
      </c>
    </row>
    <row r="42" spans="1:22">
      <c r="A42" s="33" t="str">
        <f>IF(Tabela17683[[#This Row],[Código]]="IBOV","^BVSP",IF(Tabela17683[[#This Row],[Código]]="","",CONCATENATE(LEFT(Tabela17683[[#This Row],[Código]],6),".SA")))</f>
        <v>LLXL3.SA</v>
      </c>
      <c r="C42" s="3" t="s">
        <v>1339</v>
      </c>
      <c r="D42" s="3" t="s">
        <v>2021</v>
      </c>
      <c r="E42" s="3" t="s">
        <v>2021</v>
      </c>
      <c r="F42" s="3" t="s">
        <v>1547</v>
      </c>
      <c r="G42" s="3" t="s">
        <v>1436</v>
      </c>
      <c r="H42" s="51">
        <v>41691</v>
      </c>
      <c r="J42" s="3">
        <f t="shared" si="7"/>
        <v>0.97</v>
      </c>
      <c r="K42" s="3">
        <f t="shared" si="7"/>
        <v>0.97</v>
      </c>
      <c r="L42" s="3">
        <f t="shared" si="7"/>
        <v>0.99</v>
      </c>
      <c r="M42" s="3">
        <f t="shared" si="7"/>
        <v>0.95</v>
      </c>
      <c r="P42" s="14" t="s">
        <v>1333</v>
      </c>
      <c r="Q42" s="10" t="str">
        <f t="shared" si="8"/>
        <v xml:space="preserve">LLX LOG     -ON  </v>
      </c>
      <c r="R42" s="51">
        <f t="shared" si="9"/>
        <v>41691</v>
      </c>
      <c r="S42" s="5">
        <f t="shared" si="10"/>
        <v>0.97</v>
      </c>
      <c r="T42" s="5">
        <f t="shared" si="11"/>
        <v>0.97</v>
      </c>
      <c r="U42" s="5">
        <f t="shared" si="12"/>
        <v>0.99</v>
      </c>
      <c r="V42" s="5">
        <f t="shared" si="13"/>
        <v>0.95</v>
      </c>
    </row>
    <row r="43" spans="1:22">
      <c r="A43" s="33" t="str">
        <f>IF(Tabela17683[[#This Row],[Código]]="IBOV","^BVSP",IF(Tabela17683[[#This Row],[Código]]="","",CONCATENATE(LEFT(Tabela17683[[#This Row],[Código]],6),".SA")))</f>
        <v>STBP11.SA</v>
      </c>
      <c r="C43" s="3" t="s">
        <v>1341</v>
      </c>
      <c r="D43" s="3" t="s">
        <v>2022</v>
      </c>
      <c r="E43" s="3" t="s">
        <v>1775</v>
      </c>
      <c r="F43" s="3" t="s">
        <v>2023</v>
      </c>
      <c r="G43" s="3" t="s">
        <v>2024</v>
      </c>
      <c r="H43" s="51">
        <v>41691</v>
      </c>
      <c r="J43" s="3">
        <f t="shared" si="7"/>
        <v>14.36</v>
      </c>
      <c r="K43" s="3">
        <f t="shared" si="7"/>
        <v>14.56</v>
      </c>
      <c r="L43" s="3">
        <f t="shared" si="7"/>
        <v>14.6</v>
      </c>
      <c r="M43" s="3">
        <f t="shared" si="7"/>
        <v>14.29</v>
      </c>
      <c r="P43" s="14" t="s">
        <v>1334</v>
      </c>
      <c r="Q43" s="10" t="str">
        <f t="shared" si="8"/>
        <v xml:space="preserve">SANTOS BRP  -UNT </v>
      </c>
      <c r="R43" s="51">
        <f t="shared" si="9"/>
        <v>41691</v>
      </c>
      <c r="S43" s="5">
        <f t="shared" si="10"/>
        <v>14.36</v>
      </c>
      <c r="T43" s="5">
        <f t="shared" si="11"/>
        <v>14.56</v>
      </c>
      <c r="U43" s="5">
        <f t="shared" si="12"/>
        <v>14.6</v>
      </c>
      <c r="V43" s="5">
        <f t="shared" si="13"/>
        <v>14.29</v>
      </c>
    </row>
    <row r="44" spans="1:22">
      <c r="A44" s="33" t="str">
        <f>IF(Tabela17683[[#This Row],[Código]]="IBOV","^BVSP",IF(Tabela17683[[#This Row],[Código]]="","",CONCATENATE(LEFT(Tabela17683[[#This Row],[Código]],6),".SA")))</f>
        <v>STBP3.SA</v>
      </c>
      <c r="C44" s="3" t="s">
        <v>1342</v>
      </c>
      <c r="D44" s="3" t="s">
        <v>442</v>
      </c>
      <c r="E44" s="3" t="s">
        <v>443</v>
      </c>
      <c r="F44" s="3" t="s">
        <v>442</v>
      </c>
      <c r="G44" s="3" t="s">
        <v>442</v>
      </c>
      <c r="H44" s="51" t="s">
        <v>442</v>
      </c>
      <c r="J44" s="3" t="e">
        <f t="shared" si="7"/>
        <v>#VALUE!</v>
      </c>
      <c r="K44" s="3">
        <f t="shared" si="7"/>
        <v>0</v>
      </c>
      <c r="L44" s="3" t="e">
        <f t="shared" si="7"/>
        <v>#VALUE!</v>
      </c>
      <c r="M44" s="3" t="e">
        <f t="shared" si="7"/>
        <v>#VALUE!</v>
      </c>
      <c r="P44" s="14" t="s">
        <v>1335</v>
      </c>
      <c r="Q44" s="10" t="str">
        <f t="shared" si="8"/>
        <v xml:space="preserve">SANTOS BRP  -ON  </v>
      </c>
      <c r="R44" s="51" t="str">
        <f t="shared" si="9"/>
        <v>N/A</v>
      </c>
      <c r="S44" s="5" t="e">
        <f t="shared" si="10"/>
        <v>#VALUE!</v>
      </c>
      <c r="T44" s="5">
        <f t="shared" si="11"/>
        <v>0</v>
      </c>
      <c r="U44" s="5" t="e">
        <f t="shared" si="12"/>
        <v>#VALUE!</v>
      </c>
      <c r="V44" s="5" t="e">
        <f t="shared" si="13"/>
        <v>#VALUE!</v>
      </c>
    </row>
    <row r="45" spans="1:22">
      <c r="A45" s="33" t="str">
        <f>IF(Tabela17683[[#This Row],[Código]]="IBOV","^BVSP",IF(Tabela17683[[#This Row],[Código]]="","",CONCATENATE(LEFT(Tabela17683[[#This Row],[Código]],6),".SA")))</f>
        <v>STBP4.SA</v>
      </c>
      <c r="C45" s="3" t="s">
        <v>1343</v>
      </c>
      <c r="D45" s="3" t="s">
        <v>442</v>
      </c>
      <c r="E45" s="3" t="s">
        <v>443</v>
      </c>
      <c r="F45" s="3" t="s">
        <v>442</v>
      </c>
      <c r="G45" s="3" t="s">
        <v>442</v>
      </c>
      <c r="H45" s="51" t="s">
        <v>442</v>
      </c>
      <c r="J45" s="3" t="e">
        <f t="shared" si="7"/>
        <v>#VALUE!</v>
      </c>
      <c r="K45" s="3">
        <f t="shared" si="7"/>
        <v>0</v>
      </c>
      <c r="L45" s="3" t="e">
        <f t="shared" si="7"/>
        <v>#VALUE!</v>
      </c>
      <c r="M45" s="3" t="e">
        <f t="shared" si="7"/>
        <v>#VALUE!</v>
      </c>
      <c r="P45" s="14" t="s">
        <v>1336</v>
      </c>
      <c r="Q45" s="10" t="str">
        <f t="shared" si="8"/>
        <v xml:space="preserve">SANTOS BRP  -PN  </v>
      </c>
      <c r="R45" s="51" t="str">
        <f t="shared" si="9"/>
        <v>N/A</v>
      </c>
      <c r="S45" s="5" t="e">
        <f t="shared" si="10"/>
        <v>#VALUE!</v>
      </c>
      <c r="T45" s="5">
        <f t="shared" si="11"/>
        <v>0</v>
      </c>
      <c r="U45" s="5" t="e">
        <f t="shared" si="12"/>
        <v>#VALUE!</v>
      </c>
      <c r="V45" s="5" t="e">
        <f t="shared" si="13"/>
        <v>#VALUE!</v>
      </c>
    </row>
    <row r="46" spans="1:22">
      <c r="A46" s="33" t="str">
        <f>IF(Tabela17683[[#This Row],[Código]]="IBOV","^BVSP",IF(Tabela17683[[#This Row],[Código]]="","",CONCATENATE(LEFT(Tabela17683[[#This Row],[Código]],6),".SA")))</f>
        <v>GOLL3.SA</v>
      </c>
      <c r="C46" s="3" t="s">
        <v>1347</v>
      </c>
      <c r="D46" s="3" t="s">
        <v>442</v>
      </c>
      <c r="E46" s="3" t="s">
        <v>443</v>
      </c>
      <c r="F46" s="3" t="s">
        <v>442</v>
      </c>
      <c r="G46" s="3" t="s">
        <v>442</v>
      </c>
      <c r="H46" s="51" t="s">
        <v>442</v>
      </c>
      <c r="J46" s="3" t="e">
        <f t="shared" si="7"/>
        <v>#VALUE!</v>
      </c>
      <c r="K46" s="3">
        <f t="shared" si="7"/>
        <v>0</v>
      </c>
      <c r="L46" s="3" t="e">
        <f t="shared" si="7"/>
        <v>#VALUE!</v>
      </c>
      <c r="M46" s="3" t="e">
        <f t="shared" si="7"/>
        <v>#VALUE!</v>
      </c>
      <c r="P46" s="10" t="s">
        <v>1345</v>
      </c>
      <c r="Q46" s="10" t="str">
        <f t="shared" si="8"/>
        <v xml:space="preserve">GOL         -ON  </v>
      </c>
      <c r="R46" s="46" t="str">
        <f t="shared" si="9"/>
        <v>N/A</v>
      </c>
      <c r="S46" s="6" t="e">
        <f t="shared" si="10"/>
        <v>#VALUE!</v>
      </c>
      <c r="T46" s="6">
        <f t="shared" si="11"/>
        <v>0</v>
      </c>
      <c r="U46" s="6" t="e">
        <f t="shared" si="12"/>
        <v>#VALUE!</v>
      </c>
      <c r="V46" s="6" t="e">
        <f t="shared" si="13"/>
        <v>#VALUE!</v>
      </c>
    </row>
    <row r="47" spans="1:22">
      <c r="A47" s="33" t="str">
        <f>IF(Tabela17683[[#This Row],[Código]]="IBOV","^BVSP",IF(Tabela17683[[#This Row],[Código]]="","",CONCATENATE(LEFT(Tabela17683[[#This Row],[Código]],6),".SA")))</f>
        <v>GOLL4.SA</v>
      </c>
      <c r="C47" s="3" t="s">
        <v>1348</v>
      </c>
      <c r="D47" s="3" t="s">
        <v>2025</v>
      </c>
      <c r="E47" s="3" t="s">
        <v>771</v>
      </c>
      <c r="F47" s="3" t="s">
        <v>1267</v>
      </c>
      <c r="G47" s="3" t="s">
        <v>2026</v>
      </c>
      <c r="H47" s="51">
        <v>41691</v>
      </c>
      <c r="J47" s="3">
        <f t="shared" si="7"/>
        <v>11.45</v>
      </c>
      <c r="K47" s="3">
        <f t="shared" si="7"/>
        <v>11.5</v>
      </c>
      <c r="L47" s="3">
        <f t="shared" si="7"/>
        <v>11.6</v>
      </c>
      <c r="M47" s="3">
        <f t="shared" si="7"/>
        <v>11.27</v>
      </c>
      <c r="P47" s="10" t="s">
        <v>1346</v>
      </c>
      <c r="Q47" s="10" t="str">
        <f t="shared" si="8"/>
        <v xml:space="preserve">GOL         -PN  </v>
      </c>
      <c r="R47" s="51">
        <f t="shared" si="9"/>
        <v>41691</v>
      </c>
      <c r="S47" s="5">
        <f t="shared" si="10"/>
        <v>11.45</v>
      </c>
      <c r="T47" s="5">
        <f t="shared" si="11"/>
        <v>11.5</v>
      </c>
      <c r="U47" s="5">
        <f t="shared" si="12"/>
        <v>11.6</v>
      </c>
      <c r="V47" s="5">
        <f t="shared" si="13"/>
        <v>11.27</v>
      </c>
    </row>
    <row r="48" spans="1:22">
      <c r="A48" s="33" t="str">
        <f>IF(Tabela17683[[#This Row],[Código]]="IBOV","^BVSP",IF(Tabela17683[[#This Row],[Código]]="","",CONCATENATE(LEFT(Tabela17683[[#This Row],[Código]],6),".SA")))</f>
        <v>ALLL3.SA</v>
      </c>
      <c r="C48" s="3" t="s">
        <v>1353</v>
      </c>
      <c r="D48" s="3" t="s">
        <v>2027</v>
      </c>
      <c r="E48" s="3" t="s">
        <v>2028</v>
      </c>
      <c r="F48" s="3" t="s">
        <v>2029</v>
      </c>
      <c r="G48" s="3" t="s">
        <v>2030</v>
      </c>
      <c r="H48" s="51">
        <v>41691</v>
      </c>
      <c r="J48" s="3">
        <f t="shared" si="7"/>
        <v>6.31</v>
      </c>
      <c r="K48" s="3">
        <f t="shared" si="7"/>
        <v>6.37</v>
      </c>
      <c r="L48" s="3">
        <f t="shared" si="7"/>
        <v>6.49</v>
      </c>
      <c r="M48" s="3">
        <f t="shared" si="7"/>
        <v>6.22</v>
      </c>
      <c r="P48" s="14" t="s">
        <v>1350</v>
      </c>
      <c r="Q48" s="10" t="str">
        <f t="shared" si="8"/>
        <v xml:space="preserve">ALL AMER LAT-ON  </v>
      </c>
      <c r="R48" s="51">
        <f t="shared" si="9"/>
        <v>41691</v>
      </c>
      <c r="S48" s="5">
        <f t="shared" si="10"/>
        <v>6.31</v>
      </c>
      <c r="T48" s="5">
        <f t="shared" si="11"/>
        <v>6.37</v>
      </c>
      <c r="U48" s="5">
        <f t="shared" si="12"/>
        <v>6.49</v>
      </c>
      <c r="V48" s="5">
        <f t="shared" si="13"/>
        <v>6.22</v>
      </c>
    </row>
    <row r="49" spans="1:22">
      <c r="A49" s="33" t="str">
        <f>IF(Tabela17683[[#This Row],[Código]]="IBOV","^BVSP",IF(Tabela17683[[#This Row],[Código]]="","",CONCATENATE(LEFT(Tabela17683[[#This Row],[Código]],6),".SA")))</f>
        <v>VSPT3.SA</v>
      </c>
      <c r="C49" s="3" t="s">
        <v>1354</v>
      </c>
      <c r="D49" s="3" t="s">
        <v>685</v>
      </c>
      <c r="E49" s="3" t="s">
        <v>685</v>
      </c>
      <c r="F49" s="3" t="s">
        <v>685</v>
      </c>
      <c r="G49" s="3" t="s">
        <v>685</v>
      </c>
      <c r="H49" s="51">
        <v>41691</v>
      </c>
      <c r="J49" s="3">
        <f t="shared" si="7"/>
        <v>3</v>
      </c>
      <c r="K49" s="3">
        <f t="shared" si="7"/>
        <v>3</v>
      </c>
      <c r="L49" s="3">
        <f t="shared" si="7"/>
        <v>3</v>
      </c>
      <c r="M49" s="3">
        <f t="shared" si="7"/>
        <v>3</v>
      </c>
      <c r="P49" s="15" t="s">
        <v>1351</v>
      </c>
      <c r="Q49" s="10" t="str">
        <f t="shared" si="8"/>
        <v>FER C ATLANT-ON</v>
      </c>
      <c r="R49" s="51">
        <f t="shared" si="9"/>
        <v>41691</v>
      </c>
      <c r="S49" s="5">
        <f t="shared" si="10"/>
        <v>3</v>
      </c>
      <c r="T49" s="5">
        <f t="shared" si="11"/>
        <v>3</v>
      </c>
      <c r="U49" s="5">
        <f t="shared" si="12"/>
        <v>3</v>
      </c>
      <c r="V49" s="5">
        <f t="shared" si="13"/>
        <v>3</v>
      </c>
    </row>
    <row r="50" spans="1:22">
      <c r="A50" s="33" t="str">
        <f>IF(Tabela17683[[#This Row],[Código]]="IBOV","^BVSP",IF(Tabela17683[[#This Row],[Código]]="","",CONCATENATE(LEFT(Tabela17683[[#This Row],[Código]],6),".SA")))</f>
        <v>VSPT4.SA</v>
      </c>
      <c r="C50" s="3" t="s">
        <v>1355</v>
      </c>
      <c r="D50" s="3" t="s">
        <v>442</v>
      </c>
      <c r="E50" s="3" t="s">
        <v>443</v>
      </c>
      <c r="F50" s="3" t="s">
        <v>442</v>
      </c>
      <c r="G50" s="3" t="s">
        <v>442</v>
      </c>
      <c r="H50" s="51" t="s">
        <v>442</v>
      </c>
      <c r="J50" s="3" t="e">
        <f t="shared" si="7"/>
        <v>#VALUE!</v>
      </c>
      <c r="K50" s="3">
        <f t="shared" si="7"/>
        <v>0</v>
      </c>
      <c r="L50" s="3" t="e">
        <f t="shared" si="7"/>
        <v>#VALUE!</v>
      </c>
      <c r="M50" s="3" t="e">
        <f t="shared" si="7"/>
        <v>#VALUE!</v>
      </c>
      <c r="P50" s="15" t="s">
        <v>1352</v>
      </c>
      <c r="Q50" s="10" t="str">
        <f t="shared" si="8"/>
        <v>FER C ATLANT-PN</v>
      </c>
      <c r="R50" s="46" t="str">
        <f t="shared" si="9"/>
        <v>N/A</v>
      </c>
      <c r="S50" s="6" t="e">
        <f t="shared" si="10"/>
        <v>#VALUE!</v>
      </c>
      <c r="T50" s="6">
        <f t="shared" si="11"/>
        <v>0</v>
      </c>
      <c r="U50" s="6" t="e">
        <f t="shared" si="12"/>
        <v>#VALUE!</v>
      </c>
      <c r="V50" s="6" t="e">
        <f t="shared" si="13"/>
        <v>#VALUE!</v>
      </c>
    </row>
    <row r="51" spans="1:22">
      <c r="A51" s="33" t="str">
        <f>IF(Tabela17683[[#This Row],[Código]]="IBOV","^BVSP",IF(Tabela17683[[#This Row],[Código]]="","",CONCATENATE(LEFT(Tabela17683[[#This Row],[Código]],6),".SA")))</f>
        <v>LOGN3.SA</v>
      </c>
      <c r="C51" s="3" t="s">
        <v>1360</v>
      </c>
      <c r="D51" s="3" t="s">
        <v>1677</v>
      </c>
      <c r="E51" s="3" t="s">
        <v>2031</v>
      </c>
      <c r="F51" s="3" t="s">
        <v>2032</v>
      </c>
      <c r="G51" s="3" t="s">
        <v>1629</v>
      </c>
      <c r="H51" s="51">
        <v>41691</v>
      </c>
      <c r="J51" s="3">
        <f t="shared" si="7"/>
        <v>9.08</v>
      </c>
      <c r="K51" s="3">
        <f t="shared" si="7"/>
        <v>9.09</v>
      </c>
      <c r="L51" s="3">
        <f t="shared" si="7"/>
        <v>9.23</v>
      </c>
      <c r="M51" s="3">
        <f t="shared" si="7"/>
        <v>9.07</v>
      </c>
      <c r="P51" s="14" t="s">
        <v>1357</v>
      </c>
      <c r="Q51" s="10" t="str">
        <f t="shared" si="8"/>
        <v xml:space="preserve">LOG-IN      -ON  </v>
      </c>
      <c r="R51" s="51">
        <f t="shared" si="9"/>
        <v>41691</v>
      </c>
      <c r="S51" s="5">
        <f t="shared" si="10"/>
        <v>9.08</v>
      </c>
      <c r="T51" s="5">
        <f t="shared" si="11"/>
        <v>9.09</v>
      </c>
      <c r="U51" s="5">
        <f t="shared" si="12"/>
        <v>9.23</v>
      </c>
      <c r="V51" s="5">
        <f t="shared" si="13"/>
        <v>9.07</v>
      </c>
    </row>
    <row r="52" spans="1:22">
      <c r="A52" s="33" t="str">
        <f>IF(Tabela17683[[#This Row],[Código]]="IBOV","^BVSP",IF(Tabela17683[[#This Row],[Código]]="","",CONCATENATE(LEFT(Tabela17683[[#This Row],[Código]],6),".SA")))</f>
        <v>LUXM3.SA</v>
      </c>
      <c r="C52" s="3" t="s">
        <v>1362</v>
      </c>
      <c r="D52" s="3" t="s">
        <v>442</v>
      </c>
      <c r="E52" s="3" t="s">
        <v>1363</v>
      </c>
      <c r="F52" s="3" t="s">
        <v>1363</v>
      </c>
      <c r="G52" s="3" t="s">
        <v>1363</v>
      </c>
      <c r="H52" s="51">
        <v>41691</v>
      </c>
      <c r="J52" s="3" t="e">
        <f t="shared" si="7"/>
        <v>#VALUE!</v>
      </c>
      <c r="K52" s="3">
        <f t="shared" si="7"/>
        <v>48</v>
      </c>
      <c r="L52" s="3">
        <f t="shared" si="7"/>
        <v>48</v>
      </c>
      <c r="M52" s="3">
        <f t="shared" si="7"/>
        <v>48</v>
      </c>
      <c r="P52" s="14" t="s">
        <v>1358</v>
      </c>
      <c r="Q52" s="10" t="str">
        <f t="shared" si="8"/>
        <v>TREVISA     -ON</v>
      </c>
      <c r="R52" s="51">
        <f t="shared" si="9"/>
        <v>41691</v>
      </c>
      <c r="S52" s="5" t="e">
        <f t="shared" si="10"/>
        <v>#VALUE!</v>
      </c>
      <c r="T52" s="5">
        <f t="shared" si="11"/>
        <v>48</v>
      </c>
      <c r="U52" s="5">
        <f t="shared" si="12"/>
        <v>48</v>
      </c>
      <c r="V52" s="5">
        <f t="shared" si="13"/>
        <v>48</v>
      </c>
    </row>
    <row r="53" spans="1:22">
      <c r="A53" s="33" t="str">
        <f>IF(Tabela17683[[#This Row],[Código]]="IBOV","^BVSP",IF(Tabela17683[[#This Row],[Código]]="","",CONCATENATE(LEFT(Tabela17683[[#This Row],[Código]],6),".SA")))</f>
        <v>LUXM4.SA</v>
      </c>
      <c r="C53" s="3" t="s">
        <v>1364</v>
      </c>
      <c r="D53" s="3" t="s">
        <v>1001</v>
      </c>
      <c r="E53" s="3" t="s">
        <v>1001</v>
      </c>
      <c r="F53" s="3" t="s">
        <v>1001</v>
      </c>
      <c r="G53" s="3" t="s">
        <v>1001</v>
      </c>
      <c r="H53" s="51">
        <v>41691</v>
      </c>
      <c r="J53" s="3">
        <f t="shared" si="7"/>
        <v>31.2</v>
      </c>
      <c r="K53" s="3">
        <f t="shared" si="7"/>
        <v>31.2</v>
      </c>
      <c r="L53" s="3">
        <f t="shared" si="7"/>
        <v>31.2</v>
      </c>
      <c r="M53" s="3">
        <f t="shared" si="7"/>
        <v>31.2</v>
      </c>
      <c r="P53" s="14" t="s">
        <v>1359</v>
      </c>
      <c r="Q53" s="10" t="str">
        <f t="shared" si="8"/>
        <v>TREVISA     -PN</v>
      </c>
      <c r="R53" s="51">
        <f t="shared" si="9"/>
        <v>41691</v>
      </c>
      <c r="S53" s="5">
        <f t="shared" si="10"/>
        <v>31.2</v>
      </c>
      <c r="T53" s="5">
        <f t="shared" si="11"/>
        <v>31.2</v>
      </c>
      <c r="U53" s="5">
        <f t="shared" si="12"/>
        <v>31.2</v>
      </c>
      <c r="V53" s="5">
        <f t="shared" si="13"/>
        <v>31.2</v>
      </c>
    </row>
    <row r="54" spans="1:22">
      <c r="A54" s="33" t="str">
        <f>IF(Tabela17683[[#This Row],[Código]]="IBOV","^BVSP",IF(Tabela17683[[#This Row],[Código]]="","",CONCATENATE(LEFT(Tabela17683[[#This Row],[Código]],6),".SA")))</f>
        <v>JSLG3.SA</v>
      </c>
      <c r="C54" s="3" t="s">
        <v>1368</v>
      </c>
      <c r="D54" s="3" t="s">
        <v>2001</v>
      </c>
      <c r="E54" s="61" t="s">
        <v>964</v>
      </c>
      <c r="F54" s="61" t="s">
        <v>2033</v>
      </c>
      <c r="G54" s="61" t="s">
        <v>2001</v>
      </c>
      <c r="H54" s="51">
        <v>41691</v>
      </c>
      <c r="J54" s="3">
        <f t="shared" si="7"/>
        <v>13.37</v>
      </c>
      <c r="K54" s="3">
        <f t="shared" si="7"/>
        <v>13.55</v>
      </c>
      <c r="L54" s="3">
        <f t="shared" si="7"/>
        <v>13.57</v>
      </c>
      <c r="M54" s="3">
        <f t="shared" si="7"/>
        <v>13.37</v>
      </c>
      <c r="P54" s="14" t="s">
        <v>1366</v>
      </c>
      <c r="Q54" s="10" t="str">
        <f t="shared" si="8"/>
        <v xml:space="preserve">JSL         -ON  </v>
      </c>
      <c r="R54" s="51">
        <f t="shared" si="9"/>
        <v>41691</v>
      </c>
      <c r="S54" s="5">
        <f t="shared" si="10"/>
        <v>13.37</v>
      </c>
      <c r="T54" s="5">
        <f t="shared" si="11"/>
        <v>13.55</v>
      </c>
      <c r="U54" s="5">
        <f t="shared" si="12"/>
        <v>13.57</v>
      </c>
      <c r="V54" s="5">
        <f t="shared" si="13"/>
        <v>13.37</v>
      </c>
    </row>
    <row r="55" spans="1:22">
      <c r="A55" s="33" t="str">
        <f>IF(Tabela17683[[#This Row],[Código]]="IBOV","^BVSP",IF(Tabela17683[[#This Row],[Código]]="","",CONCATENATE(LEFT(Tabela17683[[#This Row],[Código]],6),".SA")))</f>
        <v>TGMA3.SA</v>
      </c>
      <c r="C55" s="3" t="s">
        <v>1369</v>
      </c>
      <c r="D55" s="3" t="s">
        <v>1533</v>
      </c>
      <c r="E55" s="3" t="s">
        <v>2034</v>
      </c>
      <c r="F55" s="3" t="s">
        <v>2035</v>
      </c>
      <c r="G55" s="3" t="s">
        <v>2034</v>
      </c>
      <c r="H55" s="51">
        <v>41691</v>
      </c>
      <c r="J55" s="3">
        <f t="shared" si="7"/>
        <v>19.25</v>
      </c>
      <c r="K55" s="3">
        <f t="shared" si="7"/>
        <v>18.87</v>
      </c>
      <c r="L55" s="3">
        <f t="shared" si="7"/>
        <v>19.350000000000001</v>
      </c>
      <c r="M55" s="3">
        <f t="shared" si="7"/>
        <v>18.87</v>
      </c>
      <c r="P55" s="43" t="s">
        <v>1367</v>
      </c>
      <c r="Q55" s="10" t="str">
        <f t="shared" si="8"/>
        <v xml:space="preserve">TEGMA       -ON  </v>
      </c>
      <c r="R55" s="51">
        <f t="shared" si="9"/>
        <v>41691</v>
      </c>
      <c r="S55" s="5">
        <f t="shared" si="10"/>
        <v>19.25</v>
      </c>
      <c r="T55" s="5">
        <f t="shared" si="11"/>
        <v>18.87</v>
      </c>
      <c r="U55" s="5">
        <f t="shared" si="12"/>
        <v>19.350000000000001</v>
      </c>
      <c r="V55" s="5">
        <f t="shared" si="13"/>
        <v>18.87</v>
      </c>
    </row>
    <row r="56" spans="1:22">
      <c r="A56" s="33" t="str">
        <f>IF(Tabela17683[[#This Row],[Código]]="IBOV","^BVSP",IF(Tabela17683[[#This Row],[Código]]="","",CONCATENATE(LEFT(Tabela17683[[#This Row],[Código]],6),".SA")))</f>
        <v>SGAS3.SA</v>
      </c>
      <c r="C56" s="3" t="s">
        <v>1372</v>
      </c>
      <c r="D56" s="3" t="s">
        <v>2036</v>
      </c>
      <c r="E56" s="3" t="s">
        <v>2037</v>
      </c>
      <c r="F56" s="3" t="s">
        <v>2038</v>
      </c>
      <c r="G56" s="3" t="s">
        <v>2039</v>
      </c>
      <c r="H56" s="51">
        <v>41691</v>
      </c>
      <c r="J56" s="3">
        <f t="shared" si="7"/>
        <v>62.1</v>
      </c>
      <c r="K56" s="3">
        <f t="shared" si="7"/>
        <v>68.900000000000006</v>
      </c>
      <c r="L56" s="3">
        <f t="shared" si="7"/>
        <v>68.989999999999995</v>
      </c>
      <c r="M56" s="3">
        <f t="shared" si="7"/>
        <v>60.1</v>
      </c>
      <c r="P56" s="14" t="s">
        <v>1370</v>
      </c>
      <c r="Q56" s="10" t="str">
        <f t="shared" si="8"/>
        <v>WLM IND COM -ON</v>
      </c>
      <c r="R56" s="51">
        <f t="shared" si="9"/>
        <v>41691</v>
      </c>
      <c r="S56" s="5">
        <f t="shared" si="10"/>
        <v>62.1</v>
      </c>
      <c r="T56" s="5">
        <f t="shared" si="11"/>
        <v>68.900000000000006</v>
      </c>
      <c r="U56" s="5">
        <f t="shared" si="12"/>
        <v>68.989999999999995</v>
      </c>
      <c r="V56" s="5">
        <f t="shared" si="13"/>
        <v>60.1</v>
      </c>
    </row>
    <row r="57" spans="1:22">
      <c r="A57" s="33" t="str">
        <f>IF(Tabela17683[[#This Row],[Código]]="IBOV","^BVSP",IF(Tabela17683[[#This Row],[Código]]="","",CONCATENATE(LEFT(Tabela17683[[#This Row],[Código]],6),".SA")))</f>
        <v>SGAS4.SA</v>
      </c>
      <c r="C57" s="3" t="s">
        <v>1373</v>
      </c>
      <c r="D57" s="3" t="s">
        <v>971</v>
      </c>
      <c r="E57" s="3" t="s">
        <v>971</v>
      </c>
      <c r="F57" s="3" t="s">
        <v>971</v>
      </c>
      <c r="G57" s="3" t="s">
        <v>971</v>
      </c>
      <c r="H57" s="51">
        <v>41691</v>
      </c>
      <c r="J57" s="3">
        <f t="shared" si="7"/>
        <v>85</v>
      </c>
      <c r="K57" s="3">
        <f t="shared" si="7"/>
        <v>85</v>
      </c>
      <c r="L57" s="3">
        <f t="shared" si="7"/>
        <v>85</v>
      </c>
      <c r="M57" s="3">
        <f t="shared" si="7"/>
        <v>85</v>
      </c>
      <c r="P57" s="14" t="s">
        <v>1371</v>
      </c>
      <c r="Q57" s="10" t="str">
        <f t="shared" si="8"/>
        <v>WLM IND COM -PN</v>
      </c>
      <c r="R57" s="51">
        <f t="shared" si="9"/>
        <v>41691</v>
      </c>
      <c r="S57" s="5">
        <f t="shared" si="10"/>
        <v>85</v>
      </c>
      <c r="T57" s="5">
        <f t="shared" si="11"/>
        <v>85</v>
      </c>
      <c r="U57" s="5">
        <f t="shared" si="12"/>
        <v>85</v>
      </c>
      <c r="V57" s="5">
        <f t="shared" si="13"/>
        <v>85</v>
      </c>
    </row>
    <row r="58" spans="1:22">
      <c r="A58" s="33" t="str">
        <f>IF(Tabela17683[[#This Row],[Código]]="IBOV","^BVSP",IF(Tabela17683[[#This Row],[Código]]="","",CONCATENATE(LEFT(Tabela17683[[#This Row],[Código]],6),".SA")))</f>
        <v>FRIO3.SA</v>
      </c>
      <c r="C58" s="3" t="s">
        <v>1378</v>
      </c>
      <c r="D58" s="3" t="s">
        <v>2040</v>
      </c>
      <c r="E58" s="3" t="s">
        <v>2040</v>
      </c>
      <c r="F58" s="3" t="s">
        <v>969</v>
      </c>
      <c r="G58" s="3" t="s">
        <v>2040</v>
      </c>
      <c r="H58" s="51">
        <v>41691</v>
      </c>
      <c r="J58" s="3">
        <f t="shared" si="7"/>
        <v>1.99</v>
      </c>
      <c r="K58" s="3">
        <f t="shared" si="7"/>
        <v>1.99</v>
      </c>
      <c r="L58" s="3">
        <f t="shared" si="7"/>
        <v>2.04</v>
      </c>
      <c r="M58" s="3">
        <f t="shared" si="7"/>
        <v>1.99</v>
      </c>
      <c r="P58" s="14" t="s">
        <v>1377</v>
      </c>
      <c r="Q58" s="10" t="str">
        <f t="shared" si="8"/>
        <v xml:space="preserve">METALFRIO   -ON  </v>
      </c>
      <c r="R58" s="51">
        <f t="shared" si="9"/>
        <v>41691</v>
      </c>
      <c r="S58" s="5">
        <f t="shared" si="10"/>
        <v>1.99</v>
      </c>
      <c r="T58" s="5">
        <f t="shared" si="11"/>
        <v>1.99</v>
      </c>
      <c r="U58" s="5">
        <f t="shared" si="12"/>
        <v>2.04</v>
      </c>
      <c r="V58" s="5">
        <f t="shared" si="13"/>
        <v>1.99</v>
      </c>
    </row>
    <row r="59" spans="1:22">
      <c r="A59" s="33" t="str">
        <f>IF(Tabela17683[[#This Row],[Código]]="IBOV","^BVSP",IF(Tabela17683[[#This Row],[Código]]="","",CONCATENATE(LEFT(Tabela17683[[#This Row],[Código]],6),".SA")))</f>
        <v>FJTA3.SA</v>
      </c>
      <c r="C59" s="3" t="s">
        <v>1382</v>
      </c>
      <c r="D59" s="3" t="s">
        <v>682</v>
      </c>
      <c r="E59" s="61" t="s">
        <v>1777</v>
      </c>
      <c r="F59" s="61" t="s">
        <v>1777</v>
      </c>
      <c r="G59" s="61" t="s">
        <v>1254</v>
      </c>
      <c r="H59" s="51">
        <v>41691</v>
      </c>
      <c r="J59" s="3">
        <f t="shared" si="7"/>
        <v>2</v>
      </c>
      <c r="K59" s="3">
        <f t="shared" si="7"/>
        <v>2.0699999999999998</v>
      </c>
      <c r="L59" s="3">
        <f t="shared" si="7"/>
        <v>2.0699999999999998</v>
      </c>
      <c r="M59" s="3">
        <f t="shared" si="7"/>
        <v>1.95</v>
      </c>
      <c r="P59" s="14" t="s">
        <v>1380</v>
      </c>
      <c r="Q59" s="10" t="str">
        <f t="shared" si="8"/>
        <v xml:space="preserve">FORJA TAURUS-ON  </v>
      </c>
      <c r="R59" s="46">
        <f t="shared" si="9"/>
        <v>41691</v>
      </c>
      <c r="S59" s="6">
        <f t="shared" si="10"/>
        <v>2</v>
      </c>
      <c r="T59" s="6">
        <f t="shared" si="11"/>
        <v>2.0699999999999998</v>
      </c>
      <c r="U59" s="6">
        <f t="shared" si="12"/>
        <v>2.0699999999999998</v>
      </c>
      <c r="V59" s="6">
        <f t="shared" si="13"/>
        <v>1.95</v>
      </c>
    </row>
    <row r="60" spans="1:22">
      <c r="A60" s="33" t="str">
        <f>IF(Tabela17683[[#This Row],[Código]]="IBOV","^BVSP",IF(Tabela17683[[#This Row],[Código]]="","",CONCATENATE(LEFT(Tabela17683[[#This Row],[Código]],6),".SA")))</f>
        <v>FJTA4.SA</v>
      </c>
      <c r="C60" s="3" t="s">
        <v>1383</v>
      </c>
      <c r="D60" s="3" t="s">
        <v>1238</v>
      </c>
      <c r="E60" s="61" t="s">
        <v>1430</v>
      </c>
      <c r="F60" s="61" t="s">
        <v>1238</v>
      </c>
      <c r="G60" s="61" t="s">
        <v>1384</v>
      </c>
      <c r="H60" s="51">
        <v>41691</v>
      </c>
      <c r="J60" s="3">
        <f t="shared" si="7"/>
        <v>1.77</v>
      </c>
      <c r="K60" s="3">
        <f t="shared" si="7"/>
        <v>1.76</v>
      </c>
      <c r="L60" s="3">
        <f t="shared" si="7"/>
        <v>1.77</v>
      </c>
      <c r="M60" s="3">
        <f t="shared" si="7"/>
        <v>1.75</v>
      </c>
      <c r="P60" s="14" t="s">
        <v>1381</v>
      </c>
      <c r="Q60" s="10" t="str">
        <f t="shared" si="8"/>
        <v xml:space="preserve">FORJA TAURUS-PN  </v>
      </c>
      <c r="R60" s="51">
        <f t="shared" si="9"/>
        <v>41691</v>
      </c>
      <c r="S60" s="5">
        <f t="shared" si="10"/>
        <v>1.77</v>
      </c>
      <c r="T60" s="5">
        <f t="shared" si="11"/>
        <v>1.76</v>
      </c>
      <c r="U60" s="5">
        <f t="shared" si="12"/>
        <v>1.77</v>
      </c>
      <c r="V60" s="5">
        <f t="shared" si="13"/>
        <v>1.75</v>
      </c>
    </row>
    <row r="61" spans="1:22">
      <c r="A61" s="33" t="str">
        <f>IF(Tabela17683[[#This Row],[Código]]="IBOV","^BVSP",IF(Tabela17683[[#This Row],[Código]]="","",CONCATENATE(LEFT(Tabela17683[[#This Row],[Código]],6),".SA")))</f>
        <v>EALT3.SA</v>
      </c>
      <c r="C61" s="3" t="s">
        <v>1389</v>
      </c>
      <c r="D61" s="3" t="s">
        <v>442</v>
      </c>
      <c r="E61" s="3" t="s">
        <v>634</v>
      </c>
      <c r="F61" s="3" t="s">
        <v>634</v>
      </c>
      <c r="G61" s="3" t="s">
        <v>634</v>
      </c>
      <c r="H61" s="51">
        <v>41691</v>
      </c>
      <c r="J61" s="3" t="e">
        <f t="shared" si="7"/>
        <v>#VALUE!</v>
      </c>
      <c r="K61" s="3">
        <f t="shared" si="7"/>
        <v>28</v>
      </c>
      <c r="L61" s="3">
        <f t="shared" si="7"/>
        <v>28</v>
      </c>
      <c r="M61" s="3">
        <f t="shared" si="7"/>
        <v>28</v>
      </c>
      <c r="P61" s="14" t="s">
        <v>1385</v>
      </c>
      <c r="Q61" s="10" t="str">
        <f t="shared" si="8"/>
        <v>ACO ALTONA  -ON</v>
      </c>
      <c r="R61" s="51">
        <f t="shared" si="9"/>
        <v>41691</v>
      </c>
      <c r="S61" s="5" t="e">
        <f t="shared" si="10"/>
        <v>#VALUE!</v>
      </c>
      <c r="T61" s="5">
        <f t="shared" si="11"/>
        <v>28</v>
      </c>
      <c r="U61" s="5">
        <f t="shared" si="12"/>
        <v>28</v>
      </c>
      <c r="V61" s="5">
        <f t="shared" si="13"/>
        <v>28</v>
      </c>
    </row>
    <row r="62" spans="1:22">
      <c r="A62" s="33" t="str">
        <f>IF(Tabela17683[[#This Row],[Código]]="IBOV","^BVSP",IF(Tabela17683[[#This Row],[Código]]="","",CONCATENATE(LEFT(Tabela17683[[#This Row],[Código]],6),".SA")))</f>
        <v>EALT4.SA</v>
      </c>
      <c r="C62" s="3" t="s">
        <v>1390</v>
      </c>
      <c r="D62" s="3" t="s">
        <v>629</v>
      </c>
      <c r="E62" s="3" t="s">
        <v>629</v>
      </c>
      <c r="F62" s="3" t="s">
        <v>629</v>
      </c>
      <c r="G62" s="3" t="s">
        <v>629</v>
      </c>
      <c r="H62" s="51">
        <v>41691</v>
      </c>
      <c r="J62" s="3">
        <f t="shared" si="7"/>
        <v>25</v>
      </c>
      <c r="K62" s="3">
        <f t="shared" si="7"/>
        <v>25</v>
      </c>
      <c r="L62" s="3">
        <f t="shared" si="7"/>
        <v>25</v>
      </c>
      <c r="M62" s="3">
        <f t="shared" si="7"/>
        <v>25</v>
      </c>
      <c r="P62" s="14" t="s">
        <v>1386</v>
      </c>
      <c r="Q62" s="10" t="str">
        <f t="shared" si="8"/>
        <v>ACO ALTONA  -PN</v>
      </c>
      <c r="R62" s="51">
        <f t="shared" si="9"/>
        <v>41691</v>
      </c>
      <c r="S62" s="5">
        <f t="shared" si="10"/>
        <v>25</v>
      </c>
      <c r="T62" s="5">
        <f t="shared" si="11"/>
        <v>25</v>
      </c>
      <c r="U62" s="5">
        <f t="shared" si="12"/>
        <v>25</v>
      </c>
      <c r="V62" s="5">
        <f t="shared" si="13"/>
        <v>25</v>
      </c>
    </row>
    <row r="63" spans="1:22">
      <c r="A63" s="33" t="str">
        <f>IF(Tabela17683[[#This Row],[Código]]="IBOV","^BVSP",IF(Tabela17683[[#This Row],[Código]]="","",CONCATENATE(LEFT(Tabela17683[[#This Row],[Código]],6),".SA")))</f>
        <v>MTSA3.SA</v>
      </c>
      <c r="C63" s="3" t="s">
        <v>1391</v>
      </c>
      <c r="D63" s="3" t="s">
        <v>442</v>
      </c>
      <c r="E63" s="3" t="s">
        <v>651</v>
      </c>
      <c r="F63" s="3" t="s">
        <v>651</v>
      </c>
      <c r="G63" s="3" t="s">
        <v>651</v>
      </c>
      <c r="H63" s="51">
        <v>41691</v>
      </c>
      <c r="J63" s="3" t="e">
        <f t="shared" si="7"/>
        <v>#VALUE!</v>
      </c>
      <c r="K63" s="3">
        <f t="shared" si="7"/>
        <v>60</v>
      </c>
      <c r="L63" s="3">
        <f t="shared" si="7"/>
        <v>60</v>
      </c>
      <c r="M63" s="3">
        <f t="shared" si="7"/>
        <v>60</v>
      </c>
      <c r="P63" s="3" t="s">
        <v>1387</v>
      </c>
      <c r="Q63" s="10" t="str">
        <f t="shared" si="8"/>
        <v>METISA      -ON</v>
      </c>
      <c r="R63" s="51">
        <f t="shared" si="9"/>
        <v>41691</v>
      </c>
      <c r="S63" s="5" t="e">
        <f t="shared" si="10"/>
        <v>#VALUE!</v>
      </c>
      <c r="T63" s="5">
        <f t="shared" si="11"/>
        <v>60</v>
      </c>
      <c r="U63" s="5">
        <f t="shared" si="12"/>
        <v>60</v>
      </c>
      <c r="V63" s="5">
        <f t="shared" si="13"/>
        <v>60</v>
      </c>
    </row>
    <row r="64" spans="1:22">
      <c r="A64" s="33" t="str">
        <f>IF(Tabela17683[[#This Row],[Código]]="IBOV","^BVSP",IF(Tabela17683[[#This Row],[Código]]="","",CONCATENATE(LEFT(Tabela17683[[#This Row],[Código]],6),".SA")))</f>
        <v>MTSA4.SA</v>
      </c>
      <c r="C64" s="3" t="s">
        <v>1392</v>
      </c>
      <c r="D64" s="3" t="s">
        <v>2041</v>
      </c>
      <c r="E64" s="3" t="s">
        <v>2041</v>
      </c>
      <c r="F64" s="3" t="s">
        <v>2041</v>
      </c>
      <c r="G64" s="3" t="s">
        <v>2041</v>
      </c>
      <c r="H64" s="51">
        <v>41691</v>
      </c>
      <c r="J64" s="3">
        <f t="shared" si="7"/>
        <v>17.11</v>
      </c>
      <c r="K64" s="3">
        <f t="shared" si="7"/>
        <v>17.11</v>
      </c>
      <c r="L64" s="3">
        <f t="shared" si="7"/>
        <v>17.11</v>
      </c>
      <c r="M64" s="3">
        <f t="shared" si="7"/>
        <v>17.11</v>
      </c>
      <c r="P64" s="14" t="s">
        <v>1388</v>
      </c>
      <c r="Q64" s="10" t="str">
        <f t="shared" si="8"/>
        <v>METISA      -PN</v>
      </c>
      <c r="R64" s="51">
        <f t="shared" si="9"/>
        <v>41691</v>
      </c>
      <c r="S64" s="5">
        <f t="shared" si="10"/>
        <v>17.11</v>
      </c>
      <c r="T64" s="5">
        <f t="shared" si="11"/>
        <v>17.11</v>
      </c>
      <c r="U64" s="5">
        <f t="shared" si="12"/>
        <v>17.11</v>
      </c>
      <c r="V64" s="5">
        <f t="shared" si="13"/>
        <v>17.11</v>
      </c>
    </row>
    <row r="65" spans="1:22">
      <c r="A65" s="33" t="str">
        <f>IF(Tabela17683[[#This Row],[Código]]="IBOV","^BVSP",IF(Tabela17683[[#This Row],[Código]]="","",CONCATENATE(LEFT(Tabela17683[[#This Row],[Código]],6),".SA")))</f>
        <v>BALM3.SA</v>
      </c>
      <c r="C65" s="3" t="s">
        <v>1396</v>
      </c>
      <c r="D65" s="3" t="s">
        <v>442</v>
      </c>
      <c r="E65" s="3" t="s">
        <v>775</v>
      </c>
      <c r="F65" s="3" t="s">
        <v>775</v>
      </c>
      <c r="G65" s="3" t="s">
        <v>775</v>
      </c>
      <c r="H65" s="51">
        <v>41691</v>
      </c>
      <c r="J65" s="3" t="e">
        <f t="shared" si="7"/>
        <v>#VALUE!</v>
      </c>
      <c r="K65" s="3">
        <f t="shared" si="7"/>
        <v>40</v>
      </c>
      <c r="L65" s="3">
        <f t="shared" si="7"/>
        <v>40</v>
      </c>
      <c r="M65" s="3">
        <f t="shared" si="7"/>
        <v>40</v>
      </c>
      <c r="P65" s="14" t="s">
        <v>1394</v>
      </c>
      <c r="Q65" s="10" t="str">
        <f t="shared" si="8"/>
        <v>BAUMER      -ON</v>
      </c>
      <c r="R65" s="51">
        <f t="shared" si="9"/>
        <v>41691</v>
      </c>
      <c r="S65" s="5" t="e">
        <f t="shared" si="10"/>
        <v>#VALUE!</v>
      </c>
      <c r="T65" s="5">
        <f t="shared" si="11"/>
        <v>40</v>
      </c>
      <c r="U65" s="5">
        <f t="shared" si="12"/>
        <v>40</v>
      </c>
      <c r="V65" s="5">
        <f t="shared" si="13"/>
        <v>40</v>
      </c>
    </row>
    <row r="66" spans="1:22">
      <c r="A66" s="33" t="str">
        <f>IF(Tabela17683[[#This Row],[Código]]="IBOV","^BVSP",IF(Tabela17683[[#This Row],[Código]]="","",CONCATENATE(LEFT(Tabela17683[[#This Row],[Código]],6),".SA")))</f>
        <v>BALM4.SA</v>
      </c>
      <c r="C66" s="3" t="s">
        <v>1397</v>
      </c>
      <c r="D66" s="3" t="s">
        <v>1398</v>
      </c>
      <c r="E66" s="3" t="s">
        <v>1399</v>
      </c>
      <c r="F66" s="3" t="s">
        <v>1399</v>
      </c>
      <c r="G66" s="3" t="s">
        <v>1398</v>
      </c>
      <c r="H66" s="51">
        <v>41691</v>
      </c>
      <c r="J66" s="3">
        <f t="shared" si="7"/>
        <v>97</v>
      </c>
      <c r="K66" s="3">
        <f t="shared" si="7"/>
        <v>98</v>
      </c>
      <c r="L66" s="3">
        <f t="shared" si="7"/>
        <v>98</v>
      </c>
      <c r="M66" s="3">
        <f t="shared" si="7"/>
        <v>97</v>
      </c>
      <c r="P66" s="10" t="s">
        <v>1395</v>
      </c>
      <c r="Q66" s="10" t="str">
        <f t="shared" si="8"/>
        <v>BAUMER      -PN</v>
      </c>
      <c r="R66" s="51">
        <f t="shared" si="9"/>
        <v>41691</v>
      </c>
      <c r="S66" s="5">
        <f t="shared" si="10"/>
        <v>97</v>
      </c>
      <c r="T66" s="5">
        <f t="shared" si="11"/>
        <v>98</v>
      </c>
      <c r="U66" s="5">
        <f t="shared" si="12"/>
        <v>98</v>
      </c>
      <c r="V66" s="5">
        <f t="shared" si="13"/>
        <v>97</v>
      </c>
    </row>
    <row r="67" spans="1:22">
      <c r="A67" s="33" t="str">
        <f>IF(Tabela17683[[#This Row],[Código]]="IBOV","^BVSP",IF(Tabela17683[[#This Row],[Código]]="","",CONCATENATE(LEFT(Tabela17683[[#This Row],[Código]],6),".SA")))</f>
        <v>BDLL3.SA</v>
      </c>
      <c r="C67" s="3" t="s">
        <v>1431</v>
      </c>
      <c r="D67" s="3" t="s">
        <v>1432</v>
      </c>
      <c r="E67" s="3" t="s">
        <v>1432</v>
      </c>
      <c r="F67" s="3" t="s">
        <v>1432</v>
      </c>
      <c r="G67" s="3" t="s">
        <v>1432</v>
      </c>
      <c r="H67" s="51">
        <v>41691</v>
      </c>
      <c r="J67" s="3">
        <f t="shared" si="7"/>
        <v>45</v>
      </c>
      <c r="K67" s="3">
        <f t="shared" si="7"/>
        <v>45</v>
      </c>
      <c r="L67" s="3">
        <f t="shared" si="7"/>
        <v>45</v>
      </c>
      <c r="M67" s="3">
        <f t="shared" si="7"/>
        <v>45</v>
      </c>
      <c r="P67" s="14" t="s">
        <v>1417</v>
      </c>
      <c r="Q67" s="10" t="str">
        <f t="shared" si="8"/>
        <v>BARDELLA    -ON</v>
      </c>
      <c r="R67" s="51">
        <f t="shared" si="9"/>
        <v>41691</v>
      </c>
      <c r="S67" s="5">
        <f t="shared" si="10"/>
        <v>45</v>
      </c>
      <c r="T67" s="5">
        <f t="shared" si="11"/>
        <v>45</v>
      </c>
      <c r="U67" s="5">
        <f t="shared" si="12"/>
        <v>45</v>
      </c>
      <c r="V67" s="5">
        <f t="shared" si="13"/>
        <v>45</v>
      </c>
    </row>
    <row r="68" spans="1:22">
      <c r="A68" s="33" t="str">
        <f>IF(Tabela17683[[#This Row],[Código]]="IBOV","^BVSP",IF(Tabela17683[[#This Row],[Código]]="","",CONCATENATE(LEFT(Tabela17683[[#This Row],[Código]],6),".SA")))</f>
        <v>BDLL4.SA</v>
      </c>
      <c r="C68" s="3" t="s">
        <v>1433</v>
      </c>
      <c r="D68" s="3" t="s">
        <v>1131</v>
      </c>
      <c r="E68" s="3" t="s">
        <v>775</v>
      </c>
      <c r="F68" s="3" t="s">
        <v>1131</v>
      </c>
      <c r="G68" s="3" t="s">
        <v>775</v>
      </c>
      <c r="H68" s="51">
        <v>41691</v>
      </c>
      <c r="J68" s="3">
        <f t="shared" si="7"/>
        <v>40.01</v>
      </c>
      <c r="K68" s="3">
        <f t="shared" si="7"/>
        <v>40</v>
      </c>
      <c r="L68" s="3">
        <f t="shared" si="7"/>
        <v>40.01</v>
      </c>
      <c r="M68" s="3">
        <f t="shared" si="7"/>
        <v>40</v>
      </c>
      <c r="P68" s="14" t="s">
        <v>1418</v>
      </c>
      <c r="Q68" s="10" t="str">
        <f t="shared" si="8"/>
        <v>BARDELLA    -PN</v>
      </c>
      <c r="R68" s="51">
        <f t="shared" si="9"/>
        <v>41691</v>
      </c>
      <c r="S68" s="5">
        <f t="shared" si="10"/>
        <v>40.01</v>
      </c>
      <c r="T68" s="5">
        <f t="shared" si="11"/>
        <v>40</v>
      </c>
      <c r="U68" s="5">
        <f t="shared" si="12"/>
        <v>40.01</v>
      </c>
      <c r="V68" s="5">
        <f t="shared" si="13"/>
        <v>40</v>
      </c>
    </row>
    <row r="69" spans="1:22">
      <c r="A69" s="33" t="str">
        <f>IF(Tabela17683[[#This Row],[Código]]="IBOV","^BVSP",IF(Tabela17683[[#This Row],[Código]]="","",CONCATENATE(LEFT(Tabela17683[[#This Row],[Código]],6),".SA")))</f>
        <v>ROMI3.SA</v>
      </c>
      <c r="C69" s="3" t="s">
        <v>1434</v>
      </c>
      <c r="D69" s="3" t="s">
        <v>2042</v>
      </c>
      <c r="E69" s="3" t="s">
        <v>1511</v>
      </c>
      <c r="F69" s="3" t="s">
        <v>1511</v>
      </c>
      <c r="G69" s="3" t="s">
        <v>2042</v>
      </c>
      <c r="H69" s="51">
        <v>41691</v>
      </c>
      <c r="J69" s="3">
        <f t="shared" si="7"/>
        <v>5.13</v>
      </c>
      <c r="K69" s="3">
        <f t="shared" si="7"/>
        <v>5.15</v>
      </c>
      <c r="L69" s="3">
        <f t="shared" si="7"/>
        <v>5.15</v>
      </c>
      <c r="M69" s="3">
        <f t="shared" si="7"/>
        <v>5.13</v>
      </c>
      <c r="P69" s="14" t="s">
        <v>1419</v>
      </c>
      <c r="Q69" s="10" t="str">
        <f t="shared" si="8"/>
        <v xml:space="preserve">INDS ROMI   -ON  </v>
      </c>
      <c r="R69" s="51">
        <f t="shared" si="9"/>
        <v>41691</v>
      </c>
      <c r="S69" s="5">
        <f t="shared" si="10"/>
        <v>5.13</v>
      </c>
      <c r="T69" s="5">
        <f t="shared" si="11"/>
        <v>5.15</v>
      </c>
      <c r="U69" s="5">
        <f t="shared" si="12"/>
        <v>5.15</v>
      </c>
      <c r="V69" s="5">
        <f t="shared" si="13"/>
        <v>5.13</v>
      </c>
    </row>
    <row r="70" spans="1:22">
      <c r="A70" s="33" t="str">
        <f>IF(Tabela17683[[#This Row],[Código]]="IBOV","^BVSP",IF(Tabela17683[[#This Row],[Código]]="","",CONCATENATE(LEFT(Tabela17683[[#This Row],[Código]],6),".SA")))</f>
        <v>INEP3.SA</v>
      </c>
      <c r="C70" s="3" t="s">
        <v>1435</v>
      </c>
      <c r="D70" s="3" t="s">
        <v>1547</v>
      </c>
      <c r="E70" s="3" t="s">
        <v>1547</v>
      </c>
      <c r="F70" s="3" t="s">
        <v>1547</v>
      </c>
      <c r="G70" s="3" t="s">
        <v>1547</v>
      </c>
      <c r="H70" s="51">
        <v>41691</v>
      </c>
      <c r="J70" s="3">
        <f t="shared" si="7"/>
        <v>0.99</v>
      </c>
      <c r="K70" s="3">
        <f t="shared" si="7"/>
        <v>0.99</v>
      </c>
      <c r="L70" s="3">
        <f t="shared" si="7"/>
        <v>0.99</v>
      </c>
      <c r="M70" s="3">
        <f t="shared" si="7"/>
        <v>0.99</v>
      </c>
      <c r="P70" s="14" t="s">
        <v>1420</v>
      </c>
      <c r="Q70" s="10" t="str">
        <f t="shared" si="8"/>
        <v xml:space="preserve">INEPAR      -ON  </v>
      </c>
      <c r="R70" s="51">
        <f t="shared" si="9"/>
        <v>41691</v>
      </c>
      <c r="S70" s="5">
        <f t="shared" si="10"/>
        <v>0.99</v>
      </c>
      <c r="T70" s="5">
        <f t="shared" si="11"/>
        <v>0.99</v>
      </c>
      <c r="U70" s="5">
        <f t="shared" si="12"/>
        <v>0.99</v>
      </c>
      <c r="V70" s="5">
        <f t="shared" si="13"/>
        <v>0.99</v>
      </c>
    </row>
    <row r="71" spans="1:22">
      <c r="A71" s="33" t="str">
        <f>IF(Tabela17683[[#This Row],[Código]]="IBOV","^BVSP",IF(Tabela17683[[#This Row],[Código]]="","",CONCATENATE(LEFT(Tabela17683[[#This Row],[Código]],6),".SA")))</f>
        <v>INEP4.SA</v>
      </c>
      <c r="C71" s="3" t="s">
        <v>1437</v>
      </c>
      <c r="D71" s="3" t="s">
        <v>2043</v>
      </c>
      <c r="E71" s="3" t="s">
        <v>1427</v>
      </c>
      <c r="F71" s="3" t="s">
        <v>1340</v>
      </c>
      <c r="G71" s="3" t="s">
        <v>2043</v>
      </c>
      <c r="H71" s="51">
        <v>41691</v>
      </c>
      <c r="J71" s="3">
        <f t="shared" si="7"/>
        <v>0.87</v>
      </c>
      <c r="K71" s="3">
        <f t="shared" si="7"/>
        <v>0.89</v>
      </c>
      <c r="L71" s="3">
        <f t="shared" si="7"/>
        <v>0.9</v>
      </c>
      <c r="M71" s="3">
        <f t="shared" si="7"/>
        <v>0.87</v>
      </c>
      <c r="P71" s="14" t="s">
        <v>1421</v>
      </c>
      <c r="Q71" s="10" t="str">
        <f t="shared" ref="Q71:Q102" si="14">IF(A71="","",C71)</f>
        <v xml:space="preserve">INEPAR      -PN  </v>
      </c>
      <c r="R71" s="46">
        <f t="shared" ref="R71:R102" si="15">IF(A71="","",H71)</f>
        <v>41691</v>
      </c>
      <c r="S71" s="6">
        <f t="shared" ref="S71:S102" si="16">J71</f>
        <v>0.87</v>
      </c>
      <c r="T71" s="6">
        <f t="shared" ref="T71:T102" si="17">K71</f>
        <v>0.89</v>
      </c>
      <c r="U71" s="6">
        <f t="shared" ref="U71:U102" si="18">L71</f>
        <v>0.9</v>
      </c>
      <c r="V71" s="6">
        <f t="shared" ref="V71:V102" si="19">M71</f>
        <v>0.87</v>
      </c>
    </row>
    <row r="72" spans="1:22">
      <c r="A72" s="33" t="str">
        <f>IF(Tabela17683[[#This Row],[Código]]="IBOV","^BVSP",IF(Tabela17683[[#This Row],[Código]]="","",CONCATENATE(LEFT(Tabela17683[[#This Row],[Código]],6),".SA")))</f>
        <v>KEPL3.SA</v>
      </c>
      <c r="C72" s="3" t="s">
        <v>1438</v>
      </c>
      <c r="D72" s="3" t="s">
        <v>2044</v>
      </c>
      <c r="E72" s="3" t="s">
        <v>2045</v>
      </c>
      <c r="F72" s="3" t="s">
        <v>2046</v>
      </c>
      <c r="G72" s="3" t="s">
        <v>2044</v>
      </c>
      <c r="H72" s="51">
        <v>41691</v>
      </c>
      <c r="J72" s="3">
        <f t="shared" ref="J72:M135" si="20">IF($A72="",0,VALUE(CONCATENATE(LEFT(D72,LEN(D72)-3),",",RIGHT(D72,2))))</f>
        <v>37.869999999999997</v>
      </c>
      <c r="K72" s="3">
        <f t="shared" si="20"/>
        <v>38.15</v>
      </c>
      <c r="L72" s="3">
        <f t="shared" si="20"/>
        <v>38.200000000000003</v>
      </c>
      <c r="M72" s="3">
        <f t="shared" si="20"/>
        <v>37.869999999999997</v>
      </c>
      <c r="P72" s="15" t="s">
        <v>1422</v>
      </c>
      <c r="Q72" s="10" t="str">
        <f t="shared" si="14"/>
        <v>KEPLER WEBER-ON</v>
      </c>
      <c r="R72" s="51">
        <f t="shared" si="15"/>
        <v>41691</v>
      </c>
      <c r="S72" s="5">
        <f t="shared" si="16"/>
        <v>37.869999999999997</v>
      </c>
      <c r="T72" s="5">
        <f t="shared" si="17"/>
        <v>38.15</v>
      </c>
      <c r="U72" s="5">
        <f t="shared" si="18"/>
        <v>38.200000000000003</v>
      </c>
      <c r="V72" s="5">
        <f t="shared" si="19"/>
        <v>37.869999999999997</v>
      </c>
    </row>
    <row r="73" spans="1:22">
      <c r="A73" s="33" t="str">
        <f>IF(Tabela17683[[#This Row],[Código]]="IBOV","^BVSP",IF(Tabela17683[[#This Row],[Código]]="","",CONCATENATE(LEFT(Tabela17683[[#This Row],[Código]],6),".SA")))</f>
        <v>NORD3.SA</v>
      </c>
      <c r="C73" s="3" t="s">
        <v>1439</v>
      </c>
      <c r="D73" s="3" t="s">
        <v>1143</v>
      </c>
      <c r="E73" s="3" t="s">
        <v>1143</v>
      </c>
      <c r="F73" s="3" t="s">
        <v>1143</v>
      </c>
      <c r="G73" s="3" t="s">
        <v>1143</v>
      </c>
      <c r="H73" s="51">
        <v>41691</v>
      </c>
      <c r="J73" s="3">
        <f t="shared" si="20"/>
        <v>7.5</v>
      </c>
      <c r="K73" s="3">
        <f t="shared" si="20"/>
        <v>7.5</v>
      </c>
      <c r="L73" s="3">
        <f t="shared" si="20"/>
        <v>7.5</v>
      </c>
      <c r="M73" s="3">
        <f t="shared" si="20"/>
        <v>7.5</v>
      </c>
      <c r="P73" s="14" t="s">
        <v>1423</v>
      </c>
      <c r="Q73" s="10" t="str">
        <f t="shared" si="14"/>
        <v>NORDON MET  -ON *</v>
      </c>
      <c r="R73" s="51">
        <f t="shared" si="15"/>
        <v>41691</v>
      </c>
      <c r="S73" s="5">
        <f t="shared" si="16"/>
        <v>7.5</v>
      </c>
      <c r="T73" s="5">
        <f t="shared" si="17"/>
        <v>7.5</v>
      </c>
      <c r="U73" s="5">
        <f t="shared" si="18"/>
        <v>7.5</v>
      </c>
      <c r="V73" s="5">
        <f t="shared" si="19"/>
        <v>7.5</v>
      </c>
    </row>
    <row r="74" spans="1:22">
      <c r="A74" s="33" t="str">
        <f>IF(Tabela17683[[#This Row],[Código]]="IBOV","^BVSP",IF(Tabela17683[[#This Row],[Código]]="","",CONCATENATE(LEFT(Tabela17683[[#This Row],[Código]],6),".SA")))</f>
        <v>SHUL3.SA</v>
      </c>
      <c r="C74" s="3" t="s">
        <v>1445</v>
      </c>
      <c r="D74" s="3" t="s">
        <v>442</v>
      </c>
      <c r="E74" s="3" t="s">
        <v>443</v>
      </c>
      <c r="F74" s="3" t="s">
        <v>442</v>
      </c>
      <c r="G74" s="3" t="s">
        <v>442</v>
      </c>
      <c r="H74" s="51" t="s">
        <v>442</v>
      </c>
      <c r="J74" s="3" t="e">
        <f t="shared" si="20"/>
        <v>#VALUE!</v>
      </c>
      <c r="K74" s="3">
        <f t="shared" si="20"/>
        <v>0</v>
      </c>
      <c r="L74" s="3" t="e">
        <f t="shared" si="20"/>
        <v>#VALUE!</v>
      </c>
      <c r="M74" s="3" t="e">
        <f t="shared" si="20"/>
        <v>#VALUE!</v>
      </c>
      <c r="P74" s="14" t="s">
        <v>1442</v>
      </c>
      <c r="Q74" s="10" t="str">
        <f t="shared" si="14"/>
        <v>SCHULZ      -ON</v>
      </c>
      <c r="R74" s="51" t="str">
        <f t="shared" si="15"/>
        <v>N/A</v>
      </c>
      <c r="S74" s="5" t="e">
        <f t="shared" si="16"/>
        <v>#VALUE!</v>
      </c>
      <c r="T74" s="5">
        <f t="shared" si="17"/>
        <v>0</v>
      </c>
      <c r="U74" s="5" t="e">
        <f t="shared" si="18"/>
        <v>#VALUE!</v>
      </c>
      <c r="V74" s="5" t="e">
        <f t="shared" si="19"/>
        <v>#VALUE!</v>
      </c>
    </row>
    <row r="75" spans="1:22">
      <c r="A75" s="33" t="str">
        <f>IF(Tabela17683[[#This Row],[Código]]="IBOV","^BVSP",IF(Tabela17683[[#This Row],[Código]]="","",CONCATENATE(LEFT(Tabela17683[[#This Row],[Código]],6),".SA")))</f>
        <v>SHUL4.SA</v>
      </c>
      <c r="C75" s="3" t="s">
        <v>1446</v>
      </c>
      <c r="D75" s="3" t="s">
        <v>2047</v>
      </c>
      <c r="E75" s="3" t="s">
        <v>260</v>
      </c>
      <c r="F75" s="3" t="s">
        <v>2048</v>
      </c>
      <c r="G75" s="3" t="s">
        <v>260</v>
      </c>
      <c r="H75" s="51">
        <v>41691</v>
      </c>
      <c r="J75" s="3">
        <f t="shared" si="20"/>
        <v>10.050000000000001</v>
      </c>
      <c r="K75" s="3">
        <f t="shared" si="20"/>
        <v>10</v>
      </c>
      <c r="L75" s="3">
        <f t="shared" si="20"/>
        <v>10.1</v>
      </c>
      <c r="M75" s="3">
        <f t="shared" si="20"/>
        <v>10</v>
      </c>
      <c r="P75" s="14" t="s">
        <v>1443</v>
      </c>
      <c r="Q75" s="10" t="str">
        <f t="shared" si="14"/>
        <v>SCHULZ      -PN</v>
      </c>
      <c r="R75" s="51">
        <f t="shared" si="15"/>
        <v>41691</v>
      </c>
      <c r="S75" s="5">
        <f t="shared" si="16"/>
        <v>10.050000000000001</v>
      </c>
      <c r="T75" s="5">
        <f t="shared" si="17"/>
        <v>10</v>
      </c>
      <c r="U75" s="5">
        <f t="shared" si="18"/>
        <v>10.1</v>
      </c>
      <c r="V75" s="5">
        <f t="shared" si="19"/>
        <v>10</v>
      </c>
    </row>
    <row r="76" spans="1:22">
      <c r="A76" s="33" t="str">
        <f>IF(Tabela17683[[#This Row],[Código]]="IBOV","^BVSP",IF(Tabela17683[[#This Row],[Código]]="","",CONCATENATE(LEFT(Tabela17683[[#This Row],[Código]],6),".SA")))</f>
        <v>WEGE3.SA</v>
      </c>
      <c r="C76" s="3" t="s">
        <v>1447</v>
      </c>
      <c r="D76" s="3" t="s">
        <v>2049</v>
      </c>
      <c r="E76" s="3" t="s">
        <v>2050</v>
      </c>
      <c r="F76" s="3" t="s">
        <v>1485</v>
      </c>
      <c r="G76" s="3" t="s">
        <v>2049</v>
      </c>
      <c r="H76" s="51">
        <v>41691</v>
      </c>
      <c r="J76" s="3">
        <f t="shared" si="20"/>
        <v>29.65</v>
      </c>
      <c r="K76" s="3">
        <f t="shared" si="20"/>
        <v>29.88</v>
      </c>
      <c r="L76" s="3">
        <f t="shared" si="20"/>
        <v>29.95</v>
      </c>
      <c r="M76" s="3">
        <f t="shared" si="20"/>
        <v>29.65</v>
      </c>
      <c r="P76" s="14" t="s">
        <v>1444</v>
      </c>
      <c r="Q76" s="10" t="str">
        <f t="shared" si="14"/>
        <v xml:space="preserve">WEG         -ON  </v>
      </c>
      <c r="R76" s="51">
        <f t="shared" si="15"/>
        <v>41691</v>
      </c>
      <c r="S76" s="5">
        <f t="shared" si="16"/>
        <v>29.65</v>
      </c>
      <c r="T76" s="5">
        <f t="shared" si="17"/>
        <v>29.88</v>
      </c>
      <c r="U76" s="5">
        <f t="shared" si="18"/>
        <v>29.95</v>
      </c>
      <c r="V76" s="5">
        <f t="shared" si="19"/>
        <v>29.65</v>
      </c>
    </row>
    <row r="77" spans="1:22">
      <c r="A77" s="33" t="str">
        <f>IF(Tabela17683[[#This Row],[Código]]="IBOV","^BVSP",IF(Tabela17683[[#This Row],[Código]]="","",CONCATENATE(LEFT(Tabela17683[[#This Row],[Código]],6),".SA")))</f>
        <v>EMBR3.SA</v>
      </c>
      <c r="C77" s="3" t="s">
        <v>1451</v>
      </c>
      <c r="D77" s="3" t="s">
        <v>2051</v>
      </c>
      <c r="E77" s="3" t="s">
        <v>2052</v>
      </c>
      <c r="F77" s="3" t="s">
        <v>2053</v>
      </c>
      <c r="G77" s="3" t="s">
        <v>2054</v>
      </c>
      <c r="H77" s="51">
        <v>41691</v>
      </c>
      <c r="J77" s="3">
        <f t="shared" si="20"/>
        <v>19.489999999999998</v>
      </c>
      <c r="K77" s="3">
        <f t="shared" si="20"/>
        <v>19.79</v>
      </c>
      <c r="L77" s="3">
        <f t="shared" si="20"/>
        <v>19.850000000000001</v>
      </c>
      <c r="M77" s="3">
        <f t="shared" si="20"/>
        <v>19.43</v>
      </c>
      <c r="P77" s="15" t="s">
        <v>1449</v>
      </c>
      <c r="Q77" s="10" t="str">
        <f t="shared" si="14"/>
        <v xml:space="preserve">EMBRAER     -ON  </v>
      </c>
      <c r="R77" s="51">
        <f t="shared" si="15"/>
        <v>41691</v>
      </c>
      <c r="S77" s="5">
        <f t="shared" si="16"/>
        <v>19.489999999999998</v>
      </c>
      <c r="T77" s="5">
        <f t="shared" si="17"/>
        <v>19.79</v>
      </c>
      <c r="U77" s="5">
        <f t="shared" si="18"/>
        <v>19.850000000000001</v>
      </c>
      <c r="V77" s="5">
        <f t="shared" si="19"/>
        <v>19.43</v>
      </c>
    </row>
    <row r="78" spans="1:22">
      <c r="A78" s="33" t="str">
        <f>IF(Tabela17683[[#This Row],[Código]]="IBOV","^BVSP",IF(Tabela17683[[#This Row],[Código]]="","",CONCATENATE(LEFT(Tabela17683[[#This Row],[Código]],6),".SA")))</f>
        <v>CBMA3.SA</v>
      </c>
      <c r="C78" s="3" t="s">
        <v>1455</v>
      </c>
      <c r="D78" s="3" t="s">
        <v>1456</v>
      </c>
      <c r="E78" s="3" t="s">
        <v>1456</v>
      </c>
      <c r="F78" s="3" t="s">
        <v>1456</v>
      </c>
      <c r="G78" s="3" t="s">
        <v>1456</v>
      </c>
      <c r="H78" s="51">
        <v>41691</v>
      </c>
      <c r="J78" s="3">
        <f t="shared" si="20"/>
        <v>0.05</v>
      </c>
      <c r="K78" s="3">
        <f t="shared" si="20"/>
        <v>0.05</v>
      </c>
      <c r="L78" s="3">
        <f t="shared" si="20"/>
        <v>0.05</v>
      </c>
      <c r="M78" s="3">
        <f t="shared" si="20"/>
        <v>0.05</v>
      </c>
      <c r="P78" s="15" t="s">
        <v>1453</v>
      </c>
      <c r="Q78" s="10" t="str">
        <f t="shared" si="14"/>
        <v>COBRASMA    -ON</v>
      </c>
      <c r="R78" s="51">
        <f t="shared" si="15"/>
        <v>41691</v>
      </c>
      <c r="S78" s="5">
        <f t="shared" si="16"/>
        <v>0.05</v>
      </c>
      <c r="T78" s="5">
        <f t="shared" si="17"/>
        <v>0.05</v>
      </c>
      <c r="U78" s="5">
        <f t="shared" si="18"/>
        <v>0.05</v>
      </c>
      <c r="V78" s="5">
        <f t="shared" si="19"/>
        <v>0.05</v>
      </c>
    </row>
    <row r="79" spans="1:22">
      <c r="A79" s="33" t="str">
        <f>IF(Tabela17683[[#This Row],[Código]]="IBOV","^BVSP",IF(Tabela17683[[#This Row],[Código]]="","",CONCATENATE(LEFT(Tabela17683[[#This Row],[Código]],6),".SA")))</f>
        <v>CBMA4.SA</v>
      </c>
      <c r="C79" s="3" t="s">
        <v>1457</v>
      </c>
      <c r="D79" s="3" t="s">
        <v>1458</v>
      </c>
      <c r="E79" s="3" t="s">
        <v>1458</v>
      </c>
      <c r="F79" s="3" t="s">
        <v>1458</v>
      </c>
      <c r="G79" s="3" t="s">
        <v>1458</v>
      </c>
      <c r="H79" s="51">
        <v>41691</v>
      </c>
      <c r="J79" s="3">
        <f t="shared" si="20"/>
        <v>0.04</v>
      </c>
      <c r="K79" s="3">
        <f t="shared" si="20"/>
        <v>0.04</v>
      </c>
      <c r="L79" s="3">
        <f t="shared" si="20"/>
        <v>0.04</v>
      </c>
      <c r="M79" s="3">
        <f t="shared" si="20"/>
        <v>0.04</v>
      </c>
      <c r="P79" s="15" t="s">
        <v>1454</v>
      </c>
      <c r="Q79" s="10" t="str">
        <f t="shared" si="14"/>
        <v>COBRASMA    -PN</v>
      </c>
      <c r="R79" s="51">
        <f t="shared" si="15"/>
        <v>41691</v>
      </c>
      <c r="S79" s="5">
        <f t="shared" si="16"/>
        <v>0.04</v>
      </c>
      <c r="T79" s="5">
        <f t="shared" si="17"/>
        <v>0.04</v>
      </c>
      <c r="U79" s="5">
        <f t="shared" si="18"/>
        <v>0.04</v>
      </c>
      <c r="V79" s="5">
        <f t="shared" si="19"/>
        <v>0.04</v>
      </c>
    </row>
    <row r="80" spans="1:22">
      <c r="A80" s="33" t="str">
        <f>IF(Tabela17683[[#This Row],[Código]]="IBOV","^BVSP",IF(Tabela17683[[#This Row],[Código]]="","",CONCATENATE(LEFT(Tabela17683[[#This Row],[Código]],6),".SA")))</f>
        <v>AUTM3.SA</v>
      </c>
      <c r="C80" s="3" t="s">
        <v>1477</v>
      </c>
      <c r="D80" s="3" t="s">
        <v>1544</v>
      </c>
      <c r="E80" s="3" t="s">
        <v>2055</v>
      </c>
      <c r="F80" s="3" t="s">
        <v>2056</v>
      </c>
      <c r="G80" s="3" t="s">
        <v>1544</v>
      </c>
      <c r="H80" s="51">
        <v>41691</v>
      </c>
      <c r="J80" s="3">
        <f t="shared" si="20"/>
        <v>15.25</v>
      </c>
      <c r="K80" s="3">
        <f t="shared" si="20"/>
        <v>15.47</v>
      </c>
      <c r="L80" s="3">
        <f t="shared" si="20"/>
        <v>15.49</v>
      </c>
      <c r="M80" s="3">
        <f t="shared" si="20"/>
        <v>15.25</v>
      </c>
      <c r="P80" s="15" t="s">
        <v>1459</v>
      </c>
      <c r="Q80" s="10" t="str">
        <f t="shared" si="14"/>
        <v xml:space="preserve">AUTOMETAL   -ON  </v>
      </c>
      <c r="R80" s="51">
        <f t="shared" si="15"/>
        <v>41691</v>
      </c>
      <c r="S80" s="5">
        <f t="shared" si="16"/>
        <v>15.25</v>
      </c>
      <c r="T80" s="5">
        <f t="shared" si="17"/>
        <v>15.47</v>
      </c>
      <c r="U80" s="5">
        <f t="shared" si="18"/>
        <v>15.49</v>
      </c>
      <c r="V80" s="5">
        <f t="shared" si="19"/>
        <v>15.25</v>
      </c>
    </row>
    <row r="81" spans="1:22">
      <c r="A81" s="33" t="str">
        <f>IF(Tabela17683[[#This Row],[Código]]="IBOV","^BVSP",IF(Tabela17683[[#This Row],[Código]]="","",CONCATENATE(LEFT(Tabela17683[[#This Row],[Código]],6),".SA")))</f>
        <v>DHBI3.SA</v>
      </c>
      <c r="C81" s="3" t="s">
        <v>1478</v>
      </c>
      <c r="D81" s="3" t="s">
        <v>442</v>
      </c>
      <c r="E81" s="3" t="s">
        <v>1479</v>
      </c>
      <c r="F81" s="3" t="s">
        <v>1479</v>
      </c>
      <c r="G81" s="3" t="s">
        <v>1479</v>
      </c>
      <c r="H81" s="51">
        <v>41691</v>
      </c>
      <c r="J81" s="3" t="e">
        <f t="shared" si="20"/>
        <v>#VALUE!</v>
      </c>
      <c r="K81" s="3">
        <f t="shared" si="20"/>
        <v>50.36</v>
      </c>
      <c r="L81" s="3">
        <f t="shared" si="20"/>
        <v>50.36</v>
      </c>
      <c r="M81" s="3">
        <f t="shared" si="20"/>
        <v>50.36</v>
      </c>
      <c r="P81" s="14" t="s">
        <v>1460</v>
      </c>
      <c r="Q81" s="10" t="str">
        <f t="shared" si="14"/>
        <v>D H B       -ON</v>
      </c>
      <c r="R81" s="51">
        <f t="shared" si="15"/>
        <v>41691</v>
      </c>
      <c r="S81" s="5" t="e">
        <f t="shared" si="16"/>
        <v>#VALUE!</v>
      </c>
      <c r="T81" s="5">
        <f t="shared" si="17"/>
        <v>50.36</v>
      </c>
      <c r="U81" s="5">
        <f t="shared" si="18"/>
        <v>50.36</v>
      </c>
      <c r="V81" s="5">
        <f t="shared" si="19"/>
        <v>50.36</v>
      </c>
    </row>
    <row r="82" spans="1:22">
      <c r="A82" s="33" t="str">
        <f>IF(Tabela17683[[#This Row],[Código]]="IBOV","^BVSP",IF(Tabela17683[[#This Row],[Código]]="","",CONCATENATE(LEFT(Tabela17683[[#This Row],[Código]],6),".SA")))</f>
        <v>DHBI4.SA</v>
      </c>
      <c r="C82" s="3" t="s">
        <v>1480</v>
      </c>
      <c r="D82" s="3" t="s">
        <v>442</v>
      </c>
      <c r="E82" s="3" t="s">
        <v>1134</v>
      </c>
      <c r="F82" s="3" t="s">
        <v>1134</v>
      </c>
      <c r="G82" s="3" t="s">
        <v>1134</v>
      </c>
      <c r="H82" s="51">
        <v>41691</v>
      </c>
      <c r="J82" s="3" t="e">
        <f t="shared" si="20"/>
        <v>#VALUE!</v>
      </c>
      <c r="K82" s="3">
        <f t="shared" si="20"/>
        <v>8.15</v>
      </c>
      <c r="L82" s="3">
        <f t="shared" si="20"/>
        <v>8.15</v>
      </c>
      <c r="M82" s="3">
        <f t="shared" si="20"/>
        <v>8.15</v>
      </c>
      <c r="P82" s="14" t="s">
        <v>1461</v>
      </c>
      <c r="Q82" s="10" t="str">
        <f t="shared" si="14"/>
        <v>D H B       -PN</v>
      </c>
      <c r="R82" s="51">
        <f t="shared" si="15"/>
        <v>41691</v>
      </c>
      <c r="S82" s="5" t="e">
        <f t="shared" si="16"/>
        <v>#VALUE!</v>
      </c>
      <c r="T82" s="5">
        <f t="shared" si="17"/>
        <v>8.15</v>
      </c>
      <c r="U82" s="5">
        <f t="shared" si="18"/>
        <v>8.15</v>
      </c>
      <c r="V82" s="5">
        <f t="shared" si="19"/>
        <v>8.15</v>
      </c>
    </row>
    <row r="83" spans="1:22">
      <c r="A83" s="33" t="str">
        <f>IF(Tabela17683[[#This Row],[Código]]="IBOV","^BVSP",IF(Tabela17683[[#This Row],[Código]]="","",CONCATENATE(LEFT(Tabela17683[[#This Row],[Código]],6),".SA")))</f>
        <v>MYPK3.SA</v>
      </c>
      <c r="C83" s="3" t="s">
        <v>1496</v>
      </c>
      <c r="D83" s="3" t="s">
        <v>2057</v>
      </c>
      <c r="E83" s="3" t="s">
        <v>2058</v>
      </c>
      <c r="F83" s="3" t="s">
        <v>1994</v>
      </c>
      <c r="G83" s="3" t="s">
        <v>2057</v>
      </c>
      <c r="H83" s="51">
        <v>41691</v>
      </c>
      <c r="J83" s="3">
        <f t="shared" si="20"/>
        <v>22.77</v>
      </c>
      <c r="K83" s="3">
        <f t="shared" si="20"/>
        <v>23.48</v>
      </c>
      <c r="L83" s="3">
        <f t="shared" si="20"/>
        <v>23.64</v>
      </c>
      <c r="M83" s="3">
        <f t="shared" si="20"/>
        <v>22.77</v>
      </c>
      <c r="P83" s="14" t="s">
        <v>1495</v>
      </c>
      <c r="Q83" s="10" t="str">
        <f t="shared" si="14"/>
        <v xml:space="preserve">IOCHP-MAXION-ON  </v>
      </c>
      <c r="R83" s="46">
        <f t="shared" si="15"/>
        <v>41691</v>
      </c>
      <c r="S83" s="6">
        <f t="shared" si="16"/>
        <v>22.77</v>
      </c>
      <c r="T83" s="6">
        <f t="shared" si="17"/>
        <v>23.48</v>
      </c>
      <c r="U83" s="6">
        <f t="shared" si="18"/>
        <v>23.64</v>
      </c>
      <c r="V83" s="6">
        <f t="shared" si="19"/>
        <v>22.77</v>
      </c>
    </row>
    <row r="84" spans="1:22">
      <c r="A84" s="33" t="str">
        <f>IF(Tabela17683[[#This Row],[Código]]="IBOV","^BVSP",IF(Tabela17683[[#This Row],[Código]]="","",CONCATENATE(LEFT(Tabela17683[[#This Row],[Código]],6),".SA")))</f>
        <v>LEVE3.SA</v>
      </c>
      <c r="C84" s="3" t="s">
        <v>1481</v>
      </c>
      <c r="D84" s="3" t="s">
        <v>2059</v>
      </c>
      <c r="E84" s="3" t="s">
        <v>1993</v>
      </c>
      <c r="F84" s="3" t="s">
        <v>2060</v>
      </c>
      <c r="G84" s="3" t="s">
        <v>2059</v>
      </c>
      <c r="H84" s="51">
        <v>41691</v>
      </c>
      <c r="J84" s="3">
        <f t="shared" si="20"/>
        <v>22.63</v>
      </c>
      <c r="K84" s="3">
        <f t="shared" si="20"/>
        <v>23.49</v>
      </c>
      <c r="L84" s="3">
        <f t="shared" si="20"/>
        <v>23.61</v>
      </c>
      <c r="M84" s="3">
        <f t="shared" si="20"/>
        <v>22.63</v>
      </c>
      <c r="P84" s="43" t="s">
        <v>1463</v>
      </c>
      <c r="Q84" s="10" t="str">
        <f t="shared" si="14"/>
        <v xml:space="preserve">METAL LEVE  -ON  </v>
      </c>
      <c r="R84" s="51">
        <f t="shared" si="15"/>
        <v>41691</v>
      </c>
      <c r="S84" s="5">
        <f t="shared" si="16"/>
        <v>22.63</v>
      </c>
      <c r="T84" s="5">
        <f t="shared" si="17"/>
        <v>23.49</v>
      </c>
      <c r="U84" s="5">
        <f t="shared" si="18"/>
        <v>23.61</v>
      </c>
      <c r="V84" s="5">
        <f t="shared" si="19"/>
        <v>22.63</v>
      </c>
    </row>
    <row r="85" spans="1:22">
      <c r="A85" s="33" t="str">
        <f>IF(Tabela17683[[#This Row],[Código]]="IBOV","^BVSP",IF(Tabela17683[[#This Row],[Código]]="","",CONCATENATE(LEFT(Tabela17683[[#This Row],[Código]],6),".SA")))</f>
        <v>POMO3.SA</v>
      </c>
      <c r="C85" s="3" t="s">
        <v>1482</v>
      </c>
      <c r="D85" s="3" t="s">
        <v>1156</v>
      </c>
      <c r="E85" s="3" t="s">
        <v>2061</v>
      </c>
      <c r="F85" s="3" t="s">
        <v>1156</v>
      </c>
      <c r="G85" s="3" t="s">
        <v>2062</v>
      </c>
      <c r="H85" s="51">
        <v>41691</v>
      </c>
      <c r="J85" s="3">
        <f t="shared" si="20"/>
        <v>4.5599999999999996</v>
      </c>
      <c r="K85" s="3">
        <f t="shared" si="20"/>
        <v>4.53</v>
      </c>
      <c r="L85" s="3">
        <f t="shared" si="20"/>
        <v>4.5599999999999996</v>
      </c>
      <c r="M85" s="3">
        <f t="shared" si="20"/>
        <v>4.49</v>
      </c>
      <c r="P85" s="15" t="s">
        <v>1464</v>
      </c>
      <c r="Q85" s="10" t="str">
        <f t="shared" si="14"/>
        <v xml:space="preserve">MARCOPOLO   -ON  </v>
      </c>
      <c r="R85" s="51">
        <f t="shared" si="15"/>
        <v>41691</v>
      </c>
      <c r="S85" s="5">
        <f t="shared" si="16"/>
        <v>4.5599999999999996</v>
      </c>
      <c r="T85" s="5">
        <f t="shared" si="17"/>
        <v>4.53</v>
      </c>
      <c r="U85" s="5">
        <f t="shared" si="18"/>
        <v>4.5599999999999996</v>
      </c>
      <c r="V85" s="5">
        <f t="shared" si="19"/>
        <v>4.49</v>
      </c>
    </row>
    <row r="86" spans="1:22">
      <c r="A86" s="33" t="str">
        <f>IF(Tabela17683[[#This Row],[Código]]="IBOV","^BVSP",IF(Tabela17683[[#This Row],[Código]]="","",CONCATENATE(LEFT(Tabela17683[[#This Row],[Código]],6),".SA")))</f>
        <v>RSUL3.SA</v>
      </c>
      <c r="C86" s="3" t="s">
        <v>1483</v>
      </c>
      <c r="D86" s="3" t="s">
        <v>442</v>
      </c>
      <c r="E86" s="3" t="s">
        <v>443</v>
      </c>
      <c r="F86" s="3" t="s">
        <v>442</v>
      </c>
      <c r="G86" s="3" t="s">
        <v>442</v>
      </c>
      <c r="H86" s="51" t="s">
        <v>442</v>
      </c>
      <c r="J86" s="3" t="e">
        <f t="shared" si="20"/>
        <v>#VALUE!</v>
      </c>
      <c r="K86" s="3">
        <f t="shared" si="20"/>
        <v>0</v>
      </c>
      <c r="L86" s="3" t="e">
        <f t="shared" si="20"/>
        <v>#VALUE!</v>
      </c>
      <c r="M86" s="3" t="e">
        <f t="shared" si="20"/>
        <v>#VALUE!</v>
      </c>
      <c r="P86" s="15" t="s">
        <v>1466</v>
      </c>
      <c r="Q86" s="10" t="str">
        <f t="shared" si="14"/>
        <v>RIOSULENSE  -ON</v>
      </c>
      <c r="R86" s="51" t="str">
        <f t="shared" si="15"/>
        <v>N/A</v>
      </c>
      <c r="S86" s="5" t="e">
        <f t="shared" si="16"/>
        <v>#VALUE!</v>
      </c>
      <c r="T86" s="5">
        <f t="shared" si="17"/>
        <v>0</v>
      </c>
      <c r="U86" s="5" t="e">
        <f t="shared" si="18"/>
        <v>#VALUE!</v>
      </c>
      <c r="V86" s="5" t="e">
        <f t="shared" si="19"/>
        <v>#VALUE!</v>
      </c>
    </row>
    <row r="87" spans="1:22">
      <c r="A87" s="33" t="str">
        <f>IF(Tabela17683[[#This Row],[Código]]="IBOV","^BVSP",IF(Tabela17683[[#This Row],[Código]]="","",CONCATENATE(LEFT(Tabela17683[[#This Row],[Código]],6),".SA")))</f>
        <v>RSUL4.SA</v>
      </c>
      <c r="C87" s="3" t="s">
        <v>1484</v>
      </c>
      <c r="D87" s="3" t="s">
        <v>442</v>
      </c>
      <c r="E87" s="3" t="s">
        <v>1485</v>
      </c>
      <c r="F87" s="3" t="s">
        <v>1485</v>
      </c>
      <c r="G87" s="3" t="s">
        <v>1485</v>
      </c>
      <c r="H87" s="51">
        <v>41691</v>
      </c>
      <c r="J87" s="3" t="e">
        <f t="shared" si="20"/>
        <v>#VALUE!</v>
      </c>
      <c r="K87" s="3">
        <f t="shared" si="20"/>
        <v>29.95</v>
      </c>
      <c r="L87" s="3">
        <f t="shared" si="20"/>
        <v>29.95</v>
      </c>
      <c r="M87" s="3">
        <f t="shared" si="20"/>
        <v>29.95</v>
      </c>
      <c r="P87" s="15" t="s">
        <v>1467</v>
      </c>
      <c r="Q87" s="10" t="str">
        <f t="shared" si="14"/>
        <v>RIOSULENSE  -PN</v>
      </c>
      <c r="R87" s="51">
        <f t="shared" si="15"/>
        <v>41691</v>
      </c>
      <c r="S87" s="5" t="e">
        <f t="shared" si="16"/>
        <v>#VALUE!</v>
      </c>
      <c r="T87" s="5">
        <f t="shared" si="17"/>
        <v>29.95</v>
      </c>
      <c r="U87" s="5">
        <f t="shared" si="18"/>
        <v>29.95</v>
      </c>
      <c r="V87" s="5">
        <f t="shared" si="19"/>
        <v>29.95</v>
      </c>
    </row>
    <row r="88" spans="1:22">
      <c r="A88" s="33" t="str">
        <f>IF(Tabela17683[[#This Row],[Código]]="IBOV","^BVSP",IF(Tabela17683[[#This Row],[Código]]="","",CONCATENATE(LEFT(Tabela17683[[#This Row],[Código]],6),".SA")))</f>
        <v>PLAS3.SA</v>
      </c>
      <c r="C88" s="3" t="s">
        <v>1486</v>
      </c>
      <c r="D88" s="3" t="s">
        <v>1402</v>
      </c>
      <c r="E88" s="3" t="s">
        <v>1402</v>
      </c>
      <c r="F88" s="3" t="s">
        <v>1402</v>
      </c>
      <c r="G88" s="3" t="s">
        <v>1402</v>
      </c>
      <c r="H88" s="51">
        <v>41691</v>
      </c>
      <c r="J88" s="3">
        <f t="shared" si="20"/>
        <v>0.41</v>
      </c>
      <c r="K88" s="3">
        <f t="shared" si="20"/>
        <v>0.41</v>
      </c>
      <c r="L88" s="3">
        <f t="shared" si="20"/>
        <v>0.41</v>
      </c>
      <c r="M88" s="3">
        <f t="shared" si="20"/>
        <v>0.41</v>
      </c>
      <c r="P88" s="15" t="s">
        <v>1468</v>
      </c>
      <c r="Q88" s="10" t="str">
        <f t="shared" si="14"/>
        <v>PLASCAR PART-ON</v>
      </c>
      <c r="R88" s="51">
        <f t="shared" si="15"/>
        <v>41691</v>
      </c>
      <c r="S88" s="5">
        <f t="shared" si="16"/>
        <v>0.41</v>
      </c>
      <c r="T88" s="5">
        <f t="shared" si="17"/>
        <v>0.41</v>
      </c>
      <c r="U88" s="5">
        <f t="shared" si="18"/>
        <v>0.41</v>
      </c>
      <c r="V88" s="5">
        <f t="shared" si="19"/>
        <v>0.41</v>
      </c>
    </row>
    <row r="89" spans="1:22">
      <c r="A89" s="33" t="str">
        <f>IF(Tabela17683[[#This Row],[Código]]="IBOV","^BVSP",IF(Tabela17683[[#This Row],[Código]]="","",CONCATENATE(LEFT(Tabela17683[[#This Row],[Código]],6),".SA")))</f>
        <v>RAPT3.SA</v>
      </c>
      <c r="C89" s="3" t="s">
        <v>1487</v>
      </c>
      <c r="D89" s="3" t="s">
        <v>1966</v>
      </c>
      <c r="E89" s="3" t="s">
        <v>1966</v>
      </c>
      <c r="F89" s="3" t="s">
        <v>1966</v>
      </c>
      <c r="G89" s="3" t="s">
        <v>1966</v>
      </c>
      <c r="H89" s="51">
        <v>41691</v>
      </c>
      <c r="J89" s="3">
        <f t="shared" si="20"/>
        <v>7.23</v>
      </c>
      <c r="K89" s="3">
        <f t="shared" si="20"/>
        <v>7.23</v>
      </c>
      <c r="L89" s="3">
        <f t="shared" si="20"/>
        <v>7.23</v>
      </c>
      <c r="M89" s="3">
        <f t="shared" si="20"/>
        <v>7.23</v>
      </c>
      <c r="P89" s="10" t="s">
        <v>1469</v>
      </c>
      <c r="Q89" s="10" t="str">
        <f t="shared" si="14"/>
        <v xml:space="preserve">RANDON PART -ON  </v>
      </c>
      <c r="R89" s="51">
        <f t="shared" si="15"/>
        <v>41691</v>
      </c>
      <c r="S89" s="5">
        <f t="shared" si="16"/>
        <v>7.23</v>
      </c>
      <c r="T89" s="5">
        <f t="shared" si="17"/>
        <v>7.23</v>
      </c>
      <c r="U89" s="5">
        <f t="shared" si="18"/>
        <v>7.23</v>
      </c>
      <c r="V89" s="5">
        <f t="shared" si="19"/>
        <v>7.23</v>
      </c>
    </row>
    <row r="90" spans="1:22">
      <c r="A90" s="33" t="str">
        <f>IF(Tabela17683[[#This Row],[Código]]="IBOV","^BVSP",IF(Tabela17683[[#This Row],[Código]]="","",CONCATENATE(LEFT(Tabela17683[[#This Row],[Código]],6),".SA")))</f>
        <v>RAPT4.SA</v>
      </c>
      <c r="C90" s="3" t="s">
        <v>1488</v>
      </c>
      <c r="D90" s="3" t="s">
        <v>2063</v>
      </c>
      <c r="E90" s="3" t="s">
        <v>1429</v>
      </c>
      <c r="F90" s="3" t="s">
        <v>1361</v>
      </c>
      <c r="G90" s="3" t="s">
        <v>2063</v>
      </c>
      <c r="H90" s="51">
        <v>41691</v>
      </c>
      <c r="J90" s="3">
        <f t="shared" si="20"/>
        <v>8.26</v>
      </c>
      <c r="K90" s="3">
        <f t="shared" si="20"/>
        <v>8.41</v>
      </c>
      <c r="L90" s="3">
        <f t="shared" si="20"/>
        <v>8.44</v>
      </c>
      <c r="M90" s="3">
        <f t="shared" si="20"/>
        <v>8.26</v>
      </c>
      <c r="P90" s="10" t="s">
        <v>1470</v>
      </c>
      <c r="Q90" s="10" t="str">
        <f t="shared" si="14"/>
        <v xml:space="preserve">RANDON PART -PN  </v>
      </c>
      <c r="R90" s="51">
        <f t="shared" si="15"/>
        <v>41691</v>
      </c>
      <c r="S90" s="5">
        <f t="shared" si="16"/>
        <v>8.26</v>
      </c>
      <c r="T90" s="5">
        <f t="shared" si="17"/>
        <v>8.41</v>
      </c>
      <c r="U90" s="5">
        <f t="shared" si="18"/>
        <v>8.44</v>
      </c>
      <c r="V90" s="5">
        <f t="shared" si="19"/>
        <v>8.26</v>
      </c>
    </row>
    <row r="91" spans="1:22">
      <c r="A91" s="33" t="str">
        <f>IF(Tabela17683[[#This Row],[Código]]="IBOV","^BVSP",IF(Tabela17683[[#This Row],[Código]]="","",CONCATENATE(LEFT(Tabela17683[[#This Row],[Código]],6),".SA")))</f>
        <v>RCSL3.SA</v>
      </c>
      <c r="C91" s="3" t="s">
        <v>1489</v>
      </c>
      <c r="D91" s="3" t="s">
        <v>808</v>
      </c>
      <c r="E91" s="3" t="s">
        <v>808</v>
      </c>
      <c r="F91" s="3" t="s">
        <v>808</v>
      </c>
      <c r="G91" s="3" t="s">
        <v>808</v>
      </c>
      <c r="H91" s="51">
        <v>41691</v>
      </c>
      <c r="J91" s="3">
        <f t="shared" si="20"/>
        <v>7.0000000000000007E-2</v>
      </c>
      <c r="K91" s="3">
        <f t="shared" si="20"/>
        <v>7.0000000000000007E-2</v>
      </c>
      <c r="L91" s="3">
        <f t="shared" si="20"/>
        <v>7.0000000000000007E-2</v>
      </c>
      <c r="M91" s="3">
        <f t="shared" si="20"/>
        <v>7.0000000000000007E-2</v>
      </c>
      <c r="P91" s="10" t="s">
        <v>1471</v>
      </c>
      <c r="Q91" s="10" t="str">
        <f t="shared" si="14"/>
        <v>RECRUSUL    -ON</v>
      </c>
      <c r="R91" s="51">
        <f t="shared" si="15"/>
        <v>41691</v>
      </c>
      <c r="S91" s="5">
        <f t="shared" si="16"/>
        <v>7.0000000000000007E-2</v>
      </c>
      <c r="T91" s="5">
        <f t="shared" si="17"/>
        <v>7.0000000000000007E-2</v>
      </c>
      <c r="U91" s="5">
        <f t="shared" si="18"/>
        <v>7.0000000000000007E-2</v>
      </c>
      <c r="V91" s="5">
        <f t="shared" si="19"/>
        <v>7.0000000000000007E-2</v>
      </c>
    </row>
    <row r="92" spans="1:22">
      <c r="A92" s="33" t="str">
        <f>IF(Tabela17683[[#This Row],[Código]]="IBOV","^BVSP",IF(Tabela17683[[#This Row],[Código]]="","",CONCATENATE(LEFT(Tabela17683[[#This Row],[Código]],6),".SA")))</f>
        <v>TUPY3.SA</v>
      </c>
      <c r="C92" s="3" t="s">
        <v>1490</v>
      </c>
      <c r="D92" s="3" t="s">
        <v>1694</v>
      </c>
      <c r="E92" s="3" t="s">
        <v>2064</v>
      </c>
      <c r="F92" s="3" t="s">
        <v>1128</v>
      </c>
      <c r="G92" s="3" t="s">
        <v>1694</v>
      </c>
      <c r="H92" s="51">
        <v>41691</v>
      </c>
      <c r="J92" s="3">
        <f t="shared" si="20"/>
        <v>17.170000000000002</v>
      </c>
      <c r="K92" s="3">
        <f t="shared" si="20"/>
        <v>17.18</v>
      </c>
      <c r="L92" s="3">
        <f t="shared" si="20"/>
        <v>17.23</v>
      </c>
      <c r="M92" s="3">
        <f t="shared" si="20"/>
        <v>17.170000000000002</v>
      </c>
      <c r="P92" s="16" t="s">
        <v>1473</v>
      </c>
      <c r="Q92" s="10" t="str">
        <f t="shared" si="14"/>
        <v xml:space="preserve">TUPY        -ON  </v>
      </c>
      <c r="R92" s="51">
        <f t="shared" si="15"/>
        <v>41691</v>
      </c>
      <c r="S92" s="5">
        <f t="shared" si="16"/>
        <v>17.170000000000002</v>
      </c>
      <c r="T92" s="5">
        <f t="shared" si="17"/>
        <v>17.18</v>
      </c>
      <c r="U92" s="5">
        <f t="shared" si="18"/>
        <v>17.23</v>
      </c>
      <c r="V92" s="5">
        <f t="shared" si="19"/>
        <v>17.170000000000002</v>
      </c>
    </row>
    <row r="93" spans="1:22">
      <c r="A93" s="33" t="str">
        <f>IF(Tabela17683[[#This Row],[Código]]="IBOV","^BVSP",IF(Tabela17683[[#This Row],[Código]]="","",CONCATENATE(LEFT(Tabela17683[[#This Row],[Código]],6),".SA")))</f>
        <v>MWET3.SA</v>
      </c>
      <c r="C93" s="3" t="s">
        <v>1492</v>
      </c>
      <c r="D93" s="3" t="s">
        <v>189</v>
      </c>
      <c r="E93" s="3" t="s">
        <v>189</v>
      </c>
      <c r="F93" s="3" t="s">
        <v>189</v>
      </c>
      <c r="G93" s="3" t="s">
        <v>189</v>
      </c>
      <c r="H93" s="51">
        <v>41691</v>
      </c>
      <c r="J93" s="3">
        <f t="shared" si="20"/>
        <v>4</v>
      </c>
      <c r="K93" s="3">
        <f t="shared" si="20"/>
        <v>4</v>
      </c>
      <c r="L93" s="3">
        <f t="shared" si="20"/>
        <v>4</v>
      </c>
      <c r="M93" s="3">
        <f t="shared" si="20"/>
        <v>4</v>
      </c>
      <c r="P93" s="16" t="s">
        <v>1474</v>
      </c>
      <c r="Q93" s="10" t="str">
        <f t="shared" si="14"/>
        <v>WETZEL S/A  -ON</v>
      </c>
      <c r="R93" s="51">
        <f t="shared" si="15"/>
        <v>41691</v>
      </c>
      <c r="S93" s="5">
        <f t="shared" si="16"/>
        <v>4</v>
      </c>
      <c r="T93" s="5">
        <f t="shared" si="17"/>
        <v>4</v>
      </c>
      <c r="U93" s="5">
        <f t="shared" si="18"/>
        <v>4</v>
      </c>
      <c r="V93" s="5">
        <f t="shared" si="19"/>
        <v>4</v>
      </c>
    </row>
    <row r="94" spans="1:22">
      <c r="A94" s="33" t="str">
        <f>IF(Tabela17683[[#This Row],[Código]]="IBOV","^BVSP",IF(Tabela17683[[#This Row],[Código]]="","",CONCATENATE(LEFT(Tabela17683[[#This Row],[Código]],6),".SA")))</f>
        <v>MWET4.SA</v>
      </c>
      <c r="C94" s="3" t="s">
        <v>1493</v>
      </c>
      <c r="D94" s="3" t="s">
        <v>1069</v>
      </c>
      <c r="E94" s="3" t="s">
        <v>707</v>
      </c>
      <c r="F94" s="3" t="s">
        <v>1069</v>
      </c>
      <c r="G94" s="3" t="s">
        <v>707</v>
      </c>
      <c r="H94" s="51">
        <v>41691</v>
      </c>
      <c r="J94" s="3">
        <f t="shared" si="20"/>
        <v>1.53</v>
      </c>
      <c r="K94" s="3">
        <f t="shared" si="20"/>
        <v>1.51</v>
      </c>
      <c r="L94" s="3">
        <f t="shared" si="20"/>
        <v>1.53</v>
      </c>
      <c r="M94" s="3">
        <f t="shared" si="20"/>
        <v>1.51</v>
      </c>
      <c r="P94" s="14" t="s">
        <v>1475</v>
      </c>
      <c r="Q94" s="10" t="str">
        <f t="shared" si="14"/>
        <v>WETZEL S/A  -PN</v>
      </c>
      <c r="R94" s="51">
        <f t="shared" si="15"/>
        <v>41691</v>
      </c>
      <c r="S94" s="5">
        <f t="shared" si="16"/>
        <v>1.53</v>
      </c>
      <c r="T94" s="5">
        <f t="shared" si="17"/>
        <v>1.51</v>
      </c>
      <c r="U94" s="5">
        <f t="shared" si="18"/>
        <v>1.53</v>
      </c>
      <c r="V94" s="5">
        <f t="shared" si="19"/>
        <v>1.51</v>
      </c>
    </row>
    <row r="95" spans="1:22">
      <c r="A95" s="33" t="str">
        <f>IF(Tabela17683[[#This Row],[Código]]="IBOV","^BVSP",IF(Tabela17683[[#This Row],[Código]]="","",CONCATENATE(LEFT(Tabela17683[[#This Row],[Código]],6),".SA")))</f>
        <v>FRAS3.SA</v>
      </c>
      <c r="C95" s="3" t="s">
        <v>1498</v>
      </c>
      <c r="D95" s="3" t="s">
        <v>1126</v>
      </c>
      <c r="E95" s="3" t="s">
        <v>1126</v>
      </c>
      <c r="F95" s="3" t="s">
        <v>1126</v>
      </c>
      <c r="G95" s="3" t="s">
        <v>1126</v>
      </c>
      <c r="H95" s="51">
        <v>41691</v>
      </c>
      <c r="J95" s="3">
        <f t="shared" si="20"/>
        <v>5.0999999999999996</v>
      </c>
      <c r="K95" s="3">
        <f t="shared" si="20"/>
        <v>5.0999999999999996</v>
      </c>
      <c r="L95" s="3">
        <f t="shared" si="20"/>
        <v>5.0999999999999996</v>
      </c>
      <c r="M95" s="3">
        <f t="shared" si="20"/>
        <v>5.0999999999999996</v>
      </c>
      <c r="P95" s="14" t="s">
        <v>1462</v>
      </c>
      <c r="Q95" s="10" t="str">
        <f t="shared" si="14"/>
        <v xml:space="preserve">FRAS-LE     -ON  </v>
      </c>
      <c r="R95" s="51">
        <f t="shared" si="15"/>
        <v>41691</v>
      </c>
      <c r="S95" s="5">
        <f t="shared" si="16"/>
        <v>5.0999999999999996</v>
      </c>
      <c r="T95" s="5">
        <f t="shared" si="17"/>
        <v>5.0999999999999996</v>
      </c>
      <c r="U95" s="5">
        <f t="shared" si="18"/>
        <v>5.0999999999999996</v>
      </c>
      <c r="V95" s="5">
        <f t="shared" si="19"/>
        <v>5.0999999999999996</v>
      </c>
    </row>
    <row r="96" spans="1:22">
      <c r="A96" s="33" t="str">
        <f>IF(Tabela17683[[#This Row],[Código]]="IBOV","^BVSP",IF(Tabela17683[[#This Row],[Código]]="","",CONCATENATE(LEFT(Tabela17683[[#This Row],[Código]],6),".SA")))</f>
        <v>POMO4.SA</v>
      </c>
      <c r="C96" s="3" t="s">
        <v>1499</v>
      </c>
      <c r="D96" s="3" t="s">
        <v>1424</v>
      </c>
      <c r="E96" s="3" t="s">
        <v>2065</v>
      </c>
      <c r="F96" s="3" t="s">
        <v>1094</v>
      </c>
      <c r="G96" s="3" t="s">
        <v>1424</v>
      </c>
      <c r="H96" s="51">
        <v>41691</v>
      </c>
      <c r="J96" s="3">
        <f t="shared" si="20"/>
        <v>4.6500000000000004</v>
      </c>
      <c r="K96" s="3">
        <f t="shared" si="20"/>
        <v>4.7</v>
      </c>
      <c r="L96" s="3">
        <f t="shared" si="20"/>
        <v>4.75</v>
      </c>
      <c r="M96" s="3">
        <f t="shared" si="20"/>
        <v>4.6500000000000004</v>
      </c>
      <c r="P96" s="14" t="s">
        <v>1465</v>
      </c>
      <c r="Q96" s="10" t="str">
        <f t="shared" si="14"/>
        <v xml:space="preserve">MARCOPOLO   -PN  </v>
      </c>
      <c r="R96" s="51">
        <f t="shared" si="15"/>
        <v>41691</v>
      </c>
      <c r="S96" s="5">
        <f t="shared" si="16"/>
        <v>4.6500000000000004</v>
      </c>
      <c r="T96" s="5">
        <f t="shared" si="17"/>
        <v>4.7</v>
      </c>
      <c r="U96" s="5">
        <f t="shared" si="18"/>
        <v>4.75</v>
      </c>
      <c r="V96" s="5">
        <f t="shared" si="19"/>
        <v>4.6500000000000004</v>
      </c>
    </row>
    <row r="97" spans="1:22">
      <c r="A97" s="33" t="str">
        <f>IF(Tabela17683[[#This Row],[Código]]="IBOV","^BVSP",IF(Tabela17683[[#This Row],[Código]]="","",CONCATENATE(LEFT(Tabela17683[[#This Row],[Código]],6),".SA")))</f>
        <v>RCSL4.SA</v>
      </c>
      <c r="C97" s="3" t="s">
        <v>1501</v>
      </c>
      <c r="D97" s="3" t="s">
        <v>808</v>
      </c>
      <c r="E97" s="3" t="s">
        <v>808</v>
      </c>
      <c r="F97" s="3" t="s">
        <v>808</v>
      </c>
      <c r="G97" s="3" t="s">
        <v>808</v>
      </c>
      <c r="H97" s="51">
        <v>41691</v>
      </c>
      <c r="J97" s="3">
        <f t="shared" si="20"/>
        <v>7.0000000000000007E-2</v>
      </c>
      <c r="K97" s="3">
        <f t="shared" si="20"/>
        <v>7.0000000000000007E-2</v>
      </c>
      <c r="L97" s="3">
        <f t="shared" si="20"/>
        <v>7.0000000000000007E-2</v>
      </c>
      <c r="M97" s="3">
        <f t="shared" si="20"/>
        <v>7.0000000000000007E-2</v>
      </c>
      <c r="P97" s="10" t="s">
        <v>1472</v>
      </c>
      <c r="Q97" s="10" t="str">
        <f t="shared" si="14"/>
        <v>RECRUSUL    -PN</v>
      </c>
      <c r="R97" s="51">
        <f t="shared" si="15"/>
        <v>41691</v>
      </c>
      <c r="S97" s="5">
        <f t="shared" si="16"/>
        <v>7.0000000000000007E-2</v>
      </c>
      <c r="T97" s="5">
        <f t="shared" si="17"/>
        <v>7.0000000000000007E-2</v>
      </c>
      <c r="U97" s="5">
        <f t="shared" si="18"/>
        <v>7.0000000000000007E-2</v>
      </c>
      <c r="V97" s="5">
        <f t="shared" si="19"/>
        <v>7.0000000000000007E-2</v>
      </c>
    </row>
    <row r="98" spans="1:22">
      <c r="A98" s="33" t="str">
        <f>IF(Tabela17683[[#This Row],[Código]]="IBOV","^BVSP",IF(Tabela17683[[#This Row],[Código]]="","",CONCATENATE(LEFT(Tabela17683[[#This Row],[Código]],6),".SA")))</f>
        <v/>
      </c>
      <c r="C98" s="3" t="s">
        <v>101</v>
      </c>
      <c r="H98" s="51"/>
      <c r="J98" s="3">
        <f t="shared" si="20"/>
        <v>0</v>
      </c>
      <c r="K98" s="3">
        <f t="shared" si="20"/>
        <v>0</v>
      </c>
      <c r="L98" s="3">
        <f t="shared" si="20"/>
        <v>0</v>
      </c>
      <c r="M98" s="3">
        <f t="shared" si="20"/>
        <v>0</v>
      </c>
      <c r="P98" s="10"/>
      <c r="Q98" s="10" t="str">
        <f t="shared" si="14"/>
        <v/>
      </c>
      <c r="R98" s="51" t="str">
        <f t="shared" si="15"/>
        <v/>
      </c>
      <c r="S98" s="5">
        <f t="shared" si="16"/>
        <v>0</v>
      </c>
      <c r="T98" s="5">
        <f t="shared" si="17"/>
        <v>0</v>
      </c>
      <c r="U98" s="5">
        <f t="shared" si="18"/>
        <v>0</v>
      </c>
      <c r="V98" s="5">
        <f t="shared" si="19"/>
        <v>0</v>
      </c>
    </row>
    <row r="99" spans="1:22">
      <c r="A99" s="33" t="str">
        <f>IF(Tabela17683[[#This Row],[Código]]="IBOV","^BVSP",IF(Tabela17683[[#This Row],[Código]]="","",CONCATENATE(LEFT(Tabela17683[[#This Row],[Código]],6),".SA")))</f>
        <v/>
      </c>
      <c r="H99" s="51"/>
      <c r="J99" s="3">
        <f t="shared" si="20"/>
        <v>0</v>
      </c>
      <c r="K99" s="3">
        <f t="shared" si="20"/>
        <v>0</v>
      </c>
      <c r="L99" s="3">
        <f t="shared" si="20"/>
        <v>0</v>
      </c>
      <c r="M99" s="3">
        <f t="shared" si="20"/>
        <v>0</v>
      </c>
      <c r="P99" s="14"/>
      <c r="Q99" s="10" t="str">
        <f t="shared" si="14"/>
        <v/>
      </c>
      <c r="R99" s="51" t="str">
        <f t="shared" si="15"/>
        <v/>
      </c>
      <c r="S99" s="5">
        <f t="shared" si="16"/>
        <v>0</v>
      </c>
      <c r="T99" s="5">
        <f t="shared" si="17"/>
        <v>0</v>
      </c>
      <c r="U99" s="5">
        <f t="shared" si="18"/>
        <v>0</v>
      </c>
      <c r="V99" s="5">
        <f t="shared" si="19"/>
        <v>0</v>
      </c>
    </row>
    <row r="100" spans="1:22">
      <c r="A100" s="33" t="str">
        <f>IF(Tabela17683[[#This Row],[Código]]="IBOV","^BVSP",IF(Tabela17683[[#This Row],[Código]]="","",CONCATENATE(LEFT(Tabela17683[[#This Row],[Código]],6),".SA")))</f>
        <v/>
      </c>
      <c r="H100" s="51"/>
      <c r="J100" s="3">
        <f t="shared" si="20"/>
        <v>0</v>
      </c>
      <c r="K100" s="3">
        <f t="shared" si="20"/>
        <v>0</v>
      </c>
      <c r="L100" s="3">
        <f t="shared" si="20"/>
        <v>0</v>
      </c>
      <c r="M100" s="3">
        <f t="shared" si="20"/>
        <v>0</v>
      </c>
      <c r="P100" s="14"/>
      <c r="Q100" s="10" t="str">
        <f t="shared" si="14"/>
        <v/>
      </c>
      <c r="R100" s="51" t="str">
        <f t="shared" si="15"/>
        <v/>
      </c>
      <c r="S100" s="5">
        <f t="shared" si="16"/>
        <v>0</v>
      </c>
      <c r="T100" s="5">
        <f t="shared" si="17"/>
        <v>0</v>
      </c>
      <c r="U100" s="5">
        <f t="shared" si="18"/>
        <v>0</v>
      </c>
      <c r="V100" s="5">
        <f t="shared" si="19"/>
        <v>0</v>
      </c>
    </row>
    <row r="101" spans="1:22">
      <c r="A101" s="33" t="str">
        <f>IF(Tabela17683[[#This Row],[Código]]="IBOV","^BVSP",IF(Tabela17683[[#This Row],[Código]]="","",CONCATENATE(LEFT(Tabela17683[[#This Row],[Código]],6),".SA")))</f>
        <v/>
      </c>
      <c r="H101" s="51"/>
      <c r="J101" s="3">
        <f t="shared" si="20"/>
        <v>0</v>
      </c>
      <c r="K101" s="3">
        <f t="shared" si="20"/>
        <v>0</v>
      </c>
      <c r="L101" s="3">
        <f t="shared" si="20"/>
        <v>0</v>
      </c>
      <c r="M101" s="3">
        <f t="shared" si="20"/>
        <v>0</v>
      </c>
      <c r="P101" s="10"/>
      <c r="Q101" s="10" t="str">
        <f t="shared" si="14"/>
        <v/>
      </c>
      <c r="R101" s="51" t="str">
        <f t="shared" si="15"/>
        <v/>
      </c>
      <c r="S101" s="5">
        <f t="shared" si="16"/>
        <v>0</v>
      </c>
      <c r="T101" s="5">
        <f t="shared" si="17"/>
        <v>0</v>
      </c>
      <c r="U101" s="5">
        <f t="shared" si="18"/>
        <v>0</v>
      </c>
      <c r="V101" s="5">
        <f t="shared" si="19"/>
        <v>0</v>
      </c>
    </row>
    <row r="102" spans="1:22">
      <c r="A102" s="33" t="str">
        <f>IF(Tabela17683[[#This Row],[Código]]="IBOV","^BVSP",IF(Tabela17683[[#This Row],[Código]]="","",CONCATENATE(LEFT(Tabela17683[[#This Row],[Código]],6),".SA")))</f>
        <v/>
      </c>
      <c r="H102" s="51"/>
      <c r="J102" s="3">
        <f t="shared" si="20"/>
        <v>0</v>
      </c>
      <c r="K102" s="3">
        <f t="shared" si="20"/>
        <v>0</v>
      </c>
      <c r="L102" s="3">
        <f t="shared" si="20"/>
        <v>0</v>
      </c>
      <c r="M102" s="3">
        <f t="shared" si="20"/>
        <v>0</v>
      </c>
      <c r="P102" s="10"/>
      <c r="Q102" s="10" t="str">
        <f t="shared" si="14"/>
        <v/>
      </c>
      <c r="R102" s="51" t="str">
        <f t="shared" si="15"/>
        <v/>
      </c>
      <c r="S102" s="5">
        <f t="shared" si="16"/>
        <v>0</v>
      </c>
      <c r="T102" s="5">
        <f t="shared" si="17"/>
        <v>0</v>
      </c>
      <c r="U102" s="5">
        <f t="shared" si="18"/>
        <v>0</v>
      </c>
      <c r="V102" s="5">
        <f t="shared" si="19"/>
        <v>0</v>
      </c>
    </row>
    <row r="103" spans="1:22">
      <c r="A103" s="33" t="str">
        <f>IF(Tabela17683[[#This Row],[Código]]="IBOV","^BVSP",IF(Tabela17683[[#This Row],[Código]]="","",CONCATENATE(LEFT(Tabela17683[[#This Row],[Código]],6),".SA")))</f>
        <v/>
      </c>
      <c r="H103" s="51"/>
      <c r="J103" s="3">
        <f t="shared" si="20"/>
        <v>0</v>
      </c>
      <c r="K103" s="3">
        <f t="shared" si="20"/>
        <v>0</v>
      </c>
      <c r="L103" s="3">
        <f t="shared" si="20"/>
        <v>0</v>
      </c>
      <c r="M103" s="3">
        <f t="shared" si="20"/>
        <v>0</v>
      </c>
      <c r="P103" s="15"/>
      <c r="Q103" s="10" t="str">
        <f t="shared" ref="Q103:Q112" si="21">IF(A103="","",C103)</f>
        <v/>
      </c>
      <c r="R103" s="51" t="str">
        <f t="shared" ref="R103:R112" si="22">IF(A103="","",H103)</f>
        <v/>
      </c>
      <c r="S103" s="5">
        <f t="shared" ref="S103:S112" si="23">J103</f>
        <v>0</v>
      </c>
      <c r="T103" s="5">
        <f t="shared" ref="T103:T112" si="24">K103</f>
        <v>0</v>
      </c>
      <c r="U103" s="5">
        <f t="shared" ref="U103:U112" si="25">L103</f>
        <v>0</v>
      </c>
      <c r="V103" s="5">
        <f t="shared" ref="V103:V112" si="26">M103</f>
        <v>0</v>
      </c>
    </row>
    <row r="104" spans="1:22">
      <c r="A104" s="33" t="str">
        <f>IF(Tabela17683[[#This Row],[Código]]="IBOV","^BVSP",IF(Tabela17683[[#This Row],[Código]]="","",CONCATENATE(LEFT(Tabela17683[[#This Row],[Código]],6),".SA")))</f>
        <v/>
      </c>
      <c r="H104" s="51"/>
      <c r="J104" s="3">
        <f t="shared" si="20"/>
        <v>0</v>
      </c>
      <c r="K104" s="3">
        <f t="shared" si="20"/>
        <v>0</v>
      </c>
      <c r="L104" s="3">
        <f t="shared" si="20"/>
        <v>0</v>
      </c>
      <c r="M104" s="3">
        <f t="shared" si="20"/>
        <v>0</v>
      </c>
      <c r="P104" s="15"/>
      <c r="Q104" s="10" t="str">
        <f t="shared" si="21"/>
        <v/>
      </c>
      <c r="R104" s="51" t="str">
        <f t="shared" si="22"/>
        <v/>
      </c>
      <c r="S104" s="5">
        <f t="shared" si="23"/>
        <v>0</v>
      </c>
      <c r="T104" s="5">
        <f t="shared" si="24"/>
        <v>0</v>
      </c>
      <c r="U104" s="5">
        <f t="shared" si="25"/>
        <v>0</v>
      </c>
      <c r="V104" s="5">
        <f t="shared" si="26"/>
        <v>0</v>
      </c>
    </row>
    <row r="105" spans="1:22">
      <c r="A105" s="33" t="str">
        <f>IF(Tabela17683[[#This Row],[Código]]="IBOV","^BVSP",IF(Tabela17683[[#This Row],[Código]]="","",CONCATENATE(LEFT(Tabela17683[[#This Row],[Código]],6),".SA")))</f>
        <v/>
      </c>
      <c r="H105" s="51"/>
      <c r="J105" s="3">
        <f t="shared" si="20"/>
        <v>0</v>
      </c>
      <c r="K105" s="3">
        <f t="shared" si="20"/>
        <v>0</v>
      </c>
      <c r="L105" s="3">
        <f t="shared" si="20"/>
        <v>0</v>
      </c>
      <c r="M105" s="3">
        <f t="shared" si="20"/>
        <v>0</v>
      </c>
      <c r="P105" s="15"/>
      <c r="Q105" s="10" t="str">
        <f t="shared" si="21"/>
        <v/>
      </c>
      <c r="R105" s="51" t="str">
        <f t="shared" si="22"/>
        <v/>
      </c>
      <c r="S105" s="5">
        <f t="shared" si="23"/>
        <v>0</v>
      </c>
      <c r="T105" s="5">
        <f t="shared" si="24"/>
        <v>0</v>
      </c>
      <c r="U105" s="5">
        <f t="shared" si="25"/>
        <v>0</v>
      </c>
      <c r="V105" s="5">
        <f t="shared" si="26"/>
        <v>0</v>
      </c>
    </row>
    <row r="106" spans="1:22">
      <c r="A106" s="33" t="str">
        <f>IF(Tabela17683[[#This Row],[Código]]="IBOV","^BVSP",IF(Tabela17683[[#This Row],[Código]]="","",CONCATENATE(LEFT(Tabela17683[[#This Row],[Código]],6),".SA")))</f>
        <v/>
      </c>
      <c r="H106" s="51"/>
      <c r="J106" s="3">
        <f t="shared" si="20"/>
        <v>0</v>
      </c>
      <c r="K106" s="3">
        <f t="shared" si="20"/>
        <v>0</v>
      </c>
      <c r="L106" s="3">
        <f t="shared" si="20"/>
        <v>0</v>
      </c>
      <c r="M106" s="3">
        <f t="shared" si="20"/>
        <v>0</v>
      </c>
      <c r="P106" s="14"/>
      <c r="Q106" s="10" t="str">
        <f t="shared" si="21"/>
        <v/>
      </c>
      <c r="R106" s="51" t="str">
        <f t="shared" si="22"/>
        <v/>
      </c>
      <c r="S106" s="5">
        <f t="shared" si="23"/>
        <v>0</v>
      </c>
      <c r="T106" s="5">
        <f t="shared" si="24"/>
        <v>0</v>
      </c>
      <c r="U106" s="5">
        <f t="shared" si="25"/>
        <v>0</v>
      </c>
      <c r="V106" s="5">
        <f t="shared" si="26"/>
        <v>0</v>
      </c>
    </row>
    <row r="107" spans="1:22">
      <c r="A107" s="33" t="str">
        <f>IF(Tabela17683[[#This Row],[Código]]="IBOV","^BVSP",IF(Tabela17683[[#This Row],[Código]]="","",CONCATENATE(LEFT(Tabela17683[[#This Row],[Código]],6),".SA")))</f>
        <v/>
      </c>
      <c r="H107" s="51"/>
      <c r="J107" s="3">
        <f t="shared" si="20"/>
        <v>0</v>
      </c>
      <c r="K107" s="3">
        <f t="shared" si="20"/>
        <v>0</v>
      </c>
      <c r="L107" s="3">
        <f t="shared" si="20"/>
        <v>0</v>
      </c>
      <c r="M107" s="3">
        <f t="shared" si="20"/>
        <v>0</v>
      </c>
      <c r="P107" s="14"/>
      <c r="Q107" s="10" t="str">
        <f t="shared" si="21"/>
        <v/>
      </c>
      <c r="R107" s="51" t="str">
        <f t="shared" si="22"/>
        <v/>
      </c>
      <c r="S107" s="5">
        <f t="shared" si="23"/>
        <v>0</v>
      </c>
      <c r="T107" s="5">
        <f t="shared" si="24"/>
        <v>0</v>
      </c>
      <c r="U107" s="5">
        <f t="shared" si="25"/>
        <v>0</v>
      </c>
      <c r="V107" s="5">
        <f t="shared" si="26"/>
        <v>0</v>
      </c>
    </row>
    <row r="108" spans="1:22">
      <c r="A108" s="33" t="str">
        <f>IF(Tabela17683[[#This Row],[Código]]="IBOV","^BVSP",IF(Tabela17683[[#This Row],[Código]]="","",CONCATENATE(LEFT(Tabela17683[[#This Row],[Código]],6),".SA")))</f>
        <v/>
      </c>
      <c r="H108" s="51"/>
      <c r="J108" s="3">
        <f t="shared" si="20"/>
        <v>0</v>
      </c>
      <c r="K108" s="3">
        <f t="shared" si="20"/>
        <v>0</v>
      </c>
      <c r="L108" s="3">
        <f t="shared" si="20"/>
        <v>0</v>
      </c>
      <c r="M108" s="3">
        <f t="shared" si="20"/>
        <v>0</v>
      </c>
      <c r="P108" s="14"/>
      <c r="Q108" s="10" t="str">
        <f t="shared" si="21"/>
        <v/>
      </c>
      <c r="R108" s="51" t="str">
        <f t="shared" si="22"/>
        <v/>
      </c>
      <c r="S108" s="5">
        <f t="shared" si="23"/>
        <v>0</v>
      </c>
      <c r="T108" s="5">
        <f t="shared" si="24"/>
        <v>0</v>
      </c>
      <c r="U108" s="5">
        <f t="shared" si="25"/>
        <v>0</v>
      </c>
      <c r="V108" s="5">
        <f t="shared" si="26"/>
        <v>0</v>
      </c>
    </row>
    <row r="109" spans="1:22">
      <c r="A109" s="33" t="str">
        <f>IF(Tabela17683[[#This Row],[Código]]="IBOV","^BVSP",IF(Tabela17683[[#This Row],[Código]]="","",CONCATENATE(LEFT(Tabela17683[[#This Row],[Código]],6),".SA")))</f>
        <v/>
      </c>
      <c r="H109" s="51"/>
      <c r="J109" s="3">
        <f t="shared" si="20"/>
        <v>0</v>
      </c>
      <c r="K109" s="3">
        <f t="shared" si="20"/>
        <v>0</v>
      </c>
      <c r="L109" s="3">
        <f t="shared" si="20"/>
        <v>0</v>
      </c>
      <c r="M109" s="3">
        <f t="shared" si="20"/>
        <v>0</v>
      </c>
      <c r="P109" s="14"/>
      <c r="Q109" s="10" t="str">
        <f t="shared" si="21"/>
        <v/>
      </c>
      <c r="R109" s="51" t="str">
        <f t="shared" si="22"/>
        <v/>
      </c>
      <c r="S109" s="5">
        <f t="shared" si="23"/>
        <v>0</v>
      </c>
      <c r="T109" s="5">
        <f t="shared" si="24"/>
        <v>0</v>
      </c>
      <c r="U109" s="5">
        <f t="shared" si="25"/>
        <v>0</v>
      </c>
      <c r="V109" s="5">
        <f t="shared" si="26"/>
        <v>0</v>
      </c>
    </row>
    <row r="110" spans="1:22">
      <c r="A110" s="33" t="str">
        <f>IF(Tabela17683[[#This Row],[Código]]="IBOV","^BVSP",IF(Tabela17683[[#This Row],[Código]]="","",CONCATENATE(LEFT(Tabela17683[[#This Row],[Código]],6),".SA")))</f>
        <v/>
      </c>
      <c r="H110" s="51"/>
      <c r="J110" s="3">
        <f t="shared" si="20"/>
        <v>0</v>
      </c>
      <c r="K110" s="3">
        <f t="shared" si="20"/>
        <v>0</v>
      </c>
      <c r="L110" s="3">
        <f t="shared" si="20"/>
        <v>0</v>
      </c>
      <c r="M110" s="3">
        <f t="shared" si="20"/>
        <v>0</v>
      </c>
      <c r="P110" s="15"/>
      <c r="Q110" s="10" t="str">
        <f t="shared" si="21"/>
        <v/>
      </c>
      <c r="R110" s="51" t="str">
        <f t="shared" si="22"/>
        <v/>
      </c>
      <c r="S110" s="5">
        <f t="shared" si="23"/>
        <v>0</v>
      </c>
      <c r="T110" s="5">
        <f t="shared" si="24"/>
        <v>0</v>
      </c>
      <c r="U110" s="5">
        <f t="shared" si="25"/>
        <v>0</v>
      </c>
      <c r="V110" s="5">
        <f t="shared" si="26"/>
        <v>0</v>
      </c>
    </row>
    <row r="111" spans="1:22">
      <c r="A111" s="33" t="str">
        <f>IF(Tabela17683[[#This Row],[Código]]="IBOV","^BVSP",IF(Tabela17683[[#This Row],[Código]]="","",CONCATENATE(LEFT(Tabela17683[[#This Row],[Código]],6),".SA")))</f>
        <v/>
      </c>
      <c r="H111" s="51"/>
      <c r="J111" s="3">
        <f t="shared" si="20"/>
        <v>0</v>
      </c>
      <c r="K111" s="3">
        <f t="shared" si="20"/>
        <v>0</v>
      </c>
      <c r="L111" s="3">
        <f t="shared" si="20"/>
        <v>0</v>
      </c>
      <c r="M111" s="3">
        <f t="shared" si="20"/>
        <v>0</v>
      </c>
      <c r="P111" s="14"/>
      <c r="Q111" s="10" t="str">
        <f t="shared" si="21"/>
        <v/>
      </c>
      <c r="R111" s="51" t="str">
        <f t="shared" si="22"/>
        <v/>
      </c>
      <c r="S111" s="5">
        <f t="shared" si="23"/>
        <v>0</v>
      </c>
      <c r="T111" s="5">
        <f t="shared" si="24"/>
        <v>0</v>
      </c>
      <c r="U111" s="5">
        <f t="shared" si="25"/>
        <v>0</v>
      </c>
      <c r="V111" s="5">
        <f t="shared" si="26"/>
        <v>0</v>
      </c>
    </row>
    <row r="112" spans="1:22">
      <c r="A112" s="33" t="str">
        <f>IF(Tabela17683[[#This Row],[Código]]="IBOV","^BVSP",IF(Tabela17683[[#This Row],[Código]]="","",CONCATENATE(LEFT(Tabela17683[[#This Row],[Código]],6),".SA")))</f>
        <v/>
      </c>
      <c r="H112" s="51"/>
      <c r="J112" s="3">
        <f t="shared" si="20"/>
        <v>0</v>
      </c>
      <c r="K112" s="3">
        <f t="shared" si="20"/>
        <v>0</v>
      </c>
      <c r="L112" s="3">
        <f t="shared" si="20"/>
        <v>0</v>
      </c>
      <c r="M112" s="3">
        <f t="shared" si="20"/>
        <v>0</v>
      </c>
      <c r="Q112" s="10" t="str">
        <f t="shared" si="21"/>
        <v/>
      </c>
      <c r="R112" s="51" t="str">
        <f t="shared" si="22"/>
        <v/>
      </c>
      <c r="S112" s="5">
        <f t="shared" si="23"/>
        <v>0</v>
      </c>
      <c r="T112" s="5">
        <f t="shared" si="24"/>
        <v>0</v>
      </c>
      <c r="U112" s="5">
        <f t="shared" si="25"/>
        <v>0</v>
      </c>
      <c r="V112" s="5">
        <f t="shared" si="26"/>
        <v>0</v>
      </c>
    </row>
    <row r="113" spans="1:22">
      <c r="A113" s="33"/>
      <c r="H113" s="51"/>
      <c r="J113" s="3">
        <f t="shared" si="20"/>
        <v>0</v>
      </c>
      <c r="K113" s="3">
        <f t="shared" si="20"/>
        <v>0</v>
      </c>
      <c r="L113" s="3">
        <f t="shared" si="20"/>
        <v>0</v>
      </c>
      <c r="M113" s="3">
        <f t="shared" si="20"/>
        <v>0</v>
      </c>
      <c r="Q113" s="10" t="str">
        <f t="shared" ref="Q113:Q131" si="27">IF(A117="","",C117)</f>
        <v/>
      </c>
      <c r="R113" s="51" t="str">
        <f t="shared" ref="R113:R131" si="28">IF(A117="","",H117)</f>
        <v/>
      </c>
      <c r="S113" s="5">
        <f t="shared" ref="S113:V131" si="29">J117</f>
        <v>0</v>
      </c>
      <c r="T113" s="5">
        <f t="shared" si="29"/>
        <v>0</v>
      </c>
      <c r="U113" s="5">
        <f t="shared" si="29"/>
        <v>0</v>
      </c>
      <c r="V113" s="5">
        <f t="shared" si="29"/>
        <v>0</v>
      </c>
    </row>
    <row r="114" spans="1:22">
      <c r="A114" s="33"/>
      <c r="J114" s="3">
        <f t="shared" si="20"/>
        <v>0</v>
      </c>
      <c r="K114" s="3">
        <f>IF($A114="",0,VALUE(CONCATENATE(LEFT(E114,LEN(E114)-3),",",RIGHT(E114,2))))</f>
        <v>0</v>
      </c>
      <c r="L114" s="3">
        <f t="shared" si="20"/>
        <v>0</v>
      </c>
      <c r="M114" s="3">
        <f t="shared" si="20"/>
        <v>0</v>
      </c>
      <c r="Q114" s="10" t="str">
        <f t="shared" si="27"/>
        <v/>
      </c>
      <c r="R114" s="51" t="str">
        <f t="shared" si="28"/>
        <v/>
      </c>
      <c r="S114" s="5">
        <f t="shared" si="29"/>
        <v>0</v>
      </c>
      <c r="T114" s="5">
        <f t="shared" si="29"/>
        <v>0</v>
      </c>
      <c r="U114" s="5">
        <f t="shared" si="29"/>
        <v>0</v>
      </c>
      <c r="V114" s="5">
        <f t="shared" si="29"/>
        <v>0</v>
      </c>
    </row>
    <row r="115" spans="1:22">
      <c r="A115" s="33"/>
      <c r="J115" s="3">
        <f t="shared" si="20"/>
        <v>0</v>
      </c>
      <c r="K115" s="3">
        <f t="shared" si="20"/>
        <v>0</v>
      </c>
      <c r="L115" s="3">
        <f t="shared" si="20"/>
        <v>0</v>
      </c>
      <c r="M115" s="3">
        <f t="shared" si="20"/>
        <v>0</v>
      </c>
      <c r="Q115" s="10" t="str">
        <f t="shared" si="27"/>
        <v/>
      </c>
      <c r="R115" s="51" t="str">
        <f t="shared" si="28"/>
        <v/>
      </c>
      <c r="S115" s="5">
        <f t="shared" si="29"/>
        <v>0</v>
      </c>
      <c r="T115" s="5">
        <f t="shared" si="29"/>
        <v>0</v>
      </c>
      <c r="U115" s="5">
        <f t="shared" si="29"/>
        <v>0</v>
      </c>
      <c r="V115" s="5">
        <f t="shared" si="29"/>
        <v>0</v>
      </c>
    </row>
    <row r="116" spans="1:22">
      <c r="A116" s="33"/>
      <c r="J116" s="3">
        <f t="shared" si="20"/>
        <v>0</v>
      </c>
      <c r="K116" s="3">
        <f t="shared" si="20"/>
        <v>0</v>
      </c>
      <c r="L116" s="3">
        <f t="shared" si="20"/>
        <v>0</v>
      </c>
      <c r="M116" s="3">
        <f t="shared" si="20"/>
        <v>0</v>
      </c>
      <c r="Q116" s="10" t="str">
        <f t="shared" si="27"/>
        <v/>
      </c>
      <c r="R116" s="51" t="str">
        <f t="shared" si="28"/>
        <v/>
      </c>
      <c r="S116" s="5">
        <f t="shared" si="29"/>
        <v>0</v>
      </c>
      <c r="T116" s="5">
        <f t="shared" si="29"/>
        <v>0</v>
      </c>
      <c r="U116" s="5">
        <f t="shared" si="29"/>
        <v>0</v>
      </c>
      <c r="V116" s="5">
        <f t="shared" si="29"/>
        <v>0</v>
      </c>
    </row>
    <row r="117" spans="1:22">
      <c r="A117" s="33"/>
      <c r="J117" s="3">
        <f t="shared" si="20"/>
        <v>0</v>
      </c>
      <c r="K117" s="3">
        <f t="shared" si="20"/>
        <v>0</v>
      </c>
      <c r="L117" s="3">
        <f t="shared" si="20"/>
        <v>0</v>
      </c>
      <c r="M117" s="3">
        <f t="shared" si="20"/>
        <v>0</v>
      </c>
      <c r="Q117" s="10" t="e">
        <f t="shared" si="27"/>
        <v>#VALUE!</v>
      </c>
      <c r="R117" s="51" t="e">
        <f t="shared" si="28"/>
        <v>#VALUE!</v>
      </c>
      <c r="S117" s="5" t="e">
        <f t="shared" si="29"/>
        <v>#VALUE!</v>
      </c>
      <c r="T117" s="5" t="e">
        <f t="shared" si="29"/>
        <v>#VALUE!</v>
      </c>
      <c r="U117" s="5" t="e">
        <f t="shared" si="29"/>
        <v>#VALUE!</v>
      </c>
      <c r="V117" s="5" t="e">
        <f t="shared" si="29"/>
        <v>#VALUE!</v>
      </c>
    </row>
    <row r="118" spans="1:22">
      <c r="A118" s="33"/>
      <c r="J118" s="3">
        <f t="shared" si="20"/>
        <v>0</v>
      </c>
      <c r="K118" s="3">
        <f t="shared" si="20"/>
        <v>0</v>
      </c>
      <c r="L118" s="3">
        <f t="shared" si="20"/>
        <v>0</v>
      </c>
      <c r="M118" s="3">
        <f t="shared" si="20"/>
        <v>0</v>
      </c>
      <c r="Q118" s="10" t="e">
        <f t="shared" si="27"/>
        <v>#VALUE!</v>
      </c>
      <c r="R118" s="51" t="e">
        <f t="shared" si="28"/>
        <v>#VALUE!</v>
      </c>
      <c r="S118" s="5" t="e">
        <f t="shared" si="29"/>
        <v>#VALUE!</v>
      </c>
      <c r="T118" s="5" t="e">
        <f t="shared" si="29"/>
        <v>#VALUE!</v>
      </c>
      <c r="U118" s="5" t="e">
        <f t="shared" si="29"/>
        <v>#VALUE!</v>
      </c>
      <c r="V118" s="5" t="e">
        <f t="shared" si="29"/>
        <v>#VALUE!</v>
      </c>
    </row>
    <row r="119" spans="1:22">
      <c r="A119" s="33"/>
      <c r="J119" s="3">
        <f t="shared" si="20"/>
        <v>0</v>
      </c>
      <c r="K119" s="3">
        <f t="shared" si="20"/>
        <v>0</v>
      </c>
      <c r="L119" s="3">
        <f t="shared" si="20"/>
        <v>0</v>
      </c>
      <c r="M119" s="3">
        <f t="shared" si="20"/>
        <v>0</v>
      </c>
      <c r="Q119" s="10" t="e">
        <f t="shared" si="27"/>
        <v>#VALUE!</v>
      </c>
      <c r="R119" s="51" t="e">
        <f t="shared" si="28"/>
        <v>#VALUE!</v>
      </c>
      <c r="S119" s="5" t="e">
        <f t="shared" si="29"/>
        <v>#VALUE!</v>
      </c>
      <c r="T119" s="5" t="e">
        <f t="shared" si="29"/>
        <v>#VALUE!</v>
      </c>
      <c r="U119" s="5" t="e">
        <f t="shared" si="29"/>
        <v>#VALUE!</v>
      </c>
      <c r="V119" s="5" t="e">
        <f t="shared" si="29"/>
        <v>#VALUE!</v>
      </c>
    </row>
    <row r="120" spans="1:22">
      <c r="A120" s="33"/>
      <c r="J120" s="3">
        <f t="shared" si="20"/>
        <v>0</v>
      </c>
      <c r="K120" s="3">
        <f t="shared" si="20"/>
        <v>0</v>
      </c>
      <c r="L120" s="3">
        <f t="shared" si="20"/>
        <v>0</v>
      </c>
      <c r="M120" s="3">
        <f t="shared" si="20"/>
        <v>0</v>
      </c>
      <c r="Q120" s="10" t="e">
        <f t="shared" si="27"/>
        <v>#VALUE!</v>
      </c>
      <c r="R120" s="51" t="e">
        <f t="shared" si="28"/>
        <v>#VALUE!</v>
      </c>
      <c r="S120" s="5" t="e">
        <f t="shared" si="29"/>
        <v>#VALUE!</v>
      </c>
      <c r="T120" s="5" t="e">
        <f t="shared" si="29"/>
        <v>#VALUE!</v>
      </c>
      <c r="U120" s="5" t="e">
        <f t="shared" si="29"/>
        <v>#VALUE!</v>
      </c>
      <c r="V120" s="5" t="e">
        <f t="shared" si="29"/>
        <v>#VALUE!</v>
      </c>
    </row>
    <row r="121" spans="1:22">
      <c r="A121" s="33" t="e">
        <f>IF(Tabela17683[[#This Row],[Código]]="IBOV","^BVSP",IF(Tabela17683[[#This Row],[Código]]="","",CONCATENATE(LEFT(Tabela17683[[#This Row],[Código]],6),".SA")))</f>
        <v>#VALUE!</v>
      </c>
      <c r="J121" s="3" t="e">
        <f t="shared" si="20"/>
        <v>#VALUE!</v>
      </c>
      <c r="K121" s="3" t="e">
        <f t="shared" si="20"/>
        <v>#VALUE!</v>
      </c>
      <c r="L121" s="3" t="e">
        <f t="shared" si="20"/>
        <v>#VALUE!</v>
      </c>
      <c r="M121" s="3" t="e">
        <f t="shared" si="20"/>
        <v>#VALUE!</v>
      </c>
      <c r="Q121" s="10" t="e">
        <f t="shared" si="27"/>
        <v>#VALUE!</v>
      </c>
      <c r="R121" s="51" t="e">
        <f t="shared" si="28"/>
        <v>#VALUE!</v>
      </c>
      <c r="S121" s="5" t="e">
        <f t="shared" si="29"/>
        <v>#VALUE!</v>
      </c>
      <c r="T121" s="5" t="e">
        <f t="shared" si="29"/>
        <v>#VALUE!</v>
      </c>
      <c r="U121" s="5" t="e">
        <f t="shared" si="29"/>
        <v>#VALUE!</v>
      </c>
      <c r="V121" s="5" t="e">
        <f t="shared" si="29"/>
        <v>#VALUE!</v>
      </c>
    </row>
    <row r="122" spans="1:22">
      <c r="A122" s="33" t="e">
        <f>IF(Tabela17683[[#This Row],[Código]]="IBOV","^BVSP",IF(Tabela17683[[#This Row],[Código]]="","",CONCATENATE(LEFT(Tabela17683[[#This Row],[Código]],6),".SA")))</f>
        <v>#VALUE!</v>
      </c>
      <c r="J122" s="3" t="e">
        <f t="shared" si="20"/>
        <v>#VALUE!</v>
      </c>
      <c r="K122" s="3" t="e">
        <f t="shared" si="20"/>
        <v>#VALUE!</v>
      </c>
      <c r="L122" s="3" t="e">
        <f t="shared" si="20"/>
        <v>#VALUE!</v>
      </c>
      <c r="M122" s="3" t="e">
        <f t="shared" si="20"/>
        <v>#VALUE!</v>
      </c>
      <c r="Q122" s="10" t="e">
        <f t="shared" si="27"/>
        <v>#VALUE!</v>
      </c>
      <c r="R122" s="51" t="e">
        <f t="shared" si="28"/>
        <v>#VALUE!</v>
      </c>
      <c r="S122" s="5" t="e">
        <f t="shared" si="29"/>
        <v>#VALUE!</v>
      </c>
      <c r="T122" s="5" t="e">
        <f t="shared" si="29"/>
        <v>#VALUE!</v>
      </c>
      <c r="U122" s="5" t="e">
        <f t="shared" si="29"/>
        <v>#VALUE!</v>
      </c>
      <c r="V122" s="5" t="e">
        <f t="shared" si="29"/>
        <v>#VALUE!</v>
      </c>
    </row>
    <row r="123" spans="1:22">
      <c r="A123" s="33" t="e">
        <f>IF(Tabela17683[[#This Row],[Código]]="IBOV","^BVSP",IF(Tabela17683[[#This Row],[Código]]="","",CONCATENATE(LEFT(Tabela17683[[#This Row],[Código]],6),".SA")))</f>
        <v>#VALUE!</v>
      </c>
      <c r="J123" s="3" t="e">
        <f>IF($A123="",0,VALUE(CONCATENATE(LEFT(D123,LEN(D123)-3),",",RIGHT(D123,2))))</f>
        <v>#VALUE!</v>
      </c>
      <c r="K123" s="3" t="e">
        <f t="shared" si="20"/>
        <v>#VALUE!</v>
      </c>
      <c r="L123" s="3" t="e">
        <f t="shared" si="20"/>
        <v>#VALUE!</v>
      </c>
      <c r="M123" s="3" t="e">
        <f t="shared" si="20"/>
        <v>#VALUE!</v>
      </c>
      <c r="Q123" s="10" t="e">
        <f t="shared" si="27"/>
        <v>#VALUE!</v>
      </c>
      <c r="R123" s="51" t="e">
        <f t="shared" si="28"/>
        <v>#VALUE!</v>
      </c>
      <c r="S123" s="5" t="e">
        <f t="shared" si="29"/>
        <v>#VALUE!</v>
      </c>
      <c r="T123" s="5" t="e">
        <f t="shared" si="29"/>
        <v>#VALUE!</v>
      </c>
      <c r="U123" s="5" t="e">
        <f t="shared" si="29"/>
        <v>#VALUE!</v>
      </c>
      <c r="V123" s="5" t="e">
        <f t="shared" si="29"/>
        <v>#VALUE!</v>
      </c>
    </row>
    <row r="124" spans="1:22">
      <c r="A124" s="33" t="e">
        <f>IF(Tabela17683[[#This Row],[Código]]="IBOV","^BVSP",IF(Tabela17683[[#This Row],[Código]]="","",CONCATENATE(LEFT(Tabela17683[[#This Row],[Código]],6),".SA")))</f>
        <v>#VALUE!</v>
      </c>
      <c r="J124" s="3" t="e">
        <f t="shared" si="20"/>
        <v>#VALUE!</v>
      </c>
      <c r="K124" s="3" t="e">
        <f t="shared" si="20"/>
        <v>#VALUE!</v>
      </c>
      <c r="L124" s="3" t="e">
        <f t="shared" si="20"/>
        <v>#VALUE!</v>
      </c>
      <c r="M124" s="3" t="e">
        <f t="shared" si="20"/>
        <v>#VALUE!</v>
      </c>
      <c r="Q124" s="10" t="e">
        <f t="shared" si="27"/>
        <v>#VALUE!</v>
      </c>
      <c r="R124" s="51" t="e">
        <f t="shared" si="28"/>
        <v>#VALUE!</v>
      </c>
      <c r="S124" s="5" t="e">
        <f t="shared" si="29"/>
        <v>#VALUE!</v>
      </c>
      <c r="T124" s="5" t="e">
        <f t="shared" si="29"/>
        <v>#VALUE!</v>
      </c>
      <c r="U124" s="5" t="e">
        <f t="shared" si="29"/>
        <v>#VALUE!</v>
      </c>
      <c r="V124" s="5" t="e">
        <f t="shared" si="29"/>
        <v>#VALUE!</v>
      </c>
    </row>
    <row r="125" spans="1:22">
      <c r="A125" s="33" t="e">
        <f>IF(Tabela17683[[#This Row],[Código]]="IBOV","^BVSP",IF(Tabela17683[[#This Row],[Código]]="","",CONCATENATE(LEFT(Tabela17683[[#This Row],[Código]],6),".SA")))</f>
        <v>#VALUE!</v>
      </c>
      <c r="J125" s="3" t="e">
        <f t="shared" si="20"/>
        <v>#VALUE!</v>
      </c>
      <c r="K125" s="3" t="e">
        <f t="shared" si="20"/>
        <v>#VALUE!</v>
      </c>
      <c r="L125" s="3" t="e">
        <f t="shared" si="20"/>
        <v>#VALUE!</v>
      </c>
      <c r="M125" s="3" t="e">
        <f t="shared" si="20"/>
        <v>#VALUE!</v>
      </c>
      <c r="Q125" s="10" t="e">
        <f t="shared" si="27"/>
        <v>#VALUE!</v>
      </c>
      <c r="R125" s="51" t="e">
        <f t="shared" si="28"/>
        <v>#VALUE!</v>
      </c>
      <c r="S125" s="5" t="e">
        <f t="shared" si="29"/>
        <v>#VALUE!</v>
      </c>
      <c r="T125" s="5" t="e">
        <f t="shared" si="29"/>
        <v>#VALUE!</v>
      </c>
      <c r="U125" s="5" t="e">
        <f t="shared" si="29"/>
        <v>#VALUE!</v>
      </c>
      <c r="V125" s="5" t="e">
        <f t="shared" si="29"/>
        <v>#VALUE!</v>
      </c>
    </row>
    <row r="126" spans="1:22">
      <c r="A126" s="33" t="e">
        <f>IF(Tabela17683[[#This Row],[Código]]="IBOV","^BVSP",IF(Tabela17683[[#This Row],[Código]]="","",CONCATENATE(LEFT(Tabela17683[[#This Row],[Código]],6),".SA")))</f>
        <v>#VALUE!</v>
      </c>
      <c r="J126" s="3" t="e">
        <f t="shared" si="20"/>
        <v>#VALUE!</v>
      </c>
      <c r="K126" s="3" t="e">
        <f t="shared" si="20"/>
        <v>#VALUE!</v>
      </c>
      <c r="L126" s="3" t="e">
        <f t="shared" si="20"/>
        <v>#VALUE!</v>
      </c>
      <c r="M126" s="3" t="e">
        <f t="shared" si="20"/>
        <v>#VALUE!</v>
      </c>
      <c r="Q126" s="10" t="e">
        <f t="shared" si="27"/>
        <v>#VALUE!</v>
      </c>
      <c r="R126" s="51" t="e">
        <f t="shared" si="28"/>
        <v>#VALUE!</v>
      </c>
      <c r="S126" s="5" t="e">
        <f t="shared" si="29"/>
        <v>#VALUE!</v>
      </c>
      <c r="T126" s="5" t="e">
        <f t="shared" si="29"/>
        <v>#VALUE!</v>
      </c>
      <c r="U126" s="5" t="e">
        <f t="shared" si="29"/>
        <v>#VALUE!</v>
      </c>
      <c r="V126" s="5" t="e">
        <f t="shared" si="29"/>
        <v>#VALUE!</v>
      </c>
    </row>
    <row r="127" spans="1:22">
      <c r="A127" s="33" t="e">
        <f>IF(Tabela17683[[#This Row],[Código]]="IBOV","^BVSP",IF(Tabela17683[[#This Row],[Código]]="","",CONCATENATE(LEFT(Tabela17683[[#This Row],[Código]],6),".SA")))</f>
        <v>#VALUE!</v>
      </c>
      <c r="J127" s="3" t="e">
        <f t="shared" si="20"/>
        <v>#VALUE!</v>
      </c>
      <c r="K127" s="3" t="e">
        <f t="shared" si="20"/>
        <v>#VALUE!</v>
      </c>
      <c r="L127" s="3" t="e">
        <f t="shared" si="20"/>
        <v>#VALUE!</v>
      </c>
      <c r="M127" s="3" t="e">
        <f t="shared" si="20"/>
        <v>#VALUE!</v>
      </c>
      <c r="Q127" s="10" t="e">
        <f t="shared" si="27"/>
        <v>#VALUE!</v>
      </c>
      <c r="R127" s="51" t="e">
        <f t="shared" si="28"/>
        <v>#VALUE!</v>
      </c>
      <c r="S127" s="5" t="e">
        <f t="shared" si="29"/>
        <v>#VALUE!</v>
      </c>
      <c r="T127" s="5" t="e">
        <f t="shared" si="29"/>
        <v>#VALUE!</v>
      </c>
      <c r="U127" s="5" t="e">
        <f t="shared" si="29"/>
        <v>#VALUE!</v>
      </c>
      <c r="V127" s="5" t="e">
        <f t="shared" si="29"/>
        <v>#VALUE!</v>
      </c>
    </row>
    <row r="128" spans="1:22">
      <c r="A128" s="33" t="e">
        <f>IF(Tabela17683[[#This Row],[Código]]="IBOV","^BVSP",IF(Tabela17683[[#This Row],[Código]]="","",CONCATENATE(LEFT(Tabela17683[[#This Row],[Código]],6),".SA")))</f>
        <v>#VALUE!</v>
      </c>
      <c r="J128" s="3" t="e">
        <f t="shared" si="20"/>
        <v>#VALUE!</v>
      </c>
      <c r="K128" s="3" t="e">
        <f t="shared" si="20"/>
        <v>#VALUE!</v>
      </c>
      <c r="L128" s="3" t="e">
        <f t="shared" si="20"/>
        <v>#VALUE!</v>
      </c>
      <c r="M128" s="3" t="e">
        <f t="shared" si="20"/>
        <v>#VALUE!</v>
      </c>
      <c r="Q128" s="10" t="e">
        <f t="shared" si="27"/>
        <v>#VALUE!</v>
      </c>
      <c r="R128" s="51" t="e">
        <f t="shared" si="28"/>
        <v>#VALUE!</v>
      </c>
      <c r="S128" s="5" t="e">
        <f t="shared" si="29"/>
        <v>#VALUE!</v>
      </c>
      <c r="T128" s="5" t="e">
        <f t="shared" si="29"/>
        <v>#VALUE!</v>
      </c>
      <c r="U128" s="5" t="e">
        <f t="shared" si="29"/>
        <v>#VALUE!</v>
      </c>
      <c r="V128" s="5" t="e">
        <f t="shared" si="29"/>
        <v>#VALUE!</v>
      </c>
    </row>
    <row r="129" spans="1:22">
      <c r="A129" s="33" t="e">
        <f>IF(Tabela17683[[#This Row],[Código]]="IBOV","^BVSP",IF(Tabela17683[[#This Row],[Código]]="","",CONCATENATE(LEFT(Tabela17683[[#This Row],[Código]],6),".SA")))</f>
        <v>#VALUE!</v>
      </c>
      <c r="J129" s="3" t="e">
        <f t="shared" si="20"/>
        <v>#VALUE!</v>
      </c>
      <c r="K129" s="3" t="e">
        <f t="shared" si="20"/>
        <v>#VALUE!</v>
      </c>
      <c r="L129" s="3" t="e">
        <f t="shared" si="20"/>
        <v>#VALUE!</v>
      </c>
      <c r="M129" s="3" t="e">
        <f t="shared" si="20"/>
        <v>#VALUE!</v>
      </c>
      <c r="P129" s="4"/>
      <c r="Q129" s="10" t="e">
        <f t="shared" si="27"/>
        <v>#VALUE!</v>
      </c>
      <c r="R129" s="51" t="e">
        <f t="shared" si="28"/>
        <v>#VALUE!</v>
      </c>
      <c r="S129" s="5" t="e">
        <f t="shared" si="29"/>
        <v>#VALUE!</v>
      </c>
      <c r="T129" s="5" t="e">
        <f t="shared" si="29"/>
        <v>#VALUE!</v>
      </c>
      <c r="U129" s="5" t="e">
        <f t="shared" si="29"/>
        <v>#VALUE!</v>
      </c>
      <c r="V129" s="5" t="e">
        <f t="shared" si="29"/>
        <v>#VALUE!</v>
      </c>
    </row>
    <row r="130" spans="1:22">
      <c r="A130" s="33" t="e">
        <f>IF(Tabela17683[[#This Row],[Código]]="IBOV","^BVSP",IF(Tabela17683[[#This Row],[Código]]="","",CONCATENATE(LEFT(Tabela17683[[#This Row],[Código]],6),".SA")))</f>
        <v>#VALUE!</v>
      </c>
      <c r="J130" s="3" t="e">
        <f t="shared" si="20"/>
        <v>#VALUE!</v>
      </c>
      <c r="K130" s="3" t="e">
        <f t="shared" si="20"/>
        <v>#VALUE!</v>
      </c>
      <c r="L130" s="3" t="e">
        <f t="shared" si="20"/>
        <v>#VALUE!</v>
      </c>
      <c r="M130" s="3" t="e">
        <f t="shared" si="20"/>
        <v>#VALUE!</v>
      </c>
      <c r="P130" s="10"/>
      <c r="Q130" s="10" t="str">
        <f t="shared" si="27"/>
        <v/>
      </c>
      <c r="R130" s="51" t="str">
        <f t="shared" si="28"/>
        <v/>
      </c>
      <c r="S130" s="5">
        <f t="shared" si="29"/>
        <v>0</v>
      </c>
      <c r="T130" s="5">
        <f t="shared" si="29"/>
        <v>0</v>
      </c>
      <c r="U130" s="5">
        <f t="shared" si="29"/>
        <v>0</v>
      </c>
      <c r="V130" s="5">
        <f t="shared" si="29"/>
        <v>0</v>
      </c>
    </row>
    <row r="131" spans="1:22">
      <c r="A131" s="33" t="e">
        <f>IF(Tabela17683[[#This Row],[Código]]="IBOV","^BVSP",IF(Tabela17683[[#This Row],[Código]]="","",CONCATENATE(LEFT(Tabela17683[[#This Row],[Código]],6),".SA")))</f>
        <v>#VALUE!</v>
      </c>
      <c r="J131" s="3" t="e">
        <f t="shared" si="20"/>
        <v>#VALUE!</v>
      </c>
      <c r="K131" s="3" t="e">
        <f t="shared" si="20"/>
        <v>#VALUE!</v>
      </c>
      <c r="L131" s="3" t="e">
        <f t="shared" si="20"/>
        <v>#VALUE!</v>
      </c>
      <c r="M131" s="3" t="e">
        <f t="shared" si="20"/>
        <v>#VALUE!</v>
      </c>
      <c r="Q131" s="10" t="str">
        <f t="shared" si="27"/>
        <v/>
      </c>
      <c r="R131" s="51" t="str">
        <f t="shared" si="28"/>
        <v/>
      </c>
      <c r="S131" s="5">
        <f t="shared" si="29"/>
        <v>0</v>
      </c>
      <c r="T131" s="5">
        <f t="shared" si="29"/>
        <v>0</v>
      </c>
      <c r="U131" s="5">
        <f t="shared" si="29"/>
        <v>0</v>
      </c>
      <c r="V131" s="5">
        <f t="shared" si="29"/>
        <v>0</v>
      </c>
    </row>
    <row r="132" spans="1:22">
      <c r="A132" s="33" t="e">
        <f>IF(Tabela17683[[#This Row],[Código]]="IBOV","^BVSP",IF(Tabela17683[[#This Row],[Código]]="","",CONCATENATE(LEFT(Tabela17683[[#This Row],[Código]],6),".SA")))</f>
        <v>#VALUE!</v>
      </c>
      <c r="J132" s="3" t="e">
        <f t="shared" si="20"/>
        <v>#VALUE!</v>
      </c>
      <c r="K132" s="3" t="e">
        <f t="shared" si="20"/>
        <v>#VALUE!</v>
      </c>
      <c r="L132" s="3" t="e">
        <f t="shared" si="20"/>
        <v>#VALUE!</v>
      </c>
      <c r="M132" s="3" t="e">
        <f t="shared" si="20"/>
        <v>#VALUE!</v>
      </c>
      <c r="P132" s="3" t="str">
        <f>IF([1]Patrimonio!C143="","",[1]Patrimonio!C143)</f>
        <v/>
      </c>
      <c r="Q132" s="3" t="str">
        <f t="shared" ref="Q132:Q158" si="30">IF(A148="","",C149)</f>
        <v/>
      </c>
      <c r="R132" s="51" t="str">
        <f t="shared" ref="R132:R158" si="31">IF(A148="","",H148)</f>
        <v/>
      </c>
      <c r="S132" s="5">
        <f t="shared" ref="S132:V147" si="32">J148</f>
        <v>0</v>
      </c>
      <c r="T132" s="5">
        <f t="shared" si="32"/>
        <v>0</v>
      </c>
      <c r="U132" s="5">
        <f t="shared" si="32"/>
        <v>0</v>
      </c>
      <c r="V132" s="5">
        <f t="shared" si="32"/>
        <v>0</v>
      </c>
    </row>
    <row r="133" spans="1:22">
      <c r="A133" s="33" t="e">
        <f>IF(Tabela17683[[#This Row],[Código]]="IBOV","^BVSP",IF(Tabela17683[[#This Row],[Código]]="","",CONCATENATE(LEFT(Tabela17683[[#This Row],[Código]],6),".SA")))</f>
        <v>#VALUE!</v>
      </c>
      <c r="J133" s="3" t="e">
        <f t="shared" si="20"/>
        <v>#VALUE!</v>
      </c>
      <c r="K133" s="3" t="e">
        <f t="shared" si="20"/>
        <v>#VALUE!</v>
      </c>
      <c r="L133" s="3" t="e">
        <f t="shared" si="20"/>
        <v>#VALUE!</v>
      </c>
      <c r="M133" s="3" t="e">
        <f t="shared" si="20"/>
        <v>#VALUE!</v>
      </c>
      <c r="P133" s="3" t="str">
        <f>IF([1]Patrimonio!C144="","",[1]Patrimonio!C144)</f>
        <v/>
      </c>
      <c r="Q133" s="3" t="str">
        <f t="shared" si="30"/>
        <v/>
      </c>
      <c r="R133" s="51" t="str">
        <f t="shared" si="31"/>
        <v/>
      </c>
      <c r="S133" s="5">
        <f t="shared" si="32"/>
        <v>0</v>
      </c>
      <c r="T133" s="5">
        <f t="shared" si="32"/>
        <v>0</v>
      </c>
      <c r="U133" s="5">
        <f t="shared" si="32"/>
        <v>0</v>
      </c>
      <c r="V133" s="5">
        <f t="shared" si="32"/>
        <v>0</v>
      </c>
    </row>
    <row r="134" spans="1:22">
      <c r="A134" s="33"/>
      <c r="J134" s="3">
        <f t="shared" si="20"/>
        <v>0</v>
      </c>
      <c r="K134" s="3">
        <f t="shared" si="20"/>
        <v>0</v>
      </c>
      <c r="L134" s="3">
        <f t="shared" si="20"/>
        <v>0</v>
      </c>
      <c r="M134" s="3">
        <f t="shared" si="20"/>
        <v>0</v>
      </c>
      <c r="P134" s="3" t="str">
        <f>IF([1]Patrimonio!C145="","",[1]Patrimonio!C145)</f>
        <v/>
      </c>
      <c r="Q134" s="3" t="str">
        <f t="shared" si="30"/>
        <v/>
      </c>
      <c r="R134" s="51" t="str">
        <f t="shared" si="31"/>
        <v/>
      </c>
      <c r="S134" s="5">
        <f t="shared" si="32"/>
        <v>0</v>
      </c>
      <c r="T134" s="5">
        <f t="shared" si="32"/>
        <v>0</v>
      </c>
      <c r="U134" s="5">
        <f t="shared" si="32"/>
        <v>0</v>
      </c>
      <c r="V134" s="5">
        <f t="shared" si="32"/>
        <v>0</v>
      </c>
    </row>
    <row r="135" spans="1:22">
      <c r="A135" s="33"/>
      <c r="J135" s="3">
        <f t="shared" si="20"/>
        <v>0</v>
      </c>
      <c r="K135" s="3">
        <f t="shared" si="20"/>
        <v>0</v>
      </c>
      <c r="L135" s="3">
        <f t="shared" si="20"/>
        <v>0</v>
      </c>
      <c r="M135" s="3">
        <f t="shared" si="20"/>
        <v>0</v>
      </c>
      <c r="P135" s="3" t="str">
        <f>IF([1]Patrimonio!C146="","",[1]Patrimonio!C146)</f>
        <v/>
      </c>
      <c r="Q135" s="3" t="str">
        <f t="shared" si="30"/>
        <v/>
      </c>
      <c r="R135" s="51" t="str">
        <f t="shared" si="31"/>
        <v/>
      </c>
      <c r="S135" s="5">
        <f t="shared" si="32"/>
        <v>0</v>
      </c>
      <c r="T135" s="5">
        <f t="shared" si="32"/>
        <v>0</v>
      </c>
      <c r="U135" s="5">
        <f t="shared" si="32"/>
        <v>0</v>
      </c>
      <c r="V135" s="5">
        <f t="shared" si="32"/>
        <v>0</v>
      </c>
    </row>
    <row r="136" spans="1:22">
      <c r="A136" s="33"/>
      <c r="J136" s="3">
        <f t="shared" ref="J136:M172" si="33">IF($A136="",0,VALUE(CONCATENATE(LEFT(D136,LEN(D136)-3),",",RIGHT(D136,2))))</f>
        <v>0</v>
      </c>
      <c r="K136" s="3">
        <f t="shared" si="33"/>
        <v>0</v>
      </c>
      <c r="L136" s="3">
        <f t="shared" si="33"/>
        <v>0</v>
      </c>
      <c r="M136" s="3">
        <f t="shared" si="33"/>
        <v>0</v>
      </c>
      <c r="P136" s="3" t="str">
        <f>IF([1]Patrimonio!C147="","",[1]Patrimonio!C147)</f>
        <v/>
      </c>
      <c r="Q136" s="3" t="str">
        <f t="shared" si="30"/>
        <v/>
      </c>
      <c r="R136" s="51" t="str">
        <f t="shared" si="31"/>
        <v/>
      </c>
      <c r="S136" s="5">
        <f t="shared" si="32"/>
        <v>0</v>
      </c>
      <c r="T136" s="5">
        <f t="shared" si="32"/>
        <v>0</v>
      </c>
      <c r="U136" s="5">
        <f t="shared" si="32"/>
        <v>0</v>
      </c>
      <c r="V136" s="5">
        <f t="shared" si="32"/>
        <v>0</v>
      </c>
    </row>
    <row r="137" spans="1:22">
      <c r="A137" s="33"/>
      <c r="J137" s="3">
        <f t="shared" si="33"/>
        <v>0</v>
      </c>
      <c r="K137" s="3">
        <f t="shared" si="33"/>
        <v>0</v>
      </c>
      <c r="L137" s="3">
        <f t="shared" si="33"/>
        <v>0</v>
      </c>
      <c r="M137" s="3">
        <f t="shared" si="33"/>
        <v>0</v>
      </c>
      <c r="P137" s="3" t="str">
        <f>IF([1]Patrimonio!C148="","",[1]Patrimonio!C148)</f>
        <v/>
      </c>
      <c r="Q137" s="3" t="str">
        <f t="shared" si="30"/>
        <v/>
      </c>
      <c r="R137" s="51" t="str">
        <f t="shared" si="31"/>
        <v/>
      </c>
      <c r="S137" s="5">
        <f t="shared" si="32"/>
        <v>0</v>
      </c>
      <c r="T137" s="5">
        <f t="shared" si="32"/>
        <v>0</v>
      </c>
      <c r="U137" s="5">
        <f t="shared" si="32"/>
        <v>0</v>
      </c>
      <c r="V137" s="5">
        <f t="shared" si="32"/>
        <v>0</v>
      </c>
    </row>
    <row r="138" spans="1:22">
      <c r="A138" s="33"/>
      <c r="J138" s="3">
        <f t="shared" si="33"/>
        <v>0</v>
      </c>
      <c r="K138" s="3">
        <f t="shared" si="33"/>
        <v>0</v>
      </c>
      <c r="L138" s="3">
        <f t="shared" si="33"/>
        <v>0</v>
      </c>
      <c r="M138" s="3">
        <f t="shared" si="33"/>
        <v>0</v>
      </c>
      <c r="P138" s="3" t="str">
        <f>IF([1]Patrimonio!C149="","",[1]Patrimonio!C149)</f>
        <v/>
      </c>
      <c r="Q138" s="3" t="str">
        <f t="shared" si="30"/>
        <v/>
      </c>
      <c r="R138" s="51" t="str">
        <f t="shared" si="31"/>
        <v/>
      </c>
      <c r="S138" s="5">
        <f t="shared" si="32"/>
        <v>0</v>
      </c>
      <c r="T138" s="5">
        <f t="shared" si="32"/>
        <v>0</v>
      </c>
      <c r="U138" s="5">
        <f t="shared" si="32"/>
        <v>0</v>
      </c>
      <c r="V138" s="5">
        <f t="shared" si="32"/>
        <v>0</v>
      </c>
    </row>
    <row r="139" spans="1:22">
      <c r="A139" s="33"/>
      <c r="J139" s="3">
        <f t="shared" si="33"/>
        <v>0</v>
      </c>
      <c r="K139" s="3">
        <f t="shared" si="33"/>
        <v>0</v>
      </c>
      <c r="L139" s="3">
        <f t="shared" si="33"/>
        <v>0</v>
      </c>
      <c r="M139" s="3">
        <f t="shared" si="33"/>
        <v>0</v>
      </c>
      <c r="P139" s="3" t="str">
        <f>IF([1]Patrimonio!C150="","",[1]Patrimonio!C150)</f>
        <v/>
      </c>
      <c r="Q139" s="3" t="str">
        <f t="shared" si="30"/>
        <v/>
      </c>
      <c r="R139" s="51" t="str">
        <f t="shared" si="31"/>
        <v/>
      </c>
      <c r="S139" s="5">
        <f t="shared" si="32"/>
        <v>0</v>
      </c>
      <c r="T139" s="5">
        <f t="shared" si="32"/>
        <v>0</v>
      </c>
      <c r="U139" s="5">
        <f t="shared" si="32"/>
        <v>0</v>
      </c>
      <c r="V139" s="5">
        <f t="shared" si="32"/>
        <v>0</v>
      </c>
    </row>
    <row r="140" spans="1:22">
      <c r="A140" s="33"/>
      <c r="J140" s="3">
        <f t="shared" si="33"/>
        <v>0</v>
      </c>
      <c r="K140" s="3">
        <f t="shared" si="33"/>
        <v>0</v>
      </c>
      <c r="L140" s="3">
        <f t="shared" si="33"/>
        <v>0</v>
      </c>
      <c r="M140" s="3">
        <f t="shared" si="33"/>
        <v>0</v>
      </c>
      <c r="P140" s="3" t="str">
        <f>IF([1]Patrimonio!C151="","",[1]Patrimonio!C151)</f>
        <v/>
      </c>
      <c r="Q140" s="3" t="str">
        <f t="shared" si="30"/>
        <v/>
      </c>
      <c r="R140" s="51" t="str">
        <f t="shared" si="31"/>
        <v/>
      </c>
      <c r="S140" s="5">
        <f t="shared" si="32"/>
        <v>0</v>
      </c>
      <c r="T140" s="5">
        <f t="shared" si="32"/>
        <v>0</v>
      </c>
      <c r="U140" s="5">
        <f t="shared" si="32"/>
        <v>0</v>
      </c>
      <c r="V140" s="5">
        <f t="shared" si="32"/>
        <v>0</v>
      </c>
    </row>
    <row r="141" spans="1:22">
      <c r="A141" s="33"/>
      <c r="J141" s="3">
        <f t="shared" si="33"/>
        <v>0</v>
      </c>
      <c r="K141" s="3">
        <f t="shared" si="33"/>
        <v>0</v>
      </c>
      <c r="L141" s="3">
        <f t="shared" si="33"/>
        <v>0</v>
      </c>
      <c r="M141" s="3">
        <f t="shared" si="33"/>
        <v>0</v>
      </c>
      <c r="P141" s="3" t="str">
        <f>IF([1]Patrimonio!C152="","",[1]Patrimonio!C152)</f>
        <v/>
      </c>
      <c r="Q141" s="3" t="str">
        <f t="shared" si="30"/>
        <v/>
      </c>
      <c r="R141" s="51" t="str">
        <f t="shared" si="31"/>
        <v/>
      </c>
      <c r="S141" s="5">
        <f t="shared" si="32"/>
        <v>0</v>
      </c>
      <c r="T141" s="5">
        <f t="shared" si="32"/>
        <v>0</v>
      </c>
      <c r="U141" s="5">
        <f t="shared" si="32"/>
        <v>0</v>
      </c>
      <c r="V141" s="5">
        <f t="shared" si="32"/>
        <v>0</v>
      </c>
    </row>
    <row r="142" spans="1:22">
      <c r="A142" s="33"/>
      <c r="J142" s="3">
        <f t="shared" si="33"/>
        <v>0</v>
      </c>
      <c r="K142" s="3">
        <f t="shared" si="33"/>
        <v>0</v>
      </c>
      <c r="L142" s="3">
        <f t="shared" si="33"/>
        <v>0</v>
      </c>
      <c r="M142" s="3">
        <f t="shared" si="33"/>
        <v>0</v>
      </c>
      <c r="P142" s="3" t="str">
        <f>IF([1]Patrimonio!C153="","",[1]Patrimonio!C153)</f>
        <v/>
      </c>
      <c r="Q142" s="3" t="str">
        <f t="shared" si="30"/>
        <v/>
      </c>
      <c r="R142" s="51" t="str">
        <f t="shared" si="31"/>
        <v/>
      </c>
      <c r="S142" s="5">
        <f t="shared" si="32"/>
        <v>0</v>
      </c>
      <c r="T142" s="5">
        <f t="shared" si="32"/>
        <v>0</v>
      </c>
      <c r="U142" s="5">
        <f t="shared" si="32"/>
        <v>0</v>
      </c>
      <c r="V142" s="5">
        <f t="shared" si="32"/>
        <v>0</v>
      </c>
    </row>
    <row r="143" spans="1:22">
      <c r="A143" s="33"/>
      <c r="J143" s="3">
        <f t="shared" si="33"/>
        <v>0</v>
      </c>
      <c r="K143" s="3">
        <f t="shared" si="33"/>
        <v>0</v>
      </c>
      <c r="L143" s="3">
        <f t="shared" si="33"/>
        <v>0</v>
      </c>
      <c r="M143" s="3">
        <f t="shared" si="33"/>
        <v>0</v>
      </c>
      <c r="P143" s="3" t="str">
        <f>IF([1]Patrimonio!C154="","",[1]Patrimonio!C154)</f>
        <v/>
      </c>
      <c r="Q143" s="3" t="str">
        <f t="shared" si="30"/>
        <v/>
      </c>
      <c r="R143" s="51" t="str">
        <f t="shared" si="31"/>
        <v/>
      </c>
      <c r="S143" s="5">
        <f t="shared" si="32"/>
        <v>0</v>
      </c>
      <c r="T143" s="5">
        <f t="shared" si="32"/>
        <v>0</v>
      </c>
      <c r="U143" s="5">
        <f t="shared" si="32"/>
        <v>0</v>
      </c>
      <c r="V143" s="5">
        <f t="shared" si="32"/>
        <v>0</v>
      </c>
    </row>
    <row r="144" spans="1:22">
      <c r="A144" s="33"/>
      <c r="J144" s="3">
        <f t="shared" si="33"/>
        <v>0</v>
      </c>
      <c r="K144" s="3">
        <f t="shared" si="33"/>
        <v>0</v>
      </c>
      <c r="L144" s="3">
        <f t="shared" si="33"/>
        <v>0</v>
      </c>
      <c r="M144" s="3">
        <f t="shared" si="33"/>
        <v>0</v>
      </c>
      <c r="P144" s="3" t="str">
        <f>IF([1]Patrimonio!C155="","",[1]Patrimonio!C155)</f>
        <v/>
      </c>
      <c r="Q144" s="3" t="str">
        <f t="shared" si="30"/>
        <v/>
      </c>
      <c r="R144" s="51" t="str">
        <f t="shared" si="31"/>
        <v/>
      </c>
      <c r="S144" s="5">
        <f t="shared" si="32"/>
        <v>0</v>
      </c>
      <c r="T144" s="5">
        <f t="shared" si="32"/>
        <v>0</v>
      </c>
      <c r="U144" s="5">
        <f t="shared" si="32"/>
        <v>0</v>
      </c>
      <c r="V144" s="5">
        <f t="shared" si="32"/>
        <v>0</v>
      </c>
    </row>
    <row r="145" spans="1:22">
      <c r="A145" s="33"/>
      <c r="J145" s="3">
        <f t="shared" si="33"/>
        <v>0</v>
      </c>
      <c r="K145" s="3">
        <f t="shared" si="33"/>
        <v>0</v>
      </c>
      <c r="L145" s="3">
        <f t="shared" si="33"/>
        <v>0</v>
      </c>
      <c r="M145" s="3">
        <f t="shared" si="33"/>
        <v>0</v>
      </c>
      <c r="P145" s="3" t="str">
        <f>IF([1]Patrimonio!C156="","",[1]Patrimonio!C156)</f>
        <v/>
      </c>
      <c r="Q145" s="3" t="str">
        <f t="shared" si="30"/>
        <v/>
      </c>
      <c r="R145" s="51" t="str">
        <f t="shared" si="31"/>
        <v/>
      </c>
      <c r="S145" s="5">
        <f t="shared" si="32"/>
        <v>0</v>
      </c>
      <c r="T145" s="5">
        <f t="shared" si="32"/>
        <v>0</v>
      </c>
      <c r="U145" s="5">
        <f t="shared" si="32"/>
        <v>0</v>
      </c>
      <c r="V145" s="5">
        <f t="shared" si="32"/>
        <v>0</v>
      </c>
    </row>
    <row r="146" spans="1:22">
      <c r="A146" s="33"/>
      <c r="J146" s="3">
        <f t="shared" si="33"/>
        <v>0</v>
      </c>
      <c r="K146" s="3">
        <f t="shared" si="33"/>
        <v>0</v>
      </c>
      <c r="L146" s="3">
        <f t="shared" si="33"/>
        <v>0</v>
      </c>
      <c r="M146" s="3">
        <f t="shared" si="33"/>
        <v>0</v>
      </c>
      <c r="P146" s="3" t="str">
        <f>IF([1]Patrimonio!C157="","",[1]Patrimonio!C157)</f>
        <v/>
      </c>
      <c r="Q146" s="3" t="str">
        <f t="shared" si="30"/>
        <v/>
      </c>
      <c r="R146" s="51" t="str">
        <f t="shared" si="31"/>
        <v/>
      </c>
      <c r="S146" s="5">
        <f t="shared" si="32"/>
        <v>0</v>
      </c>
      <c r="T146" s="5">
        <f t="shared" si="32"/>
        <v>0</v>
      </c>
      <c r="U146" s="5">
        <f t="shared" si="32"/>
        <v>0</v>
      </c>
      <c r="V146" s="5">
        <f t="shared" si="32"/>
        <v>0</v>
      </c>
    </row>
    <row r="147" spans="1:22">
      <c r="A147" s="33"/>
      <c r="J147" s="3">
        <f t="shared" si="33"/>
        <v>0</v>
      </c>
      <c r="K147" s="3">
        <f t="shared" si="33"/>
        <v>0</v>
      </c>
      <c r="L147" s="3">
        <f t="shared" si="33"/>
        <v>0</v>
      </c>
      <c r="M147" s="3">
        <f t="shared" si="33"/>
        <v>0</v>
      </c>
      <c r="P147" s="3" t="str">
        <f>IF([1]Patrimonio!C158="","",[1]Patrimonio!C158)</f>
        <v/>
      </c>
      <c r="Q147" s="3" t="str">
        <f t="shared" si="30"/>
        <v/>
      </c>
      <c r="R147" s="51" t="str">
        <f t="shared" si="31"/>
        <v/>
      </c>
      <c r="S147" s="5">
        <f t="shared" si="32"/>
        <v>0</v>
      </c>
      <c r="T147" s="5">
        <f t="shared" si="32"/>
        <v>0</v>
      </c>
      <c r="U147" s="5">
        <f t="shared" si="32"/>
        <v>0</v>
      </c>
      <c r="V147" s="5">
        <f t="shared" si="32"/>
        <v>0</v>
      </c>
    </row>
    <row r="148" spans="1:22">
      <c r="A148" s="33"/>
      <c r="J148" s="3">
        <f t="shared" si="33"/>
        <v>0</v>
      </c>
      <c r="K148" s="3">
        <f t="shared" si="33"/>
        <v>0</v>
      </c>
      <c r="L148" s="3">
        <f t="shared" si="33"/>
        <v>0</v>
      </c>
      <c r="M148" s="3">
        <f t="shared" si="33"/>
        <v>0</v>
      </c>
      <c r="P148" s="3" t="str">
        <f>IF([1]Patrimonio!C159="","",[1]Patrimonio!C159)</f>
        <v/>
      </c>
      <c r="Q148" s="3" t="str">
        <f t="shared" si="30"/>
        <v/>
      </c>
      <c r="R148" s="51" t="str">
        <f t="shared" si="31"/>
        <v/>
      </c>
      <c r="S148" s="5">
        <f t="shared" ref="S148:V158" si="34">J164</f>
        <v>0</v>
      </c>
      <c r="T148" s="5">
        <f t="shared" si="34"/>
        <v>0</v>
      </c>
      <c r="U148" s="5">
        <f t="shared" si="34"/>
        <v>0</v>
      </c>
      <c r="V148" s="5">
        <f t="shared" si="34"/>
        <v>0</v>
      </c>
    </row>
    <row r="149" spans="1:22">
      <c r="A149" s="33"/>
      <c r="J149" s="3">
        <f t="shared" si="33"/>
        <v>0</v>
      </c>
      <c r="K149" s="3">
        <f t="shared" si="33"/>
        <v>0</v>
      </c>
      <c r="L149" s="3">
        <f t="shared" si="33"/>
        <v>0</v>
      </c>
      <c r="M149" s="3">
        <f t="shared" si="33"/>
        <v>0</v>
      </c>
      <c r="P149" s="3" t="str">
        <f>IF([1]Patrimonio!C160="","",[1]Patrimonio!C160)</f>
        <v/>
      </c>
      <c r="Q149" s="3" t="str">
        <f t="shared" si="30"/>
        <v/>
      </c>
      <c r="R149" s="51" t="str">
        <f t="shared" si="31"/>
        <v/>
      </c>
      <c r="S149" s="5">
        <f t="shared" si="34"/>
        <v>0</v>
      </c>
      <c r="T149" s="5">
        <f t="shared" si="34"/>
        <v>0</v>
      </c>
      <c r="U149" s="5">
        <f t="shared" si="34"/>
        <v>0</v>
      </c>
      <c r="V149" s="5">
        <f t="shared" si="34"/>
        <v>0</v>
      </c>
    </row>
    <row r="150" spans="1:22">
      <c r="A150" s="33"/>
      <c r="J150" s="3">
        <f t="shared" si="33"/>
        <v>0</v>
      </c>
      <c r="K150" s="3">
        <f t="shared" si="33"/>
        <v>0</v>
      </c>
      <c r="L150" s="3">
        <f t="shared" si="33"/>
        <v>0</v>
      </c>
      <c r="M150" s="3">
        <f t="shared" si="33"/>
        <v>0</v>
      </c>
      <c r="P150" s="3" t="str">
        <f>IF([1]Patrimonio!C161="","",[1]Patrimonio!C161)</f>
        <v/>
      </c>
      <c r="Q150" s="3" t="str">
        <f t="shared" si="30"/>
        <v/>
      </c>
      <c r="R150" s="51" t="str">
        <f t="shared" si="31"/>
        <v/>
      </c>
      <c r="S150" s="5">
        <f t="shared" si="34"/>
        <v>0</v>
      </c>
      <c r="T150" s="5">
        <f t="shared" si="34"/>
        <v>0</v>
      </c>
      <c r="U150" s="5">
        <f t="shared" si="34"/>
        <v>0</v>
      </c>
      <c r="V150" s="5">
        <f t="shared" si="34"/>
        <v>0</v>
      </c>
    </row>
    <row r="151" spans="1:22">
      <c r="A151" s="33"/>
      <c r="J151" s="3">
        <f t="shared" si="33"/>
        <v>0</v>
      </c>
      <c r="K151" s="3">
        <f t="shared" si="33"/>
        <v>0</v>
      </c>
      <c r="L151" s="3">
        <f t="shared" si="33"/>
        <v>0</v>
      </c>
      <c r="M151" s="3">
        <f t="shared" si="33"/>
        <v>0</v>
      </c>
      <c r="P151" s="3" t="str">
        <f>IF([1]Patrimonio!C162="","",[1]Patrimonio!C162)</f>
        <v/>
      </c>
      <c r="Q151" s="3" t="str">
        <f t="shared" si="30"/>
        <v/>
      </c>
      <c r="R151" s="51" t="str">
        <f t="shared" si="31"/>
        <v/>
      </c>
      <c r="S151" s="5">
        <f t="shared" si="34"/>
        <v>0</v>
      </c>
      <c r="T151" s="5">
        <f t="shared" si="34"/>
        <v>0</v>
      </c>
      <c r="U151" s="5">
        <f t="shared" si="34"/>
        <v>0</v>
      </c>
      <c r="V151" s="5">
        <f t="shared" si="34"/>
        <v>0</v>
      </c>
    </row>
    <row r="152" spans="1:22">
      <c r="A152" s="33"/>
      <c r="J152" s="3">
        <f t="shared" si="33"/>
        <v>0</v>
      </c>
      <c r="K152" s="3">
        <f t="shared" si="33"/>
        <v>0</v>
      </c>
      <c r="L152" s="3">
        <f t="shared" si="33"/>
        <v>0</v>
      </c>
      <c r="M152" s="3">
        <f t="shared" si="33"/>
        <v>0</v>
      </c>
      <c r="P152" s="3" t="str">
        <f>IF([1]Patrimonio!C163="","",[1]Patrimonio!C163)</f>
        <v/>
      </c>
      <c r="Q152" s="3" t="str">
        <f t="shared" si="30"/>
        <v/>
      </c>
      <c r="R152" s="51" t="str">
        <f t="shared" si="31"/>
        <v/>
      </c>
      <c r="S152" s="5">
        <f t="shared" si="34"/>
        <v>0</v>
      </c>
      <c r="T152" s="5">
        <f t="shared" si="34"/>
        <v>0</v>
      </c>
      <c r="U152" s="5">
        <f t="shared" si="34"/>
        <v>0</v>
      </c>
      <c r="V152" s="5">
        <f t="shared" si="34"/>
        <v>0</v>
      </c>
    </row>
    <row r="153" spans="1:22">
      <c r="A153" s="33"/>
      <c r="J153" s="3">
        <f t="shared" si="33"/>
        <v>0</v>
      </c>
      <c r="K153" s="3">
        <f t="shared" si="33"/>
        <v>0</v>
      </c>
      <c r="L153" s="3">
        <f t="shared" si="33"/>
        <v>0</v>
      </c>
      <c r="M153" s="3">
        <f t="shared" si="33"/>
        <v>0</v>
      </c>
      <c r="P153" s="3" t="str">
        <f>IF([1]Patrimonio!C164="","",[1]Patrimonio!C164)</f>
        <v/>
      </c>
      <c r="Q153" s="3" t="str">
        <f t="shared" si="30"/>
        <v/>
      </c>
      <c r="R153" s="51" t="str">
        <f t="shared" si="31"/>
        <v/>
      </c>
      <c r="S153" s="5">
        <f t="shared" si="34"/>
        <v>0</v>
      </c>
      <c r="T153" s="5">
        <f t="shared" si="34"/>
        <v>0</v>
      </c>
      <c r="U153" s="5">
        <f t="shared" si="34"/>
        <v>0</v>
      </c>
      <c r="V153" s="5">
        <f t="shared" si="34"/>
        <v>0</v>
      </c>
    </row>
    <row r="154" spans="1:22">
      <c r="A154" s="33"/>
      <c r="J154" s="3">
        <f t="shared" si="33"/>
        <v>0</v>
      </c>
      <c r="K154" s="3">
        <f t="shared" si="33"/>
        <v>0</v>
      </c>
      <c r="L154" s="3">
        <f t="shared" si="33"/>
        <v>0</v>
      </c>
      <c r="M154" s="3">
        <f t="shared" si="33"/>
        <v>0</v>
      </c>
      <c r="P154" s="3" t="str">
        <f>IF([1]Patrimonio!C165="","",[1]Patrimonio!C165)</f>
        <v/>
      </c>
      <c r="Q154" s="3" t="str">
        <f t="shared" si="30"/>
        <v/>
      </c>
      <c r="R154" s="51" t="str">
        <f t="shared" si="31"/>
        <v/>
      </c>
      <c r="S154" s="5">
        <f t="shared" si="34"/>
        <v>0</v>
      </c>
      <c r="T154" s="5">
        <f t="shared" si="34"/>
        <v>0</v>
      </c>
      <c r="U154" s="5">
        <f t="shared" si="34"/>
        <v>0</v>
      </c>
      <c r="V154" s="5">
        <f t="shared" si="34"/>
        <v>0</v>
      </c>
    </row>
    <row r="155" spans="1:22">
      <c r="A155" s="33"/>
      <c r="J155" s="3">
        <f t="shared" si="33"/>
        <v>0</v>
      </c>
      <c r="K155" s="3">
        <f t="shared" si="33"/>
        <v>0</v>
      </c>
      <c r="L155" s="3">
        <f t="shared" si="33"/>
        <v>0</v>
      </c>
      <c r="M155" s="3">
        <f t="shared" si="33"/>
        <v>0</v>
      </c>
      <c r="P155" s="3" t="str">
        <f>IF([1]Patrimonio!C166="","",[1]Patrimonio!C166)</f>
        <v/>
      </c>
      <c r="Q155" s="3" t="str">
        <f t="shared" si="30"/>
        <v/>
      </c>
      <c r="R155" s="51" t="str">
        <f t="shared" si="31"/>
        <v/>
      </c>
      <c r="S155" s="5">
        <f t="shared" si="34"/>
        <v>0</v>
      </c>
      <c r="T155" s="5">
        <f t="shared" si="34"/>
        <v>0</v>
      </c>
      <c r="U155" s="5">
        <f t="shared" si="34"/>
        <v>0</v>
      </c>
      <c r="V155" s="5">
        <f t="shared" si="34"/>
        <v>0</v>
      </c>
    </row>
    <row r="156" spans="1:22">
      <c r="A156" s="33"/>
      <c r="J156" s="3">
        <f t="shared" si="33"/>
        <v>0</v>
      </c>
      <c r="K156" s="3">
        <f t="shared" si="33"/>
        <v>0</v>
      </c>
      <c r="L156" s="3">
        <f t="shared" si="33"/>
        <v>0</v>
      </c>
      <c r="M156" s="3">
        <f t="shared" si="33"/>
        <v>0</v>
      </c>
      <c r="P156" s="3" t="str">
        <f>IF([1]Patrimonio!C167="","",[1]Patrimonio!C167)</f>
        <v/>
      </c>
      <c r="Q156" s="3" t="str">
        <f t="shared" si="30"/>
        <v/>
      </c>
      <c r="R156" s="51" t="str">
        <f t="shared" si="31"/>
        <v/>
      </c>
      <c r="S156" s="5">
        <f t="shared" si="34"/>
        <v>0</v>
      </c>
      <c r="T156" s="5">
        <f t="shared" si="34"/>
        <v>0</v>
      </c>
      <c r="U156" s="5">
        <f t="shared" si="34"/>
        <v>0</v>
      </c>
      <c r="V156" s="5">
        <f t="shared" si="34"/>
        <v>0</v>
      </c>
    </row>
    <row r="157" spans="1:22">
      <c r="A157" s="33"/>
      <c r="J157" s="3">
        <f t="shared" si="33"/>
        <v>0</v>
      </c>
      <c r="K157" s="3">
        <f t="shared" si="33"/>
        <v>0</v>
      </c>
      <c r="L157" s="3">
        <f t="shared" si="33"/>
        <v>0</v>
      </c>
      <c r="M157" s="3">
        <f t="shared" si="33"/>
        <v>0</v>
      </c>
      <c r="P157" s="3" t="str">
        <f>IF([1]Patrimonio!C168="","",[1]Patrimonio!C168)</f>
        <v/>
      </c>
      <c r="Q157" s="3" t="str">
        <f t="shared" si="30"/>
        <v/>
      </c>
      <c r="R157" s="51" t="str">
        <f t="shared" si="31"/>
        <v/>
      </c>
      <c r="S157" s="5">
        <f t="shared" si="34"/>
        <v>0</v>
      </c>
      <c r="T157" s="5">
        <f t="shared" si="34"/>
        <v>0</v>
      </c>
      <c r="U157" s="5">
        <f t="shared" si="34"/>
        <v>0</v>
      </c>
      <c r="V157" s="5">
        <f t="shared" si="34"/>
        <v>0</v>
      </c>
    </row>
    <row r="158" spans="1:22">
      <c r="A158" s="33"/>
      <c r="J158" s="3">
        <f t="shared" si="33"/>
        <v>0</v>
      </c>
      <c r="K158" s="3">
        <f t="shared" si="33"/>
        <v>0</v>
      </c>
      <c r="L158" s="3">
        <f t="shared" si="33"/>
        <v>0</v>
      </c>
      <c r="M158" s="3">
        <f t="shared" si="33"/>
        <v>0</v>
      </c>
      <c r="P158" s="3" t="str">
        <f>IF([1]Patrimonio!C169="","",[1]Patrimonio!C169)</f>
        <v/>
      </c>
      <c r="Q158" s="3" t="str">
        <f t="shared" si="30"/>
        <v/>
      </c>
      <c r="R158" s="51" t="str">
        <f t="shared" si="31"/>
        <v/>
      </c>
      <c r="S158" s="5">
        <f t="shared" si="34"/>
        <v>0</v>
      </c>
      <c r="T158" s="5">
        <f t="shared" si="34"/>
        <v>0</v>
      </c>
      <c r="U158" s="5">
        <f t="shared" si="34"/>
        <v>0</v>
      </c>
      <c r="V158" s="5">
        <f t="shared" si="34"/>
        <v>0</v>
      </c>
    </row>
    <row r="159" spans="1:22">
      <c r="A159" s="33"/>
      <c r="J159" s="3">
        <f t="shared" si="33"/>
        <v>0</v>
      </c>
      <c r="K159" s="3">
        <f t="shared" si="33"/>
        <v>0</v>
      </c>
      <c r="L159" s="3">
        <f t="shared" si="33"/>
        <v>0</v>
      </c>
      <c r="M159" s="3">
        <f t="shared" si="33"/>
        <v>0</v>
      </c>
    </row>
    <row r="160" spans="1:22">
      <c r="A160" s="33"/>
      <c r="J160" s="3">
        <f t="shared" si="33"/>
        <v>0</v>
      </c>
      <c r="K160" s="3">
        <f t="shared" si="33"/>
        <v>0</v>
      </c>
      <c r="L160" s="3">
        <f t="shared" si="33"/>
        <v>0</v>
      </c>
      <c r="M160" s="3">
        <f t="shared" si="33"/>
        <v>0</v>
      </c>
    </row>
    <row r="161" spans="1:13">
      <c r="A161" s="33"/>
      <c r="J161" s="3">
        <f t="shared" si="33"/>
        <v>0</v>
      </c>
      <c r="K161" s="3">
        <f t="shared" si="33"/>
        <v>0</v>
      </c>
      <c r="L161" s="3">
        <f t="shared" si="33"/>
        <v>0</v>
      </c>
      <c r="M161" s="3">
        <f t="shared" si="33"/>
        <v>0</v>
      </c>
    </row>
    <row r="162" spans="1:13">
      <c r="A162" s="33"/>
      <c r="J162" s="3">
        <f t="shared" si="33"/>
        <v>0</v>
      </c>
      <c r="K162" s="3">
        <f t="shared" si="33"/>
        <v>0</v>
      </c>
      <c r="L162" s="3">
        <f t="shared" si="33"/>
        <v>0</v>
      </c>
      <c r="M162" s="3">
        <f t="shared" si="33"/>
        <v>0</v>
      </c>
    </row>
    <row r="163" spans="1:13">
      <c r="A163" s="33"/>
      <c r="J163" s="3">
        <f t="shared" si="33"/>
        <v>0</v>
      </c>
      <c r="K163" s="3">
        <f t="shared" si="33"/>
        <v>0</v>
      </c>
      <c r="L163" s="3">
        <f t="shared" si="33"/>
        <v>0</v>
      </c>
      <c r="M163" s="3">
        <f t="shared" si="33"/>
        <v>0</v>
      </c>
    </row>
    <row r="164" spans="1:13">
      <c r="A164" s="33"/>
      <c r="J164" s="3">
        <f t="shared" si="33"/>
        <v>0</v>
      </c>
      <c r="K164" s="3">
        <f t="shared" si="33"/>
        <v>0</v>
      </c>
      <c r="L164" s="3">
        <f t="shared" si="33"/>
        <v>0</v>
      </c>
      <c r="M164" s="3">
        <f t="shared" si="33"/>
        <v>0</v>
      </c>
    </row>
    <row r="165" spans="1:13">
      <c r="A165" s="33"/>
      <c r="J165" s="3">
        <f t="shared" si="33"/>
        <v>0</v>
      </c>
      <c r="K165" s="3">
        <f t="shared" si="33"/>
        <v>0</v>
      </c>
      <c r="L165" s="3">
        <f t="shared" si="33"/>
        <v>0</v>
      </c>
      <c r="M165" s="3">
        <f t="shared" si="33"/>
        <v>0</v>
      </c>
    </row>
    <row r="166" spans="1:13">
      <c r="A166" s="33"/>
      <c r="J166" s="3">
        <f t="shared" si="33"/>
        <v>0</v>
      </c>
      <c r="K166" s="3">
        <f t="shared" si="33"/>
        <v>0</v>
      </c>
      <c r="L166" s="3">
        <f t="shared" si="33"/>
        <v>0</v>
      </c>
      <c r="M166" s="3">
        <f t="shared" si="33"/>
        <v>0</v>
      </c>
    </row>
    <row r="167" spans="1:13">
      <c r="A167" s="33"/>
      <c r="J167" s="3">
        <f t="shared" si="33"/>
        <v>0</v>
      </c>
      <c r="K167" s="3">
        <f t="shared" si="33"/>
        <v>0</v>
      </c>
      <c r="L167" s="3">
        <f t="shared" si="33"/>
        <v>0</v>
      </c>
      <c r="M167" s="3">
        <f t="shared" si="33"/>
        <v>0</v>
      </c>
    </row>
    <row r="168" spans="1:13">
      <c r="A168" s="33"/>
      <c r="J168" s="3">
        <f t="shared" si="33"/>
        <v>0</v>
      </c>
      <c r="K168" s="3">
        <f t="shared" si="33"/>
        <v>0</v>
      </c>
      <c r="L168" s="3">
        <f t="shared" si="33"/>
        <v>0</v>
      </c>
      <c r="M168" s="3">
        <f t="shared" si="33"/>
        <v>0</v>
      </c>
    </row>
    <row r="169" spans="1:13">
      <c r="A169" s="33"/>
      <c r="J169" s="3">
        <f t="shared" si="33"/>
        <v>0</v>
      </c>
      <c r="K169" s="3">
        <f t="shared" si="33"/>
        <v>0</v>
      </c>
      <c r="L169" s="3">
        <f t="shared" si="33"/>
        <v>0</v>
      </c>
      <c r="M169" s="3">
        <f t="shared" si="33"/>
        <v>0</v>
      </c>
    </row>
    <row r="170" spans="1:13">
      <c r="A170" s="33"/>
      <c r="J170" s="3">
        <f t="shared" si="33"/>
        <v>0</v>
      </c>
      <c r="K170" s="3">
        <f t="shared" si="33"/>
        <v>0</v>
      </c>
      <c r="L170" s="3">
        <f t="shared" si="33"/>
        <v>0</v>
      </c>
      <c r="M170" s="3">
        <f t="shared" si="33"/>
        <v>0</v>
      </c>
    </row>
    <row r="171" spans="1:13">
      <c r="A171" s="33"/>
      <c r="J171" s="3">
        <f t="shared" si="33"/>
        <v>0</v>
      </c>
      <c r="K171" s="3">
        <f t="shared" si="33"/>
        <v>0</v>
      </c>
      <c r="L171" s="3">
        <f t="shared" si="33"/>
        <v>0</v>
      </c>
      <c r="M171" s="3">
        <f t="shared" si="33"/>
        <v>0</v>
      </c>
    </row>
    <row r="172" spans="1:13">
      <c r="A172" s="33"/>
      <c r="J172" s="3">
        <f t="shared" si="33"/>
        <v>0</v>
      </c>
      <c r="K172" s="3">
        <f t="shared" si="33"/>
        <v>0</v>
      </c>
      <c r="L172" s="3">
        <f t="shared" si="33"/>
        <v>0</v>
      </c>
      <c r="M172" s="3">
        <f t="shared" si="33"/>
        <v>0</v>
      </c>
    </row>
    <row r="173" spans="1:13">
      <c r="A173" s="33"/>
    </row>
    <row r="174" spans="1:13">
      <c r="A174" s="33"/>
    </row>
    <row r="175" spans="1:13">
      <c r="A175" s="33"/>
    </row>
    <row r="176" spans="1:13">
      <c r="A176" s="33"/>
    </row>
    <row r="177" spans="1:1">
      <c r="A177" s="33"/>
    </row>
    <row r="178" spans="1:1">
      <c r="A178" s="33"/>
    </row>
    <row r="179" spans="1:1">
      <c r="A179" s="33"/>
    </row>
    <row r="180" spans="1:1">
      <c r="A180" s="33"/>
    </row>
    <row r="181" spans="1:1">
      <c r="A181" s="33"/>
    </row>
    <row r="182" spans="1:1">
      <c r="A182" s="33"/>
    </row>
    <row r="183" spans="1:1">
      <c r="A183" s="33"/>
    </row>
    <row r="184" spans="1:1">
      <c r="A184" s="33"/>
    </row>
    <row r="185" spans="1:1">
      <c r="A185" s="33"/>
    </row>
    <row r="186" spans="1:1">
      <c r="A186" s="33"/>
    </row>
    <row r="187" spans="1:1">
      <c r="A187" s="33"/>
    </row>
    <row r="188" spans="1:1">
      <c r="A188" s="33"/>
    </row>
    <row r="189" spans="1:1">
      <c r="A189" s="33"/>
    </row>
    <row r="190" spans="1:1">
      <c r="A190" s="33"/>
    </row>
    <row r="191" spans="1:1">
      <c r="A191" s="33"/>
    </row>
    <row r="192" spans="1:1">
      <c r="A192" s="33"/>
    </row>
    <row r="193" spans="1:1">
      <c r="A193" s="33"/>
    </row>
    <row r="194" spans="1:1">
      <c r="A194" s="33"/>
    </row>
    <row r="195" spans="1:1">
      <c r="A195" s="33"/>
    </row>
    <row r="196" spans="1:1">
      <c r="A196" s="33"/>
    </row>
    <row r="197" spans="1:1">
      <c r="A197" s="33"/>
    </row>
    <row r="198" spans="1:1">
      <c r="A198" s="33"/>
    </row>
    <row r="199" spans="1:1">
      <c r="A199" s="33"/>
    </row>
    <row r="200" spans="1:1">
      <c r="A200" s="33"/>
    </row>
    <row r="201" spans="1:1">
      <c r="A201" s="33"/>
    </row>
    <row r="202" spans="1:1">
      <c r="A202" s="33"/>
    </row>
    <row r="203" spans="1:1">
      <c r="A203" s="33"/>
    </row>
    <row r="204" spans="1:1">
      <c r="A204" s="33"/>
    </row>
    <row r="205" spans="1:1">
      <c r="A205" s="33"/>
    </row>
    <row r="206" spans="1:1">
      <c r="A206" s="33"/>
    </row>
    <row r="207" spans="1:1">
      <c r="A207" s="33"/>
    </row>
    <row r="208" spans="1:1">
      <c r="A208" s="33"/>
    </row>
    <row r="209" spans="1:1">
      <c r="A209" s="33"/>
    </row>
    <row r="210" spans="1:1">
      <c r="A210" s="33"/>
    </row>
    <row r="211" spans="1:1">
      <c r="A211" s="33"/>
    </row>
    <row r="212" spans="1:1">
      <c r="A212" s="33"/>
    </row>
    <row r="213" spans="1:1">
      <c r="A213" s="33"/>
    </row>
    <row r="214" spans="1:1">
      <c r="A214" s="33"/>
    </row>
    <row r="215" spans="1:1">
      <c r="A215" s="33"/>
    </row>
    <row r="216" spans="1:1">
      <c r="A216" s="33"/>
    </row>
    <row r="217" spans="1:1">
      <c r="A217" s="33"/>
    </row>
    <row r="218" spans="1:1">
      <c r="A218" s="33"/>
    </row>
    <row r="219" spans="1:1">
      <c r="A219" s="33"/>
    </row>
    <row r="220" spans="1:1">
      <c r="A220" s="33"/>
    </row>
    <row r="221" spans="1:1">
      <c r="A221" s="33"/>
    </row>
    <row r="222" spans="1:1">
      <c r="A222" s="33"/>
    </row>
    <row r="223" spans="1:1">
      <c r="A223" s="33"/>
    </row>
    <row r="224" spans="1:1">
      <c r="A224" s="33"/>
    </row>
    <row r="225" spans="1:1">
      <c r="A225" s="33"/>
    </row>
    <row r="226" spans="1:1">
      <c r="A226" s="33"/>
    </row>
    <row r="227" spans="1:1">
      <c r="A227" s="33"/>
    </row>
    <row r="228" spans="1:1">
      <c r="A228" s="33"/>
    </row>
    <row r="229" spans="1:1">
      <c r="A229" s="33"/>
    </row>
    <row r="230" spans="1:1">
      <c r="A230" s="33"/>
    </row>
    <row r="231" spans="1:1">
      <c r="A231" s="33"/>
    </row>
    <row r="232" spans="1:1">
      <c r="A232" s="33"/>
    </row>
    <row r="233" spans="1:1">
      <c r="A233" s="33"/>
    </row>
    <row r="234" spans="1:1">
      <c r="A234" s="33"/>
    </row>
    <row r="235" spans="1:1">
      <c r="A235" s="33"/>
    </row>
    <row r="236" spans="1:1">
      <c r="A236" s="33"/>
    </row>
    <row r="237" spans="1:1">
      <c r="A237" s="33"/>
    </row>
    <row r="238" spans="1:1">
      <c r="A238" s="33"/>
    </row>
    <row r="239" spans="1:1">
      <c r="A239" s="33"/>
    </row>
    <row r="240" spans="1:1">
      <c r="A240" s="33"/>
    </row>
    <row r="241" spans="1:1">
      <c r="A241" s="33"/>
    </row>
    <row r="242" spans="1:1">
      <c r="A242" s="33"/>
    </row>
    <row r="243" spans="1:1">
      <c r="A243" s="33"/>
    </row>
    <row r="244" spans="1:1">
      <c r="A244" s="33"/>
    </row>
    <row r="245" spans="1:1">
      <c r="A245" s="33"/>
    </row>
    <row r="246" spans="1:1">
      <c r="A246" s="33"/>
    </row>
    <row r="247" spans="1:1">
      <c r="A247" s="33"/>
    </row>
    <row r="248" spans="1:1">
      <c r="A248" s="33"/>
    </row>
    <row r="249" spans="1:1">
      <c r="A249" s="33"/>
    </row>
    <row r="250" spans="1:1">
      <c r="A250" s="33"/>
    </row>
    <row r="251" spans="1:1">
      <c r="A251" s="33"/>
    </row>
    <row r="252" spans="1:1">
      <c r="A252" s="33"/>
    </row>
    <row r="253" spans="1:1">
      <c r="A253" s="33"/>
    </row>
    <row r="254" spans="1:1">
      <c r="A254" s="33"/>
    </row>
    <row r="255" spans="1:1">
      <c r="A255" s="33"/>
    </row>
    <row r="256" spans="1:1">
      <c r="A256" s="33"/>
    </row>
    <row r="257" spans="1:1">
      <c r="A257" s="33"/>
    </row>
    <row r="258" spans="1:1">
      <c r="A258" s="33"/>
    </row>
    <row r="259" spans="1:1">
      <c r="A259" s="33"/>
    </row>
    <row r="260" spans="1:1">
      <c r="A260" s="33"/>
    </row>
    <row r="261" spans="1:1">
      <c r="A261" s="33"/>
    </row>
    <row r="262" spans="1:1">
      <c r="A262" s="33"/>
    </row>
    <row r="263" spans="1:1">
      <c r="A263" s="33"/>
    </row>
    <row r="264" spans="1:1">
      <c r="A264" s="33"/>
    </row>
    <row r="265" spans="1:1">
      <c r="A265" s="33"/>
    </row>
    <row r="266" spans="1:1">
      <c r="A266" s="33"/>
    </row>
    <row r="267" spans="1:1">
      <c r="A267" s="33"/>
    </row>
    <row r="268" spans="1:1">
      <c r="A268" s="33"/>
    </row>
    <row r="269" spans="1:1">
      <c r="A269" s="33"/>
    </row>
    <row r="270" spans="1:1">
      <c r="A270" s="33"/>
    </row>
    <row r="271" spans="1:1">
      <c r="A271" s="33"/>
    </row>
    <row r="272" spans="1:1">
      <c r="A272" s="33"/>
    </row>
    <row r="273" spans="1:1">
      <c r="A273" s="33"/>
    </row>
    <row r="274" spans="1:1">
      <c r="A274" s="33"/>
    </row>
    <row r="275" spans="1:1">
      <c r="A275" s="33"/>
    </row>
    <row r="276" spans="1:1">
      <c r="A276" s="33"/>
    </row>
    <row r="277" spans="1:1">
      <c r="A277" s="33"/>
    </row>
    <row r="278" spans="1:1">
      <c r="A278" s="33"/>
    </row>
    <row r="279" spans="1:1">
      <c r="A279" s="33"/>
    </row>
    <row r="280" spans="1:1">
      <c r="A280" s="33"/>
    </row>
    <row r="281" spans="1:1">
      <c r="A281" s="33"/>
    </row>
    <row r="282" spans="1:1">
      <c r="A282" s="33"/>
    </row>
    <row r="283" spans="1:1">
      <c r="A283" s="33"/>
    </row>
    <row r="284" spans="1:1">
      <c r="A284" s="33"/>
    </row>
    <row r="285" spans="1:1">
      <c r="A285" s="33"/>
    </row>
    <row r="286" spans="1:1">
      <c r="A286" s="33"/>
    </row>
    <row r="287" spans="1:1">
      <c r="A287" s="33"/>
    </row>
    <row r="288" spans="1:1">
      <c r="A288" s="33"/>
    </row>
    <row r="289" spans="1:1">
      <c r="A289" s="33"/>
    </row>
    <row r="290" spans="1:1">
      <c r="A290" s="33"/>
    </row>
    <row r="291" spans="1:1">
      <c r="A291" s="33"/>
    </row>
    <row r="292" spans="1:1">
      <c r="A292" s="33"/>
    </row>
    <row r="293" spans="1:1">
      <c r="A293" s="33"/>
    </row>
    <row r="294" spans="1:1">
      <c r="A294" s="33"/>
    </row>
    <row r="295" spans="1:1">
      <c r="A295" s="33"/>
    </row>
    <row r="296" spans="1:1">
      <c r="A296" s="33"/>
    </row>
    <row r="297" spans="1:1">
      <c r="A297" s="33"/>
    </row>
    <row r="298" spans="1:1">
      <c r="A298" s="33"/>
    </row>
    <row r="299" spans="1:1">
      <c r="A299" s="33"/>
    </row>
    <row r="300" spans="1:1">
      <c r="A300" s="33"/>
    </row>
    <row r="301" spans="1:1">
      <c r="A301" s="33"/>
    </row>
    <row r="302" spans="1:1">
      <c r="A302" s="33"/>
    </row>
    <row r="303" spans="1:1">
      <c r="A303" s="33"/>
    </row>
    <row r="304" spans="1:1">
      <c r="A304" s="33"/>
    </row>
    <row r="305" spans="1:1">
      <c r="A305" s="33"/>
    </row>
    <row r="306" spans="1:1">
      <c r="A306" s="33"/>
    </row>
    <row r="307" spans="1:1">
      <c r="A307" s="33"/>
    </row>
    <row r="308" spans="1:1">
      <c r="A308" s="33"/>
    </row>
    <row r="309" spans="1:1">
      <c r="A309" s="33"/>
    </row>
    <row r="310" spans="1:1">
      <c r="A310" s="33"/>
    </row>
    <row r="311" spans="1:1">
      <c r="A311" s="33"/>
    </row>
    <row r="312" spans="1:1">
      <c r="A312" s="33"/>
    </row>
    <row r="313" spans="1:1">
      <c r="A313" s="33"/>
    </row>
    <row r="314" spans="1:1">
      <c r="A314" s="33"/>
    </row>
    <row r="315" spans="1:1">
      <c r="A315" s="33"/>
    </row>
    <row r="316" spans="1:1">
      <c r="A316" s="33"/>
    </row>
    <row r="317" spans="1:1">
      <c r="A317" s="33"/>
    </row>
    <row r="318" spans="1:1">
      <c r="A318" s="33"/>
    </row>
    <row r="319" spans="1:1">
      <c r="A319" s="33"/>
    </row>
    <row r="320" spans="1:1">
      <c r="A320" s="33"/>
    </row>
    <row r="321" spans="1:1">
      <c r="A321" s="33"/>
    </row>
    <row r="322" spans="1:1">
      <c r="A322" s="33"/>
    </row>
    <row r="323" spans="1:1">
      <c r="A323" s="33"/>
    </row>
    <row r="324" spans="1:1">
      <c r="A324" s="33"/>
    </row>
    <row r="325" spans="1:1">
      <c r="A325" s="33"/>
    </row>
    <row r="326" spans="1:1">
      <c r="A326" s="33"/>
    </row>
    <row r="327" spans="1:1">
      <c r="A327" s="33"/>
    </row>
    <row r="328" spans="1:1">
      <c r="A328" s="33"/>
    </row>
    <row r="329" spans="1:1">
      <c r="A329" s="33"/>
    </row>
    <row r="330" spans="1:1">
      <c r="A330" s="33"/>
    </row>
  </sheetData>
  <pageMargins left="0.511811024" right="0.511811024" top="0.78740157499999996" bottom="0.78740157499999996" header="0.31496062000000002" footer="0.31496062000000002"/>
  <pageSetup paperSize="9" orientation="portrait" r:id="rId1"/>
  <legacyDrawing r:id="rId2"/>
  <tableParts count="1">
    <tablePart r:id="rId3"/>
  </tableParts>
</worksheet>
</file>

<file path=xl/worksheets/sheet7.xml><?xml version="1.0" encoding="utf-8"?>
<worksheet xmlns="http://schemas.openxmlformats.org/spreadsheetml/2006/main" xmlns:r="http://schemas.openxmlformats.org/officeDocument/2006/relationships">
  <dimension ref="A1:S11"/>
  <sheetViews>
    <sheetView workbookViewId="0">
      <selection activeCell="S10" sqref="S10"/>
    </sheetView>
  </sheetViews>
  <sheetFormatPr defaultRowHeight="11.25"/>
  <cols>
    <col min="1" max="1" width="13.5703125" style="51" bestFit="1" customWidth="1"/>
    <col min="2" max="2" width="5.28515625" style="16" hidden="1" customWidth="1"/>
    <col min="3" max="3" width="6" style="16" hidden="1" customWidth="1"/>
    <col min="4" max="4" width="5.85546875" style="16" hidden="1" customWidth="1"/>
    <col min="5" max="5" width="7.140625" style="5" bestFit="1" customWidth="1"/>
    <col min="6" max="6" width="10.42578125" style="72" bestFit="1" customWidth="1"/>
    <col min="7" max="7" width="7.42578125" style="73" bestFit="1" customWidth="1"/>
    <col min="8" max="8" width="9.7109375" style="74" bestFit="1" customWidth="1"/>
    <col min="9" max="9" width="10.85546875" style="74" bestFit="1" customWidth="1"/>
    <col min="10" max="10" width="7.7109375" style="5" bestFit="1" customWidth="1"/>
    <col min="11" max="11" width="11" style="3" bestFit="1" customWidth="1"/>
    <col min="12" max="12" width="12.5703125" style="3" bestFit="1" customWidth="1"/>
    <col min="13" max="13" width="13.140625" style="3" bestFit="1" customWidth="1"/>
    <col min="14" max="14" width="12.42578125" style="3" bestFit="1" customWidth="1"/>
    <col min="15" max="17" width="9.140625" style="3"/>
    <col min="18" max="18" width="12" style="3" bestFit="1" customWidth="1"/>
    <col min="19" max="16384" width="9.140625" style="3"/>
  </cols>
  <sheetData>
    <row r="1" spans="1:19">
      <c r="A1" s="32" t="s">
        <v>307</v>
      </c>
      <c r="B1" s="70" t="s">
        <v>393</v>
      </c>
      <c r="C1" s="70" t="s">
        <v>394</v>
      </c>
      <c r="D1" s="70" t="s">
        <v>395</v>
      </c>
      <c r="E1" s="31" t="s">
        <v>385</v>
      </c>
      <c r="F1" s="71" t="s">
        <v>310</v>
      </c>
      <c r="G1" s="71" t="s">
        <v>308</v>
      </c>
      <c r="H1" s="71" t="s">
        <v>309</v>
      </c>
      <c r="I1" s="71" t="s">
        <v>396</v>
      </c>
      <c r="J1" s="12" t="s">
        <v>397</v>
      </c>
      <c r="K1" s="65" t="s">
        <v>386</v>
      </c>
      <c r="L1" s="66" t="s">
        <v>387</v>
      </c>
      <c r="M1" s="66" t="s">
        <v>388</v>
      </c>
      <c r="N1" s="62" t="s">
        <v>17</v>
      </c>
    </row>
    <row r="2" spans="1:19">
      <c r="A2" s="63">
        <v>41645</v>
      </c>
      <c r="B2" s="16">
        <f>DAY([Data Liquidação])</f>
        <v>6</v>
      </c>
      <c r="C2" s="16">
        <f>MONTH([Data Liquidação])</f>
        <v>1</v>
      </c>
      <c r="D2" s="16">
        <f>YEAR([Data Liquidação])</f>
        <v>2014</v>
      </c>
      <c r="E2" s="63" t="s">
        <v>67</v>
      </c>
      <c r="F2" s="72">
        <v>940.06</v>
      </c>
      <c r="G2" s="72">
        <v>0</v>
      </c>
      <c r="H2" s="72">
        <v>0</v>
      </c>
      <c r="I2" s="72">
        <v>0</v>
      </c>
      <c r="K2" s="16">
        <v>100</v>
      </c>
      <c r="L2" s="67">
        <f>SUMPRODUCT(N([Nome]=Table4[[#This Row],[Nome]]),N(DATE(YEAR([Data Liquidação]),MONTH([Data Liquidação]),DAY([Data Liquidação]))&lt;=DATE(YEAR(Table4[[#This Row],[Data Liquidação]]),MONTH(Table4[[#This Row],[Data Liquidação]]),DAY(Table4[[#This Row],[Data Liquidação]]))),[Aplicação])/SUMPRODUCT(N([Nome]=Table4[[#This Row],[Nome]]),N(DATE(YEAR([Data Liquidação]),MONTH([Data Liquidação]),DAY([Data Liquidação]))&lt;=DATE(YEAR(Table4[[#This Row],[Data Liquidação]]),MONTH(Table4[[#This Row],[Data Liquidação]]),DAY(Table4[[#This Row],[Data Liquidação]]))),[Quantidade])</f>
        <v>9.400599999999999</v>
      </c>
      <c r="M2" s="67">
        <f>IF(OR([Dividendo]&gt;0,[JPC]&gt;0),(Table4[[#This Row],[Dividendo]]+Table4[[#This Row],[JPC]])/SUMPRODUCT(N([Nome]=Table4[[#This Row],[Nome]]),N(DATE(YEAR([Data Liquidação]),MONTH([Data Liquidação]),DAY([Data Liquidação]))&lt;=DATE(YEAR(Table4[[#This Row],[Data Liquidação]]),MONTH(Table4[[#This Row],[Data Liquidação]]),DAY(Table4[[#This Row],[Data Liquidação]]))),[Quantidade]),0)</f>
        <v>0</v>
      </c>
      <c r="N2" s="18" t="str">
        <f>IF([Lucro p/ Ação]&gt;0,[Lucro p/ Ação]/[Preço Médio],"")</f>
        <v/>
      </c>
    </row>
    <row r="3" spans="1:19">
      <c r="A3" s="63">
        <v>41673</v>
      </c>
      <c r="B3" s="16">
        <f>DAY([Data Liquidação])</f>
        <v>3</v>
      </c>
      <c r="C3" s="16">
        <f>MONTH([Data Liquidação])</f>
        <v>2</v>
      </c>
      <c r="D3" s="16">
        <f>YEAR([Data Liquidação])</f>
        <v>2014</v>
      </c>
      <c r="E3" s="95" t="s">
        <v>39</v>
      </c>
      <c r="F3" s="72">
        <v>315.86</v>
      </c>
      <c r="G3" s="73">
        <v>0</v>
      </c>
      <c r="H3" s="74">
        <v>0</v>
      </c>
      <c r="I3" s="74">
        <v>0</v>
      </c>
      <c r="J3" s="5">
        <v>0</v>
      </c>
      <c r="K3" s="10">
        <v>600</v>
      </c>
      <c r="L3" s="59">
        <f>SUMPRODUCT(N([Nome]=Table4[[#This Row],[Nome]]),N(DATE(YEAR([Data Liquidação]),MONTH([Data Liquidação]),DAY([Data Liquidação]))&lt;=DATE(YEAR(Table4[[#This Row],[Data Liquidação]]),MONTH(Table4[[#This Row],[Data Liquidação]]),DAY(Table4[[#This Row],[Data Liquidação]]))),[Aplicação])/SUMPRODUCT(N([Nome]=Table4[[#This Row],[Nome]]),N(DATE(YEAR([Data Liquidação]),MONTH([Data Liquidação]),DAY([Data Liquidação]))&lt;=DATE(YEAR(Table4[[#This Row],[Data Liquidação]]),MONTH(Table4[[#This Row],[Data Liquidação]]),DAY(Table4[[#This Row],[Data Liquidação]]))),[Quantidade])</f>
        <v>0.52643333333333331</v>
      </c>
      <c r="M3" s="59">
        <f>IF(OR([Dividendo]&gt;0,[JPC]&gt;0),(Table4[[#This Row],[Dividendo]]+Table4[[#This Row],[JPC]])/SUMPRODUCT(N([Nome]=Table4[[#This Row],[Nome]]),N(DATE(YEAR([Data Liquidação]),MONTH([Data Liquidação]),DAY([Data Liquidação]))&lt;=DATE(YEAR(Table4[[#This Row],[Data Liquidação]]),MONTH(Table4[[#This Row],[Data Liquidação]]),DAY(Table4[[#This Row],[Data Liquidação]]))),[Quantidade]),0)</f>
        <v>0</v>
      </c>
      <c r="N3" s="22" t="str">
        <f>IF([Lucro p/ Ação]&gt;0,[Lucro p/ Ação]/[Preço Médio],"")</f>
        <v/>
      </c>
      <c r="Q3" s="53"/>
      <c r="R3" s="18"/>
      <c r="S3" s="64"/>
    </row>
    <row r="4" spans="1:19">
      <c r="A4" s="51" t="s">
        <v>311</v>
      </c>
      <c r="B4" s="10"/>
      <c r="C4" s="10"/>
      <c r="D4" s="10"/>
      <c r="E4" s="10"/>
      <c r="F4" s="73">
        <f>SUBTOTAL(109,[Aplicação])</f>
        <v>1255.92</v>
      </c>
      <c r="G4" s="73">
        <f>SUBTOTAL(105,[Taxas])</f>
        <v>0</v>
      </c>
      <c r="H4" s="73">
        <f>SUBTOTAL(109,[Resgates])</f>
        <v>0</v>
      </c>
      <c r="I4" s="73">
        <f>SUBTOTAL(109,[Dividendo])</f>
        <v>0</v>
      </c>
      <c r="J4" s="7">
        <f>SUBTOTAL(109,[JPC])</f>
        <v>0</v>
      </c>
      <c r="K4" s="10"/>
      <c r="L4" s="59"/>
      <c r="M4" s="59"/>
      <c r="N4" s="22">
        <f>(Table4[[#Totals],[JPC]]+Table4[[#Totals],[Dividendo]])/Table4[[#Totals],[Aplicação]]</f>
        <v>0</v>
      </c>
    </row>
    <row r="10" spans="1:19">
      <c r="Q10" s="3">
        <v>3600</v>
      </c>
      <c r="R10" s="53">
        <v>0.5</v>
      </c>
      <c r="S10" s="3">
        <v>10</v>
      </c>
    </row>
    <row r="11" spans="1:19">
      <c r="R11" s="96">
        <f>FV(R10,S10,-Q10)</f>
        <v>407988.28125</v>
      </c>
    </row>
  </sheetData>
  <pageMargins left="0.7" right="0.7" top="0.75" bottom="0.75" header="0.3" footer="0.3"/>
  <tableParts count="1">
    <tablePart r:id="rId1"/>
  </tableParts>
</worksheet>
</file>

<file path=xl/worksheets/sheet8.xml><?xml version="1.0" encoding="utf-8"?>
<worksheet xmlns="http://schemas.openxmlformats.org/spreadsheetml/2006/main" xmlns:r="http://schemas.openxmlformats.org/officeDocument/2006/relationships">
  <dimension ref="A3:G7"/>
  <sheetViews>
    <sheetView workbookViewId="0">
      <selection activeCell="E6" sqref="E6"/>
    </sheetView>
  </sheetViews>
  <sheetFormatPr defaultRowHeight="15"/>
  <cols>
    <col min="1" max="1" width="13.140625" bestFit="1" customWidth="1"/>
    <col min="2" max="2" width="13.7109375" customWidth="1"/>
    <col min="3" max="3" width="14.28515625" customWidth="1"/>
    <col min="4" max="4" width="15.140625" customWidth="1"/>
    <col min="5" max="5" width="8.85546875" bestFit="1" customWidth="1"/>
    <col min="6" max="6" width="18" customWidth="1"/>
    <col min="7" max="7" width="15.5703125" bestFit="1" customWidth="1"/>
  </cols>
  <sheetData>
    <row r="3" spans="1:7">
      <c r="B3" s="1" t="s">
        <v>11</v>
      </c>
    </row>
    <row r="4" spans="1:7">
      <c r="A4" s="1" t="s">
        <v>802</v>
      </c>
      <c r="B4" t="s">
        <v>389</v>
      </c>
      <c r="C4" t="s">
        <v>390</v>
      </c>
      <c r="D4" t="s">
        <v>398</v>
      </c>
      <c r="E4" t="s">
        <v>399</v>
      </c>
      <c r="F4" t="s">
        <v>391</v>
      </c>
      <c r="G4" t="s">
        <v>392</v>
      </c>
    </row>
    <row r="5" spans="1:7">
      <c r="A5" s="2" t="s">
        <v>67</v>
      </c>
      <c r="B5" s="69">
        <v>940.06</v>
      </c>
      <c r="C5" s="68">
        <v>100</v>
      </c>
      <c r="D5" s="69">
        <v>0</v>
      </c>
      <c r="E5" s="69"/>
      <c r="F5" s="69">
        <v>0</v>
      </c>
      <c r="G5" s="50">
        <v>0</v>
      </c>
    </row>
    <row r="6" spans="1:7">
      <c r="A6" s="2" t="s">
        <v>39</v>
      </c>
      <c r="B6" s="69">
        <v>315.86</v>
      </c>
      <c r="C6" s="68">
        <v>600</v>
      </c>
      <c r="D6" s="69">
        <v>0</v>
      </c>
      <c r="E6" s="69">
        <v>0</v>
      </c>
      <c r="F6" s="69">
        <v>0</v>
      </c>
      <c r="G6" s="50">
        <v>0</v>
      </c>
    </row>
    <row r="7" spans="1:7">
      <c r="A7" s="2" t="s">
        <v>803</v>
      </c>
      <c r="B7" s="69">
        <v>1255.92</v>
      </c>
      <c r="C7" s="68">
        <v>700</v>
      </c>
      <c r="D7" s="69">
        <v>0</v>
      </c>
      <c r="E7" s="69">
        <v>0</v>
      </c>
      <c r="F7" s="69">
        <v>0</v>
      </c>
      <c r="G7" s="50">
        <v>0</v>
      </c>
    </row>
  </sheetData>
  <pageMargins left="0.511811024" right="0.511811024" top="0.78740157499999996" bottom="0.78740157499999996" header="0.31496062000000002" footer="0.31496062000000002"/>
</worksheet>
</file>

<file path=xl/worksheets/sheet9.xml><?xml version="1.0" encoding="utf-8"?>
<worksheet xmlns="http://schemas.openxmlformats.org/spreadsheetml/2006/main" xmlns:r="http://schemas.openxmlformats.org/officeDocument/2006/relationships">
  <dimension ref="A1:R25"/>
  <sheetViews>
    <sheetView topLeftCell="G1" workbookViewId="0">
      <selection activeCell="P2" sqref="P2"/>
    </sheetView>
  </sheetViews>
  <sheetFormatPr defaultRowHeight="15"/>
  <cols>
    <col min="1" max="1" width="3" bestFit="1" customWidth="1"/>
    <col min="2" max="2" width="13.28515625" bestFit="1" customWidth="1"/>
    <col min="3" max="4" width="15.85546875" bestFit="1" customWidth="1"/>
    <col min="5" max="5" width="13.28515625" bestFit="1" customWidth="1"/>
    <col min="6" max="6" width="16.85546875" bestFit="1" customWidth="1"/>
    <col min="7" max="7" width="10.5703125" bestFit="1" customWidth="1"/>
    <col min="8" max="8" width="15.85546875" bestFit="1" customWidth="1"/>
    <col min="9" max="9" width="10.5703125" bestFit="1" customWidth="1"/>
    <col min="10" max="10" width="13.28515625" bestFit="1" customWidth="1"/>
    <col min="11" max="11" width="16.85546875" bestFit="1" customWidth="1"/>
    <col min="12" max="12" width="13.28515625" bestFit="1" customWidth="1"/>
    <col min="16" max="16" width="9.5703125" bestFit="1" customWidth="1"/>
    <col min="17" max="17" width="15.85546875" bestFit="1" customWidth="1"/>
    <col min="18" max="18" width="14.28515625" bestFit="1" customWidth="1"/>
  </cols>
  <sheetData>
    <row r="1" spans="1:18">
      <c r="A1" s="97" t="s">
        <v>940</v>
      </c>
      <c r="B1" s="97" t="s">
        <v>941</v>
      </c>
      <c r="C1" s="97" t="s">
        <v>310</v>
      </c>
      <c r="D1" s="97" t="s">
        <v>53</v>
      </c>
      <c r="E1" s="99">
        <v>0.2</v>
      </c>
      <c r="F1" s="99">
        <v>0.8</v>
      </c>
      <c r="G1" s="100">
        <v>0.46</v>
      </c>
      <c r="O1">
        <v>500000</v>
      </c>
      <c r="P1" s="98">
        <v>0.46</v>
      </c>
      <c r="Q1" s="76">
        <f>O1*P1</f>
        <v>230000</v>
      </c>
    </row>
    <row r="2" spans="1:18">
      <c r="A2">
        <v>1</v>
      </c>
      <c r="B2" s="98">
        <v>500</v>
      </c>
      <c r="C2" s="76">
        <f>SUM($B$2:B2)</f>
        <v>500</v>
      </c>
      <c r="D2" s="76">
        <f>C2*85%</f>
        <v>425</v>
      </c>
      <c r="E2" s="76">
        <f>D2*20%</f>
        <v>85</v>
      </c>
      <c r="F2" s="76">
        <f>D2-E2</f>
        <v>340</v>
      </c>
      <c r="G2">
        <f>F2/$G$1-MOD(F2/$G$1,100)</f>
        <v>700</v>
      </c>
      <c r="H2" s="76">
        <f>SUM(F$2:F2)+SUM(K$2:K2)</f>
        <v>340</v>
      </c>
      <c r="I2" s="101">
        <f>SUM(G$2:G2)</f>
        <v>700</v>
      </c>
      <c r="J2" s="76">
        <f>SUM(B$2:B2)/2</f>
        <v>250</v>
      </c>
      <c r="O2">
        <v>100000</v>
      </c>
      <c r="P2" s="98">
        <v>40</v>
      </c>
      <c r="Q2" s="76">
        <f>O2*P2</f>
        <v>4000000</v>
      </c>
    </row>
    <row r="3" spans="1:18">
      <c r="A3">
        <v>2</v>
      </c>
      <c r="B3" s="98">
        <f>B2</f>
        <v>500</v>
      </c>
      <c r="C3" s="76">
        <f>SUM($B$2:B3)+SUM(E$2:E2)</f>
        <v>1085</v>
      </c>
      <c r="D3" s="76">
        <f t="shared" ref="D3:D22" si="0">C3*85%</f>
        <v>922.25</v>
      </c>
      <c r="E3" s="76">
        <f t="shared" ref="E3:E22" si="1">D3*20%</f>
        <v>184.45000000000002</v>
      </c>
      <c r="F3" s="76">
        <f t="shared" ref="F3:F22" si="2">D3-E3</f>
        <v>737.8</v>
      </c>
      <c r="G3">
        <f t="shared" ref="G3:G22" si="3">F3/$G$1-MOD(F3/$G$1,100)</f>
        <v>1600</v>
      </c>
      <c r="H3" s="76">
        <f>SUM(F$2:F3)+SUM(K$2:K2)</f>
        <v>1077.8</v>
      </c>
      <c r="I3" s="101">
        <f>SUM(G$2:G3)</f>
        <v>2300</v>
      </c>
      <c r="J3" s="76">
        <f>SUM(B$2:B3)/2</f>
        <v>500</v>
      </c>
      <c r="P3" s="76">
        <f>P2-P1</f>
        <v>39.54</v>
      </c>
      <c r="Q3" s="76">
        <f>P3*O2</f>
        <v>3954000</v>
      </c>
    </row>
    <row r="4" spans="1:18">
      <c r="A4">
        <v>3</v>
      </c>
      <c r="B4" s="98">
        <f t="shared" ref="B4:B25" si="4">B3</f>
        <v>500</v>
      </c>
      <c r="C4" s="76">
        <f>SUM($B$2:B4)+SUM(E$2:E3)</f>
        <v>1769.45</v>
      </c>
      <c r="D4" s="76">
        <f t="shared" si="0"/>
        <v>1504.0325</v>
      </c>
      <c r="E4" s="76">
        <f t="shared" si="1"/>
        <v>300.80650000000003</v>
      </c>
      <c r="F4" s="76">
        <f t="shared" si="2"/>
        <v>1203.2260000000001</v>
      </c>
      <c r="G4">
        <f t="shared" si="3"/>
        <v>2600</v>
      </c>
      <c r="H4" s="76">
        <f>SUM(F$2:F4)+SUM(K$2:K3)</f>
        <v>2281.0259999999998</v>
      </c>
      <c r="I4" s="101">
        <f>SUM(G$2:G4)</f>
        <v>4900</v>
      </c>
      <c r="J4" s="76">
        <f>SUM(B$2:B4)/2</f>
        <v>750</v>
      </c>
      <c r="Q4" s="76">
        <f>Q3*85%</f>
        <v>3360900</v>
      </c>
      <c r="R4" s="76">
        <f>Q3-Q4</f>
        <v>593100</v>
      </c>
    </row>
    <row r="5" spans="1:18">
      <c r="A5">
        <v>4</v>
      </c>
      <c r="B5" s="98">
        <f t="shared" si="4"/>
        <v>500</v>
      </c>
      <c r="C5" s="76">
        <f>SUM($B$2:B5)+SUM(E$2:E4)</f>
        <v>2570.2565</v>
      </c>
      <c r="D5" s="76">
        <f t="shared" si="0"/>
        <v>2184.7180250000001</v>
      </c>
      <c r="E5" s="76">
        <f t="shared" si="1"/>
        <v>436.94360500000005</v>
      </c>
      <c r="F5" s="76">
        <f t="shared" si="2"/>
        <v>1747.7744200000002</v>
      </c>
      <c r="G5">
        <f t="shared" si="3"/>
        <v>3700</v>
      </c>
      <c r="H5" s="76">
        <f>SUM(F$2:F5)+SUM(K$2:K4)</f>
        <v>4028.80042</v>
      </c>
      <c r="I5" s="101">
        <f>SUM(G$2:G5)</f>
        <v>8600</v>
      </c>
      <c r="J5" s="76">
        <f>SUM(B$2:B5)/2</f>
        <v>1000</v>
      </c>
    </row>
    <row r="6" spans="1:18">
      <c r="A6">
        <v>5</v>
      </c>
      <c r="B6" s="98">
        <f t="shared" si="4"/>
        <v>500</v>
      </c>
      <c r="C6" s="76">
        <f>SUM($B$2:B6)+SUM(E$2:E5)</f>
        <v>3507.2001049999999</v>
      </c>
      <c r="D6" s="76">
        <f t="shared" si="0"/>
        <v>2981.1200892499996</v>
      </c>
      <c r="E6" s="76">
        <f t="shared" si="1"/>
        <v>596.22401785</v>
      </c>
      <c r="F6" s="76">
        <f t="shared" si="2"/>
        <v>2384.8960713999995</v>
      </c>
      <c r="G6">
        <f t="shared" si="3"/>
        <v>5100</v>
      </c>
      <c r="H6" s="76">
        <f>SUM(F$2:F6)+SUM(K$2:K5)</f>
        <v>6413.6964914</v>
      </c>
      <c r="I6" s="101">
        <f>SUM(G$2:G6)</f>
        <v>13700</v>
      </c>
      <c r="J6" s="76">
        <f>SUM(B$2:B6)/2</f>
        <v>1250</v>
      </c>
    </row>
    <row r="7" spans="1:18">
      <c r="A7">
        <v>6</v>
      </c>
      <c r="B7" s="98">
        <f t="shared" si="4"/>
        <v>500</v>
      </c>
      <c r="C7" s="76">
        <f>SUM($B$2:B7)+SUM(E$2:E6)</f>
        <v>4603.4241228499995</v>
      </c>
      <c r="D7" s="76">
        <f t="shared" si="0"/>
        <v>3912.9105044224993</v>
      </c>
      <c r="E7" s="76">
        <f t="shared" si="1"/>
        <v>782.58210088449994</v>
      </c>
      <c r="F7" s="76">
        <f t="shared" si="2"/>
        <v>3130.3284035379993</v>
      </c>
      <c r="G7">
        <f t="shared" si="3"/>
        <v>6800</v>
      </c>
      <c r="H7" s="76">
        <f>SUM(F$2:F7)+SUM(K$2:K6)</f>
        <v>9544.0248949380002</v>
      </c>
      <c r="I7" s="101">
        <f>SUM(G$2:G7)</f>
        <v>20500</v>
      </c>
      <c r="J7" s="76">
        <f>SUM(B$2:B7)/2</f>
        <v>1500</v>
      </c>
    </row>
    <row r="8" spans="1:18">
      <c r="A8">
        <v>7</v>
      </c>
      <c r="B8" s="98">
        <f>B7</f>
        <v>500</v>
      </c>
      <c r="C8" s="76">
        <f>SUM($B$2:B8)+SUM(E$2:E7)</f>
        <v>5886.0062237345001</v>
      </c>
      <c r="D8" s="76">
        <f t="shared" si="0"/>
        <v>5003.1052901743251</v>
      </c>
      <c r="E8" s="76">
        <f t="shared" si="1"/>
        <v>1000.6210580348651</v>
      </c>
      <c r="F8" s="76">
        <f t="shared" si="2"/>
        <v>4002.4842321394599</v>
      </c>
      <c r="G8">
        <f t="shared" si="3"/>
        <v>8700</v>
      </c>
      <c r="H8" s="76">
        <f>SUM(F$2:F8)+SUM(K$2:K7)</f>
        <v>13546.509127077461</v>
      </c>
      <c r="I8" s="101">
        <f>SUM(G$2:G8)</f>
        <v>29200</v>
      </c>
      <c r="J8" s="76">
        <f>SUM(B$2:B8)/2</f>
        <v>1750</v>
      </c>
    </row>
    <row r="9" spans="1:18">
      <c r="A9">
        <v>8</v>
      </c>
      <c r="B9" s="98">
        <f>B8</f>
        <v>500</v>
      </c>
      <c r="C9" s="76">
        <f>SUM($B$2:B9)+SUM(E$2:E8)</f>
        <v>7386.6272817693653</v>
      </c>
      <c r="D9" s="76">
        <f t="shared" si="0"/>
        <v>6278.6331895039602</v>
      </c>
      <c r="E9" s="76">
        <f t="shared" si="1"/>
        <v>1255.7266379007922</v>
      </c>
      <c r="F9" s="76">
        <f t="shared" si="2"/>
        <v>5022.9065516031678</v>
      </c>
      <c r="G9">
        <f t="shared" si="3"/>
        <v>10900</v>
      </c>
      <c r="H9" s="76">
        <f>SUM(F$2:F9)+SUM(K$2:K8)</f>
        <v>18569.415678680627</v>
      </c>
      <c r="I9" s="101">
        <f>SUM(G$2:G9)</f>
        <v>40100</v>
      </c>
      <c r="J9" s="76">
        <f>SUM(B$2:B9)/2</f>
        <v>2000</v>
      </c>
    </row>
    <row r="10" spans="1:18">
      <c r="A10">
        <v>9</v>
      </c>
      <c r="B10" s="98">
        <f>B9</f>
        <v>500</v>
      </c>
      <c r="C10" s="76">
        <f>SUM($B$2:B10)+SUM(E$2:E9)</f>
        <v>9142.3539196701568</v>
      </c>
      <c r="D10" s="76">
        <f t="shared" si="0"/>
        <v>7771.0008317196334</v>
      </c>
      <c r="E10" s="76">
        <f t="shared" si="1"/>
        <v>1554.2001663439269</v>
      </c>
      <c r="F10" s="76">
        <f t="shared" si="2"/>
        <v>6216.8006653757066</v>
      </c>
      <c r="G10">
        <f t="shared" si="3"/>
        <v>13500</v>
      </c>
      <c r="H10" s="76">
        <f>SUM(F$2:F10)+SUM(K$2:K9)</f>
        <v>24786.216344056334</v>
      </c>
      <c r="I10" s="101">
        <f>SUM(G$2:G10)</f>
        <v>53600</v>
      </c>
      <c r="J10" s="76">
        <f>SUM(B$2:B10)/2</f>
        <v>2250</v>
      </c>
    </row>
    <row r="11" spans="1:18">
      <c r="A11" s="121">
        <v>10</v>
      </c>
      <c r="B11" s="122">
        <f t="shared" si="4"/>
        <v>500</v>
      </c>
      <c r="C11" s="123">
        <f>SUM($B$2:B11)+SUM(E$2:E10)</f>
        <v>11196.554086014085</v>
      </c>
      <c r="D11" s="123">
        <f t="shared" si="0"/>
        <v>9517.0709731119714</v>
      </c>
      <c r="E11" s="123">
        <f t="shared" si="1"/>
        <v>1903.4141946223945</v>
      </c>
      <c r="F11" s="123">
        <f t="shared" si="2"/>
        <v>7613.6567784895769</v>
      </c>
      <c r="G11" s="121">
        <f t="shared" si="3"/>
        <v>16500</v>
      </c>
      <c r="H11" s="76">
        <f>SUM(F$2:F11)+SUM(K$2:K10)</f>
        <v>32399.873122545912</v>
      </c>
      <c r="I11" s="124">
        <f>SUM(G$2:G11)</f>
        <v>70100</v>
      </c>
      <c r="J11" s="123">
        <f>SUM(B$2:B11)/2</f>
        <v>2500</v>
      </c>
      <c r="K11" s="76">
        <f>H11*20%</f>
        <v>6479.9746245091828</v>
      </c>
      <c r="L11" s="76">
        <f>40%*K11/12</f>
        <v>215.99915415030611</v>
      </c>
    </row>
    <row r="12" spans="1:18">
      <c r="A12">
        <v>11</v>
      </c>
      <c r="B12" s="98">
        <f t="shared" si="4"/>
        <v>500</v>
      </c>
      <c r="C12" s="76">
        <f>SUM($B$2:B12)+SUM(E$2:E11)</f>
        <v>13599.96828063648</v>
      </c>
      <c r="D12" s="76">
        <f t="shared" si="0"/>
        <v>11559.973038541008</v>
      </c>
      <c r="E12" s="76">
        <f t="shared" si="1"/>
        <v>2311.9946077082018</v>
      </c>
      <c r="F12" s="76">
        <f t="shared" si="2"/>
        <v>9247.9784308328053</v>
      </c>
      <c r="G12">
        <f t="shared" si="3"/>
        <v>20100</v>
      </c>
      <c r="H12" s="76">
        <f>SUM(F$2:F12)+SUM(K$2:K11)</f>
        <v>48127.826177887895</v>
      </c>
      <c r="I12" s="101">
        <f>SUM(G$2:G12)</f>
        <v>90200</v>
      </c>
      <c r="J12" s="76">
        <f>SUM(B$2:B12)/2</f>
        <v>2750</v>
      </c>
    </row>
    <row r="13" spans="1:18">
      <c r="A13">
        <v>12</v>
      </c>
      <c r="B13" s="98">
        <f t="shared" si="4"/>
        <v>500</v>
      </c>
      <c r="C13" s="76">
        <f>SUM($B$2:B13)+SUM(E$2:E12)</f>
        <v>16411.962888344679</v>
      </c>
      <c r="D13" s="76">
        <f t="shared" si="0"/>
        <v>13950.168455092977</v>
      </c>
      <c r="E13" s="76">
        <f t="shared" si="1"/>
        <v>2790.0336910185956</v>
      </c>
      <c r="F13" s="76">
        <f t="shared" si="2"/>
        <v>11160.134764074381</v>
      </c>
      <c r="G13">
        <f t="shared" si="3"/>
        <v>24200</v>
      </c>
      <c r="H13" s="76">
        <f>SUM(F$2:F13)+SUM(K$2:K12)</f>
        <v>59287.960941962272</v>
      </c>
      <c r="I13" s="101">
        <f>SUM(G$2:G13)</f>
        <v>114400</v>
      </c>
      <c r="J13" s="76">
        <f>SUM(B$2:B13)/2</f>
        <v>3000</v>
      </c>
    </row>
    <row r="14" spans="1:18">
      <c r="A14">
        <v>13</v>
      </c>
      <c r="B14" s="98">
        <f t="shared" si="4"/>
        <v>500</v>
      </c>
      <c r="C14" s="76">
        <f>SUM($B$2:B14)+SUM(E$2:E13)</f>
        <v>19701.996579363276</v>
      </c>
      <c r="D14" s="76">
        <f t="shared" si="0"/>
        <v>16746.697092458784</v>
      </c>
      <c r="E14" s="76">
        <f t="shared" si="1"/>
        <v>3349.339418491757</v>
      </c>
      <c r="F14" s="76">
        <f t="shared" si="2"/>
        <v>13397.357673967028</v>
      </c>
      <c r="G14">
        <f t="shared" si="3"/>
        <v>29100</v>
      </c>
      <c r="H14" s="76">
        <f>SUM(F$2:F14)+SUM(K$2:K13)</f>
        <v>72685.318615929296</v>
      </c>
      <c r="I14" s="101">
        <f>SUM(G$2:G14)</f>
        <v>143500</v>
      </c>
      <c r="J14" s="76">
        <f>SUM(B$2:B14)/2</f>
        <v>3250</v>
      </c>
    </row>
    <row r="15" spans="1:18">
      <c r="A15">
        <v>14</v>
      </c>
      <c r="B15" s="98">
        <f t="shared" si="4"/>
        <v>500</v>
      </c>
      <c r="C15" s="76">
        <f>SUM($B$2:B15)+SUM(E$2:E14)</f>
        <v>23551.335997855032</v>
      </c>
      <c r="D15" s="76">
        <f t="shared" si="0"/>
        <v>20018.635598176777</v>
      </c>
      <c r="E15" s="76">
        <f t="shared" si="1"/>
        <v>4003.7271196353558</v>
      </c>
      <c r="F15" s="76">
        <f t="shared" si="2"/>
        <v>16014.908478541422</v>
      </c>
      <c r="G15">
        <f t="shared" si="3"/>
        <v>34800</v>
      </c>
      <c r="H15" s="76">
        <f>SUM(F$2:F15)+SUM(K$2:K14)</f>
        <v>88700.227094470712</v>
      </c>
      <c r="I15" s="101">
        <f>SUM(G$2:G15)</f>
        <v>178300</v>
      </c>
      <c r="J15" s="76">
        <f>SUM(B$2:B15)/2</f>
        <v>3500</v>
      </c>
    </row>
    <row r="16" spans="1:18">
      <c r="A16">
        <v>15</v>
      </c>
      <c r="B16" s="98">
        <f t="shared" si="4"/>
        <v>500</v>
      </c>
      <c r="C16" s="76">
        <f>SUM($B$2:B16)+SUM(E$2:E15)</f>
        <v>28055.06311749039</v>
      </c>
      <c r="D16" s="76">
        <f t="shared" si="0"/>
        <v>23846.80364986683</v>
      </c>
      <c r="E16" s="76">
        <f t="shared" si="1"/>
        <v>4769.3607299733658</v>
      </c>
      <c r="F16" s="76">
        <f t="shared" si="2"/>
        <v>19077.442919893463</v>
      </c>
      <c r="G16">
        <f t="shared" si="3"/>
        <v>41400</v>
      </c>
      <c r="H16" s="76">
        <f>SUM(F$2:F16)+SUM(K$2:K15)</f>
        <v>107777.67001436418</v>
      </c>
      <c r="I16" s="101">
        <f>SUM(G$2:G16)</f>
        <v>219700</v>
      </c>
      <c r="J16" s="76">
        <f>SUM(B$2:B16)/2</f>
        <v>3750</v>
      </c>
    </row>
    <row r="17" spans="1:12">
      <c r="A17">
        <v>16</v>
      </c>
      <c r="B17" s="98">
        <f t="shared" si="4"/>
        <v>500</v>
      </c>
      <c r="C17" s="76">
        <f>SUM($B$2:B17)+SUM(E$2:E16)</f>
        <v>33324.423847463753</v>
      </c>
      <c r="D17" s="76">
        <f t="shared" si="0"/>
        <v>28325.760270344188</v>
      </c>
      <c r="E17" s="76">
        <f t="shared" si="1"/>
        <v>5665.152054068838</v>
      </c>
      <c r="F17" s="76">
        <f t="shared" si="2"/>
        <v>22660.608216275352</v>
      </c>
      <c r="G17">
        <f t="shared" si="3"/>
        <v>49200</v>
      </c>
      <c r="H17" s="76">
        <f>SUM(F$2:F17)+SUM(K$2:K16)</f>
        <v>130438.27823063954</v>
      </c>
      <c r="I17" s="101">
        <f>SUM(G$2:G17)</f>
        <v>268900</v>
      </c>
      <c r="J17" s="76">
        <f>SUM(B$2:B17)/2</f>
        <v>4000</v>
      </c>
    </row>
    <row r="18" spans="1:12">
      <c r="A18">
        <v>17</v>
      </c>
      <c r="B18" s="98">
        <f t="shared" si="4"/>
        <v>500</v>
      </c>
      <c r="C18" s="76">
        <f>SUM($B$2:B18)+SUM(E$2:E17)</f>
        <v>39489.575901532597</v>
      </c>
      <c r="D18" s="76">
        <f t="shared" si="0"/>
        <v>33566.139516302705</v>
      </c>
      <c r="E18" s="76">
        <f t="shared" si="1"/>
        <v>6713.2279032605411</v>
      </c>
      <c r="F18" s="76">
        <f t="shared" si="2"/>
        <v>26852.911613042164</v>
      </c>
      <c r="G18">
        <f t="shared" si="3"/>
        <v>58300</v>
      </c>
      <c r="H18" s="76">
        <f>SUM(F$2:F18)+SUM(K$2:K17)</f>
        <v>157291.18984368173</v>
      </c>
      <c r="I18" s="101">
        <f>SUM(G$2:G18)</f>
        <v>327200</v>
      </c>
      <c r="J18" s="76">
        <f>SUM(B$2:B18)/2</f>
        <v>4250</v>
      </c>
    </row>
    <row r="19" spans="1:12">
      <c r="A19">
        <v>18</v>
      </c>
      <c r="B19" s="98">
        <f t="shared" si="4"/>
        <v>500</v>
      </c>
      <c r="C19" s="76">
        <f>SUM($B$2:B19)+SUM(E$2:E18)</f>
        <v>46702.80380479314</v>
      </c>
      <c r="D19" s="76">
        <f t="shared" si="0"/>
        <v>39697.383234074172</v>
      </c>
      <c r="E19" s="76">
        <f t="shared" si="1"/>
        <v>7939.4766468148346</v>
      </c>
      <c r="F19" s="76">
        <f t="shared" si="2"/>
        <v>31757.906587259338</v>
      </c>
      <c r="G19">
        <f t="shared" si="3"/>
        <v>69000</v>
      </c>
      <c r="H19" s="76">
        <f>SUM(F$2:F19)+SUM(K$2:K18)</f>
        <v>189049.09643094108</v>
      </c>
      <c r="I19" s="101">
        <f>SUM(G$2:G19)</f>
        <v>396200</v>
      </c>
      <c r="J19" s="76">
        <f>SUM(B$2:B19)/2</f>
        <v>4500</v>
      </c>
    </row>
    <row r="20" spans="1:12">
      <c r="A20">
        <v>19</v>
      </c>
      <c r="B20" s="98">
        <f t="shared" si="4"/>
        <v>500</v>
      </c>
      <c r="C20" s="76">
        <f>SUM($B$2:B20)+SUM(E$2:E19)</f>
        <v>55142.280451607978</v>
      </c>
      <c r="D20" s="76">
        <f t="shared" si="0"/>
        <v>46870.938383866778</v>
      </c>
      <c r="E20" s="76">
        <f t="shared" si="1"/>
        <v>9374.1876767733556</v>
      </c>
      <c r="F20" s="76">
        <f t="shared" si="2"/>
        <v>37496.750707093423</v>
      </c>
      <c r="G20">
        <f t="shared" si="3"/>
        <v>81500</v>
      </c>
      <c r="H20" s="76">
        <f>SUM(F$2:F20)+SUM(K$2:K19)</f>
        <v>226545.8471380345</v>
      </c>
      <c r="I20" s="101">
        <f>SUM(G$2:G20)</f>
        <v>477700</v>
      </c>
      <c r="J20" s="76">
        <f>SUM(B$2:B20)/2</f>
        <v>4750</v>
      </c>
    </row>
    <row r="21" spans="1:12">
      <c r="A21">
        <v>20</v>
      </c>
      <c r="B21" s="98">
        <f t="shared" si="4"/>
        <v>500</v>
      </c>
      <c r="C21" s="76">
        <f>SUM($B$2:B21)+SUM(E$2:E20)</f>
        <v>65016.468128381333</v>
      </c>
      <c r="D21" s="76">
        <f t="shared" si="0"/>
        <v>55263.997909124133</v>
      </c>
      <c r="E21" s="76">
        <f t="shared" si="1"/>
        <v>11052.799581824827</v>
      </c>
      <c r="F21" s="76">
        <f t="shared" si="2"/>
        <v>44211.198327299309</v>
      </c>
      <c r="G21">
        <f t="shared" si="3"/>
        <v>96100</v>
      </c>
      <c r="H21" s="76">
        <f>SUM(F$2:F21)+SUM(K$2:K20)</f>
        <v>270757.04546533379</v>
      </c>
      <c r="I21" s="101">
        <f>SUM(G$2:G21)</f>
        <v>573800</v>
      </c>
      <c r="J21" s="76">
        <f>SUM(B$2:B21)/2</f>
        <v>5000</v>
      </c>
    </row>
    <row r="22" spans="1:12">
      <c r="A22">
        <v>21</v>
      </c>
      <c r="B22" s="98">
        <f t="shared" si="4"/>
        <v>500</v>
      </c>
      <c r="C22" s="76">
        <f>SUM($B$2:B22)+SUM(E$2:E21)</f>
        <v>76569.267710206157</v>
      </c>
      <c r="D22" s="76">
        <f t="shared" si="0"/>
        <v>65083.877553675229</v>
      </c>
      <c r="E22" s="76">
        <f t="shared" si="1"/>
        <v>13016.775510735046</v>
      </c>
      <c r="F22" s="76">
        <f t="shared" si="2"/>
        <v>52067.102042940183</v>
      </c>
      <c r="G22">
        <f t="shared" si="3"/>
        <v>113100</v>
      </c>
      <c r="H22" s="76">
        <f>SUM(F$2:F22)+SUM(K$2:K21)</f>
        <v>322824.14750827401</v>
      </c>
      <c r="I22" s="101">
        <f>SUM(G$2:G22)</f>
        <v>686900</v>
      </c>
      <c r="J22" s="76">
        <f>SUM(B$2:B22)/2</f>
        <v>5250</v>
      </c>
    </row>
    <row r="23" spans="1:12">
      <c r="A23" s="121">
        <v>22</v>
      </c>
      <c r="B23" s="122">
        <f t="shared" si="4"/>
        <v>500</v>
      </c>
      <c r="C23" s="123">
        <f>SUM($B$2:B23)+SUM(E$2:E22)</f>
        <v>90086.04322094121</v>
      </c>
      <c r="D23" s="123">
        <f t="shared" ref="D23:D24" si="5">C23*85%</f>
        <v>76573.136737800029</v>
      </c>
      <c r="E23" s="123">
        <f t="shared" ref="E23:E24" si="6">D23*20%</f>
        <v>15314.627347560006</v>
      </c>
      <c r="F23" s="123">
        <f t="shared" ref="F23:F24" si="7">D23-E23</f>
        <v>61258.509390240026</v>
      </c>
      <c r="G23" s="121">
        <f t="shared" ref="G23:G24" si="8">F23/$G$1-MOD(F23/$G$1,100)</f>
        <v>133100</v>
      </c>
      <c r="H23" s="76">
        <f>SUM(F$2:F23)+SUM(K$2:K22)</f>
        <v>384082.65689851402</v>
      </c>
      <c r="I23" s="124">
        <f>SUM(G$2:G23)</f>
        <v>820000</v>
      </c>
      <c r="J23" s="123">
        <f>SUM(B$2:B23)/2</f>
        <v>5500</v>
      </c>
      <c r="K23" s="76">
        <f>H23*20%</f>
        <v>76816.531379702807</v>
      </c>
      <c r="L23" s="76">
        <f>40%*K23/12</f>
        <v>2560.5510459900938</v>
      </c>
    </row>
    <row r="24" spans="1:12">
      <c r="A24">
        <v>23</v>
      </c>
      <c r="B24" s="98">
        <f t="shared" si="4"/>
        <v>500</v>
      </c>
      <c r="C24" s="76">
        <f>SUM($B$2:B24)+SUM(E$2:E23)</f>
        <v>105900.67056850121</v>
      </c>
      <c r="D24" s="76">
        <f t="shared" si="5"/>
        <v>90015.569983226029</v>
      </c>
      <c r="E24" s="76">
        <f t="shared" si="6"/>
        <v>18003.113996645206</v>
      </c>
      <c r="F24" s="76">
        <f t="shared" si="7"/>
        <v>72012.455986580826</v>
      </c>
      <c r="G24">
        <f t="shared" si="8"/>
        <v>156500</v>
      </c>
      <c r="H24" s="76">
        <f>SUM(F$2:F24)+SUM(K$2:K23)</f>
        <v>532911.64426479768</v>
      </c>
      <c r="I24" s="101">
        <f>SUM(G$2:G24)</f>
        <v>976500</v>
      </c>
      <c r="J24" s="76">
        <f>SUM(B$2:B24)/2</f>
        <v>5750</v>
      </c>
    </row>
    <row r="25" spans="1:12">
      <c r="A25">
        <v>24</v>
      </c>
      <c r="B25" s="98">
        <f t="shared" si="4"/>
        <v>500</v>
      </c>
      <c r="C25" s="76">
        <f>SUM($B$2:B25)+SUM(E$2:E24)</f>
        <v>124403.78456514642</v>
      </c>
      <c r="D25" s="76">
        <f t="shared" ref="D25" si="9">C25*85%</f>
        <v>105743.21688037446</v>
      </c>
      <c r="E25" s="76">
        <f t="shared" ref="E25" si="10">D25*20%</f>
        <v>21148.643376074891</v>
      </c>
      <c r="F25" s="76">
        <f t="shared" ref="F25" si="11">D25-E25</f>
        <v>84594.573504299566</v>
      </c>
      <c r="G25">
        <f t="shared" ref="G25" si="12">F25/$G$1-MOD(F25/$G$1,100)</f>
        <v>183900</v>
      </c>
      <c r="H25" s="76">
        <f>SUM(F$2:F25)+SUM(K$2:K24)</f>
        <v>617506.21776909719</v>
      </c>
      <c r="I25" s="101">
        <f>SUM(G$2:G25)</f>
        <v>1160400</v>
      </c>
      <c r="J25" s="76">
        <f>SUM(B$2:B25)/2</f>
        <v>6000</v>
      </c>
    </row>
  </sheetData>
  <dataConsolidate/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>
  <dimension ref="A1:I4"/>
  <sheetViews>
    <sheetView workbookViewId="0">
      <selection activeCell="I2" sqref="I2"/>
    </sheetView>
  </sheetViews>
  <sheetFormatPr defaultRowHeight="15"/>
  <cols>
    <col min="1" max="1" width="8.42578125" bestFit="1" customWidth="1"/>
    <col min="2" max="2" width="8.5703125" bestFit="1" customWidth="1"/>
    <col min="3" max="4" width="9.5703125" bestFit="1" customWidth="1"/>
    <col min="5" max="6" width="8.5703125" bestFit="1" customWidth="1"/>
    <col min="7" max="7" width="9.5703125" bestFit="1" customWidth="1"/>
    <col min="8" max="8" width="6.140625" bestFit="1" customWidth="1"/>
  </cols>
  <sheetData>
    <row r="1" spans="1:9">
      <c r="A1" s="97" t="s">
        <v>942</v>
      </c>
      <c r="B1" s="97" t="s">
        <v>943</v>
      </c>
      <c r="C1" s="97" t="s">
        <v>83</v>
      </c>
      <c r="D1" s="97" t="s">
        <v>945</v>
      </c>
      <c r="E1" s="97" t="s">
        <v>946</v>
      </c>
      <c r="F1" s="97" t="s">
        <v>947</v>
      </c>
      <c r="G1" s="97" t="s">
        <v>948</v>
      </c>
      <c r="H1" s="97" t="s">
        <v>949</v>
      </c>
      <c r="I1">
        <v>4</v>
      </c>
    </row>
    <row r="2" spans="1:9">
      <c r="A2" t="s">
        <v>944</v>
      </c>
      <c r="B2" s="98">
        <v>0.21</v>
      </c>
      <c r="C2" s="98">
        <v>15</v>
      </c>
      <c r="D2" s="98">
        <v>14.97</v>
      </c>
      <c r="E2" s="98">
        <f>IF(D2&gt;C2,0,B2)</f>
        <v>0.21</v>
      </c>
      <c r="F2" s="76">
        <f>B2*2</f>
        <v>0.42</v>
      </c>
      <c r="G2" s="76">
        <f>C2+F2</f>
        <v>15.42</v>
      </c>
      <c r="H2" s="102">
        <f>G2/D2-1</f>
        <v>3.0060120240480881E-2</v>
      </c>
      <c r="I2" s="102">
        <f>H2/$I$1</f>
        <v>7.5150300601202202E-3</v>
      </c>
    </row>
    <row r="3" spans="1:9">
      <c r="A3" t="s">
        <v>950</v>
      </c>
      <c r="B3" s="98">
        <v>0.76</v>
      </c>
      <c r="C3" s="98">
        <v>30.18</v>
      </c>
      <c r="D3" s="98">
        <v>30.89</v>
      </c>
      <c r="E3" s="98">
        <f>IF(D3&gt;C3,0,B3)</f>
        <v>0</v>
      </c>
      <c r="F3" s="76">
        <f>B3*2</f>
        <v>1.52</v>
      </c>
      <c r="G3" s="76">
        <f>C3+F3</f>
        <v>31.7</v>
      </c>
      <c r="H3" s="102">
        <f>G3/D3-1</f>
        <v>2.6222078342505561E-2</v>
      </c>
      <c r="I3" s="102">
        <f t="shared" ref="I3:I4" si="0">H3/$I$1</f>
        <v>6.5555195856263904E-3</v>
      </c>
    </row>
    <row r="4" spans="1:9">
      <c r="A4" t="s">
        <v>951</v>
      </c>
      <c r="B4" s="98">
        <v>0.21</v>
      </c>
      <c r="C4" s="98">
        <v>31.18</v>
      </c>
      <c r="D4" s="98">
        <v>30.89</v>
      </c>
      <c r="E4" s="98">
        <f>IF(D4&gt;C4,0,B4)</f>
        <v>0.21</v>
      </c>
      <c r="F4" s="76">
        <f>B4*2</f>
        <v>0.42</v>
      </c>
      <c r="G4" s="76">
        <f>C4+F4</f>
        <v>31.6</v>
      </c>
      <c r="H4" s="102">
        <f>G4/D4-1</f>
        <v>2.2984784719974227E-2</v>
      </c>
      <c r="I4" s="102">
        <f t="shared" si="0"/>
        <v>5.7461961799935568E-3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10</vt:i4>
      </vt:variant>
      <vt:variant>
        <vt:lpstr>Intervalos nomeados</vt:lpstr>
      </vt:variant>
      <vt:variant>
        <vt:i4>2069</vt:i4>
      </vt:variant>
    </vt:vector>
  </HeadingPairs>
  <TitlesOfParts>
    <vt:vector size="2079" baseType="lpstr">
      <vt:lpstr>Patrimonio</vt:lpstr>
      <vt:lpstr>Cotacao</vt:lpstr>
      <vt:lpstr>Cotacao 2</vt:lpstr>
      <vt:lpstr>Cotacao 3</vt:lpstr>
      <vt:lpstr>Cotacao 4</vt:lpstr>
      <vt:lpstr>Cotacao 5</vt:lpstr>
      <vt:lpstr>Historia</vt:lpstr>
      <vt:lpstr>Tabela Hist</vt:lpstr>
      <vt:lpstr>Sheet1</vt:lpstr>
      <vt:lpstr>Sheet2</vt:lpstr>
      <vt:lpstr>Cotacao!DadosExternos_1</vt:lpstr>
      <vt:lpstr>'Cotacao 2'!DadosExternos_1</vt:lpstr>
      <vt:lpstr>'Cotacao 3'!DadosExternos_1</vt:lpstr>
      <vt:lpstr>'Cotacao 4'!DadosExternos_1</vt:lpstr>
      <vt:lpstr>'Cotacao 5'!DadosExternos_1</vt:lpstr>
      <vt:lpstr>Cotacao!DadosExternos_10</vt:lpstr>
      <vt:lpstr>'Cotacao 2'!DadosExternos_10</vt:lpstr>
      <vt:lpstr>'Cotacao 3'!DadosExternos_10</vt:lpstr>
      <vt:lpstr>'Cotacao 4'!DadosExternos_10</vt:lpstr>
      <vt:lpstr>'Cotacao 5'!DadosExternos_10</vt:lpstr>
      <vt:lpstr>Cotacao!DadosExternos_103</vt:lpstr>
      <vt:lpstr>'Cotacao 2'!DadosExternos_103</vt:lpstr>
      <vt:lpstr>'Cotacao 3'!DadosExternos_103</vt:lpstr>
      <vt:lpstr>'Cotacao 4'!DadosExternos_103</vt:lpstr>
      <vt:lpstr>'Cotacao 5'!DadosExternos_103</vt:lpstr>
      <vt:lpstr>Cotacao!DadosExternos_104</vt:lpstr>
      <vt:lpstr>'Cotacao 2'!DadosExternos_104</vt:lpstr>
      <vt:lpstr>'Cotacao 3'!DadosExternos_104</vt:lpstr>
      <vt:lpstr>'Cotacao 4'!DadosExternos_104</vt:lpstr>
      <vt:lpstr>'Cotacao 5'!DadosExternos_104</vt:lpstr>
      <vt:lpstr>Cotacao!DadosExternos_106</vt:lpstr>
      <vt:lpstr>'Cotacao 2'!DadosExternos_106</vt:lpstr>
      <vt:lpstr>'Cotacao 3'!DadosExternos_106</vt:lpstr>
      <vt:lpstr>'Cotacao 4'!DadosExternos_106</vt:lpstr>
      <vt:lpstr>'Cotacao 5'!DadosExternos_106</vt:lpstr>
      <vt:lpstr>Cotacao!DadosExternos_107</vt:lpstr>
      <vt:lpstr>'Cotacao 2'!DadosExternos_107</vt:lpstr>
      <vt:lpstr>'Cotacao 3'!DadosExternos_107</vt:lpstr>
      <vt:lpstr>'Cotacao 4'!DadosExternos_107</vt:lpstr>
      <vt:lpstr>'Cotacao 5'!DadosExternos_107</vt:lpstr>
      <vt:lpstr>Cotacao!DadosExternos_108</vt:lpstr>
      <vt:lpstr>'Cotacao 2'!DadosExternos_108</vt:lpstr>
      <vt:lpstr>'Cotacao 3'!DadosExternos_108</vt:lpstr>
      <vt:lpstr>'Cotacao 4'!DadosExternos_108</vt:lpstr>
      <vt:lpstr>'Cotacao 5'!DadosExternos_108</vt:lpstr>
      <vt:lpstr>Cotacao!DadosExternos_109</vt:lpstr>
      <vt:lpstr>'Cotacao 2'!DadosExternos_109</vt:lpstr>
      <vt:lpstr>'Cotacao 3'!DadosExternos_109</vt:lpstr>
      <vt:lpstr>'Cotacao 4'!DadosExternos_109</vt:lpstr>
      <vt:lpstr>'Cotacao 5'!DadosExternos_109</vt:lpstr>
      <vt:lpstr>Cotacao!DadosExternos_11</vt:lpstr>
      <vt:lpstr>'Cotacao 2'!DadosExternos_11</vt:lpstr>
      <vt:lpstr>'Cotacao 3'!DadosExternos_11</vt:lpstr>
      <vt:lpstr>'Cotacao 4'!DadosExternos_11</vt:lpstr>
      <vt:lpstr>'Cotacao 5'!DadosExternos_11</vt:lpstr>
      <vt:lpstr>Cotacao!DadosExternos_110</vt:lpstr>
      <vt:lpstr>'Cotacao 2'!DadosExternos_110</vt:lpstr>
      <vt:lpstr>'Cotacao 3'!DadosExternos_110</vt:lpstr>
      <vt:lpstr>'Cotacao 4'!DadosExternos_110</vt:lpstr>
      <vt:lpstr>'Cotacao 5'!DadosExternos_110</vt:lpstr>
      <vt:lpstr>Cotacao!DadosExternos_111</vt:lpstr>
      <vt:lpstr>'Cotacao 2'!DadosExternos_111</vt:lpstr>
      <vt:lpstr>'Cotacao 3'!DadosExternos_111</vt:lpstr>
      <vt:lpstr>'Cotacao 4'!DadosExternos_111</vt:lpstr>
      <vt:lpstr>'Cotacao 5'!DadosExternos_111</vt:lpstr>
      <vt:lpstr>Cotacao!DadosExternos_112</vt:lpstr>
      <vt:lpstr>'Cotacao 2'!DadosExternos_112</vt:lpstr>
      <vt:lpstr>'Cotacao 3'!DadosExternos_112</vt:lpstr>
      <vt:lpstr>'Cotacao 4'!DadosExternos_112</vt:lpstr>
      <vt:lpstr>'Cotacao 5'!DadosExternos_112</vt:lpstr>
      <vt:lpstr>Cotacao!DadosExternos_113</vt:lpstr>
      <vt:lpstr>'Cotacao 2'!DadosExternos_113</vt:lpstr>
      <vt:lpstr>'Cotacao 3'!DadosExternos_113</vt:lpstr>
      <vt:lpstr>'Cotacao 4'!DadosExternos_113</vt:lpstr>
      <vt:lpstr>'Cotacao 5'!DadosExternos_113</vt:lpstr>
      <vt:lpstr>Cotacao!DadosExternos_114</vt:lpstr>
      <vt:lpstr>'Cotacao 2'!DadosExternos_114</vt:lpstr>
      <vt:lpstr>'Cotacao 3'!DadosExternos_114</vt:lpstr>
      <vt:lpstr>'Cotacao 4'!DadosExternos_114</vt:lpstr>
      <vt:lpstr>'Cotacao 5'!DadosExternos_114</vt:lpstr>
      <vt:lpstr>Cotacao!DadosExternos_115</vt:lpstr>
      <vt:lpstr>'Cotacao 2'!DadosExternos_115</vt:lpstr>
      <vt:lpstr>'Cotacao 3'!DadosExternos_115</vt:lpstr>
      <vt:lpstr>'Cotacao 4'!DadosExternos_115</vt:lpstr>
      <vt:lpstr>'Cotacao 5'!DadosExternos_115</vt:lpstr>
      <vt:lpstr>Cotacao!DadosExternos_116</vt:lpstr>
      <vt:lpstr>'Cotacao 2'!DadosExternos_116</vt:lpstr>
      <vt:lpstr>'Cotacao 3'!DadosExternos_116</vt:lpstr>
      <vt:lpstr>'Cotacao 4'!DadosExternos_116</vt:lpstr>
      <vt:lpstr>'Cotacao 5'!DadosExternos_116</vt:lpstr>
      <vt:lpstr>Cotacao!DadosExternos_117</vt:lpstr>
      <vt:lpstr>'Cotacao 2'!DadosExternos_117</vt:lpstr>
      <vt:lpstr>'Cotacao 3'!DadosExternos_117</vt:lpstr>
      <vt:lpstr>'Cotacao 4'!DadosExternos_117</vt:lpstr>
      <vt:lpstr>'Cotacao 5'!DadosExternos_117</vt:lpstr>
      <vt:lpstr>Cotacao!DadosExternos_118</vt:lpstr>
      <vt:lpstr>'Cotacao 2'!DadosExternos_118</vt:lpstr>
      <vt:lpstr>'Cotacao 3'!DadosExternos_118</vt:lpstr>
      <vt:lpstr>'Cotacao 4'!DadosExternos_118</vt:lpstr>
      <vt:lpstr>'Cotacao 5'!DadosExternos_118</vt:lpstr>
      <vt:lpstr>Cotacao!DadosExternos_119</vt:lpstr>
      <vt:lpstr>'Cotacao 2'!DadosExternos_119</vt:lpstr>
      <vt:lpstr>'Cotacao 3'!DadosExternos_119</vt:lpstr>
      <vt:lpstr>'Cotacao 4'!DadosExternos_119</vt:lpstr>
      <vt:lpstr>'Cotacao 5'!DadosExternos_119</vt:lpstr>
      <vt:lpstr>Cotacao!DadosExternos_12</vt:lpstr>
      <vt:lpstr>'Cotacao 2'!DadosExternos_12</vt:lpstr>
      <vt:lpstr>'Cotacao 3'!DadosExternos_12</vt:lpstr>
      <vt:lpstr>'Cotacao 4'!DadosExternos_12</vt:lpstr>
      <vt:lpstr>'Cotacao 5'!DadosExternos_12</vt:lpstr>
      <vt:lpstr>Cotacao!DadosExternos_120</vt:lpstr>
      <vt:lpstr>'Cotacao 2'!DadosExternos_120</vt:lpstr>
      <vt:lpstr>'Cotacao 3'!DadosExternos_120</vt:lpstr>
      <vt:lpstr>'Cotacao 4'!DadosExternos_120</vt:lpstr>
      <vt:lpstr>'Cotacao 5'!DadosExternos_120</vt:lpstr>
      <vt:lpstr>Cotacao!DadosExternos_121</vt:lpstr>
      <vt:lpstr>'Cotacao 2'!DadosExternos_121</vt:lpstr>
      <vt:lpstr>'Cotacao 3'!DadosExternos_121</vt:lpstr>
      <vt:lpstr>'Cotacao 4'!DadosExternos_121</vt:lpstr>
      <vt:lpstr>'Cotacao 5'!DadosExternos_121</vt:lpstr>
      <vt:lpstr>Cotacao!DadosExternos_122</vt:lpstr>
      <vt:lpstr>'Cotacao 2'!DadosExternos_122</vt:lpstr>
      <vt:lpstr>'Cotacao 3'!DadosExternos_122</vt:lpstr>
      <vt:lpstr>'Cotacao 4'!DadosExternos_122</vt:lpstr>
      <vt:lpstr>'Cotacao 5'!DadosExternos_122</vt:lpstr>
      <vt:lpstr>Cotacao!DadosExternos_123</vt:lpstr>
      <vt:lpstr>'Cotacao 2'!DadosExternos_123</vt:lpstr>
      <vt:lpstr>'Cotacao 3'!DadosExternos_123</vt:lpstr>
      <vt:lpstr>'Cotacao 4'!DadosExternos_123</vt:lpstr>
      <vt:lpstr>'Cotacao 5'!DadosExternos_123</vt:lpstr>
      <vt:lpstr>Cotacao!DadosExternos_124</vt:lpstr>
      <vt:lpstr>'Cotacao 2'!DadosExternos_124</vt:lpstr>
      <vt:lpstr>'Cotacao 3'!DadosExternos_124</vt:lpstr>
      <vt:lpstr>'Cotacao 4'!DadosExternos_124</vt:lpstr>
      <vt:lpstr>'Cotacao 5'!DadosExternos_124</vt:lpstr>
      <vt:lpstr>Cotacao!DadosExternos_125</vt:lpstr>
      <vt:lpstr>'Cotacao 2'!DadosExternos_125</vt:lpstr>
      <vt:lpstr>'Cotacao 3'!DadosExternos_125</vt:lpstr>
      <vt:lpstr>'Cotacao 4'!DadosExternos_125</vt:lpstr>
      <vt:lpstr>'Cotacao 5'!DadosExternos_125</vt:lpstr>
      <vt:lpstr>Cotacao!DadosExternos_126</vt:lpstr>
      <vt:lpstr>'Cotacao 2'!DadosExternos_126</vt:lpstr>
      <vt:lpstr>'Cotacao 3'!DadosExternos_126</vt:lpstr>
      <vt:lpstr>'Cotacao 4'!DadosExternos_126</vt:lpstr>
      <vt:lpstr>'Cotacao 5'!DadosExternos_126</vt:lpstr>
      <vt:lpstr>Cotacao!DadosExternos_127</vt:lpstr>
      <vt:lpstr>'Cotacao 2'!DadosExternos_127</vt:lpstr>
      <vt:lpstr>'Cotacao 3'!DadosExternos_127</vt:lpstr>
      <vt:lpstr>'Cotacao 4'!DadosExternos_127</vt:lpstr>
      <vt:lpstr>'Cotacao 5'!DadosExternos_127</vt:lpstr>
      <vt:lpstr>Cotacao!DadosExternos_128</vt:lpstr>
      <vt:lpstr>'Cotacao 2'!DadosExternos_128</vt:lpstr>
      <vt:lpstr>'Cotacao 3'!DadosExternos_128</vt:lpstr>
      <vt:lpstr>'Cotacao 4'!DadosExternos_128</vt:lpstr>
      <vt:lpstr>'Cotacao 5'!DadosExternos_128</vt:lpstr>
      <vt:lpstr>Cotacao!DadosExternos_129</vt:lpstr>
      <vt:lpstr>'Cotacao 2'!DadosExternos_129</vt:lpstr>
      <vt:lpstr>'Cotacao 3'!DadosExternos_129</vt:lpstr>
      <vt:lpstr>'Cotacao 4'!DadosExternos_129</vt:lpstr>
      <vt:lpstr>'Cotacao 5'!DadosExternos_129</vt:lpstr>
      <vt:lpstr>Cotacao!DadosExternos_130</vt:lpstr>
      <vt:lpstr>'Cotacao 2'!DadosExternos_130</vt:lpstr>
      <vt:lpstr>'Cotacao 3'!DadosExternos_130</vt:lpstr>
      <vt:lpstr>'Cotacao 4'!DadosExternos_130</vt:lpstr>
      <vt:lpstr>'Cotacao 5'!DadosExternos_130</vt:lpstr>
      <vt:lpstr>Cotacao!DadosExternos_131</vt:lpstr>
      <vt:lpstr>'Cotacao 2'!DadosExternos_131</vt:lpstr>
      <vt:lpstr>'Cotacao 3'!DadosExternos_131</vt:lpstr>
      <vt:lpstr>'Cotacao 4'!DadosExternos_131</vt:lpstr>
      <vt:lpstr>'Cotacao 5'!DadosExternos_131</vt:lpstr>
      <vt:lpstr>Cotacao!DadosExternos_132</vt:lpstr>
      <vt:lpstr>'Cotacao 2'!DadosExternos_132</vt:lpstr>
      <vt:lpstr>'Cotacao 3'!DadosExternos_132</vt:lpstr>
      <vt:lpstr>'Cotacao 4'!DadosExternos_132</vt:lpstr>
      <vt:lpstr>'Cotacao 5'!DadosExternos_132</vt:lpstr>
      <vt:lpstr>Cotacao!DadosExternos_133</vt:lpstr>
      <vt:lpstr>'Cotacao 2'!DadosExternos_133</vt:lpstr>
      <vt:lpstr>'Cotacao 3'!DadosExternos_133</vt:lpstr>
      <vt:lpstr>'Cotacao 4'!DadosExternos_133</vt:lpstr>
      <vt:lpstr>'Cotacao 5'!DadosExternos_133</vt:lpstr>
      <vt:lpstr>Cotacao!DadosExternos_134</vt:lpstr>
      <vt:lpstr>'Cotacao 2'!DadosExternos_134</vt:lpstr>
      <vt:lpstr>'Cotacao 3'!DadosExternos_134</vt:lpstr>
      <vt:lpstr>'Cotacao 4'!DadosExternos_134</vt:lpstr>
      <vt:lpstr>'Cotacao 5'!DadosExternos_134</vt:lpstr>
      <vt:lpstr>Cotacao!DadosExternos_135</vt:lpstr>
      <vt:lpstr>'Cotacao 2'!DadosExternos_135</vt:lpstr>
      <vt:lpstr>'Cotacao 3'!DadosExternos_135</vt:lpstr>
      <vt:lpstr>'Cotacao 4'!DadosExternos_135</vt:lpstr>
      <vt:lpstr>'Cotacao 5'!DadosExternos_135</vt:lpstr>
      <vt:lpstr>Cotacao!DadosExternos_136</vt:lpstr>
      <vt:lpstr>'Cotacao 2'!DadosExternos_136</vt:lpstr>
      <vt:lpstr>'Cotacao 3'!DadosExternos_136</vt:lpstr>
      <vt:lpstr>'Cotacao 4'!DadosExternos_136</vt:lpstr>
      <vt:lpstr>'Cotacao 5'!DadosExternos_136</vt:lpstr>
      <vt:lpstr>Cotacao!DadosExternos_137</vt:lpstr>
      <vt:lpstr>'Cotacao 2'!DadosExternos_137</vt:lpstr>
      <vt:lpstr>'Cotacao 3'!DadosExternos_137</vt:lpstr>
      <vt:lpstr>'Cotacao 4'!DadosExternos_137</vt:lpstr>
      <vt:lpstr>'Cotacao 5'!DadosExternos_137</vt:lpstr>
      <vt:lpstr>Cotacao!DadosExternos_138</vt:lpstr>
      <vt:lpstr>'Cotacao 2'!DadosExternos_138</vt:lpstr>
      <vt:lpstr>'Cotacao 3'!DadosExternos_138</vt:lpstr>
      <vt:lpstr>'Cotacao 4'!DadosExternos_138</vt:lpstr>
      <vt:lpstr>'Cotacao 5'!DadosExternos_138</vt:lpstr>
      <vt:lpstr>Cotacao!DadosExternos_139</vt:lpstr>
      <vt:lpstr>'Cotacao 2'!DadosExternos_139</vt:lpstr>
      <vt:lpstr>'Cotacao 3'!DadosExternos_139</vt:lpstr>
      <vt:lpstr>'Cotacao 4'!DadosExternos_139</vt:lpstr>
      <vt:lpstr>'Cotacao 5'!DadosExternos_139</vt:lpstr>
      <vt:lpstr>Cotacao!DadosExternos_14</vt:lpstr>
      <vt:lpstr>'Cotacao 2'!DadosExternos_14</vt:lpstr>
      <vt:lpstr>'Cotacao 3'!DadosExternos_14</vt:lpstr>
      <vt:lpstr>'Cotacao 4'!DadosExternos_14</vt:lpstr>
      <vt:lpstr>'Cotacao 5'!DadosExternos_14</vt:lpstr>
      <vt:lpstr>Cotacao!DadosExternos_140</vt:lpstr>
      <vt:lpstr>'Cotacao 2'!DadosExternos_140</vt:lpstr>
      <vt:lpstr>'Cotacao 3'!DadosExternos_140</vt:lpstr>
      <vt:lpstr>'Cotacao 4'!DadosExternos_140</vt:lpstr>
      <vt:lpstr>'Cotacao 5'!DadosExternos_140</vt:lpstr>
      <vt:lpstr>Cotacao!DadosExternos_141</vt:lpstr>
      <vt:lpstr>'Cotacao 2'!DadosExternos_141</vt:lpstr>
      <vt:lpstr>'Cotacao 3'!DadosExternos_141</vt:lpstr>
      <vt:lpstr>'Cotacao 4'!DadosExternos_141</vt:lpstr>
      <vt:lpstr>'Cotacao 5'!DadosExternos_141</vt:lpstr>
      <vt:lpstr>Cotacao!DadosExternos_142</vt:lpstr>
      <vt:lpstr>'Cotacao 2'!DadosExternos_142</vt:lpstr>
      <vt:lpstr>'Cotacao 3'!DadosExternos_142</vt:lpstr>
      <vt:lpstr>'Cotacao 4'!DadosExternos_142</vt:lpstr>
      <vt:lpstr>'Cotacao 5'!DadosExternos_142</vt:lpstr>
      <vt:lpstr>Cotacao!DadosExternos_143</vt:lpstr>
      <vt:lpstr>'Cotacao 2'!DadosExternos_143</vt:lpstr>
      <vt:lpstr>'Cotacao 3'!DadosExternos_143</vt:lpstr>
      <vt:lpstr>'Cotacao 4'!DadosExternos_143</vt:lpstr>
      <vt:lpstr>'Cotacao 5'!DadosExternos_143</vt:lpstr>
      <vt:lpstr>Cotacao!DadosExternos_144</vt:lpstr>
      <vt:lpstr>'Cotacao 2'!DadosExternos_144</vt:lpstr>
      <vt:lpstr>'Cotacao 3'!DadosExternos_144</vt:lpstr>
      <vt:lpstr>'Cotacao 4'!DadosExternos_144</vt:lpstr>
      <vt:lpstr>'Cotacao 5'!DadosExternos_144</vt:lpstr>
      <vt:lpstr>Cotacao!DadosExternos_145</vt:lpstr>
      <vt:lpstr>'Cotacao 2'!DadosExternos_145</vt:lpstr>
      <vt:lpstr>'Cotacao 3'!DadosExternos_145</vt:lpstr>
      <vt:lpstr>'Cotacao 4'!DadosExternos_145</vt:lpstr>
      <vt:lpstr>'Cotacao 5'!DadosExternos_145</vt:lpstr>
      <vt:lpstr>Cotacao!DadosExternos_146</vt:lpstr>
      <vt:lpstr>'Cotacao 2'!DadosExternos_146</vt:lpstr>
      <vt:lpstr>'Cotacao 3'!DadosExternos_146</vt:lpstr>
      <vt:lpstr>'Cotacao 4'!DadosExternos_146</vt:lpstr>
      <vt:lpstr>'Cotacao 5'!DadosExternos_146</vt:lpstr>
      <vt:lpstr>Cotacao!DadosExternos_147</vt:lpstr>
      <vt:lpstr>'Cotacao 2'!DadosExternos_147</vt:lpstr>
      <vt:lpstr>'Cotacao 3'!DadosExternos_147</vt:lpstr>
      <vt:lpstr>'Cotacao 4'!DadosExternos_147</vt:lpstr>
      <vt:lpstr>'Cotacao 5'!DadosExternos_147</vt:lpstr>
      <vt:lpstr>Cotacao!DadosExternos_148</vt:lpstr>
      <vt:lpstr>'Cotacao 2'!DadosExternos_148</vt:lpstr>
      <vt:lpstr>'Cotacao 3'!DadosExternos_148</vt:lpstr>
      <vt:lpstr>'Cotacao 4'!DadosExternos_148</vt:lpstr>
      <vt:lpstr>'Cotacao 5'!DadosExternos_148</vt:lpstr>
      <vt:lpstr>Cotacao!DadosExternos_149</vt:lpstr>
      <vt:lpstr>'Cotacao 2'!DadosExternos_149</vt:lpstr>
      <vt:lpstr>'Cotacao 3'!DadosExternos_149</vt:lpstr>
      <vt:lpstr>'Cotacao 4'!DadosExternos_149</vt:lpstr>
      <vt:lpstr>'Cotacao 5'!DadosExternos_149</vt:lpstr>
      <vt:lpstr>Cotacao!DadosExternos_15</vt:lpstr>
      <vt:lpstr>'Cotacao 2'!DadosExternos_15</vt:lpstr>
      <vt:lpstr>'Cotacao 3'!DadosExternos_15</vt:lpstr>
      <vt:lpstr>'Cotacao 4'!DadosExternos_15</vt:lpstr>
      <vt:lpstr>'Cotacao 5'!DadosExternos_15</vt:lpstr>
      <vt:lpstr>Cotacao!DadosExternos_150</vt:lpstr>
      <vt:lpstr>'Cotacao 2'!DadosExternos_150</vt:lpstr>
      <vt:lpstr>'Cotacao 3'!DadosExternos_150</vt:lpstr>
      <vt:lpstr>'Cotacao 4'!DadosExternos_150</vt:lpstr>
      <vt:lpstr>'Cotacao 5'!DadosExternos_150</vt:lpstr>
      <vt:lpstr>Cotacao!DadosExternos_151</vt:lpstr>
      <vt:lpstr>'Cotacao 2'!DadosExternos_151</vt:lpstr>
      <vt:lpstr>'Cotacao 3'!DadosExternos_151</vt:lpstr>
      <vt:lpstr>'Cotacao 4'!DadosExternos_151</vt:lpstr>
      <vt:lpstr>'Cotacao 5'!DadosExternos_151</vt:lpstr>
      <vt:lpstr>Cotacao!DadosExternos_152</vt:lpstr>
      <vt:lpstr>'Cotacao 2'!DadosExternos_152</vt:lpstr>
      <vt:lpstr>'Cotacao 3'!DadosExternos_152</vt:lpstr>
      <vt:lpstr>'Cotacao 4'!DadosExternos_152</vt:lpstr>
      <vt:lpstr>'Cotacao 5'!DadosExternos_152</vt:lpstr>
      <vt:lpstr>Cotacao!DadosExternos_153</vt:lpstr>
      <vt:lpstr>'Cotacao 2'!DadosExternos_153</vt:lpstr>
      <vt:lpstr>'Cotacao 3'!DadosExternos_153</vt:lpstr>
      <vt:lpstr>'Cotacao 4'!DadosExternos_153</vt:lpstr>
      <vt:lpstr>'Cotacao 5'!DadosExternos_153</vt:lpstr>
      <vt:lpstr>Cotacao!DadosExternos_154</vt:lpstr>
      <vt:lpstr>'Cotacao 2'!DadosExternos_154</vt:lpstr>
      <vt:lpstr>'Cotacao 3'!DadosExternos_154</vt:lpstr>
      <vt:lpstr>'Cotacao 4'!DadosExternos_154</vt:lpstr>
      <vt:lpstr>'Cotacao 5'!DadosExternos_154</vt:lpstr>
      <vt:lpstr>Cotacao!DadosExternos_155</vt:lpstr>
      <vt:lpstr>'Cotacao 2'!DadosExternos_155</vt:lpstr>
      <vt:lpstr>'Cotacao 3'!DadosExternos_155</vt:lpstr>
      <vt:lpstr>'Cotacao 4'!DadosExternos_155</vt:lpstr>
      <vt:lpstr>'Cotacao 5'!DadosExternos_155</vt:lpstr>
      <vt:lpstr>Cotacao!DadosExternos_156</vt:lpstr>
      <vt:lpstr>'Cotacao 2'!DadosExternos_156</vt:lpstr>
      <vt:lpstr>'Cotacao 3'!DadosExternos_156</vt:lpstr>
      <vt:lpstr>'Cotacao 4'!DadosExternos_156</vt:lpstr>
      <vt:lpstr>'Cotacao 5'!DadosExternos_156</vt:lpstr>
      <vt:lpstr>Cotacao!DadosExternos_157</vt:lpstr>
      <vt:lpstr>'Cotacao 2'!DadosExternos_157</vt:lpstr>
      <vt:lpstr>'Cotacao 3'!DadosExternos_157</vt:lpstr>
      <vt:lpstr>'Cotacao 4'!DadosExternos_157</vt:lpstr>
      <vt:lpstr>'Cotacao 5'!DadosExternos_157</vt:lpstr>
      <vt:lpstr>Cotacao!DadosExternos_158</vt:lpstr>
      <vt:lpstr>'Cotacao 2'!DadosExternos_158</vt:lpstr>
      <vt:lpstr>'Cotacao 3'!DadosExternos_158</vt:lpstr>
      <vt:lpstr>'Cotacao 4'!DadosExternos_158</vt:lpstr>
      <vt:lpstr>'Cotacao 5'!DadosExternos_158</vt:lpstr>
      <vt:lpstr>Cotacao!DadosExternos_159</vt:lpstr>
      <vt:lpstr>'Cotacao 2'!DadosExternos_159</vt:lpstr>
      <vt:lpstr>'Cotacao 3'!DadosExternos_159</vt:lpstr>
      <vt:lpstr>'Cotacao 4'!DadosExternos_159</vt:lpstr>
      <vt:lpstr>'Cotacao 5'!DadosExternos_159</vt:lpstr>
      <vt:lpstr>Cotacao!DadosExternos_16</vt:lpstr>
      <vt:lpstr>'Cotacao 2'!DadosExternos_16</vt:lpstr>
      <vt:lpstr>'Cotacao 3'!DadosExternos_16</vt:lpstr>
      <vt:lpstr>'Cotacao 4'!DadosExternos_16</vt:lpstr>
      <vt:lpstr>'Cotacao 5'!DadosExternos_16</vt:lpstr>
      <vt:lpstr>Cotacao!DadosExternos_160</vt:lpstr>
      <vt:lpstr>'Cotacao 2'!DadosExternos_160</vt:lpstr>
      <vt:lpstr>'Cotacao 3'!DadosExternos_160</vt:lpstr>
      <vt:lpstr>'Cotacao 4'!DadosExternos_160</vt:lpstr>
      <vt:lpstr>'Cotacao 5'!DadosExternos_160</vt:lpstr>
      <vt:lpstr>Cotacao!DadosExternos_161</vt:lpstr>
      <vt:lpstr>'Cotacao 2'!DadosExternos_161</vt:lpstr>
      <vt:lpstr>'Cotacao 3'!DadosExternos_161</vt:lpstr>
      <vt:lpstr>'Cotacao 4'!DadosExternos_161</vt:lpstr>
      <vt:lpstr>'Cotacao 5'!DadosExternos_161</vt:lpstr>
      <vt:lpstr>Cotacao!DadosExternos_162</vt:lpstr>
      <vt:lpstr>'Cotacao 2'!DadosExternos_162</vt:lpstr>
      <vt:lpstr>'Cotacao 3'!DadosExternos_162</vt:lpstr>
      <vt:lpstr>'Cotacao 4'!DadosExternos_162</vt:lpstr>
      <vt:lpstr>'Cotacao 5'!DadosExternos_162</vt:lpstr>
      <vt:lpstr>Cotacao!DadosExternos_163</vt:lpstr>
      <vt:lpstr>'Cotacao 2'!DadosExternos_163</vt:lpstr>
      <vt:lpstr>'Cotacao 3'!DadosExternos_163</vt:lpstr>
      <vt:lpstr>'Cotacao 4'!DadosExternos_163</vt:lpstr>
      <vt:lpstr>'Cotacao 5'!DadosExternos_163</vt:lpstr>
      <vt:lpstr>Cotacao!DadosExternos_164</vt:lpstr>
      <vt:lpstr>'Cotacao 2'!DadosExternos_164</vt:lpstr>
      <vt:lpstr>'Cotacao 3'!DadosExternos_164</vt:lpstr>
      <vt:lpstr>'Cotacao 4'!DadosExternos_164</vt:lpstr>
      <vt:lpstr>'Cotacao 5'!DadosExternos_164</vt:lpstr>
      <vt:lpstr>Cotacao!DadosExternos_165</vt:lpstr>
      <vt:lpstr>'Cotacao 2'!DadosExternos_165</vt:lpstr>
      <vt:lpstr>'Cotacao 3'!DadosExternos_165</vt:lpstr>
      <vt:lpstr>'Cotacao 4'!DadosExternos_165</vt:lpstr>
      <vt:lpstr>'Cotacao 5'!DadosExternos_165</vt:lpstr>
      <vt:lpstr>Cotacao!DadosExternos_166</vt:lpstr>
      <vt:lpstr>'Cotacao 2'!DadosExternos_166</vt:lpstr>
      <vt:lpstr>'Cotacao 3'!DadosExternos_166</vt:lpstr>
      <vt:lpstr>'Cotacao 4'!DadosExternos_166</vt:lpstr>
      <vt:lpstr>'Cotacao 5'!DadosExternos_166</vt:lpstr>
      <vt:lpstr>Cotacao!DadosExternos_167</vt:lpstr>
      <vt:lpstr>'Cotacao 2'!DadosExternos_167</vt:lpstr>
      <vt:lpstr>'Cotacao 3'!DadosExternos_167</vt:lpstr>
      <vt:lpstr>'Cotacao 4'!DadosExternos_167</vt:lpstr>
      <vt:lpstr>'Cotacao 5'!DadosExternos_167</vt:lpstr>
      <vt:lpstr>Cotacao!DadosExternos_168</vt:lpstr>
      <vt:lpstr>'Cotacao 2'!DadosExternos_168</vt:lpstr>
      <vt:lpstr>'Cotacao 3'!DadosExternos_168</vt:lpstr>
      <vt:lpstr>'Cotacao 4'!DadosExternos_168</vt:lpstr>
      <vt:lpstr>'Cotacao 5'!DadosExternos_168</vt:lpstr>
      <vt:lpstr>Cotacao!DadosExternos_169</vt:lpstr>
      <vt:lpstr>'Cotacao 2'!DadosExternos_169</vt:lpstr>
      <vt:lpstr>'Cotacao 3'!DadosExternos_169</vt:lpstr>
      <vt:lpstr>'Cotacao 4'!DadosExternos_169</vt:lpstr>
      <vt:lpstr>'Cotacao 5'!DadosExternos_169</vt:lpstr>
      <vt:lpstr>Cotacao!DadosExternos_17</vt:lpstr>
      <vt:lpstr>'Cotacao 2'!DadosExternos_17</vt:lpstr>
      <vt:lpstr>'Cotacao 3'!DadosExternos_17</vt:lpstr>
      <vt:lpstr>'Cotacao 4'!DadosExternos_17</vt:lpstr>
      <vt:lpstr>'Cotacao 5'!DadosExternos_17</vt:lpstr>
      <vt:lpstr>Cotacao!DadosExternos_170</vt:lpstr>
      <vt:lpstr>'Cotacao 2'!DadosExternos_170</vt:lpstr>
      <vt:lpstr>'Cotacao 3'!DadosExternos_170</vt:lpstr>
      <vt:lpstr>'Cotacao 4'!DadosExternos_170</vt:lpstr>
      <vt:lpstr>'Cotacao 5'!DadosExternos_170</vt:lpstr>
      <vt:lpstr>Cotacao!DadosExternos_171</vt:lpstr>
      <vt:lpstr>'Cotacao 2'!DadosExternos_171</vt:lpstr>
      <vt:lpstr>'Cotacao 3'!DadosExternos_171</vt:lpstr>
      <vt:lpstr>'Cotacao 4'!DadosExternos_171</vt:lpstr>
      <vt:lpstr>'Cotacao 5'!DadosExternos_171</vt:lpstr>
      <vt:lpstr>Cotacao!DadosExternos_172</vt:lpstr>
      <vt:lpstr>'Cotacao 2'!DadosExternos_172</vt:lpstr>
      <vt:lpstr>'Cotacao 3'!DadosExternos_172</vt:lpstr>
      <vt:lpstr>'Cotacao 4'!DadosExternos_172</vt:lpstr>
      <vt:lpstr>'Cotacao 5'!DadosExternos_172</vt:lpstr>
      <vt:lpstr>Cotacao!DadosExternos_173</vt:lpstr>
      <vt:lpstr>'Cotacao 2'!DadosExternos_173</vt:lpstr>
      <vt:lpstr>'Cotacao 3'!DadosExternos_173</vt:lpstr>
      <vt:lpstr>'Cotacao 4'!DadosExternos_173</vt:lpstr>
      <vt:lpstr>'Cotacao 5'!DadosExternos_173</vt:lpstr>
      <vt:lpstr>Cotacao!DadosExternos_174</vt:lpstr>
      <vt:lpstr>'Cotacao 2'!DadosExternos_174</vt:lpstr>
      <vt:lpstr>'Cotacao 3'!DadosExternos_174</vt:lpstr>
      <vt:lpstr>'Cotacao 4'!DadosExternos_174</vt:lpstr>
      <vt:lpstr>'Cotacao 5'!DadosExternos_174</vt:lpstr>
      <vt:lpstr>Cotacao!DadosExternos_175</vt:lpstr>
      <vt:lpstr>'Cotacao 2'!DadosExternos_175</vt:lpstr>
      <vt:lpstr>'Cotacao 3'!DadosExternos_175</vt:lpstr>
      <vt:lpstr>'Cotacao 4'!DadosExternos_175</vt:lpstr>
      <vt:lpstr>'Cotacao 5'!DadosExternos_175</vt:lpstr>
      <vt:lpstr>Cotacao!DadosExternos_176</vt:lpstr>
      <vt:lpstr>'Cotacao 2'!DadosExternos_176</vt:lpstr>
      <vt:lpstr>'Cotacao 3'!DadosExternos_176</vt:lpstr>
      <vt:lpstr>'Cotacao 4'!DadosExternos_176</vt:lpstr>
      <vt:lpstr>'Cotacao 5'!DadosExternos_176</vt:lpstr>
      <vt:lpstr>Cotacao!DadosExternos_177</vt:lpstr>
      <vt:lpstr>'Cotacao 2'!DadosExternos_177</vt:lpstr>
      <vt:lpstr>'Cotacao 3'!DadosExternos_177</vt:lpstr>
      <vt:lpstr>'Cotacao 4'!DadosExternos_177</vt:lpstr>
      <vt:lpstr>'Cotacao 5'!DadosExternos_177</vt:lpstr>
      <vt:lpstr>Cotacao!DadosExternos_178</vt:lpstr>
      <vt:lpstr>'Cotacao 2'!DadosExternos_178</vt:lpstr>
      <vt:lpstr>'Cotacao 3'!DadosExternos_178</vt:lpstr>
      <vt:lpstr>'Cotacao 4'!DadosExternos_178</vt:lpstr>
      <vt:lpstr>'Cotacao 5'!DadosExternos_178</vt:lpstr>
      <vt:lpstr>Cotacao!DadosExternos_179</vt:lpstr>
      <vt:lpstr>'Cotacao 2'!DadosExternos_179</vt:lpstr>
      <vt:lpstr>'Cotacao 3'!DadosExternos_179</vt:lpstr>
      <vt:lpstr>'Cotacao 4'!DadosExternos_179</vt:lpstr>
      <vt:lpstr>'Cotacao 5'!DadosExternos_179</vt:lpstr>
      <vt:lpstr>Cotacao!DadosExternos_18</vt:lpstr>
      <vt:lpstr>'Cotacao 2'!DadosExternos_18</vt:lpstr>
      <vt:lpstr>'Cotacao 3'!DadosExternos_18</vt:lpstr>
      <vt:lpstr>'Cotacao 4'!DadosExternos_18</vt:lpstr>
      <vt:lpstr>'Cotacao 5'!DadosExternos_18</vt:lpstr>
      <vt:lpstr>Cotacao!DadosExternos_180</vt:lpstr>
      <vt:lpstr>'Cotacao 2'!DadosExternos_180</vt:lpstr>
      <vt:lpstr>'Cotacao 3'!DadosExternos_180</vt:lpstr>
      <vt:lpstr>'Cotacao 4'!DadosExternos_180</vt:lpstr>
      <vt:lpstr>'Cotacao 5'!DadosExternos_180</vt:lpstr>
      <vt:lpstr>Cotacao!DadosExternos_181</vt:lpstr>
      <vt:lpstr>'Cotacao 2'!DadosExternos_181</vt:lpstr>
      <vt:lpstr>'Cotacao 3'!DadosExternos_181</vt:lpstr>
      <vt:lpstr>'Cotacao 4'!DadosExternos_181</vt:lpstr>
      <vt:lpstr>'Cotacao 5'!DadosExternos_181</vt:lpstr>
      <vt:lpstr>Cotacao!DadosExternos_182</vt:lpstr>
      <vt:lpstr>'Cotacao 2'!DadosExternos_182</vt:lpstr>
      <vt:lpstr>'Cotacao 3'!DadosExternos_182</vt:lpstr>
      <vt:lpstr>'Cotacao 4'!DadosExternos_182</vt:lpstr>
      <vt:lpstr>'Cotacao 5'!DadosExternos_182</vt:lpstr>
      <vt:lpstr>Cotacao!DadosExternos_183</vt:lpstr>
      <vt:lpstr>'Cotacao 2'!DadosExternos_183</vt:lpstr>
      <vt:lpstr>'Cotacao 3'!DadosExternos_183</vt:lpstr>
      <vt:lpstr>'Cotacao 4'!DadosExternos_183</vt:lpstr>
      <vt:lpstr>'Cotacao 5'!DadosExternos_183</vt:lpstr>
      <vt:lpstr>Cotacao!DadosExternos_184</vt:lpstr>
      <vt:lpstr>'Cotacao 2'!DadosExternos_184</vt:lpstr>
      <vt:lpstr>'Cotacao 3'!DadosExternos_184</vt:lpstr>
      <vt:lpstr>'Cotacao 4'!DadosExternos_184</vt:lpstr>
      <vt:lpstr>'Cotacao 5'!DadosExternos_184</vt:lpstr>
      <vt:lpstr>Cotacao!DadosExternos_185</vt:lpstr>
      <vt:lpstr>'Cotacao 2'!DadosExternos_185</vt:lpstr>
      <vt:lpstr>'Cotacao 3'!DadosExternos_185</vt:lpstr>
      <vt:lpstr>'Cotacao 4'!DadosExternos_185</vt:lpstr>
      <vt:lpstr>'Cotacao 5'!DadosExternos_185</vt:lpstr>
      <vt:lpstr>Cotacao!DadosExternos_186</vt:lpstr>
      <vt:lpstr>'Cotacao 2'!DadosExternos_186</vt:lpstr>
      <vt:lpstr>'Cotacao 3'!DadosExternos_186</vt:lpstr>
      <vt:lpstr>'Cotacao 4'!DadosExternos_186</vt:lpstr>
      <vt:lpstr>'Cotacao 5'!DadosExternos_186</vt:lpstr>
      <vt:lpstr>Cotacao!DadosExternos_187</vt:lpstr>
      <vt:lpstr>'Cotacao 2'!DadosExternos_187</vt:lpstr>
      <vt:lpstr>'Cotacao 3'!DadosExternos_187</vt:lpstr>
      <vt:lpstr>'Cotacao 4'!DadosExternos_187</vt:lpstr>
      <vt:lpstr>'Cotacao 5'!DadosExternos_187</vt:lpstr>
      <vt:lpstr>Cotacao!DadosExternos_188</vt:lpstr>
      <vt:lpstr>'Cotacao 2'!DadosExternos_188</vt:lpstr>
      <vt:lpstr>'Cotacao 3'!DadosExternos_188</vt:lpstr>
      <vt:lpstr>'Cotacao 4'!DadosExternos_188</vt:lpstr>
      <vt:lpstr>'Cotacao 5'!DadosExternos_188</vt:lpstr>
      <vt:lpstr>Cotacao!DadosExternos_189</vt:lpstr>
      <vt:lpstr>'Cotacao 2'!DadosExternos_189</vt:lpstr>
      <vt:lpstr>'Cotacao 3'!DadosExternos_189</vt:lpstr>
      <vt:lpstr>'Cotacao 4'!DadosExternos_189</vt:lpstr>
      <vt:lpstr>'Cotacao 5'!DadosExternos_189</vt:lpstr>
      <vt:lpstr>Cotacao!DadosExternos_190</vt:lpstr>
      <vt:lpstr>'Cotacao 2'!DadosExternos_190</vt:lpstr>
      <vt:lpstr>'Cotacao 3'!DadosExternos_190</vt:lpstr>
      <vt:lpstr>'Cotacao 4'!DadosExternos_190</vt:lpstr>
      <vt:lpstr>'Cotacao 5'!DadosExternos_190</vt:lpstr>
      <vt:lpstr>Cotacao!DadosExternos_191</vt:lpstr>
      <vt:lpstr>'Cotacao 2'!DadosExternos_191</vt:lpstr>
      <vt:lpstr>'Cotacao 3'!DadosExternos_191</vt:lpstr>
      <vt:lpstr>'Cotacao 4'!DadosExternos_191</vt:lpstr>
      <vt:lpstr>'Cotacao 5'!DadosExternos_191</vt:lpstr>
      <vt:lpstr>Cotacao!DadosExternos_192</vt:lpstr>
      <vt:lpstr>'Cotacao 2'!DadosExternos_192</vt:lpstr>
      <vt:lpstr>'Cotacao 3'!DadosExternos_192</vt:lpstr>
      <vt:lpstr>'Cotacao 4'!DadosExternos_192</vt:lpstr>
      <vt:lpstr>'Cotacao 5'!DadosExternos_192</vt:lpstr>
      <vt:lpstr>Cotacao!DadosExternos_193</vt:lpstr>
      <vt:lpstr>'Cotacao 2'!DadosExternos_193</vt:lpstr>
      <vt:lpstr>'Cotacao 3'!DadosExternos_193</vt:lpstr>
      <vt:lpstr>'Cotacao 4'!DadosExternos_193</vt:lpstr>
      <vt:lpstr>'Cotacao 5'!DadosExternos_193</vt:lpstr>
      <vt:lpstr>Cotacao!DadosExternos_194</vt:lpstr>
      <vt:lpstr>'Cotacao 2'!DadosExternos_194</vt:lpstr>
      <vt:lpstr>'Cotacao 3'!DadosExternos_194</vt:lpstr>
      <vt:lpstr>'Cotacao 4'!DadosExternos_194</vt:lpstr>
      <vt:lpstr>'Cotacao 5'!DadosExternos_194</vt:lpstr>
      <vt:lpstr>Cotacao!DadosExternos_195</vt:lpstr>
      <vt:lpstr>'Cotacao 2'!DadosExternos_195</vt:lpstr>
      <vt:lpstr>'Cotacao 3'!DadosExternos_195</vt:lpstr>
      <vt:lpstr>'Cotacao 4'!DadosExternos_195</vt:lpstr>
      <vt:lpstr>'Cotacao 5'!DadosExternos_195</vt:lpstr>
      <vt:lpstr>Cotacao!DadosExternos_196</vt:lpstr>
      <vt:lpstr>'Cotacao 2'!DadosExternos_196</vt:lpstr>
      <vt:lpstr>'Cotacao 3'!DadosExternos_196</vt:lpstr>
      <vt:lpstr>'Cotacao 4'!DadosExternos_196</vt:lpstr>
      <vt:lpstr>'Cotacao 5'!DadosExternos_196</vt:lpstr>
      <vt:lpstr>Cotacao!DadosExternos_197</vt:lpstr>
      <vt:lpstr>'Cotacao 2'!DadosExternos_197</vt:lpstr>
      <vt:lpstr>'Cotacao 3'!DadosExternos_197</vt:lpstr>
      <vt:lpstr>'Cotacao 4'!DadosExternos_197</vt:lpstr>
      <vt:lpstr>'Cotacao 5'!DadosExternos_197</vt:lpstr>
      <vt:lpstr>Cotacao!DadosExternos_198</vt:lpstr>
      <vt:lpstr>'Cotacao 2'!DadosExternos_198</vt:lpstr>
      <vt:lpstr>'Cotacao 3'!DadosExternos_198</vt:lpstr>
      <vt:lpstr>'Cotacao 4'!DadosExternos_198</vt:lpstr>
      <vt:lpstr>'Cotacao 5'!DadosExternos_198</vt:lpstr>
      <vt:lpstr>'Cotacao 2'!DadosExternos_199</vt:lpstr>
      <vt:lpstr>'Cotacao 3'!DadosExternos_199</vt:lpstr>
      <vt:lpstr>'Cotacao 4'!DadosExternos_199</vt:lpstr>
      <vt:lpstr>'Cotacao 5'!DadosExternos_199</vt:lpstr>
      <vt:lpstr>Cotacao!DadosExternos_2</vt:lpstr>
      <vt:lpstr>'Cotacao 2'!DadosExternos_2</vt:lpstr>
      <vt:lpstr>'Cotacao 3'!DadosExternos_2</vt:lpstr>
      <vt:lpstr>'Cotacao 4'!DadosExternos_2</vt:lpstr>
      <vt:lpstr>'Cotacao 5'!DadosExternos_2</vt:lpstr>
      <vt:lpstr>Cotacao!DadosExternos_20</vt:lpstr>
      <vt:lpstr>'Cotacao 2'!DadosExternos_20</vt:lpstr>
      <vt:lpstr>'Cotacao 3'!DadosExternos_20</vt:lpstr>
      <vt:lpstr>'Cotacao 4'!DadosExternos_20</vt:lpstr>
      <vt:lpstr>'Cotacao 5'!DadosExternos_20</vt:lpstr>
      <vt:lpstr>Cotacao!DadosExternos_200</vt:lpstr>
      <vt:lpstr>'Cotacao 2'!DadosExternos_200</vt:lpstr>
      <vt:lpstr>'Cotacao 3'!DadosExternos_200</vt:lpstr>
      <vt:lpstr>'Cotacao 4'!DadosExternos_200</vt:lpstr>
      <vt:lpstr>'Cotacao 5'!DadosExternos_200</vt:lpstr>
      <vt:lpstr>Cotacao!DadosExternos_201</vt:lpstr>
      <vt:lpstr>'Cotacao 2'!DadosExternos_201</vt:lpstr>
      <vt:lpstr>'Cotacao 3'!DadosExternos_201</vt:lpstr>
      <vt:lpstr>'Cotacao 4'!DadosExternos_201</vt:lpstr>
      <vt:lpstr>'Cotacao 5'!DadosExternos_201</vt:lpstr>
      <vt:lpstr>Cotacao!DadosExternos_202</vt:lpstr>
      <vt:lpstr>'Cotacao 2'!DadosExternos_202</vt:lpstr>
      <vt:lpstr>'Cotacao 3'!DadosExternos_202</vt:lpstr>
      <vt:lpstr>'Cotacao 4'!DadosExternos_202</vt:lpstr>
      <vt:lpstr>'Cotacao 5'!DadosExternos_202</vt:lpstr>
      <vt:lpstr>Cotacao!DadosExternos_203</vt:lpstr>
      <vt:lpstr>'Cotacao 2'!DadosExternos_203</vt:lpstr>
      <vt:lpstr>'Cotacao 3'!DadosExternos_203</vt:lpstr>
      <vt:lpstr>'Cotacao 4'!DadosExternos_203</vt:lpstr>
      <vt:lpstr>'Cotacao 5'!DadosExternos_203</vt:lpstr>
      <vt:lpstr>Cotacao!DadosExternos_204</vt:lpstr>
      <vt:lpstr>'Cotacao 2'!DadosExternos_204</vt:lpstr>
      <vt:lpstr>'Cotacao 3'!DadosExternos_204</vt:lpstr>
      <vt:lpstr>'Cotacao 4'!DadosExternos_204</vt:lpstr>
      <vt:lpstr>'Cotacao 5'!DadosExternos_204</vt:lpstr>
      <vt:lpstr>Cotacao!DadosExternos_205</vt:lpstr>
      <vt:lpstr>'Cotacao 2'!DadosExternos_205</vt:lpstr>
      <vt:lpstr>'Cotacao 3'!DadosExternos_205</vt:lpstr>
      <vt:lpstr>'Cotacao 4'!DadosExternos_205</vt:lpstr>
      <vt:lpstr>'Cotacao 5'!DadosExternos_205</vt:lpstr>
      <vt:lpstr>Cotacao!DadosExternos_206</vt:lpstr>
      <vt:lpstr>'Cotacao 2'!DadosExternos_206</vt:lpstr>
      <vt:lpstr>'Cotacao 3'!DadosExternos_206</vt:lpstr>
      <vt:lpstr>'Cotacao 4'!DadosExternos_206</vt:lpstr>
      <vt:lpstr>'Cotacao 5'!DadosExternos_206</vt:lpstr>
      <vt:lpstr>Cotacao!DadosExternos_207</vt:lpstr>
      <vt:lpstr>'Cotacao 2'!DadosExternos_207</vt:lpstr>
      <vt:lpstr>'Cotacao 3'!DadosExternos_207</vt:lpstr>
      <vt:lpstr>'Cotacao 4'!DadosExternos_207</vt:lpstr>
      <vt:lpstr>'Cotacao 5'!DadosExternos_207</vt:lpstr>
      <vt:lpstr>'Cotacao 2'!DadosExternos_208</vt:lpstr>
      <vt:lpstr>'Cotacao 3'!DadosExternos_208</vt:lpstr>
      <vt:lpstr>'Cotacao 4'!DadosExternos_208</vt:lpstr>
      <vt:lpstr>'Cotacao 5'!DadosExternos_208</vt:lpstr>
      <vt:lpstr>Cotacao!DadosExternos_209</vt:lpstr>
      <vt:lpstr>'Cotacao 2'!DadosExternos_209</vt:lpstr>
      <vt:lpstr>'Cotacao 3'!DadosExternos_209</vt:lpstr>
      <vt:lpstr>'Cotacao 4'!DadosExternos_209</vt:lpstr>
      <vt:lpstr>'Cotacao 5'!DadosExternos_209</vt:lpstr>
      <vt:lpstr>Cotacao!DadosExternos_21</vt:lpstr>
      <vt:lpstr>'Cotacao 2'!DadosExternos_21</vt:lpstr>
      <vt:lpstr>'Cotacao 3'!DadosExternos_21</vt:lpstr>
      <vt:lpstr>'Cotacao 4'!DadosExternos_21</vt:lpstr>
      <vt:lpstr>'Cotacao 5'!DadosExternos_21</vt:lpstr>
      <vt:lpstr>'Cotacao 2'!DadosExternos_210</vt:lpstr>
      <vt:lpstr>'Cotacao 3'!DadosExternos_210</vt:lpstr>
      <vt:lpstr>'Cotacao 4'!DadosExternos_210</vt:lpstr>
      <vt:lpstr>'Cotacao 5'!DadosExternos_210</vt:lpstr>
      <vt:lpstr>Cotacao!DadosExternos_211</vt:lpstr>
      <vt:lpstr>'Cotacao 2'!DadosExternos_211</vt:lpstr>
      <vt:lpstr>'Cotacao 3'!DadosExternos_211</vt:lpstr>
      <vt:lpstr>'Cotacao 4'!DadosExternos_211</vt:lpstr>
      <vt:lpstr>'Cotacao 5'!DadosExternos_211</vt:lpstr>
      <vt:lpstr>Cotacao!DadosExternos_212</vt:lpstr>
      <vt:lpstr>'Cotacao 2'!DadosExternos_212</vt:lpstr>
      <vt:lpstr>'Cotacao 3'!DadosExternos_212</vt:lpstr>
      <vt:lpstr>'Cotacao 4'!DadosExternos_212</vt:lpstr>
      <vt:lpstr>'Cotacao 5'!DadosExternos_212</vt:lpstr>
      <vt:lpstr>Cotacao!DadosExternos_213</vt:lpstr>
      <vt:lpstr>'Cotacao 2'!DadosExternos_213</vt:lpstr>
      <vt:lpstr>'Cotacao 3'!DadosExternos_213</vt:lpstr>
      <vt:lpstr>'Cotacao 4'!DadosExternos_213</vt:lpstr>
      <vt:lpstr>'Cotacao 5'!DadosExternos_213</vt:lpstr>
      <vt:lpstr>'Cotacao 2'!DadosExternos_214</vt:lpstr>
      <vt:lpstr>'Cotacao 3'!DadosExternos_214</vt:lpstr>
      <vt:lpstr>'Cotacao 4'!DadosExternos_214</vt:lpstr>
      <vt:lpstr>'Cotacao 5'!DadosExternos_214</vt:lpstr>
      <vt:lpstr>Cotacao!DadosExternos_215</vt:lpstr>
      <vt:lpstr>'Cotacao 2'!DadosExternos_215</vt:lpstr>
      <vt:lpstr>'Cotacao 3'!DadosExternos_215</vt:lpstr>
      <vt:lpstr>'Cotacao 4'!DadosExternos_215</vt:lpstr>
      <vt:lpstr>'Cotacao 5'!DadosExternos_215</vt:lpstr>
      <vt:lpstr>Cotacao!DadosExternos_216</vt:lpstr>
      <vt:lpstr>'Cotacao 2'!DadosExternos_216</vt:lpstr>
      <vt:lpstr>'Cotacao 3'!DadosExternos_216</vt:lpstr>
      <vt:lpstr>'Cotacao 4'!DadosExternos_216</vt:lpstr>
      <vt:lpstr>'Cotacao 5'!DadosExternos_216</vt:lpstr>
      <vt:lpstr>Cotacao!DadosExternos_217</vt:lpstr>
      <vt:lpstr>'Cotacao 2'!DadosExternos_217</vt:lpstr>
      <vt:lpstr>'Cotacao 3'!DadosExternos_217</vt:lpstr>
      <vt:lpstr>'Cotacao 4'!DadosExternos_217</vt:lpstr>
      <vt:lpstr>'Cotacao 5'!DadosExternos_217</vt:lpstr>
      <vt:lpstr>Cotacao!DadosExternos_218</vt:lpstr>
      <vt:lpstr>Cotacao!DadosExternos_219</vt:lpstr>
      <vt:lpstr>'Cotacao 2'!DadosExternos_219</vt:lpstr>
      <vt:lpstr>'Cotacao 3'!DadosExternos_219</vt:lpstr>
      <vt:lpstr>'Cotacao 4'!DadosExternos_219</vt:lpstr>
      <vt:lpstr>'Cotacao 5'!DadosExternos_219</vt:lpstr>
      <vt:lpstr>Cotacao!DadosExternos_220</vt:lpstr>
      <vt:lpstr>'Cotacao 2'!DadosExternos_220</vt:lpstr>
      <vt:lpstr>'Cotacao 3'!DadosExternos_220</vt:lpstr>
      <vt:lpstr>'Cotacao 4'!DadosExternos_220</vt:lpstr>
      <vt:lpstr>'Cotacao 5'!DadosExternos_220</vt:lpstr>
      <vt:lpstr>Cotacao!DadosExternos_221</vt:lpstr>
      <vt:lpstr>'Cotacao 2'!DadosExternos_221</vt:lpstr>
      <vt:lpstr>'Cotacao 3'!DadosExternos_221</vt:lpstr>
      <vt:lpstr>'Cotacao 4'!DadosExternos_221</vt:lpstr>
      <vt:lpstr>'Cotacao 5'!DadosExternos_221</vt:lpstr>
      <vt:lpstr>Cotacao!DadosExternos_222</vt:lpstr>
      <vt:lpstr>'Cotacao 2'!DadosExternos_222</vt:lpstr>
      <vt:lpstr>'Cotacao 3'!DadosExternos_222</vt:lpstr>
      <vt:lpstr>'Cotacao 4'!DadosExternos_222</vt:lpstr>
      <vt:lpstr>'Cotacao 5'!DadosExternos_222</vt:lpstr>
      <vt:lpstr>'Cotacao 2'!DadosExternos_223</vt:lpstr>
      <vt:lpstr>'Cotacao 3'!DadosExternos_223</vt:lpstr>
      <vt:lpstr>'Cotacao 4'!DadosExternos_223</vt:lpstr>
      <vt:lpstr>'Cotacao 5'!DadosExternos_223</vt:lpstr>
      <vt:lpstr>Cotacao!DadosExternos_224</vt:lpstr>
      <vt:lpstr>'Cotacao 2'!DadosExternos_224</vt:lpstr>
      <vt:lpstr>'Cotacao 3'!DadosExternos_224</vt:lpstr>
      <vt:lpstr>'Cotacao 4'!DadosExternos_224</vt:lpstr>
      <vt:lpstr>'Cotacao 5'!DadosExternos_224</vt:lpstr>
      <vt:lpstr>Cotacao!DadosExternos_225</vt:lpstr>
      <vt:lpstr>'Cotacao 2'!DadosExternos_225</vt:lpstr>
      <vt:lpstr>'Cotacao 3'!DadosExternos_225</vt:lpstr>
      <vt:lpstr>'Cotacao 4'!DadosExternos_225</vt:lpstr>
      <vt:lpstr>'Cotacao 5'!DadosExternos_225</vt:lpstr>
      <vt:lpstr>Cotacao!DadosExternos_226</vt:lpstr>
      <vt:lpstr>'Cotacao 2'!DadosExternos_227</vt:lpstr>
      <vt:lpstr>'Cotacao 3'!DadosExternos_227</vt:lpstr>
      <vt:lpstr>'Cotacao 4'!DadosExternos_227</vt:lpstr>
      <vt:lpstr>'Cotacao 5'!DadosExternos_227</vt:lpstr>
      <vt:lpstr>Cotacao!DadosExternos_228</vt:lpstr>
      <vt:lpstr>'Cotacao 2'!DadosExternos_228</vt:lpstr>
      <vt:lpstr>'Cotacao 3'!DadosExternos_228</vt:lpstr>
      <vt:lpstr>'Cotacao 4'!DadosExternos_228</vt:lpstr>
      <vt:lpstr>'Cotacao 5'!DadosExternos_228</vt:lpstr>
      <vt:lpstr>Cotacao!DadosExternos_229</vt:lpstr>
      <vt:lpstr>'Cotacao 2'!DadosExternos_229</vt:lpstr>
      <vt:lpstr>'Cotacao 3'!DadosExternos_229</vt:lpstr>
      <vt:lpstr>'Cotacao 4'!DadosExternos_229</vt:lpstr>
      <vt:lpstr>'Cotacao 5'!DadosExternos_229</vt:lpstr>
      <vt:lpstr>Cotacao!DadosExternos_230</vt:lpstr>
      <vt:lpstr>'Cotacao 2'!DadosExternos_230</vt:lpstr>
      <vt:lpstr>'Cotacao 3'!DadosExternos_230</vt:lpstr>
      <vt:lpstr>'Cotacao 4'!DadosExternos_230</vt:lpstr>
      <vt:lpstr>'Cotacao 5'!DadosExternos_230</vt:lpstr>
      <vt:lpstr>Cotacao!DadosExternos_231</vt:lpstr>
      <vt:lpstr>Cotacao!DadosExternos_232</vt:lpstr>
      <vt:lpstr>Cotacao!DadosExternos_233</vt:lpstr>
      <vt:lpstr>'Cotacao 2'!DadosExternos_233</vt:lpstr>
      <vt:lpstr>'Cotacao 3'!DadosExternos_233</vt:lpstr>
      <vt:lpstr>'Cotacao 4'!DadosExternos_233</vt:lpstr>
      <vt:lpstr>'Cotacao 5'!DadosExternos_233</vt:lpstr>
      <vt:lpstr>'Cotacao 2'!DadosExternos_234</vt:lpstr>
      <vt:lpstr>'Cotacao 3'!DadosExternos_234</vt:lpstr>
      <vt:lpstr>'Cotacao 4'!DadosExternos_234</vt:lpstr>
      <vt:lpstr>'Cotacao 5'!DadosExternos_234</vt:lpstr>
      <vt:lpstr>Cotacao!DadosExternos_235</vt:lpstr>
      <vt:lpstr>'Cotacao 2'!DadosExternos_235</vt:lpstr>
      <vt:lpstr>'Cotacao 3'!DadosExternos_235</vt:lpstr>
      <vt:lpstr>'Cotacao 4'!DadosExternos_235</vt:lpstr>
      <vt:lpstr>'Cotacao 5'!DadosExternos_235</vt:lpstr>
      <vt:lpstr>Cotacao!DadosExternos_237</vt:lpstr>
      <vt:lpstr>'Cotacao 2'!DadosExternos_237</vt:lpstr>
      <vt:lpstr>'Cotacao 3'!DadosExternos_237</vt:lpstr>
      <vt:lpstr>'Cotacao 4'!DadosExternos_237</vt:lpstr>
      <vt:lpstr>'Cotacao 5'!DadosExternos_237</vt:lpstr>
      <vt:lpstr>Cotacao!DadosExternos_238</vt:lpstr>
      <vt:lpstr>'Cotacao 2'!DadosExternos_238</vt:lpstr>
      <vt:lpstr>'Cotacao 3'!DadosExternos_238</vt:lpstr>
      <vt:lpstr>'Cotacao 4'!DadosExternos_238</vt:lpstr>
      <vt:lpstr>'Cotacao 5'!DadosExternos_238</vt:lpstr>
      <vt:lpstr>'Cotacao 2'!DadosExternos_239</vt:lpstr>
      <vt:lpstr>'Cotacao 3'!DadosExternos_239</vt:lpstr>
      <vt:lpstr>'Cotacao 4'!DadosExternos_239</vt:lpstr>
      <vt:lpstr>'Cotacao 5'!DadosExternos_239</vt:lpstr>
      <vt:lpstr>Cotacao!DadosExternos_24</vt:lpstr>
      <vt:lpstr>'Cotacao 2'!DadosExternos_24</vt:lpstr>
      <vt:lpstr>'Cotacao 3'!DadosExternos_24</vt:lpstr>
      <vt:lpstr>'Cotacao 4'!DadosExternos_24</vt:lpstr>
      <vt:lpstr>'Cotacao 5'!DadosExternos_24</vt:lpstr>
      <vt:lpstr>Cotacao!DadosExternos_240</vt:lpstr>
      <vt:lpstr>'Cotacao 2'!DadosExternos_240</vt:lpstr>
      <vt:lpstr>'Cotacao 3'!DadosExternos_240</vt:lpstr>
      <vt:lpstr>'Cotacao 4'!DadosExternos_240</vt:lpstr>
      <vt:lpstr>'Cotacao 5'!DadosExternos_240</vt:lpstr>
      <vt:lpstr>Cotacao!DadosExternos_241</vt:lpstr>
      <vt:lpstr>'Cotacao 2'!DadosExternos_241</vt:lpstr>
      <vt:lpstr>'Cotacao 3'!DadosExternos_241</vt:lpstr>
      <vt:lpstr>'Cotacao 4'!DadosExternos_241</vt:lpstr>
      <vt:lpstr>'Cotacao 5'!DadosExternos_241</vt:lpstr>
      <vt:lpstr>'Cotacao 2'!DadosExternos_242</vt:lpstr>
      <vt:lpstr>'Cotacao 3'!DadosExternos_242</vt:lpstr>
      <vt:lpstr>'Cotacao 4'!DadosExternos_242</vt:lpstr>
      <vt:lpstr>'Cotacao 5'!DadosExternos_242</vt:lpstr>
      <vt:lpstr>Cotacao!DadosExternos_243</vt:lpstr>
      <vt:lpstr>'Cotacao 2'!DadosExternos_243</vt:lpstr>
      <vt:lpstr>'Cotacao 3'!DadosExternos_243</vt:lpstr>
      <vt:lpstr>'Cotacao 4'!DadosExternos_243</vt:lpstr>
      <vt:lpstr>'Cotacao 5'!DadosExternos_243</vt:lpstr>
      <vt:lpstr>Cotacao!DadosExternos_244</vt:lpstr>
      <vt:lpstr>'Cotacao 2'!DadosExternos_244</vt:lpstr>
      <vt:lpstr>'Cotacao 3'!DadosExternos_244</vt:lpstr>
      <vt:lpstr>'Cotacao 4'!DadosExternos_244</vt:lpstr>
      <vt:lpstr>'Cotacao 5'!DadosExternos_244</vt:lpstr>
      <vt:lpstr>Cotacao!DadosExternos_245</vt:lpstr>
      <vt:lpstr>'Cotacao 2'!DadosExternos_246</vt:lpstr>
      <vt:lpstr>'Cotacao 3'!DadosExternos_246</vt:lpstr>
      <vt:lpstr>'Cotacao 4'!DadosExternos_246</vt:lpstr>
      <vt:lpstr>'Cotacao 5'!DadosExternos_246</vt:lpstr>
      <vt:lpstr>Cotacao!DadosExternos_247</vt:lpstr>
      <vt:lpstr>Cotacao!DadosExternos_249</vt:lpstr>
      <vt:lpstr>'Cotacao 2'!DadosExternos_249</vt:lpstr>
      <vt:lpstr>'Cotacao 3'!DadosExternos_249</vt:lpstr>
      <vt:lpstr>'Cotacao 4'!DadosExternos_249</vt:lpstr>
      <vt:lpstr>'Cotacao 5'!DadosExternos_249</vt:lpstr>
      <vt:lpstr>Cotacao!DadosExternos_250</vt:lpstr>
      <vt:lpstr>'Cotacao 2'!DadosExternos_250</vt:lpstr>
      <vt:lpstr>'Cotacao 3'!DadosExternos_250</vt:lpstr>
      <vt:lpstr>'Cotacao 4'!DadosExternos_250</vt:lpstr>
      <vt:lpstr>'Cotacao 5'!DadosExternos_250</vt:lpstr>
      <vt:lpstr>Cotacao!DadosExternos_251</vt:lpstr>
      <vt:lpstr>'Cotacao 2'!DadosExternos_251</vt:lpstr>
      <vt:lpstr>'Cotacao 3'!DadosExternos_251</vt:lpstr>
      <vt:lpstr>'Cotacao 4'!DadosExternos_251</vt:lpstr>
      <vt:lpstr>'Cotacao 5'!DadosExternos_251</vt:lpstr>
      <vt:lpstr>Cotacao!DadosExternos_252</vt:lpstr>
      <vt:lpstr>Cotacao!DadosExternos_253</vt:lpstr>
      <vt:lpstr>'Cotacao 2'!DadosExternos_253</vt:lpstr>
      <vt:lpstr>'Cotacao 3'!DadosExternos_253</vt:lpstr>
      <vt:lpstr>'Cotacao 4'!DadosExternos_253</vt:lpstr>
      <vt:lpstr>'Cotacao 5'!DadosExternos_253</vt:lpstr>
      <vt:lpstr>Cotacao!DadosExternos_254</vt:lpstr>
      <vt:lpstr>Cotacao!DadosExternos_255</vt:lpstr>
      <vt:lpstr>Cotacao!DadosExternos_256</vt:lpstr>
      <vt:lpstr>'Cotacao 2'!DadosExternos_256</vt:lpstr>
      <vt:lpstr>'Cotacao 3'!DadosExternos_256</vt:lpstr>
      <vt:lpstr>'Cotacao 4'!DadosExternos_256</vt:lpstr>
      <vt:lpstr>'Cotacao 5'!DadosExternos_256</vt:lpstr>
      <vt:lpstr>Cotacao!DadosExternos_257</vt:lpstr>
      <vt:lpstr>'Cotacao 2'!DadosExternos_257</vt:lpstr>
      <vt:lpstr>'Cotacao 3'!DadosExternos_257</vt:lpstr>
      <vt:lpstr>'Cotacao 4'!DadosExternos_257</vt:lpstr>
      <vt:lpstr>'Cotacao 5'!DadosExternos_257</vt:lpstr>
      <vt:lpstr>'Cotacao 2'!DadosExternos_258</vt:lpstr>
      <vt:lpstr>'Cotacao 3'!DadosExternos_258</vt:lpstr>
      <vt:lpstr>'Cotacao 4'!DadosExternos_258</vt:lpstr>
      <vt:lpstr>'Cotacao 5'!DadosExternos_258</vt:lpstr>
      <vt:lpstr>'Cotacao 2'!DadosExternos_259</vt:lpstr>
      <vt:lpstr>'Cotacao 3'!DadosExternos_259</vt:lpstr>
      <vt:lpstr>'Cotacao 4'!DadosExternos_259</vt:lpstr>
      <vt:lpstr>'Cotacao 5'!DadosExternos_259</vt:lpstr>
      <vt:lpstr>Cotacao!DadosExternos_26</vt:lpstr>
      <vt:lpstr>'Cotacao 2'!DadosExternos_26</vt:lpstr>
      <vt:lpstr>'Cotacao 3'!DadosExternos_26</vt:lpstr>
      <vt:lpstr>'Cotacao 4'!DadosExternos_26</vt:lpstr>
      <vt:lpstr>'Cotacao 5'!DadosExternos_26</vt:lpstr>
      <vt:lpstr>'Cotacao 2'!DadosExternos_260</vt:lpstr>
      <vt:lpstr>'Cotacao 3'!DadosExternos_260</vt:lpstr>
      <vt:lpstr>'Cotacao 4'!DadosExternos_260</vt:lpstr>
      <vt:lpstr>'Cotacao 5'!DadosExternos_260</vt:lpstr>
      <vt:lpstr>'Cotacao 2'!DadosExternos_261</vt:lpstr>
      <vt:lpstr>'Cotacao 3'!DadosExternos_261</vt:lpstr>
      <vt:lpstr>'Cotacao 4'!DadosExternos_261</vt:lpstr>
      <vt:lpstr>'Cotacao 5'!DadosExternos_261</vt:lpstr>
      <vt:lpstr>'Cotacao 2'!DadosExternos_262</vt:lpstr>
      <vt:lpstr>'Cotacao 3'!DadosExternos_262</vt:lpstr>
      <vt:lpstr>'Cotacao 4'!DadosExternos_262</vt:lpstr>
      <vt:lpstr>'Cotacao 5'!DadosExternos_262</vt:lpstr>
      <vt:lpstr>'Cotacao 2'!DadosExternos_263</vt:lpstr>
      <vt:lpstr>'Cotacao 3'!DadosExternos_263</vt:lpstr>
      <vt:lpstr>'Cotacao 4'!DadosExternos_263</vt:lpstr>
      <vt:lpstr>'Cotacao 5'!DadosExternos_263</vt:lpstr>
      <vt:lpstr>'Cotacao 2'!DadosExternos_265</vt:lpstr>
      <vt:lpstr>'Cotacao 3'!DadosExternos_265</vt:lpstr>
      <vt:lpstr>'Cotacao 4'!DadosExternos_265</vt:lpstr>
      <vt:lpstr>'Cotacao 5'!DadosExternos_265</vt:lpstr>
      <vt:lpstr>'Cotacao 2'!DadosExternos_268</vt:lpstr>
      <vt:lpstr>'Cotacao 3'!DadosExternos_268</vt:lpstr>
      <vt:lpstr>'Cotacao 4'!DadosExternos_268</vt:lpstr>
      <vt:lpstr>'Cotacao 5'!DadosExternos_268</vt:lpstr>
      <vt:lpstr>'Cotacao 2'!DadosExternos_269</vt:lpstr>
      <vt:lpstr>'Cotacao 3'!DadosExternos_269</vt:lpstr>
      <vt:lpstr>'Cotacao 4'!DadosExternos_269</vt:lpstr>
      <vt:lpstr>'Cotacao 5'!DadosExternos_269</vt:lpstr>
      <vt:lpstr>Cotacao!DadosExternos_27</vt:lpstr>
      <vt:lpstr>'Cotacao 2'!DadosExternos_27</vt:lpstr>
      <vt:lpstr>'Cotacao 3'!DadosExternos_27</vt:lpstr>
      <vt:lpstr>'Cotacao 4'!DadosExternos_27</vt:lpstr>
      <vt:lpstr>'Cotacao 5'!DadosExternos_27</vt:lpstr>
      <vt:lpstr>'Cotacao 2'!DadosExternos_270</vt:lpstr>
      <vt:lpstr>'Cotacao 3'!DadosExternos_270</vt:lpstr>
      <vt:lpstr>'Cotacao 4'!DadosExternos_270</vt:lpstr>
      <vt:lpstr>'Cotacao 5'!DadosExternos_270</vt:lpstr>
      <vt:lpstr>'Cotacao 2'!DadosExternos_271</vt:lpstr>
      <vt:lpstr>'Cotacao 3'!DadosExternos_271</vt:lpstr>
      <vt:lpstr>'Cotacao 4'!DadosExternos_271</vt:lpstr>
      <vt:lpstr>'Cotacao 5'!DadosExternos_271</vt:lpstr>
      <vt:lpstr>'Cotacao 2'!DadosExternos_272</vt:lpstr>
      <vt:lpstr>'Cotacao 3'!DadosExternos_272</vt:lpstr>
      <vt:lpstr>'Cotacao 4'!DadosExternos_272</vt:lpstr>
      <vt:lpstr>'Cotacao 5'!DadosExternos_272</vt:lpstr>
      <vt:lpstr>'Cotacao 2'!DadosExternos_275</vt:lpstr>
      <vt:lpstr>'Cotacao 3'!DadosExternos_275</vt:lpstr>
      <vt:lpstr>'Cotacao 4'!DadosExternos_275</vt:lpstr>
      <vt:lpstr>'Cotacao 5'!DadosExternos_275</vt:lpstr>
      <vt:lpstr>'Cotacao 2'!DadosExternos_276</vt:lpstr>
      <vt:lpstr>'Cotacao 3'!DadosExternos_276</vt:lpstr>
      <vt:lpstr>'Cotacao 4'!DadosExternos_276</vt:lpstr>
      <vt:lpstr>'Cotacao 5'!DadosExternos_276</vt:lpstr>
      <vt:lpstr>'Cotacao 2'!DadosExternos_277</vt:lpstr>
      <vt:lpstr>'Cotacao 3'!DadosExternos_277</vt:lpstr>
      <vt:lpstr>'Cotacao 4'!DadosExternos_277</vt:lpstr>
      <vt:lpstr>'Cotacao 5'!DadosExternos_277</vt:lpstr>
      <vt:lpstr>'Cotacao 2'!DadosExternos_278</vt:lpstr>
      <vt:lpstr>'Cotacao 3'!DadosExternos_278</vt:lpstr>
      <vt:lpstr>'Cotacao 4'!DadosExternos_278</vt:lpstr>
      <vt:lpstr>'Cotacao 5'!DadosExternos_278</vt:lpstr>
      <vt:lpstr>'Cotacao 2'!DadosExternos_279</vt:lpstr>
      <vt:lpstr>'Cotacao 3'!DadosExternos_279</vt:lpstr>
      <vt:lpstr>'Cotacao 4'!DadosExternos_279</vt:lpstr>
      <vt:lpstr>'Cotacao 5'!DadosExternos_279</vt:lpstr>
      <vt:lpstr>Cotacao!DadosExternos_28</vt:lpstr>
      <vt:lpstr>'Cotacao 2'!DadosExternos_28</vt:lpstr>
      <vt:lpstr>'Cotacao 3'!DadosExternos_28</vt:lpstr>
      <vt:lpstr>'Cotacao 4'!DadosExternos_28</vt:lpstr>
      <vt:lpstr>'Cotacao 5'!DadosExternos_28</vt:lpstr>
      <vt:lpstr>'Cotacao 2'!DadosExternos_280</vt:lpstr>
      <vt:lpstr>'Cotacao 3'!DadosExternos_280</vt:lpstr>
      <vt:lpstr>'Cotacao 4'!DadosExternos_280</vt:lpstr>
      <vt:lpstr>'Cotacao 5'!DadosExternos_280</vt:lpstr>
      <vt:lpstr>'Cotacao 2'!DadosExternos_281</vt:lpstr>
      <vt:lpstr>'Cotacao 3'!DadosExternos_281</vt:lpstr>
      <vt:lpstr>'Cotacao 4'!DadosExternos_281</vt:lpstr>
      <vt:lpstr>'Cotacao 5'!DadosExternos_281</vt:lpstr>
      <vt:lpstr>'Cotacao 2'!DadosExternos_282</vt:lpstr>
      <vt:lpstr>'Cotacao 3'!DadosExternos_282</vt:lpstr>
      <vt:lpstr>'Cotacao 4'!DadosExternos_282</vt:lpstr>
      <vt:lpstr>'Cotacao 5'!DadosExternos_282</vt:lpstr>
      <vt:lpstr>'Cotacao 2'!DadosExternos_287</vt:lpstr>
      <vt:lpstr>'Cotacao 3'!DadosExternos_287</vt:lpstr>
      <vt:lpstr>'Cotacao 4'!DadosExternos_287</vt:lpstr>
      <vt:lpstr>'Cotacao 5'!DadosExternos_287</vt:lpstr>
      <vt:lpstr>'Cotacao 2'!DadosExternos_288</vt:lpstr>
      <vt:lpstr>'Cotacao 3'!DadosExternos_288</vt:lpstr>
      <vt:lpstr>'Cotacao 4'!DadosExternos_288</vt:lpstr>
      <vt:lpstr>'Cotacao 5'!DadosExternos_288</vt:lpstr>
      <vt:lpstr>Cotacao!DadosExternos_29</vt:lpstr>
      <vt:lpstr>'Cotacao 2'!DadosExternos_29</vt:lpstr>
      <vt:lpstr>'Cotacao 3'!DadosExternos_29</vt:lpstr>
      <vt:lpstr>'Cotacao 4'!DadosExternos_29</vt:lpstr>
      <vt:lpstr>'Cotacao 5'!DadosExternos_29</vt:lpstr>
      <vt:lpstr>'Cotacao 2'!DadosExternos_290</vt:lpstr>
      <vt:lpstr>'Cotacao 3'!DadosExternos_290</vt:lpstr>
      <vt:lpstr>'Cotacao 4'!DadosExternos_290</vt:lpstr>
      <vt:lpstr>'Cotacao 5'!DadosExternos_290</vt:lpstr>
      <vt:lpstr>'Cotacao 2'!DadosExternos_291</vt:lpstr>
      <vt:lpstr>'Cotacao 3'!DadosExternos_291</vt:lpstr>
      <vt:lpstr>'Cotacao 4'!DadosExternos_291</vt:lpstr>
      <vt:lpstr>'Cotacao 5'!DadosExternos_291</vt:lpstr>
      <vt:lpstr>'Cotacao 2'!DadosExternos_292</vt:lpstr>
      <vt:lpstr>'Cotacao 3'!DadosExternos_292</vt:lpstr>
      <vt:lpstr>'Cotacao 4'!DadosExternos_292</vt:lpstr>
      <vt:lpstr>'Cotacao 5'!DadosExternos_292</vt:lpstr>
      <vt:lpstr>'Cotacao 2'!DadosExternos_293</vt:lpstr>
      <vt:lpstr>'Cotacao 3'!DadosExternos_293</vt:lpstr>
      <vt:lpstr>'Cotacao 4'!DadosExternos_293</vt:lpstr>
      <vt:lpstr>'Cotacao 5'!DadosExternos_293</vt:lpstr>
      <vt:lpstr>'Cotacao 2'!DadosExternos_294</vt:lpstr>
      <vt:lpstr>'Cotacao 3'!DadosExternos_294</vt:lpstr>
      <vt:lpstr>'Cotacao 4'!DadosExternos_294</vt:lpstr>
      <vt:lpstr>'Cotacao 5'!DadosExternos_294</vt:lpstr>
      <vt:lpstr>'Cotacao 2'!DadosExternos_295</vt:lpstr>
      <vt:lpstr>'Cotacao 3'!DadosExternos_295</vt:lpstr>
      <vt:lpstr>'Cotacao 4'!DadosExternos_295</vt:lpstr>
      <vt:lpstr>'Cotacao 5'!DadosExternos_295</vt:lpstr>
      <vt:lpstr>'Cotacao 2'!DadosExternos_296</vt:lpstr>
      <vt:lpstr>'Cotacao 3'!DadosExternos_296</vt:lpstr>
      <vt:lpstr>'Cotacao 4'!DadosExternos_296</vt:lpstr>
      <vt:lpstr>'Cotacao 5'!DadosExternos_296</vt:lpstr>
      <vt:lpstr>'Cotacao 2'!DadosExternos_297</vt:lpstr>
      <vt:lpstr>'Cotacao 3'!DadosExternos_297</vt:lpstr>
      <vt:lpstr>'Cotacao 4'!DadosExternos_297</vt:lpstr>
      <vt:lpstr>'Cotacao 5'!DadosExternos_297</vt:lpstr>
      <vt:lpstr>'Cotacao 2'!DadosExternos_298</vt:lpstr>
      <vt:lpstr>'Cotacao 3'!DadosExternos_298</vt:lpstr>
      <vt:lpstr>'Cotacao 4'!DadosExternos_298</vt:lpstr>
      <vt:lpstr>'Cotacao 5'!DadosExternos_298</vt:lpstr>
      <vt:lpstr>'Cotacao 2'!DadosExternos_299</vt:lpstr>
      <vt:lpstr>'Cotacao 3'!DadosExternos_299</vt:lpstr>
      <vt:lpstr>'Cotacao 4'!DadosExternos_299</vt:lpstr>
      <vt:lpstr>'Cotacao 5'!DadosExternos_299</vt:lpstr>
      <vt:lpstr>Cotacao!DadosExternos_3</vt:lpstr>
      <vt:lpstr>'Cotacao 2'!DadosExternos_3</vt:lpstr>
      <vt:lpstr>'Cotacao 3'!DadosExternos_3</vt:lpstr>
      <vt:lpstr>'Cotacao 4'!DadosExternos_3</vt:lpstr>
      <vt:lpstr>'Cotacao 5'!DadosExternos_3</vt:lpstr>
      <vt:lpstr>Cotacao!DadosExternos_30</vt:lpstr>
      <vt:lpstr>'Cotacao 2'!DadosExternos_30</vt:lpstr>
      <vt:lpstr>'Cotacao 3'!DadosExternos_30</vt:lpstr>
      <vt:lpstr>'Cotacao 4'!DadosExternos_30</vt:lpstr>
      <vt:lpstr>'Cotacao 5'!DadosExternos_30</vt:lpstr>
      <vt:lpstr>'Cotacao 2'!DadosExternos_300</vt:lpstr>
      <vt:lpstr>'Cotacao 3'!DadosExternos_300</vt:lpstr>
      <vt:lpstr>'Cotacao 4'!DadosExternos_300</vt:lpstr>
      <vt:lpstr>'Cotacao 5'!DadosExternos_300</vt:lpstr>
      <vt:lpstr>'Cotacao 2'!DadosExternos_302</vt:lpstr>
      <vt:lpstr>'Cotacao 3'!DadosExternos_302</vt:lpstr>
      <vt:lpstr>'Cotacao 4'!DadosExternos_302</vt:lpstr>
      <vt:lpstr>'Cotacao 5'!DadosExternos_302</vt:lpstr>
      <vt:lpstr>'Cotacao 2'!DadosExternos_304</vt:lpstr>
      <vt:lpstr>'Cotacao 3'!DadosExternos_304</vt:lpstr>
      <vt:lpstr>'Cotacao 4'!DadosExternos_304</vt:lpstr>
      <vt:lpstr>'Cotacao 5'!DadosExternos_304</vt:lpstr>
      <vt:lpstr>'Cotacao 2'!DadosExternos_305</vt:lpstr>
      <vt:lpstr>'Cotacao 3'!DadosExternos_305</vt:lpstr>
      <vt:lpstr>'Cotacao 4'!DadosExternos_305</vt:lpstr>
      <vt:lpstr>'Cotacao 5'!DadosExternos_305</vt:lpstr>
      <vt:lpstr>'Cotacao 2'!DadosExternos_307</vt:lpstr>
      <vt:lpstr>'Cotacao 3'!DadosExternos_307</vt:lpstr>
      <vt:lpstr>'Cotacao 4'!DadosExternos_307</vt:lpstr>
      <vt:lpstr>'Cotacao 5'!DadosExternos_307</vt:lpstr>
      <vt:lpstr>'Cotacao 2'!DadosExternos_308</vt:lpstr>
      <vt:lpstr>'Cotacao 3'!DadosExternos_308</vt:lpstr>
      <vt:lpstr>'Cotacao 4'!DadosExternos_308</vt:lpstr>
      <vt:lpstr>'Cotacao 5'!DadosExternos_308</vt:lpstr>
      <vt:lpstr>'Cotacao 2'!DadosExternos_309</vt:lpstr>
      <vt:lpstr>'Cotacao 3'!DadosExternos_309</vt:lpstr>
      <vt:lpstr>'Cotacao 4'!DadosExternos_309</vt:lpstr>
      <vt:lpstr>'Cotacao 5'!DadosExternos_309</vt:lpstr>
      <vt:lpstr>Cotacao!DadosExternos_31</vt:lpstr>
      <vt:lpstr>'Cotacao 2'!DadosExternos_31</vt:lpstr>
      <vt:lpstr>'Cotacao 3'!DadosExternos_31</vt:lpstr>
      <vt:lpstr>'Cotacao 4'!DadosExternos_31</vt:lpstr>
      <vt:lpstr>'Cotacao 5'!DadosExternos_31</vt:lpstr>
      <vt:lpstr>'Cotacao 2'!DadosExternos_311</vt:lpstr>
      <vt:lpstr>'Cotacao 3'!DadosExternos_311</vt:lpstr>
      <vt:lpstr>'Cotacao 4'!DadosExternos_311</vt:lpstr>
      <vt:lpstr>'Cotacao 5'!DadosExternos_311</vt:lpstr>
      <vt:lpstr>'Cotacao 2'!DadosExternos_315</vt:lpstr>
      <vt:lpstr>'Cotacao 3'!DadosExternos_315</vt:lpstr>
      <vt:lpstr>'Cotacao 4'!DadosExternos_315</vt:lpstr>
      <vt:lpstr>'Cotacao 5'!DadosExternos_315</vt:lpstr>
      <vt:lpstr>'Cotacao 2'!DadosExternos_317</vt:lpstr>
      <vt:lpstr>'Cotacao 3'!DadosExternos_317</vt:lpstr>
      <vt:lpstr>'Cotacao 4'!DadosExternos_317</vt:lpstr>
      <vt:lpstr>'Cotacao 5'!DadosExternos_317</vt:lpstr>
      <vt:lpstr>'Cotacao 2'!DadosExternos_318</vt:lpstr>
      <vt:lpstr>'Cotacao 3'!DadosExternos_318</vt:lpstr>
      <vt:lpstr>'Cotacao 4'!DadosExternos_318</vt:lpstr>
      <vt:lpstr>'Cotacao 5'!DadosExternos_318</vt:lpstr>
      <vt:lpstr>'Cotacao 2'!DadosExternos_319</vt:lpstr>
      <vt:lpstr>'Cotacao 3'!DadosExternos_319</vt:lpstr>
      <vt:lpstr>'Cotacao 4'!DadosExternos_319</vt:lpstr>
      <vt:lpstr>'Cotacao 5'!DadosExternos_319</vt:lpstr>
      <vt:lpstr>Cotacao!DadosExternos_32</vt:lpstr>
      <vt:lpstr>'Cotacao 2'!DadosExternos_32</vt:lpstr>
      <vt:lpstr>'Cotacao 3'!DadosExternos_32</vt:lpstr>
      <vt:lpstr>'Cotacao 4'!DadosExternos_32</vt:lpstr>
      <vt:lpstr>'Cotacao 5'!DadosExternos_32</vt:lpstr>
      <vt:lpstr>'Cotacao 2'!DadosExternos_320</vt:lpstr>
      <vt:lpstr>'Cotacao 3'!DadosExternos_320</vt:lpstr>
      <vt:lpstr>'Cotacao 4'!DadosExternos_320</vt:lpstr>
      <vt:lpstr>'Cotacao 5'!DadosExternos_320</vt:lpstr>
      <vt:lpstr>'Cotacao 2'!DadosExternos_323</vt:lpstr>
      <vt:lpstr>'Cotacao 3'!DadosExternos_323</vt:lpstr>
      <vt:lpstr>'Cotacao 4'!DadosExternos_323</vt:lpstr>
      <vt:lpstr>'Cotacao 5'!DadosExternos_323</vt:lpstr>
      <vt:lpstr>'Cotacao 2'!DadosExternos_324</vt:lpstr>
      <vt:lpstr>'Cotacao 3'!DadosExternos_324</vt:lpstr>
      <vt:lpstr>'Cotacao 4'!DadosExternos_324</vt:lpstr>
      <vt:lpstr>'Cotacao 5'!DadosExternos_324</vt:lpstr>
      <vt:lpstr>'Cotacao 2'!DadosExternos_325</vt:lpstr>
      <vt:lpstr>'Cotacao 3'!DadosExternos_325</vt:lpstr>
      <vt:lpstr>'Cotacao 4'!DadosExternos_325</vt:lpstr>
      <vt:lpstr>'Cotacao 5'!DadosExternos_325</vt:lpstr>
      <vt:lpstr>'Cotacao 2'!DadosExternos_326</vt:lpstr>
      <vt:lpstr>'Cotacao 3'!DadosExternos_326</vt:lpstr>
      <vt:lpstr>'Cotacao 4'!DadosExternos_326</vt:lpstr>
      <vt:lpstr>'Cotacao 5'!DadosExternos_326</vt:lpstr>
      <vt:lpstr>'Cotacao 2'!DadosExternos_327</vt:lpstr>
      <vt:lpstr>'Cotacao 3'!DadosExternos_327</vt:lpstr>
      <vt:lpstr>'Cotacao 4'!DadosExternos_327</vt:lpstr>
      <vt:lpstr>'Cotacao 5'!DadosExternos_327</vt:lpstr>
      <vt:lpstr>'Cotacao 2'!DadosExternos_328</vt:lpstr>
      <vt:lpstr>'Cotacao 3'!DadosExternos_328</vt:lpstr>
      <vt:lpstr>'Cotacao 4'!DadosExternos_328</vt:lpstr>
      <vt:lpstr>'Cotacao 5'!DadosExternos_328</vt:lpstr>
      <vt:lpstr>'Cotacao 2'!DadosExternos_329</vt:lpstr>
      <vt:lpstr>'Cotacao 3'!DadosExternos_329</vt:lpstr>
      <vt:lpstr>'Cotacao 4'!DadosExternos_329</vt:lpstr>
      <vt:lpstr>'Cotacao 5'!DadosExternos_329</vt:lpstr>
      <vt:lpstr>Cotacao!DadosExternos_33</vt:lpstr>
      <vt:lpstr>'Cotacao 2'!DadosExternos_33</vt:lpstr>
      <vt:lpstr>'Cotacao 3'!DadosExternos_33</vt:lpstr>
      <vt:lpstr>'Cotacao 4'!DadosExternos_33</vt:lpstr>
      <vt:lpstr>'Cotacao 5'!DadosExternos_33</vt:lpstr>
      <vt:lpstr>'Cotacao 2'!DadosExternos_330</vt:lpstr>
      <vt:lpstr>'Cotacao 3'!DadosExternos_330</vt:lpstr>
      <vt:lpstr>'Cotacao 4'!DadosExternos_330</vt:lpstr>
      <vt:lpstr>'Cotacao 5'!DadosExternos_330</vt:lpstr>
      <vt:lpstr>'Cotacao 2'!DadosExternos_331</vt:lpstr>
      <vt:lpstr>'Cotacao 3'!DadosExternos_331</vt:lpstr>
      <vt:lpstr>'Cotacao 4'!DadosExternos_331</vt:lpstr>
      <vt:lpstr>'Cotacao 5'!DadosExternos_331</vt:lpstr>
      <vt:lpstr>'Cotacao 2'!DadosExternos_333</vt:lpstr>
      <vt:lpstr>'Cotacao 3'!DadosExternos_333</vt:lpstr>
      <vt:lpstr>'Cotacao 4'!DadosExternos_333</vt:lpstr>
      <vt:lpstr>'Cotacao 5'!DadosExternos_333</vt:lpstr>
      <vt:lpstr>'Cotacao 2'!DadosExternos_336</vt:lpstr>
      <vt:lpstr>'Cotacao 3'!DadosExternos_336</vt:lpstr>
      <vt:lpstr>'Cotacao 4'!DadosExternos_336</vt:lpstr>
      <vt:lpstr>'Cotacao 5'!DadosExternos_336</vt:lpstr>
      <vt:lpstr>'Cotacao 2'!DadosExternos_337</vt:lpstr>
      <vt:lpstr>'Cotacao 3'!DadosExternos_337</vt:lpstr>
      <vt:lpstr>'Cotacao 4'!DadosExternos_337</vt:lpstr>
      <vt:lpstr>'Cotacao 5'!DadosExternos_337</vt:lpstr>
      <vt:lpstr>'Cotacao 2'!DadosExternos_338</vt:lpstr>
      <vt:lpstr>'Cotacao 3'!DadosExternos_338</vt:lpstr>
      <vt:lpstr>'Cotacao 4'!DadosExternos_338</vt:lpstr>
      <vt:lpstr>'Cotacao 5'!DadosExternos_338</vt:lpstr>
      <vt:lpstr>'Cotacao 2'!DadosExternos_339</vt:lpstr>
      <vt:lpstr>'Cotacao 3'!DadosExternos_339</vt:lpstr>
      <vt:lpstr>'Cotacao 4'!DadosExternos_339</vt:lpstr>
      <vt:lpstr>'Cotacao 5'!DadosExternos_339</vt:lpstr>
      <vt:lpstr>Cotacao!DadosExternos_34</vt:lpstr>
      <vt:lpstr>'Cotacao 2'!DadosExternos_34</vt:lpstr>
      <vt:lpstr>'Cotacao 3'!DadosExternos_34</vt:lpstr>
      <vt:lpstr>'Cotacao 4'!DadosExternos_34</vt:lpstr>
      <vt:lpstr>'Cotacao 5'!DadosExternos_34</vt:lpstr>
      <vt:lpstr>'Cotacao 2'!DadosExternos_342</vt:lpstr>
      <vt:lpstr>'Cotacao 3'!DadosExternos_342</vt:lpstr>
      <vt:lpstr>'Cotacao 4'!DadosExternos_342</vt:lpstr>
      <vt:lpstr>'Cotacao 5'!DadosExternos_342</vt:lpstr>
      <vt:lpstr>'Cotacao 2'!DadosExternos_343</vt:lpstr>
      <vt:lpstr>'Cotacao 3'!DadosExternos_343</vt:lpstr>
      <vt:lpstr>'Cotacao 4'!DadosExternos_343</vt:lpstr>
      <vt:lpstr>'Cotacao 5'!DadosExternos_343</vt:lpstr>
      <vt:lpstr>'Cotacao 2'!DadosExternos_344</vt:lpstr>
      <vt:lpstr>'Cotacao 3'!DadosExternos_344</vt:lpstr>
      <vt:lpstr>'Cotacao 4'!DadosExternos_344</vt:lpstr>
      <vt:lpstr>'Cotacao 5'!DadosExternos_344</vt:lpstr>
      <vt:lpstr>'Cotacao 2'!DadosExternos_345</vt:lpstr>
      <vt:lpstr>'Cotacao 3'!DadosExternos_345</vt:lpstr>
      <vt:lpstr>'Cotacao 4'!DadosExternos_345</vt:lpstr>
      <vt:lpstr>'Cotacao 5'!DadosExternos_345</vt:lpstr>
      <vt:lpstr>'Cotacao 2'!DadosExternos_349</vt:lpstr>
      <vt:lpstr>'Cotacao 3'!DadosExternos_349</vt:lpstr>
      <vt:lpstr>'Cotacao 4'!DadosExternos_349</vt:lpstr>
      <vt:lpstr>'Cotacao 5'!DadosExternos_349</vt:lpstr>
      <vt:lpstr>Cotacao!DadosExternos_35</vt:lpstr>
      <vt:lpstr>'Cotacao 2'!DadosExternos_35</vt:lpstr>
      <vt:lpstr>'Cotacao 3'!DadosExternos_35</vt:lpstr>
      <vt:lpstr>'Cotacao 4'!DadosExternos_35</vt:lpstr>
      <vt:lpstr>'Cotacao 5'!DadosExternos_35</vt:lpstr>
      <vt:lpstr>'Cotacao 2'!DadosExternos_350</vt:lpstr>
      <vt:lpstr>'Cotacao 3'!DadosExternos_350</vt:lpstr>
      <vt:lpstr>'Cotacao 4'!DadosExternos_350</vt:lpstr>
      <vt:lpstr>'Cotacao 5'!DadosExternos_350</vt:lpstr>
      <vt:lpstr>'Cotacao 2'!DadosExternos_352</vt:lpstr>
      <vt:lpstr>'Cotacao 3'!DadosExternos_352</vt:lpstr>
      <vt:lpstr>'Cotacao 4'!DadosExternos_352</vt:lpstr>
      <vt:lpstr>'Cotacao 5'!DadosExternos_352</vt:lpstr>
      <vt:lpstr>'Cotacao 2'!DadosExternos_353</vt:lpstr>
      <vt:lpstr>'Cotacao 3'!DadosExternos_353</vt:lpstr>
      <vt:lpstr>'Cotacao 4'!DadosExternos_353</vt:lpstr>
      <vt:lpstr>'Cotacao 5'!DadosExternos_353</vt:lpstr>
      <vt:lpstr>'Cotacao 2'!DadosExternos_356</vt:lpstr>
      <vt:lpstr>'Cotacao 3'!DadosExternos_356</vt:lpstr>
      <vt:lpstr>'Cotacao 4'!DadosExternos_356</vt:lpstr>
      <vt:lpstr>'Cotacao 5'!DadosExternos_356</vt:lpstr>
      <vt:lpstr>'Cotacao 2'!DadosExternos_358</vt:lpstr>
      <vt:lpstr>'Cotacao 3'!DadosExternos_358</vt:lpstr>
      <vt:lpstr>'Cotacao 4'!DadosExternos_358</vt:lpstr>
      <vt:lpstr>'Cotacao 5'!DadosExternos_358</vt:lpstr>
      <vt:lpstr>Cotacao!DadosExternos_36</vt:lpstr>
      <vt:lpstr>'Cotacao 2'!DadosExternos_36</vt:lpstr>
      <vt:lpstr>'Cotacao 3'!DadosExternos_36</vt:lpstr>
      <vt:lpstr>'Cotacao 4'!DadosExternos_36</vt:lpstr>
      <vt:lpstr>'Cotacao 5'!DadosExternos_36</vt:lpstr>
      <vt:lpstr>'Cotacao 2'!DadosExternos_360</vt:lpstr>
      <vt:lpstr>'Cotacao 3'!DadosExternos_360</vt:lpstr>
      <vt:lpstr>'Cotacao 4'!DadosExternos_360</vt:lpstr>
      <vt:lpstr>'Cotacao 5'!DadosExternos_360</vt:lpstr>
      <vt:lpstr>'Cotacao 2'!DadosExternos_361</vt:lpstr>
      <vt:lpstr>'Cotacao 3'!DadosExternos_361</vt:lpstr>
      <vt:lpstr>'Cotacao 4'!DadosExternos_361</vt:lpstr>
      <vt:lpstr>'Cotacao 5'!DadosExternos_361</vt:lpstr>
      <vt:lpstr>'Cotacao 2'!DadosExternos_362</vt:lpstr>
      <vt:lpstr>'Cotacao 3'!DadosExternos_362</vt:lpstr>
      <vt:lpstr>'Cotacao 4'!DadosExternos_362</vt:lpstr>
      <vt:lpstr>'Cotacao 5'!DadosExternos_362</vt:lpstr>
      <vt:lpstr>'Cotacao 2'!DadosExternos_363</vt:lpstr>
      <vt:lpstr>'Cotacao 3'!DadosExternos_363</vt:lpstr>
      <vt:lpstr>'Cotacao 4'!DadosExternos_363</vt:lpstr>
      <vt:lpstr>'Cotacao 5'!DadosExternos_363</vt:lpstr>
      <vt:lpstr>'Cotacao 2'!DadosExternos_365</vt:lpstr>
      <vt:lpstr>'Cotacao 3'!DadosExternos_365</vt:lpstr>
      <vt:lpstr>'Cotacao 4'!DadosExternos_365</vt:lpstr>
      <vt:lpstr>'Cotacao 5'!DadosExternos_365</vt:lpstr>
      <vt:lpstr>'Cotacao 2'!DadosExternos_367</vt:lpstr>
      <vt:lpstr>'Cotacao 3'!DadosExternos_367</vt:lpstr>
      <vt:lpstr>'Cotacao 4'!DadosExternos_367</vt:lpstr>
      <vt:lpstr>'Cotacao 5'!DadosExternos_367</vt:lpstr>
      <vt:lpstr>'Cotacao 2'!DadosExternos_369</vt:lpstr>
      <vt:lpstr>'Cotacao 3'!DadosExternos_369</vt:lpstr>
      <vt:lpstr>'Cotacao 4'!DadosExternos_369</vt:lpstr>
      <vt:lpstr>'Cotacao 5'!DadosExternos_369</vt:lpstr>
      <vt:lpstr>Cotacao!DadosExternos_37</vt:lpstr>
      <vt:lpstr>'Cotacao 2'!DadosExternos_37</vt:lpstr>
      <vt:lpstr>'Cotacao 3'!DadosExternos_37</vt:lpstr>
      <vt:lpstr>'Cotacao 4'!DadosExternos_37</vt:lpstr>
      <vt:lpstr>'Cotacao 5'!DadosExternos_37</vt:lpstr>
      <vt:lpstr>'Cotacao 2'!DadosExternos_370</vt:lpstr>
      <vt:lpstr>'Cotacao 3'!DadosExternos_370</vt:lpstr>
      <vt:lpstr>'Cotacao 4'!DadosExternos_370</vt:lpstr>
      <vt:lpstr>'Cotacao 5'!DadosExternos_370</vt:lpstr>
      <vt:lpstr>'Cotacao 2'!DadosExternos_371</vt:lpstr>
      <vt:lpstr>'Cotacao 3'!DadosExternos_371</vt:lpstr>
      <vt:lpstr>'Cotacao 4'!DadosExternos_371</vt:lpstr>
      <vt:lpstr>'Cotacao 5'!DadosExternos_371</vt:lpstr>
      <vt:lpstr>'Cotacao 3'!DadosExternos_372</vt:lpstr>
      <vt:lpstr>'Cotacao 4'!DadosExternos_372</vt:lpstr>
      <vt:lpstr>'Cotacao 5'!DadosExternos_372</vt:lpstr>
      <vt:lpstr>'Cotacao 3'!DadosExternos_373</vt:lpstr>
      <vt:lpstr>'Cotacao 4'!DadosExternos_373</vt:lpstr>
      <vt:lpstr>'Cotacao 5'!DadosExternos_373</vt:lpstr>
      <vt:lpstr>'Cotacao 3'!DadosExternos_374</vt:lpstr>
      <vt:lpstr>'Cotacao 4'!DadosExternos_374</vt:lpstr>
      <vt:lpstr>'Cotacao 5'!DadosExternos_374</vt:lpstr>
      <vt:lpstr>'Cotacao 2'!DadosExternos_375</vt:lpstr>
      <vt:lpstr>'Cotacao 2'!DadosExternos_376</vt:lpstr>
      <vt:lpstr>'Cotacao 3'!DadosExternos_376</vt:lpstr>
      <vt:lpstr>'Cotacao 4'!DadosExternos_376</vt:lpstr>
      <vt:lpstr>'Cotacao 5'!DadosExternos_376</vt:lpstr>
      <vt:lpstr>'Cotacao 2'!DadosExternos_377</vt:lpstr>
      <vt:lpstr>'Cotacao 3'!DadosExternos_377</vt:lpstr>
      <vt:lpstr>'Cotacao 4'!DadosExternos_377</vt:lpstr>
      <vt:lpstr>'Cotacao 5'!DadosExternos_377</vt:lpstr>
      <vt:lpstr>'Cotacao 2'!DadosExternos_378</vt:lpstr>
      <vt:lpstr>'Cotacao 3'!DadosExternos_378</vt:lpstr>
      <vt:lpstr>'Cotacao 4'!DadosExternos_378</vt:lpstr>
      <vt:lpstr>'Cotacao 5'!DadosExternos_378</vt:lpstr>
      <vt:lpstr>'Cotacao 2'!DadosExternos_379</vt:lpstr>
      <vt:lpstr>'Cotacao 3'!DadosExternos_379</vt:lpstr>
      <vt:lpstr>'Cotacao 4'!DadosExternos_379</vt:lpstr>
      <vt:lpstr>'Cotacao 5'!DadosExternos_379</vt:lpstr>
      <vt:lpstr>Cotacao!DadosExternos_38</vt:lpstr>
      <vt:lpstr>'Cotacao 2'!DadosExternos_38</vt:lpstr>
      <vt:lpstr>'Cotacao 3'!DadosExternos_38</vt:lpstr>
      <vt:lpstr>'Cotacao 4'!DadosExternos_38</vt:lpstr>
      <vt:lpstr>'Cotacao 5'!DadosExternos_38</vt:lpstr>
      <vt:lpstr>'Cotacao 2'!DadosExternos_380</vt:lpstr>
      <vt:lpstr>'Cotacao 3'!DadosExternos_380</vt:lpstr>
      <vt:lpstr>'Cotacao 4'!DadosExternos_380</vt:lpstr>
      <vt:lpstr>'Cotacao 5'!DadosExternos_380</vt:lpstr>
      <vt:lpstr>'Cotacao 3'!DadosExternos_381</vt:lpstr>
      <vt:lpstr>'Cotacao 4'!DadosExternos_381</vt:lpstr>
      <vt:lpstr>'Cotacao 5'!DadosExternos_381</vt:lpstr>
      <vt:lpstr>'Cotacao 3'!DadosExternos_382</vt:lpstr>
      <vt:lpstr>'Cotacao 4'!DadosExternos_382</vt:lpstr>
      <vt:lpstr>'Cotacao 5'!DadosExternos_382</vt:lpstr>
      <vt:lpstr>'Cotacao 3'!DadosExternos_388</vt:lpstr>
      <vt:lpstr>'Cotacao 4'!DadosExternos_388</vt:lpstr>
      <vt:lpstr>'Cotacao 5'!DadosExternos_388</vt:lpstr>
      <vt:lpstr>'Cotacao 3'!DadosExternos_389</vt:lpstr>
      <vt:lpstr>'Cotacao 4'!DadosExternos_389</vt:lpstr>
      <vt:lpstr>'Cotacao 5'!DadosExternos_389</vt:lpstr>
      <vt:lpstr>Cotacao!DadosExternos_39</vt:lpstr>
      <vt:lpstr>'Cotacao 2'!DadosExternos_39</vt:lpstr>
      <vt:lpstr>'Cotacao 3'!DadosExternos_39</vt:lpstr>
      <vt:lpstr>'Cotacao 4'!DadosExternos_39</vt:lpstr>
      <vt:lpstr>'Cotacao 5'!DadosExternos_39</vt:lpstr>
      <vt:lpstr>'Cotacao 3'!DadosExternos_390</vt:lpstr>
      <vt:lpstr>'Cotacao 4'!DadosExternos_390</vt:lpstr>
      <vt:lpstr>'Cotacao 5'!DadosExternos_390</vt:lpstr>
      <vt:lpstr>'Cotacao 3'!DadosExternos_391</vt:lpstr>
      <vt:lpstr>'Cotacao 4'!DadosExternos_391</vt:lpstr>
      <vt:lpstr>'Cotacao 5'!DadosExternos_391</vt:lpstr>
      <vt:lpstr>'Cotacao 3'!DadosExternos_392</vt:lpstr>
      <vt:lpstr>'Cotacao 4'!DadosExternos_392</vt:lpstr>
      <vt:lpstr>'Cotacao 5'!DadosExternos_392</vt:lpstr>
      <vt:lpstr>'Cotacao 3'!DadosExternos_394</vt:lpstr>
      <vt:lpstr>'Cotacao 4'!DadosExternos_394</vt:lpstr>
      <vt:lpstr>'Cotacao 5'!DadosExternos_394</vt:lpstr>
      <vt:lpstr>'Cotacao 3'!DadosExternos_397</vt:lpstr>
      <vt:lpstr>'Cotacao 4'!DadosExternos_397</vt:lpstr>
      <vt:lpstr>'Cotacao 5'!DadosExternos_397</vt:lpstr>
      <vt:lpstr>'Cotacao 3'!DadosExternos_398</vt:lpstr>
      <vt:lpstr>'Cotacao 4'!DadosExternos_398</vt:lpstr>
      <vt:lpstr>'Cotacao 5'!DadosExternos_398</vt:lpstr>
      <vt:lpstr>Cotacao!DadosExternos_4</vt:lpstr>
      <vt:lpstr>'Cotacao 2'!DadosExternos_4</vt:lpstr>
      <vt:lpstr>'Cotacao 3'!DadosExternos_4</vt:lpstr>
      <vt:lpstr>'Cotacao 4'!DadosExternos_4</vt:lpstr>
      <vt:lpstr>'Cotacao 5'!DadosExternos_4</vt:lpstr>
      <vt:lpstr>Cotacao!DadosExternos_40</vt:lpstr>
      <vt:lpstr>'Cotacao 2'!DadosExternos_40</vt:lpstr>
      <vt:lpstr>'Cotacao 3'!DadosExternos_40</vt:lpstr>
      <vt:lpstr>'Cotacao 4'!DadosExternos_40</vt:lpstr>
      <vt:lpstr>'Cotacao 5'!DadosExternos_40</vt:lpstr>
      <vt:lpstr>'Cotacao 3'!DadosExternos_400</vt:lpstr>
      <vt:lpstr>'Cotacao 4'!DadosExternos_400</vt:lpstr>
      <vt:lpstr>'Cotacao 5'!DadosExternos_400</vt:lpstr>
      <vt:lpstr>'Cotacao 3'!DadosExternos_401</vt:lpstr>
      <vt:lpstr>'Cotacao 4'!DadosExternos_401</vt:lpstr>
      <vt:lpstr>'Cotacao 5'!DadosExternos_401</vt:lpstr>
      <vt:lpstr>'Cotacao 3'!DadosExternos_402</vt:lpstr>
      <vt:lpstr>'Cotacao 4'!DadosExternos_402</vt:lpstr>
      <vt:lpstr>'Cotacao 5'!DadosExternos_402</vt:lpstr>
      <vt:lpstr>'Cotacao 3'!DadosExternos_403</vt:lpstr>
      <vt:lpstr>'Cotacao 4'!DadosExternos_403</vt:lpstr>
      <vt:lpstr>'Cotacao 5'!DadosExternos_403</vt:lpstr>
      <vt:lpstr>'Cotacao 3'!DadosExternos_404</vt:lpstr>
      <vt:lpstr>'Cotacao 4'!DadosExternos_404</vt:lpstr>
      <vt:lpstr>'Cotacao 5'!DadosExternos_404</vt:lpstr>
      <vt:lpstr>'Cotacao 3'!DadosExternos_408</vt:lpstr>
      <vt:lpstr>'Cotacao 4'!DadosExternos_408</vt:lpstr>
      <vt:lpstr>'Cotacao 5'!DadosExternos_408</vt:lpstr>
      <vt:lpstr>'Cotacao 3'!DadosExternos_409</vt:lpstr>
      <vt:lpstr>'Cotacao 4'!DadosExternos_409</vt:lpstr>
      <vt:lpstr>'Cotacao 5'!DadosExternos_409</vt:lpstr>
      <vt:lpstr>Cotacao!DadosExternos_41</vt:lpstr>
      <vt:lpstr>'Cotacao 2'!DadosExternos_41</vt:lpstr>
      <vt:lpstr>'Cotacao 3'!DadosExternos_41</vt:lpstr>
      <vt:lpstr>'Cotacao 4'!DadosExternos_41</vt:lpstr>
      <vt:lpstr>'Cotacao 5'!DadosExternos_41</vt:lpstr>
      <vt:lpstr>'Cotacao 3'!DadosExternos_410</vt:lpstr>
      <vt:lpstr>'Cotacao 4'!DadosExternos_410</vt:lpstr>
      <vt:lpstr>'Cotacao 5'!DadosExternos_410</vt:lpstr>
      <vt:lpstr>'Cotacao 3'!DadosExternos_411</vt:lpstr>
      <vt:lpstr>'Cotacao 4'!DadosExternos_411</vt:lpstr>
      <vt:lpstr>'Cotacao 5'!DadosExternos_411</vt:lpstr>
      <vt:lpstr>'Cotacao 3'!DadosExternos_414</vt:lpstr>
      <vt:lpstr>'Cotacao 4'!DadosExternos_414</vt:lpstr>
      <vt:lpstr>'Cotacao 5'!DadosExternos_414</vt:lpstr>
      <vt:lpstr>'Cotacao 3'!DadosExternos_415</vt:lpstr>
      <vt:lpstr>'Cotacao 4'!DadosExternos_415</vt:lpstr>
      <vt:lpstr>'Cotacao 5'!DadosExternos_415</vt:lpstr>
      <vt:lpstr>'Cotacao 3'!DadosExternos_416</vt:lpstr>
      <vt:lpstr>'Cotacao 4'!DadosExternos_416</vt:lpstr>
      <vt:lpstr>'Cotacao 5'!DadosExternos_416</vt:lpstr>
      <vt:lpstr>'Cotacao 3'!DadosExternos_418</vt:lpstr>
      <vt:lpstr>'Cotacao 4'!DadosExternos_418</vt:lpstr>
      <vt:lpstr>'Cotacao 5'!DadosExternos_418</vt:lpstr>
      <vt:lpstr>Cotacao!DadosExternos_42</vt:lpstr>
      <vt:lpstr>'Cotacao 2'!DadosExternos_42</vt:lpstr>
      <vt:lpstr>'Cotacao 3'!DadosExternos_42</vt:lpstr>
      <vt:lpstr>'Cotacao 4'!DadosExternos_42</vt:lpstr>
      <vt:lpstr>'Cotacao 5'!DadosExternos_42</vt:lpstr>
      <vt:lpstr>'Cotacao 3'!DadosExternos_421</vt:lpstr>
      <vt:lpstr>'Cotacao 4'!DadosExternos_421</vt:lpstr>
      <vt:lpstr>'Cotacao 5'!DadosExternos_421</vt:lpstr>
      <vt:lpstr>'Cotacao 3'!DadosExternos_423</vt:lpstr>
      <vt:lpstr>'Cotacao 4'!DadosExternos_423</vt:lpstr>
      <vt:lpstr>'Cotacao 5'!DadosExternos_423</vt:lpstr>
      <vt:lpstr>'Cotacao 3'!DadosExternos_424</vt:lpstr>
      <vt:lpstr>'Cotacao 4'!DadosExternos_424</vt:lpstr>
      <vt:lpstr>'Cotacao 5'!DadosExternos_424</vt:lpstr>
      <vt:lpstr>'Cotacao 3'!DadosExternos_425</vt:lpstr>
      <vt:lpstr>'Cotacao 4'!DadosExternos_425</vt:lpstr>
      <vt:lpstr>'Cotacao 5'!DadosExternos_425</vt:lpstr>
      <vt:lpstr>'Cotacao 3'!DadosExternos_426</vt:lpstr>
      <vt:lpstr>'Cotacao 4'!DadosExternos_426</vt:lpstr>
      <vt:lpstr>'Cotacao 5'!DadosExternos_426</vt:lpstr>
      <vt:lpstr>'Cotacao 3'!DadosExternos_428</vt:lpstr>
      <vt:lpstr>'Cotacao 4'!DadosExternos_428</vt:lpstr>
      <vt:lpstr>'Cotacao 5'!DadosExternos_428</vt:lpstr>
      <vt:lpstr>Cotacao!DadosExternos_43</vt:lpstr>
      <vt:lpstr>'Cotacao 2'!DadosExternos_43</vt:lpstr>
      <vt:lpstr>'Cotacao 3'!DadosExternos_43</vt:lpstr>
      <vt:lpstr>'Cotacao 4'!DadosExternos_43</vt:lpstr>
      <vt:lpstr>'Cotacao 5'!DadosExternos_43</vt:lpstr>
      <vt:lpstr>'Cotacao 3'!DadosExternos_431</vt:lpstr>
      <vt:lpstr>'Cotacao 4'!DadosExternos_431</vt:lpstr>
      <vt:lpstr>'Cotacao 5'!DadosExternos_431</vt:lpstr>
      <vt:lpstr>'Cotacao 3'!DadosExternos_432</vt:lpstr>
      <vt:lpstr>'Cotacao 4'!DadosExternos_432</vt:lpstr>
      <vt:lpstr>'Cotacao 5'!DadosExternos_432</vt:lpstr>
      <vt:lpstr>'Cotacao 3'!DadosExternos_433</vt:lpstr>
      <vt:lpstr>'Cotacao 4'!DadosExternos_433</vt:lpstr>
      <vt:lpstr>'Cotacao 5'!DadosExternos_433</vt:lpstr>
      <vt:lpstr>'Cotacao 3'!DadosExternos_434</vt:lpstr>
      <vt:lpstr>'Cotacao 4'!DadosExternos_434</vt:lpstr>
      <vt:lpstr>'Cotacao 5'!DadosExternos_434</vt:lpstr>
      <vt:lpstr>'Cotacao 3'!DadosExternos_435</vt:lpstr>
      <vt:lpstr>'Cotacao 4'!DadosExternos_435</vt:lpstr>
      <vt:lpstr>'Cotacao 5'!DadosExternos_435</vt:lpstr>
      <vt:lpstr>'Cotacao 3'!DadosExternos_437</vt:lpstr>
      <vt:lpstr>'Cotacao 4'!DadosExternos_437</vt:lpstr>
      <vt:lpstr>'Cotacao 5'!DadosExternos_437</vt:lpstr>
      <vt:lpstr>'Cotacao 3'!DadosExternos_438</vt:lpstr>
      <vt:lpstr>'Cotacao 4'!DadosExternos_438</vt:lpstr>
      <vt:lpstr>'Cotacao 5'!DadosExternos_438</vt:lpstr>
      <vt:lpstr>'Cotacao 3'!DadosExternos_439</vt:lpstr>
      <vt:lpstr>'Cotacao 4'!DadosExternos_439</vt:lpstr>
      <vt:lpstr>'Cotacao 5'!DadosExternos_439</vt:lpstr>
      <vt:lpstr>Cotacao!DadosExternos_44</vt:lpstr>
      <vt:lpstr>'Cotacao 2'!DadosExternos_44</vt:lpstr>
      <vt:lpstr>'Cotacao 3'!DadosExternos_44</vt:lpstr>
      <vt:lpstr>'Cotacao 4'!DadosExternos_44</vt:lpstr>
      <vt:lpstr>'Cotacao 5'!DadosExternos_44</vt:lpstr>
      <vt:lpstr>'Cotacao 3'!DadosExternos_440</vt:lpstr>
      <vt:lpstr>'Cotacao 4'!DadosExternos_440</vt:lpstr>
      <vt:lpstr>'Cotacao 5'!DadosExternos_440</vt:lpstr>
      <vt:lpstr>'Cotacao 3'!DadosExternos_441</vt:lpstr>
      <vt:lpstr>'Cotacao 4'!DadosExternos_441</vt:lpstr>
      <vt:lpstr>'Cotacao 5'!DadosExternos_441</vt:lpstr>
      <vt:lpstr>'Cotacao 3'!DadosExternos_442</vt:lpstr>
      <vt:lpstr>'Cotacao 4'!DadosExternos_442</vt:lpstr>
      <vt:lpstr>'Cotacao 5'!DadosExternos_442</vt:lpstr>
      <vt:lpstr>'Cotacao 3'!DadosExternos_444</vt:lpstr>
      <vt:lpstr>'Cotacao 4'!DadosExternos_444</vt:lpstr>
      <vt:lpstr>'Cotacao 5'!DadosExternos_444</vt:lpstr>
      <vt:lpstr>'Cotacao 3'!DadosExternos_445</vt:lpstr>
      <vt:lpstr>'Cotacao 4'!DadosExternos_445</vt:lpstr>
      <vt:lpstr>'Cotacao 5'!DadosExternos_445</vt:lpstr>
      <vt:lpstr>'Cotacao 3'!DadosExternos_446</vt:lpstr>
      <vt:lpstr>'Cotacao 4'!DadosExternos_446</vt:lpstr>
      <vt:lpstr>'Cotacao 5'!DadosExternos_446</vt:lpstr>
      <vt:lpstr>'Cotacao 3'!DadosExternos_447</vt:lpstr>
      <vt:lpstr>'Cotacao 4'!DadosExternos_447</vt:lpstr>
      <vt:lpstr>'Cotacao 5'!DadosExternos_447</vt:lpstr>
      <vt:lpstr>Cotacao!DadosExternos_45</vt:lpstr>
      <vt:lpstr>'Cotacao 2'!DadosExternos_45</vt:lpstr>
      <vt:lpstr>'Cotacao 3'!DadosExternos_45</vt:lpstr>
      <vt:lpstr>'Cotacao 4'!DadosExternos_45</vt:lpstr>
      <vt:lpstr>'Cotacao 5'!DadosExternos_45</vt:lpstr>
      <vt:lpstr>'Cotacao 3'!DadosExternos_450</vt:lpstr>
      <vt:lpstr>'Cotacao 4'!DadosExternos_450</vt:lpstr>
      <vt:lpstr>'Cotacao 5'!DadosExternos_450</vt:lpstr>
      <vt:lpstr>'Cotacao 3'!DadosExternos_451</vt:lpstr>
      <vt:lpstr>'Cotacao 4'!DadosExternos_451</vt:lpstr>
      <vt:lpstr>'Cotacao 5'!DadosExternos_451</vt:lpstr>
      <vt:lpstr>'Cotacao 3'!DadosExternos_452</vt:lpstr>
      <vt:lpstr>'Cotacao 4'!DadosExternos_452</vt:lpstr>
      <vt:lpstr>'Cotacao 5'!DadosExternos_452</vt:lpstr>
      <vt:lpstr>'Cotacao 3'!DadosExternos_453</vt:lpstr>
      <vt:lpstr>'Cotacao 4'!DadosExternos_453</vt:lpstr>
      <vt:lpstr>'Cotacao 5'!DadosExternos_453</vt:lpstr>
      <vt:lpstr>'Cotacao 3'!DadosExternos_454</vt:lpstr>
      <vt:lpstr>'Cotacao 4'!DadosExternos_454</vt:lpstr>
      <vt:lpstr>'Cotacao 5'!DadosExternos_454</vt:lpstr>
      <vt:lpstr>'Cotacao 3'!DadosExternos_455</vt:lpstr>
      <vt:lpstr>'Cotacao 4'!DadosExternos_455</vt:lpstr>
      <vt:lpstr>'Cotacao 5'!DadosExternos_455</vt:lpstr>
      <vt:lpstr>'Cotacao 3'!DadosExternos_456</vt:lpstr>
      <vt:lpstr>'Cotacao 4'!DadosExternos_456</vt:lpstr>
      <vt:lpstr>'Cotacao 5'!DadosExternos_456</vt:lpstr>
      <vt:lpstr>'Cotacao 3'!DadosExternos_457</vt:lpstr>
      <vt:lpstr>'Cotacao 4'!DadosExternos_457</vt:lpstr>
      <vt:lpstr>'Cotacao 5'!DadosExternos_457</vt:lpstr>
      <vt:lpstr>'Cotacao 3'!DadosExternos_458</vt:lpstr>
      <vt:lpstr>'Cotacao 4'!DadosExternos_458</vt:lpstr>
      <vt:lpstr>'Cotacao 5'!DadosExternos_458</vt:lpstr>
      <vt:lpstr>'Cotacao 3'!DadosExternos_459</vt:lpstr>
      <vt:lpstr>'Cotacao 4'!DadosExternos_459</vt:lpstr>
      <vt:lpstr>'Cotacao 5'!DadosExternos_459</vt:lpstr>
      <vt:lpstr>Cotacao!DadosExternos_46</vt:lpstr>
      <vt:lpstr>'Cotacao 2'!DadosExternos_46</vt:lpstr>
      <vt:lpstr>'Cotacao 3'!DadosExternos_46</vt:lpstr>
      <vt:lpstr>'Cotacao 4'!DadosExternos_46</vt:lpstr>
      <vt:lpstr>'Cotacao 5'!DadosExternos_46</vt:lpstr>
      <vt:lpstr>'Cotacao 3'!DadosExternos_460</vt:lpstr>
      <vt:lpstr>'Cotacao 4'!DadosExternos_460</vt:lpstr>
      <vt:lpstr>'Cotacao 5'!DadosExternos_460</vt:lpstr>
      <vt:lpstr>'Cotacao 3'!DadosExternos_461</vt:lpstr>
      <vt:lpstr>'Cotacao 4'!DadosExternos_461</vt:lpstr>
      <vt:lpstr>'Cotacao 5'!DadosExternos_461</vt:lpstr>
      <vt:lpstr>'Cotacao 3'!DadosExternos_462</vt:lpstr>
      <vt:lpstr>'Cotacao 4'!DadosExternos_462</vt:lpstr>
      <vt:lpstr>'Cotacao 5'!DadosExternos_462</vt:lpstr>
      <vt:lpstr>'Cotacao 3'!DadosExternos_463</vt:lpstr>
      <vt:lpstr>'Cotacao 4'!DadosExternos_463</vt:lpstr>
      <vt:lpstr>'Cotacao 5'!DadosExternos_463</vt:lpstr>
      <vt:lpstr>'Cotacao 3'!DadosExternos_464</vt:lpstr>
      <vt:lpstr>'Cotacao 4'!DadosExternos_464</vt:lpstr>
      <vt:lpstr>'Cotacao 5'!DadosExternos_464</vt:lpstr>
      <vt:lpstr>'Cotacao 3'!DadosExternos_465</vt:lpstr>
      <vt:lpstr>'Cotacao 4'!DadosExternos_465</vt:lpstr>
      <vt:lpstr>'Cotacao 5'!DadosExternos_465</vt:lpstr>
      <vt:lpstr>'Cotacao 3'!DadosExternos_466</vt:lpstr>
      <vt:lpstr>'Cotacao 4'!DadosExternos_466</vt:lpstr>
      <vt:lpstr>'Cotacao 5'!DadosExternos_466</vt:lpstr>
      <vt:lpstr>'Cotacao 3'!DadosExternos_467</vt:lpstr>
      <vt:lpstr>'Cotacao 4'!DadosExternos_467</vt:lpstr>
      <vt:lpstr>'Cotacao 5'!DadosExternos_467</vt:lpstr>
      <vt:lpstr>'Cotacao 3'!DadosExternos_468</vt:lpstr>
      <vt:lpstr>'Cotacao 4'!DadosExternos_468</vt:lpstr>
      <vt:lpstr>'Cotacao 5'!DadosExternos_468</vt:lpstr>
      <vt:lpstr>'Cotacao 3'!DadosExternos_469</vt:lpstr>
      <vt:lpstr>'Cotacao 4'!DadosExternos_469</vt:lpstr>
      <vt:lpstr>'Cotacao 5'!DadosExternos_469</vt:lpstr>
      <vt:lpstr>Cotacao!DadosExternos_47</vt:lpstr>
      <vt:lpstr>'Cotacao 2'!DadosExternos_47</vt:lpstr>
      <vt:lpstr>'Cotacao 3'!DadosExternos_47</vt:lpstr>
      <vt:lpstr>'Cotacao 4'!DadosExternos_47</vt:lpstr>
      <vt:lpstr>'Cotacao 5'!DadosExternos_47</vt:lpstr>
      <vt:lpstr>'Cotacao 3'!DadosExternos_470</vt:lpstr>
      <vt:lpstr>'Cotacao 4'!DadosExternos_470</vt:lpstr>
      <vt:lpstr>'Cotacao 5'!DadosExternos_470</vt:lpstr>
      <vt:lpstr>Cotacao!DadosExternos_48</vt:lpstr>
      <vt:lpstr>'Cotacao 2'!DadosExternos_48</vt:lpstr>
      <vt:lpstr>'Cotacao 3'!DadosExternos_48</vt:lpstr>
      <vt:lpstr>'Cotacao 4'!DadosExternos_48</vt:lpstr>
      <vt:lpstr>'Cotacao 5'!DadosExternos_48</vt:lpstr>
      <vt:lpstr>Cotacao!DadosExternos_49</vt:lpstr>
      <vt:lpstr>'Cotacao 2'!DadosExternos_49</vt:lpstr>
      <vt:lpstr>'Cotacao 3'!DadosExternos_49</vt:lpstr>
      <vt:lpstr>'Cotacao 4'!DadosExternos_49</vt:lpstr>
      <vt:lpstr>'Cotacao 5'!DadosExternos_49</vt:lpstr>
      <vt:lpstr>Cotacao!DadosExternos_50</vt:lpstr>
      <vt:lpstr>'Cotacao 2'!DadosExternos_50</vt:lpstr>
      <vt:lpstr>'Cotacao 3'!DadosExternos_50</vt:lpstr>
      <vt:lpstr>'Cotacao 4'!DadosExternos_50</vt:lpstr>
      <vt:lpstr>'Cotacao 5'!DadosExternos_50</vt:lpstr>
      <vt:lpstr>Cotacao!DadosExternos_51</vt:lpstr>
      <vt:lpstr>'Cotacao 2'!DadosExternos_51</vt:lpstr>
      <vt:lpstr>'Cotacao 3'!DadosExternos_51</vt:lpstr>
      <vt:lpstr>'Cotacao 4'!DadosExternos_51</vt:lpstr>
      <vt:lpstr>'Cotacao 5'!DadosExternos_51</vt:lpstr>
      <vt:lpstr>Cotacao!DadosExternos_52</vt:lpstr>
      <vt:lpstr>'Cotacao 2'!DadosExternos_52</vt:lpstr>
      <vt:lpstr>'Cotacao 3'!DadosExternos_52</vt:lpstr>
      <vt:lpstr>'Cotacao 4'!DadosExternos_52</vt:lpstr>
      <vt:lpstr>'Cotacao 5'!DadosExternos_52</vt:lpstr>
      <vt:lpstr>Cotacao!DadosExternos_53</vt:lpstr>
      <vt:lpstr>'Cotacao 2'!DadosExternos_53</vt:lpstr>
      <vt:lpstr>'Cotacao 3'!DadosExternos_53</vt:lpstr>
      <vt:lpstr>'Cotacao 4'!DadosExternos_53</vt:lpstr>
      <vt:lpstr>'Cotacao 5'!DadosExternos_53</vt:lpstr>
      <vt:lpstr>Cotacao!DadosExternos_54</vt:lpstr>
      <vt:lpstr>'Cotacao 2'!DadosExternos_54</vt:lpstr>
      <vt:lpstr>'Cotacao 3'!DadosExternos_54</vt:lpstr>
      <vt:lpstr>'Cotacao 4'!DadosExternos_54</vt:lpstr>
      <vt:lpstr>'Cotacao 5'!DadosExternos_54</vt:lpstr>
      <vt:lpstr>Cotacao!DadosExternos_55</vt:lpstr>
      <vt:lpstr>'Cotacao 2'!DadosExternos_55</vt:lpstr>
      <vt:lpstr>'Cotacao 3'!DadosExternos_55</vt:lpstr>
      <vt:lpstr>'Cotacao 4'!DadosExternos_55</vt:lpstr>
      <vt:lpstr>'Cotacao 5'!DadosExternos_55</vt:lpstr>
      <vt:lpstr>Cotacao!DadosExternos_56</vt:lpstr>
      <vt:lpstr>'Cotacao 2'!DadosExternos_56</vt:lpstr>
      <vt:lpstr>'Cotacao 3'!DadosExternos_56</vt:lpstr>
      <vt:lpstr>'Cotacao 4'!DadosExternos_56</vt:lpstr>
      <vt:lpstr>'Cotacao 5'!DadosExternos_56</vt:lpstr>
      <vt:lpstr>Cotacao!DadosExternos_57</vt:lpstr>
      <vt:lpstr>'Cotacao 2'!DadosExternos_57</vt:lpstr>
      <vt:lpstr>'Cotacao 3'!DadosExternos_57</vt:lpstr>
      <vt:lpstr>'Cotacao 4'!DadosExternos_57</vt:lpstr>
      <vt:lpstr>'Cotacao 5'!DadosExternos_57</vt:lpstr>
      <vt:lpstr>Cotacao!DadosExternos_58</vt:lpstr>
      <vt:lpstr>'Cotacao 2'!DadosExternos_58</vt:lpstr>
      <vt:lpstr>'Cotacao 3'!DadosExternos_58</vt:lpstr>
      <vt:lpstr>'Cotacao 4'!DadosExternos_58</vt:lpstr>
      <vt:lpstr>'Cotacao 5'!DadosExternos_58</vt:lpstr>
      <vt:lpstr>Cotacao!DadosExternos_59</vt:lpstr>
      <vt:lpstr>'Cotacao 2'!DadosExternos_59</vt:lpstr>
      <vt:lpstr>'Cotacao 3'!DadosExternos_59</vt:lpstr>
      <vt:lpstr>'Cotacao 4'!DadosExternos_59</vt:lpstr>
      <vt:lpstr>'Cotacao 5'!DadosExternos_59</vt:lpstr>
      <vt:lpstr>Cotacao!DadosExternos_6</vt:lpstr>
      <vt:lpstr>'Cotacao 2'!DadosExternos_6</vt:lpstr>
      <vt:lpstr>'Cotacao 3'!DadosExternos_6</vt:lpstr>
      <vt:lpstr>'Cotacao 4'!DadosExternos_6</vt:lpstr>
      <vt:lpstr>'Cotacao 5'!DadosExternos_6</vt:lpstr>
      <vt:lpstr>Cotacao!DadosExternos_60</vt:lpstr>
      <vt:lpstr>'Cotacao 2'!DadosExternos_60</vt:lpstr>
      <vt:lpstr>'Cotacao 3'!DadosExternos_60</vt:lpstr>
      <vt:lpstr>'Cotacao 4'!DadosExternos_60</vt:lpstr>
      <vt:lpstr>'Cotacao 5'!DadosExternos_60</vt:lpstr>
      <vt:lpstr>Cotacao!DadosExternos_61</vt:lpstr>
      <vt:lpstr>'Cotacao 2'!DadosExternos_61</vt:lpstr>
      <vt:lpstr>'Cotacao 3'!DadosExternos_61</vt:lpstr>
      <vt:lpstr>'Cotacao 4'!DadosExternos_61</vt:lpstr>
      <vt:lpstr>'Cotacao 5'!DadosExternos_61</vt:lpstr>
      <vt:lpstr>Cotacao!DadosExternos_62</vt:lpstr>
      <vt:lpstr>'Cotacao 2'!DadosExternos_62</vt:lpstr>
      <vt:lpstr>'Cotacao 3'!DadosExternos_62</vt:lpstr>
      <vt:lpstr>'Cotacao 4'!DadosExternos_62</vt:lpstr>
      <vt:lpstr>'Cotacao 5'!DadosExternos_62</vt:lpstr>
      <vt:lpstr>Cotacao!DadosExternos_63</vt:lpstr>
      <vt:lpstr>'Cotacao 2'!DadosExternos_63</vt:lpstr>
      <vt:lpstr>'Cotacao 3'!DadosExternos_63</vt:lpstr>
      <vt:lpstr>'Cotacao 4'!DadosExternos_63</vt:lpstr>
      <vt:lpstr>'Cotacao 5'!DadosExternos_63</vt:lpstr>
      <vt:lpstr>Cotacao!DadosExternos_64</vt:lpstr>
      <vt:lpstr>'Cotacao 2'!DadosExternos_64</vt:lpstr>
      <vt:lpstr>'Cotacao 3'!DadosExternos_64</vt:lpstr>
      <vt:lpstr>'Cotacao 4'!DadosExternos_64</vt:lpstr>
      <vt:lpstr>'Cotacao 5'!DadosExternos_64</vt:lpstr>
      <vt:lpstr>Cotacao!DadosExternos_65</vt:lpstr>
      <vt:lpstr>'Cotacao 2'!DadosExternos_65</vt:lpstr>
      <vt:lpstr>'Cotacao 3'!DadosExternos_65</vt:lpstr>
      <vt:lpstr>'Cotacao 4'!DadosExternos_65</vt:lpstr>
      <vt:lpstr>'Cotacao 5'!DadosExternos_65</vt:lpstr>
      <vt:lpstr>Cotacao!DadosExternos_66</vt:lpstr>
      <vt:lpstr>'Cotacao 2'!DadosExternos_66</vt:lpstr>
      <vt:lpstr>'Cotacao 3'!DadosExternos_66</vt:lpstr>
      <vt:lpstr>'Cotacao 4'!DadosExternos_66</vt:lpstr>
      <vt:lpstr>'Cotacao 5'!DadosExternos_66</vt:lpstr>
      <vt:lpstr>Cotacao!DadosExternos_67</vt:lpstr>
      <vt:lpstr>'Cotacao 2'!DadosExternos_67</vt:lpstr>
      <vt:lpstr>'Cotacao 3'!DadosExternos_67</vt:lpstr>
      <vt:lpstr>'Cotacao 4'!DadosExternos_67</vt:lpstr>
      <vt:lpstr>'Cotacao 5'!DadosExternos_67</vt:lpstr>
      <vt:lpstr>Cotacao!DadosExternos_68</vt:lpstr>
      <vt:lpstr>'Cotacao 2'!DadosExternos_68</vt:lpstr>
      <vt:lpstr>'Cotacao 3'!DadosExternos_68</vt:lpstr>
      <vt:lpstr>'Cotacao 4'!DadosExternos_68</vt:lpstr>
      <vt:lpstr>'Cotacao 5'!DadosExternos_68</vt:lpstr>
      <vt:lpstr>Cotacao!DadosExternos_69</vt:lpstr>
      <vt:lpstr>'Cotacao 2'!DadosExternos_69</vt:lpstr>
      <vt:lpstr>'Cotacao 3'!DadosExternos_69</vt:lpstr>
      <vt:lpstr>'Cotacao 4'!DadosExternos_69</vt:lpstr>
      <vt:lpstr>'Cotacao 5'!DadosExternos_69</vt:lpstr>
      <vt:lpstr>Cotacao!DadosExternos_7</vt:lpstr>
      <vt:lpstr>'Cotacao 2'!DadosExternos_7</vt:lpstr>
      <vt:lpstr>'Cotacao 3'!DadosExternos_7</vt:lpstr>
      <vt:lpstr>'Cotacao 4'!DadosExternos_7</vt:lpstr>
      <vt:lpstr>'Cotacao 5'!DadosExternos_7</vt:lpstr>
      <vt:lpstr>Cotacao!DadosExternos_70</vt:lpstr>
      <vt:lpstr>'Cotacao 2'!DadosExternos_70</vt:lpstr>
      <vt:lpstr>'Cotacao 3'!DadosExternos_70</vt:lpstr>
      <vt:lpstr>'Cotacao 4'!DadosExternos_70</vt:lpstr>
      <vt:lpstr>'Cotacao 5'!DadosExternos_70</vt:lpstr>
      <vt:lpstr>Cotacao!DadosExternos_71</vt:lpstr>
      <vt:lpstr>'Cotacao 2'!DadosExternos_71</vt:lpstr>
      <vt:lpstr>'Cotacao 3'!DadosExternos_71</vt:lpstr>
      <vt:lpstr>'Cotacao 4'!DadosExternos_71</vt:lpstr>
      <vt:lpstr>'Cotacao 5'!DadosExternos_71</vt:lpstr>
      <vt:lpstr>Cotacao!DadosExternos_72</vt:lpstr>
      <vt:lpstr>'Cotacao 2'!DadosExternos_72</vt:lpstr>
      <vt:lpstr>'Cotacao 3'!DadosExternos_72</vt:lpstr>
      <vt:lpstr>'Cotacao 4'!DadosExternos_72</vt:lpstr>
      <vt:lpstr>'Cotacao 5'!DadosExternos_72</vt:lpstr>
      <vt:lpstr>Cotacao!DadosExternos_73</vt:lpstr>
      <vt:lpstr>'Cotacao 2'!DadosExternos_73</vt:lpstr>
      <vt:lpstr>'Cotacao 3'!DadosExternos_73</vt:lpstr>
      <vt:lpstr>'Cotacao 4'!DadosExternos_73</vt:lpstr>
      <vt:lpstr>'Cotacao 5'!DadosExternos_73</vt:lpstr>
      <vt:lpstr>Cotacao!DadosExternos_8</vt:lpstr>
      <vt:lpstr>'Cotacao 2'!DadosExternos_8</vt:lpstr>
      <vt:lpstr>'Cotacao 3'!DadosExternos_8</vt:lpstr>
      <vt:lpstr>'Cotacao 4'!DadosExternos_8</vt:lpstr>
      <vt:lpstr>'Cotacao 5'!DadosExternos_8</vt:lpstr>
      <vt:lpstr>Cotacao!DadosExternos_9</vt:lpstr>
      <vt:lpstr>'Cotacao 2'!DadosExternos_9</vt:lpstr>
      <vt:lpstr>'Cotacao 3'!DadosExternos_9</vt:lpstr>
      <vt:lpstr>'Cotacao 4'!DadosExternos_9</vt:lpstr>
      <vt:lpstr>'Cotacao 5'!DadosExternos_9</vt:lpstr>
      <vt:lpstr>Cotacao!DadosExternos_90</vt:lpstr>
      <vt:lpstr>'Cotacao 2'!DadosExternos_90</vt:lpstr>
      <vt:lpstr>'Cotacao 3'!DadosExternos_90</vt:lpstr>
      <vt:lpstr>'Cotacao 4'!DadosExternos_90</vt:lpstr>
      <vt:lpstr>'Cotacao 5'!DadosExternos_90</vt:lpstr>
      <vt:lpstr>Cotacao!DadosExternos_96</vt:lpstr>
      <vt:lpstr>'Cotacao 2'!DadosExternos_96</vt:lpstr>
      <vt:lpstr>'Cotacao 3'!DadosExternos_96</vt:lpstr>
      <vt:lpstr>'Cotacao 4'!DadosExternos_96</vt:lpstr>
      <vt:lpstr>'Cotacao 5'!DadosExternos_96</vt:lpstr>
      <vt:lpstr>Cotacao!DadosExternos_97</vt:lpstr>
      <vt:lpstr>'Cotacao 2'!DadosExternos_97</vt:lpstr>
      <vt:lpstr>'Cotacao 3'!DadosExternos_97</vt:lpstr>
      <vt:lpstr>'Cotacao 4'!DadosExternos_97</vt:lpstr>
      <vt:lpstr>'Cotacao 5'!DadosExternos_97</vt:lpstr>
      <vt:lpstr>Cotacao!DadosExternos_98</vt:lpstr>
      <vt:lpstr>'Cotacao 2'!DadosExternos_98</vt:lpstr>
      <vt:lpstr>'Cotacao 3'!DadosExternos_98</vt:lpstr>
      <vt:lpstr>'Cotacao 4'!DadosExternos_98</vt:lpstr>
      <vt:lpstr>'Cotacao 5'!DadosExternos_98</vt:lpstr>
      <vt:lpstr>Cotacao!ExternalData_1</vt:lpstr>
      <vt:lpstr>'Cotacao 2'!ExternalData_1</vt:lpstr>
      <vt:lpstr>'Cotacao 3'!ExternalData_1</vt:lpstr>
      <vt:lpstr>'Cotacao 4'!ExternalData_1</vt:lpstr>
      <vt:lpstr>'Cotacao 5'!ExternalData_1</vt:lpstr>
      <vt:lpstr>Cotacao!ExternalData_10</vt:lpstr>
      <vt:lpstr>'Cotacao 2'!ExternalData_10</vt:lpstr>
      <vt:lpstr>'Cotacao 3'!ExternalData_10</vt:lpstr>
      <vt:lpstr>'Cotacao 4'!ExternalData_10</vt:lpstr>
      <vt:lpstr>'Cotacao 5'!ExternalData_10</vt:lpstr>
      <vt:lpstr>'Cotacao 4'!ExternalData_100</vt:lpstr>
      <vt:lpstr>'Cotacao 5'!ExternalData_100</vt:lpstr>
      <vt:lpstr>'Cotacao 4'!ExternalData_101</vt:lpstr>
      <vt:lpstr>'Cotacao 5'!ExternalData_101</vt:lpstr>
      <vt:lpstr>'Cotacao 4'!ExternalData_102</vt:lpstr>
      <vt:lpstr>'Cotacao 5'!ExternalData_102</vt:lpstr>
      <vt:lpstr>'Cotacao 4'!ExternalData_103</vt:lpstr>
      <vt:lpstr>'Cotacao 5'!ExternalData_103</vt:lpstr>
      <vt:lpstr>'Cotacao 4'!ExternalData_104</vt:lpstr>
      <vt:lpstr>'Cotacao 5'!ExternalData_104</vt:lpstr>
      <vt:lpstr>'Cotacao 4'!ExternalData_105</vt:lpstr>
      <vt:lpstr>'Cotacao 5'!ExternalData_105</vt:lpstr>
      <vt:lpstr>'Cotacao 4'!ExternalData_106</vt:lpstr>
      <vt:lpstr>'Cotacao 5'!ExternalData_106</vt:lpstr>
      <vt:lpstr>'Cotacao 4'!ExternalData_107</vt:lpstr>
      <vt:lpstr>'Cotacao 5'!ExternalData_107</vt:lpstr>
      <vt:lpstr>'Cotacao 4'!ExternalData_108</vt:lpstr>
      <vt:lpstr>'Cotacao 5'!ExternalData_108</vt:lpstr>
      <vt:lpstr>'Cotacao 4'!ExternalData_109</vt:lpstr>
      <vt:lpstr>'Cotacao 5'!ExternalData_109</vt:lpstr>
      <vt:lpstr>Cotacao!ExternalData_11</vt:lpstr>
      <vt:lpstr>'Cotacao 2'!ExternalData_11</vt:lpstr>
      <vt:lpstr>'Cotacao 3'!ExternalData_11</vt:lpstr>
      <vt:lpstr>'Cotacao 4'!ExternalData_11</vt:lpstr>
      <vt:lpstr>'Cotacao 5'!ExternalData_11</vt:lpstr>
      <vt:lpstr>'Cotacao 4'!ExternalData_110</vt:lpstr>
      <vt:lpstr>'Cotacao 5'!ExternalData_110</vt:lpstr>
      <vt:lpstr>'Cotacao 4'!ExternalData_111</vt:lpstr>
      <vt:lpstr>'Cotacao 5'!ExternalData_111</vt:lpstr>
      <vt:lpstr>'Cotacao 4'!ExternalData_112</vt:lpstr>
      <vt:lpstr>'Cotacao 5'!ExternalData_112</vt:lpstr>
      <vt:lpstr>'Cotacao 4'!ExternalData_113</vt:lpstr>
      <vt:lpstr>'Cotacao 5'!ExternalData_113</vt:lpstr>
      <vt:lpstr>'Cotacao 4'!ExternalData_114</vt:lpstr>
      <vt:lpstr>'Cotacao 5'!ExternalData_114</vt:lpstr>
      <vt:lpstr>'Cotacao 4'!ExternalData_115</vt:lpstr>
      <vt:lpstr>'Cotacao 5'!ExternalData_115</vt:lpstr>
      <vt:lpstr>'Cotacao 4'!ExternalData_116</vt:lpstr>
      <vt:lpstr>'Cotacao 5'!ExternalData_116</vt:lpstr>
      <vt:lpstr>'Cotacao 4'!ExternalData_117</vt:lpstr>
      <vt:lpstr>'Cotacao 5'!ExternalData_117</vt:lpstr>
      <vt:lpstr>'Cotacao 4'!ExternalData_118</vt:lpstr>
      <vt:lpstr>'Cotacao 5'!ExternalData_118</vt:lpstr>
      <vt:lpstr>'Cotacao 4'!ExternalData_119</vt:lpstr>
      <vt:lpstr>'Cotacao 5'!ExternalData_119</vt:lpstr>
      <vt:lpstr>Cotacao!ExternalData_12</vt:lpstr>
      <vt:lpstr>'Cotacao 2'!ExternalData_12</vt:lpstr>
      <vt:lpstr>'Cotacao 3'!ExternalData_12</vt:lpstr>
      <vt:lpstr>'Cotacao 4'!ExternalData_12</vt:lpstr>
      <vt:lpstr>'Cotacao 5'!ExternalData_12</vt:lpstr>
      <vt:lpstr>'Cotacao 4'!ExternalData_120</vt:lpstr>
      <vt:lpstr>'Cotacao 5'!ExternalData_120</vt:lpstr>
      <vt:lpstr>'Cotacao 4'!ExternalData_121</vt:lpstr>
      <vt:lpstr>'Cotacao 5'!ExternalData_121</vt:lpstr>
      <vt:lpstr>'Cotacao 4'!ExternalData_122</vt:lpstr>
      <vt:lpstr>'Cotacao 5'!ExternalData_122</vt:lpstr>
      <vt:lpstr>'Cotacao 4'!ExternalData_123</vt:lpstr>
      <vt:lpstr>'Cotacao 5'!ExternalData_123</vt:lpstr>
      <vt:lpstr>'Cotacao 4'!ExternalData_124</vt:lpstr>
      <vt:lpstr>'Cotacao 5'!ExternalData_124</vt:lpstr>
      <vt:lpstr>'Cotacao 4'!ExternalData_125</vt:lpstr>
      <vt:lpstr>'Cotacao 5'!ExternalData_125</vt:lpstr>
      <vt:lpstr>'Cotacao 4'!ExternalData_126</vt:lpstr>
      <vt:lpstr>'Cotacao 5'!ExternalData_126</vt:lpstr>
      <vt:lpstr>'Cotacao 4'!ExternalData_127</vt:lpstr>
      <vt:lpstr>'Cotacao 5'!ExternalData_127</vt:lpstr>
      <vt:lpstr>'Cotacao 4'!ExternalData_128</vt:lpstr>
      <vt:lpstr>'Cotacao 5'!ExternalData_128</vt:lpstr>
      <vt:lpstr>'Cotacao 4'!ExternalData_129</vt:lpstr>
      <vt:lpstr>'Cotacao 5'!ExternalData_129</vt:lpstr>
      <vt:lpstr>Cotacao!ExternalData_13</vt:lpstr>
      <vt:lpstr>'Cotacao 2'!ExternalData_13</vt:lpstr>
      <vt:lpstr>'Cotacao 3'!ExternalData_13</vt:lpstr>
      <vt:lpstr>'Cotacao 4'!ExternalData_13</vt:lpstr>
      <vt:lpstr>'Cotacao 5'!ExternalData_13</vt:lpstr>
      <vt:lpstr>'Cotacao 4'!ExternalData_130</vt:lpstr>
      <vt:lpstr>'Cotacao 5'!ExternalData_130</vt:lpstr>
      <vt:lpstr>'Cotacao 4'!ExternalData_131</vt:lpstr>
      <vt:lpstr>'Cotacao 5'!ExternalData_131</vt:lpstr>
      <vt:lpstr>'Cotacao 4'!ExternalData_132</vt:lpstr>
      <vt:lpstr>'Cotacao 5'!ExternalData_132</vt:lpstr>
      <vt:lpstr>'Cotacao 4'!ExternalData_133</vt:lpstr>
      <vt:lpstr>'Cotacao 5'!ExternalData_133</vt:lpstr>
      <vt:lpstr>'Cotacao 4'!ExternalData_134</vt:lpstr>
      <vt:lpstr>'Cotacao 5'!ExternalData_134</vt:lpstr>
      <vt:lpstr>'Cotacao 4'!ExternalData_135</vt:lpstr>
      <vt:lpstr>'Cotacao 5'!ExternalData_135</vt:lpstr>
      <vt:lpstr>'Cotacao 4'!ExternalData_136</vt:lpstr>
      <vt:lpstr>'Cotacao 5'!ExternalData_136</vt:lpstr>
      <vt:lpstr>'Cotacao 4'!ExternalData_137</vt:lpstr>
      <vt:lpstr>'Cotacao 5'!ExternalData_137</vt:lpstr>
      <vt:lpstr>'Cotacao 4'!ExternalData_138</vt:lpstr>
      <vt:lpstr>'Cotacao 5'!ExternalData_138</vt:lpstr>
      <vt:lpstr>'Cotacao 4'!ExternalData_139</vt:lpstr>
      <vt:lpstr>'Cotacao 5'!ExternalData_139</vt:lpstr>
      <vt:lpstr>Cotacao!ExternalData_14</vt:lpstr>
      <vt:lpstr>'Cotacao 2'!ExternalData_14</vt:lpstr>
      <vt:lpstr>'Cotacao 3'!ExternalData_14</vt:lpstr>
      <vt:lpstr>'Cotacao 4'!ExternalData_14</vt:lpstr>
      <vt:lpstr>'Cotacao 5'!ExternalData_14</vt:lpstr>
      <vt:lpstr>'Cotacao 4'!ExternalData_140</vt:lpstr>
      <vt:lpstr>'Cotacao 5'!ExternalData_140</vt:lpstr>
      <vt:lpstr>'Cotacao 5'!ExternalData_141</vt:lpstr>
      <vt:lpstr>'Cotacao 5'!ExternalData_142</vt:lpstr>
      <vt:lpstr>'Cotacao 5'!ExternalData_143</vt:lpstr>
      <vt:lpstr>'Cotacao 5'!ExternalData_144</vt:lpstr>
      <vt:lpstr>'Cotacao 5'!ExternalData_145</vt:lpstr>
      <vt:lpstr>'Cotacao 5'!ExternalData_146</vt:lpstr>
      <vt:lpstr>'Cotacao 5'!ExternalData_147</vt:lpstr>
      <vt:lpstr>'Cotacao 5'!ExternalData_148</vt:lpstr>
      <vt:lpstr>'Cotacao 5'!ExternalData_149</vt:lpstr>
      <vt:lpstr>Cotacao!ExternalData_15</vt:lpstr>
      <vt:lpstr>'Cotacao 2'!ExternalData_15</vt:lpstr>
      <vt:lpstr>'Cotacao 3'!ExternalData_15</vt:lpstr>
      <vt:lpstr>'Cotacao 4'!ExternalData_15</vt:lpstr>
      <vt:lpstr>'Cotacao 5'!ExternalData_15</vt:lpstr>
      <vt:lpstr>'Cotacao 5'!ExternalData_150</vt:lpstr>
      <vt:lpstr>'Cotacao 5'!ExternalData_151</vt:lpstr>
      <vt:lpstr>'Cotacao 5'!ExternalData_152</vt:lpstr>
      <vt:lpstr>'Cotacao 5'!ExternalData_153</vt:lpstr>
      <vt:lpstr>'Cotacao 5'!ExternalData_154</vt:lpstr>
      <vt:lpstr>'Cotacao 5'!ExternalData_155</vt:lpstr>
      <vt:lpstr>'Cotacao 5'!ExternalData_156</vt:lpstr>
      <vt:lpstr>'Cotacao 5'!ExternalData_157</vt:lpstr>
      <vt:lpstr>'Cotacao 5'!ExternalData_158</vt:lpstr>
      <vt:lpstr>'Cotacao 5'!ExternalData_159</vt:lpstr>
      <vt:lpstr>Cotacao!ExternalData_16</vt:lpstr>
      <vt:lpstr>'Cotacao 2'!ExternalData_16</vt:lpstr>
      <vt:lpstr>'Cotacao 3'!ExternalData_16</vt:lpstr>
      <vt:lpstr>'Cotacao 4'!ExternalData_16</vt:lpstr>
      <vt:lpstr>'Cotacao 5'!ExternalData_16</vt:lpstr>
      <vt:lpstr>'Cotacao 5'!ExternalData_160</vt:lpstr>
      <vt:lpstr>'Cotacao 5'!ExternalData_161</vt:lpstr>
      <vt:lpstr>'Cotacao 5'!ExternalData_162</vt:lpstr>
      <vt:lpstr>'Cotacao 5'!ExternalData_163</vt:lpstr>
      <vt:lpstr>'Cotacao 5'!ExternalData_164</vt:lpstr>
      <vt:lpstr>'Cotacao 5'!ExternalData_165</vt:lpstr>
      <vt:lpstr>'Cotacao 5'!ExternalData_166</vt:lpstr>
      <vt:lpstr>'Cotacao 5'!ExternalData_167</vt:lpstr>
      <vt:lpstr>'Cotacao 5'!ExternalData_168</vt:lpstr>
      <vt:lpstr>Cotacao!ExternalData_17</vt:lpstr>
      <vt:lpstr>'Cotacao 2'!ExternalData_17</vt:lpstr>
      <vt:lpstr>'Cotacao 3'!ExternalData_17</vt:lpstr>
      <vt:lpstr>'Cotacao 4'!ExternalData_17</vt:lpstr>
      <vt:lpstr>'Cotacao 5'!ExternalData_17</vt:lpstr>
      <vt:lpstr>Cotacao!ExternalData_18</vt:lpstr>
      <vt:lpstr>'Cotacao 2'!ExternalData_18</vt:lpstr>
      <vt:lpstr>'Cotacao 3'!ExternalData_18</vt:lpstr>
      <vt:lpstr>'Cotacao 4'!ExternalData_18</vt:lpstr>
      <vt:lpstr>'Cotacao 5'!ExternalData_18</vt:lpstr>
      <vt:lpstr>Cotacao!ExternalData_19</vt:lpstr>
      <vt:lpstr>'Cotacao 2'!ExternalData_19</vt:lpstr>
      <vt:lpstr>'Cotacao 3'!ExternalData_19</vt:lpstr>
      <vt:lpstr>'Cotacao 4'!ExternalData_19</vt:lpstr>
      <vt:lpstr>'Cotacao 5'!ExternalData_19</vt:lpstr>
      <vt:lpstr>Cotacao!ExternalData_2</vt:lpstr>
      <vt:lpstr>'Cotacao 2'!ExternalData_2</vt:lpstr>
      <vt:lpstr>'Cotacao 3'!ExternalData_2</vt:lpstr>
      <vt:lpstr>'Cotacao 4'!ExternalData_2</vt:lpstr>
      <vt:lpstr>'Cotacao 5'!ExternalData_2</vt:lpstr>
      <vt:lpstr>Cotacao!ExternalData_20</vt:lpstr>
      <vt:lpstr>'Cotacao 2'!ExternalData_20</vt:lpstr>
      <vt:lpstr>'Cotacao 3'!ExternalData_20</vt:lpstr>
      <vt:lpstr>'Cotacao 4'!ExternalData_20</vt:lpstr>
      <vt:lpstr>'Cotacao 5'!ExternalData_20</vt:lpstr>
      <vt:lpstr>Cotacao!ExternalData_21</vt:lpstr>
      <vt:lpstr>'Cotacao 2'!ExternalData_21</vt:lpstr>
      <vt:lpstr>'Cotacao 3'!ExternalData_21</vt:lpstr>
      <vt:lpstr>'Cotacao 4'!ExternalData_21</vt:lpstr>
      <vt:lpstr>'Cotacao 5'!ExternalData_21</vt:lpstr>
      <vt:lpstr>Cotacao!ExternalData_22</vt:lpstr>
      <vt:lpstr>'Cotacao 2'!ExternalData_22</vt:lpstr>
      <vt:lpstr>'Cotacao 3'!ExternalData_22</vt:lpstr>
      <vt:lpstr>'Cotacao 4'!ExternalData_22</vt:lpstr>
      <vt:lpstr>'Cotacao 5'!ExternalData_22</vt:lpstr>
      <vt:lpstr>Cotacao!ExternalData_23</vt:lpstr>
      <vt:lpstr>'Cotacao 2'!ExternalData_23</vt:lpstr>
      <vt:lpstr>'Cotacao 3'!ExternalData_23</vt:lpstr>
      <vt:lpstr>'Cotacao 4'!ExternalData_23</vt:lpstr>
      <vt:lpstr>'Cotacao 5'!ExternalData_23</vt:lpstr>
      <vt:lpstr>Cotacao!ExternalData_24</vt:lpstr>
      <vt:lpstr>'Cotacao 2'!ExternalData_24</vt:lpstr>
      <vt:lpstr>'Cotacao 3'!ExternalData_24</vt:lpstr>
      <vt:lpstr>'Cotacao 4'!ExternalData_24</vt:lpstr>
      <vt:lpstr>'Cotacao 5'!ExternalData_24</vt:lpstr>
      <vt:lpstr>'Cotacao 2'!ExternalData_25</vt:lpstr>
      <vt:lpstr>'Cotacao 3'!ExternalData_25</vt:lpstr>
      <vt:lpstr>'Cotacao 4'!ExternalData_25</vt:lpstr>
      <vt:lpstr>'Cotacao 5'!ExternalData_25</vt:lpstr>
      <vt:lpstr>Cotacao!ExternalData_26</vt:lpstr>
      <vt:lpstr>'Cotacao 2'!ExternalData_26</vt:lpstr>
      <vt:lpstr>'Cotacao 3'!ExternalData_26</vt:lpstr>
      <vt:lpstr>'Cotacao 4'!ExternalData_26</vt:lpstr>
      <vt:lpstr>'Cotacao 5'!ExternalData_26</vt:lpstr>
      <vt:lpstr>Cotacao!ExternalData_27</vt:lpstr>
      <vt:lpstr>'Cotacao 2'!ExternalData_27</vt:lpstr>
      <vt:lpstr>'Cotacao 3'!ExternalData_27</vt:lpstr>
      <vt:lpstr>'Cotacao 4'!ExternalData_27</vt:lpstr>
      <vt:lpstr>'Cotacao 5'!ExternalData_27</vt:lpstr>
      <vt:lpstr>Cotacao!ExternalData_28</vt:lpstr>
      <vt:lpstr>'Cotacao 2'!ExternalData_28</vt:lpstr>
      <vt:lpstr>'Cotacao 3'!ExternalData_28</vt:lpstr>
      <vt:lpstr>'Cotacao 4'!ExternalData_28</vt:lpstr>
      <vt:lpstr>'Cotacao 5'!ExternalData_28</vt:lpstr>
      <vt:lpstr>Cotacao!ExternalData_29</vt:lpstr>
      <vt:lpstr>'Cotacao 2'!ExternalData_29</vt:lpstr>
      <vt:lpstr>'Cotacao 3'!ExternalData_29</vt:lpstr>
      <vt:lpstr>'Cotacao 4'!ExternalData_29</vt:lpstr>
      <vt:lpstr>'Cotacao 5'!ExternalData_29</vt:lpstr>
      <vt:lpstr>Cotacao!ExternalData_3</vt:lpstr>
      <vt:lpstr>'Cotacao 2'!ExternalData_3</vt:lpstr>
      <vt:lpstr>'Cotacao 3'!ExternalData_3</vt:lpstr>
      <vt:lpstr>'Cotacao 4'!ExternalData_3</vt:lpstr>
      <vt:lpstr>'Cotacao 5'!ExternalData_3</vt:lpstr>
      <vt:lpstr>Cotacao!ExternalData_30</vt:lpstr>
      <vt:lpstr>'Cotacao 2'!ExternalData_30</vt:lpstr>
      <vt:lpstr>'Cotacao 3'!ExternalData_30</vt:lpstr>
      <vt:lpstr>'Cotacao 4'!ExternalData_30</vt:lpstr>
      <vt:lpstr>'Cotacao 5'!ExternalData_30</vt:lpstr>
      <vt:lpstr>Cotacao!ExternalData_31</vt:lpstr>
      <vt:lpstr>'Cotacao 2'!ExternalData_31</vt:lpstr>
      <vt:lpstr>'Cotacao 3'!ExternalData_31</vt:lpstr>
      <vt:lpstr>'Cotacao 4'!ExternalData_31</vt:lpstr>
      <vt:lpstr>'Cotacao 5'!ExternalData_31</vt:lpstr>
      <vt:lpstr>Cotacao!ExternalData_32</vt:lpstr>
      <vt:lpstr>'Cotacao 2'!ExternalData_32</vt:lpstr>
      <vt:lpstr>'Cotacao 3'!ExternalData_32</vt:lpstr>
      <vt:lpstr>'Cotacao 4'!ExternalData_32</vt:lpstr>
      <vt:lpstr>'Cotacao 5'!ExternalData_32</vt:lpstr>
      <vt:lpstr>Cotacao!ExternalData_33</vt:lpstr>
      <vt:lpstr>'Cotacao 2'!ExternalData_33</vt:lpstr>
      <vt:lpstr>'Cotacao 3'!ExternalData_33</vt:lpstr>
      <vt:lpstr>'Cotacao 4'!ExternalData_33</vt:lpstr>
      <vt:lpstr>'Cotacao 5'!ExternalData_33</vt:lpstr>
      <vt:lpstr>'Cotacao 2'!ExternalData_34</vt:lpstr>
      <vt:lpstr>'Cotacao 3'!ExternalData_34</vt:lpstr>
      <vt:lpstr>'Cotacao 4'!ExternalData_34</vt:lpstr>
      <vt:lpstr>'Cotacao 5'!ExternalData_34</vt:lpstr>
      <vt:lpstr>'Cotacao 2'!ExternalData_35</vt:lpstr>
      <vt:lpstr>'Cotacao 3'!ExternalData_35</vt:lpstr>
      <vt:lpstr>'Cotacao 4'!ExternalData_35</vt:lpstr>
      <vt:lpstr>'Cotacao 5'!ExternalData_35</vt:lpstr>
      <vt:lpstr>'Cotacao 2'!ExternalData_36</vt:lpstr>
      <vt:lpstr>'Cotacao 3'!ExternalData_36</vt:lpstr>
      <vt:lpstr>'Cotacao 4'!ExternalData_36</vt:lpstr>
      <vt:lpstr>'Cotacao 5'!ExternalData_36</vt:lpstr>
      <vt:lpstr>'Cotacao 2'!ExternalData_37</vt:lpstr>
      <vt:lpstr>'Cotacao 3'!ExternalData_37</vt:lpstr>
      <vt:lpstr>'Cotacao 4'!ExternalData_37</vt:lpstr>
      <vt:lpstr>'Cotacao 5'!ExternalData_37</vt:lpstr>
      <vt:lpstr>'Cotacao 2'!ExternalData_38</vt:lpstr>
      <vt:lpstr>'Cotacao 3'!ExternalData_38</vt:lpstr>
      <vt:lpstr>'Cotacao 4'!ExternalData_38</vt:lpstr>
      <vt:lpstr>'Cotacao 5'!ExternalData_38</vt:lpstr>
      <vt:lpstr>'Cotacao 2'!ExternalData_39</vt:lpstr>
      <vt:lpstr>'Cotacao 3'!ExternalData_39</vt:lpstr>
      <vt:lpstr>'Cotacao 4'!ExternalData_39</vt:lpstr>
      <vt:lpstr>'Cotacao 5'!ExternalData_39</vt:lpstr>
      <vt:lpstr>Cotacao!ExternalData_4</vt:lpstr>
      <vt:lpstr>'Cotacao 2'!ExternalData_4</vt:lpstr>
      <vt:lpstr>'Cotacao 3'!ExternalData_4</vt:lpstr>
      <vt:lpstr>'Cotacao 4'!ExternalData_4</vt:lpstr>
      <vt:lpstr>'Cotacao 5'!ExternalData_4</vt:lpstr>
      <vt:lpstr>'Cotacao 2'!ExternalData_40</vt:lpstr>
      <vt:lpstr>'Cotacao 3'!ExternalData_40</vt:lpstr>
      <vt:lpstr>'Cotacao 4'!ExternalData_40</vt:lpstr>
      <vt:lpstr>'Cotacao 5'!ExternalData_40</vt:lpstr>
      <vt:lpstr>'Cotacao 2'!ExternalData_41</vt:lpstr>
      <vt:lpstr>'Cotacao 3'!ExternalData_41</vt:lpstr>
      <vt:lpstr>'Cotacao 4'!ExternalData_41</vt:lpstr>
      <vt:lpstr>'Cotacao 5'!ExternalData_41</vt:lpstr>
      <vt:lpstr>'Cotacao 2'!ExternalData_42</vt:lpstr>
      <vt:lpstr>'Cotacao 3'!ExternalData_42</vt:lpstr>
      <vt:lpstr>'Cotacao 4'!ExternalData_42</vt:lpstr>
      <vt:lpstr>'Cotacao 5'!ExternalData_42</vt:lpstr>
      <vt:lpstr>'Cotacao 2'!ExternalData_43</vt:lpstr>
      <vt:lpstr>'Cotacao 3'!ExternalData_43</vt:lpstr>
      <vt:lpstr>'Cotacao 4'!ExternalData_43</vt:lpstr>
      <vt:lpstr>'Cotacao 5'!ExternalData_43</vt:lpstr>
      <vt:lpstr>'Cotacao 2'!ExternalData_44</vt:lpstr>
      <vt:lpstr>'Cotacao 3'!ExternalData_44</vt:lpstr>
      <vt:lpstr>'Cotacao 4'!ExternalData_44</vt:lpstr>
      <vt:lpstr>'Cotacao 5'!ExternalData_44</vt:lpstr>
      <vt:lpstr>'Cotacao 2'!ExternalData_45</vt:lpstr>
      <vt:lpstr>'Cotacao 3'!ExternalData_45</vt:lpstr>
      <vt:lpstr>'Cotacao 4'!ExternalData_45</vt:lpstr>
      <vt:lpstr>'Cotacao 5'!ExternalData_45</vt:lpstr>
      <vt:lpstr>'Cotacao 2'!ExternalData_46</vt:lpstr>
      <vt:lpstr>'Cotacao 3'!ExternalData_46</vt:lpstr>
      <vt:lpstr>'Cotacao 4'!ExternalData_46</vt:lpstr>
      <vt:lpstr>'Cotacao 5'!ExternalData_46</vt:lpstr>
      <vt:lpstr>'Cotacao 2'!ExternalData_47</vt:lpstr>
      <vt:lpstr>'Cotacao 3'!ExternalData_47</vt:lpstr>
      <vt:lpstr>'Cotacao 4'!ExternalData_47</vt:lpstr>
      <vt:lpstr>'Cotacao 5'!ExternalData_47</vt:lpstr>
      <vt:lpstr>'Cotacao 2'!ExternalData_48</vt:lpstr>
      <vt:lpstr>'Cotacao 3'!ExternalData_48</vt:lpstr>
      <vt:lpstr>'Cotacao 4'!ExternalData_48</vt:lpstr>
      <vt:lpstr>'Cotacao 5'!ExternalData_48</vt:lpstr>
      <vt:lpstr>'Cotacao 2'!ExternalData_49</vt:lpstr>
      <vt:lpstr>'Cotacao 3'!ExternalData_49</vt:lpstr>
      <vt:lpstr>'Cotacao 4'!ExternalData_49</vt:lpstr>
      <vt:lpstr>'Cotacao 5'!ExternalData_49</vt:lpstr>
      <vt:lpstr>Cotacao!ExternalData_5</vt:lpstr>
      <vt:lpstr>'Cotacao 2'!ExternalData_5</vt:lpstr>
      <vt:lpstr>'Cotacao 3'!ExternalData_5</vt:lpstr>
      <vt:lpstr>'Cotacao 4'!ExternalData_5</vt:lpstr>
      <vt:lpstr>'Cotacao 5'!ExternalData_5</vt:lpstr>
      <vt:lpstr>'Cotacao 2'!ExternalData_50</vt:lpstr>
      <vt:lpstr>'Cotacao 3'!ExternalData_50</vt:lpstr>
      <vt:lpstr>'Cotacao 4'!ExternalData_50</vt:lpstr>
      <vt:lpstr>'Cotacao 5'!ExternalData_50</vt:lpstr>
      <vt:lpstr>'Cotacao 2'!ExternalData_51</vt:lpstr>
      <vt:lpstr>'Cotacao 3'!ExternalData_51</vt:lpstr>
      <vt:lpstr>'Cotacao 4'!ExternalData_51</vt:lpstr>
      <vt:lpstr>'Cotacao 5'!ExternalData_51</vt:lpstr>
      <vt:lpstr>'Cotacao 3'!ExternalData_52</vt:lpstr>
      <vt:lpstr>'Cotacao 4'!ExternalData_52</vt:lpstr>
      <vt:lpstr>'Cotacao 5'!ExternalData_52</vt:lpstr>
      <vt:lpstr>'Cotacao 3'!ExternalData_53</vt:lpstr>
      <vt:lpstr>'Cotacao 4'!ExternalData_53</vt:lpstr>
      <vt:lpstr>'Cotacao 5'!ExternalData_53</vt:lpstr>
      <vt:lpstr>'Cotacao 3'!ExternalData_54</vt:lpstr>
      <vt:lpstr>'Cotacao 4'!ExternalData_54</vt:lpstr>
      <vt:lpstr>'Cotacao 5'!ExternalData_54</vt:lpstr>
      <vt:lpstr>'Cotacao 3'!ExternalData_55</vt:lpstr>
      <vt:lpstr>'Cotacao 4'!ExternalData_55</vt:lpstr>
      <vt:lpstr>'Cotacao 5'!ExternalData_55</vt:lpstr>
      <vt:lpstr>'Cotacao 3'!ExternalData_56</vt:lpstr>
      <vt:lpstr>'Cotacao 4'!ExternalData_56</vt:lpstr>
      <vt:lpstr>'Cotacao 5'!ExternalData_56</vt:lpstr>
      <vt:lpstr>'Cotacao 3'!ExternalData_57</vt:lpstr>
      <vt:lpstr>'Cotacao 4'!ExternalData_57</vt:lpstr>
      <vt:lpstr>'Cotacao 5'!ExternalData_57</vt:lpstr>
      <vt:lpstr>'Cotacao 3'!ExternalData_58</vt:lpstr>
      <vt:lpstr>'Cotacao 4'!ExternalData_58</vt:lpstr>
      <vt:lpstr>'Cotacao 5'!ExternalData_58</vt:lpstr>
      <vt:lpstr>'Cotacao 3'!ExternalData_59</vt:lpstr>
      <vt:lpstr>'Cotacao 4'!ExternalData_59</vt:lpstr>
      <vt:lpstr>'Cotacao 5'!ExternalData_59</vt:lpstr>
      <vt:lpstr>Cotacao!ExternalData_6</vt:lpstr>
      <vt:lpstr>'Cotacao 2'!ExternalData_6</vt:lpstr>
      <vt:lpstr>'Cotacao 3'!ExternalData_6</vt:lpstr>
      <vt:lpstr>'Cotacao 4'!ExternalData_6</vt:lpstr>
      <vt:lpstr>'Cotacao 5'!ExternalData_6</vt:lpstr>
      <vt:lpstr>'Cotacao 3'!ExternalData_60</vt:lpstr>
      <vt:lpstr>'Cotacao 4'!ExternalData_60</vt:lpstr>
      <vt:lpstr>'Cotacao 5'!ExternalData_60</vt:lpstr>
      <vt:lpstr>'Cotacao 3'!ExternalData_61</vt:lpstr>
      <vt:lpstr>'Cotacao 4'!ExternalData_61</vt:lpstr>
      <vt:lpstr>'Cotacao 5'!ExternalData_61</vt:lpstr>
      <vt:lpstr>'Cotacao 3'!ExternalData_62</vt:lpstr>
      <vt:lpstr>'Cotacao 4'!ExternalData_62</vt:lpstr>
      <vt:lpstr>'Cotacao 5'!ExternalData_62</vt:lpstr>
      <vt:lpstr>'Cotacao 3'!ExternalData_63</vt:lpstr>
      <vt:lpstr>'Cotacao 4'!ExternalData_63</vt:lpstr>
      <vt:lpstr>'Cotacao 5'!ExternalData_63</vt:lpstr>
      <vt:lpstr>'Cotacao 3'!ExternalData_64</vt:lpstr>
      <vt:lpstr>'Cotacao 4'!ExternalData_64</vt:lpstr>
      <vt:lpstr>'Cotacao 5'!ExternalData_64</vt:lpstr>
      <vt:lpstr>'Cotacao 3'!ExternalData_65</vt:lpstr>
      <vt:lpstr>'Cotacao 4'!ExternalData_65</vt:lpstr>
      <vt:lpstr>'Cotacao 5'!ExternalData_65</vt:lpstr>
      <vt:lpstr>'Cotacao 3'!ExternalData_66</vt:lpstr>
      <vt:lpstr>'Cotacao 4'!ExternalData_66</vt:lpstr>
      <vt:lpstr>'Cotacao 5'!ExternalData_66</vt:lpstr>
      <vt:lpstr>'Cotacao 3'!ExternalData_67</vt:lpstr>
      <vt:lpstr>'Cotacao 4'!ExternalData_67</vt:lpstr>
      <vt:lpstr>'Cotacao 5'!ExternalData_67</vt:lpstr>
      <vt:lpstr>'Cotacao 3'!ExternalData_68</vt:lpstr>
      <vt:lpstr>'Cotacao 4'!ExternalData_68</vt:lpstr>
      <vt:lpstr>'Cotacao 5'!ExternalData_68</vt:lpstr>
      <vt:lpstr>'Cotacao 3'!ExternalData_69</vt:lpstr>
      <vt:lpstr>'Cotacao 4'!ExternalData_69</vt:lpstr>
      <vt:lpstr>'Cotacao 5'!ExternalData_69</vt:lpstr>
      <vt:lpstr>Cotacao!ExternalData_7</vt:lpstr>
      <vt:lpstr>'Cotacao 2'!ExternalData_7</vt:lpstr>
      <vt:lpstr>'Cotacao 3'!ExternalData_7</vt:lpstr>
      <vt:lpstr>'Cotacao 4'!ExternalData_7</vt:lpstr>
      <vt:lpstr>'Cotacao 5'!ExternalData_7</vt:lpstr>
      <vt:lpstr>'Cotacao 3'!ExternalData_70</vt:lpstr>
      <vt:lpstr>'Cotacao 4'!ExternalData_70</vt:lpstr>
      <vt:lpstr>'Cotacao 5'!ExternalData_70</vt:lpstr>
      <vt:lpstr>'Cotacao 3'!ExternalData_71</vt:lpstr>
      <vt:lpstr>'Cotacao 4'!ExternalData_71</vt:lpstr>
      <vt:lpstr>'Cotacao 5'!ExternalData_71</vt:lpstr>
      <vt:lpstr>'Cotacao 3'!ExternalData_72</vt:lpstr>
      <vt:lpstr>'Cotacao 4'!ExternalData_72</vt:lpstr>
      <vt:lpstr>'Cotacao 5'!ExternalData_72</vt:lpstr>
      <vt:lpstr>'Cotacao 4'!ExternalData_73</vt:lpstr>
      <vt:lpstr>'Cotacao 5'!ExternalData_73</vt:lpstr>
      <vt:lpstr>'Cotacao 4'!ExternalData_74</vt:lpstr>
      <vt:lpstr>'Cotacao 5'!ExternalData_74</vt:lpstr>
      <vt:lpstr>'Cotacao 4'!ExternalData_75</vt:lpstr>
      <vt:lpstr>'Cotacao 5'!ExternalData_75</vt:lpstr>
      <vt:lpstr>'Cotacao 4'!ExternalData_76</vt:lpstr>
      <vt:lpstr>'Cotacao 5'!ExternalData_76</vt:lpstr>
      <vt:lpstr>'Cotacao 4'!ExternalData_77</vt:lpstr>
      <vt:lpstr>'Cotacao 5'!ExternalData_77</vt:lpstr>
      <vt:lpstr>'Cotacao 4'!ExternalData_78</vt:lpstr>
      <vt:lpstr>'Cotacao 5'!ExternalData_78</vt:lpstr>
      <vt:lpstr>'Cotacao 4'!ExternalData_79</vt:lpstr>
      <vt:lpstr>'Cotacao 5'!ExternalData_79</vt:lpstr>
      <vt:lpstr>Cotacao!ExternalData_8</vt:lpstr>
      <vt:lpstr>'Cotacao 2'!ExternalData_8</vt:lpstr>
      <vt:lpstr>'Cotacao 3'!ExternalData_8</vt:lpstr>
      <vt:lpstr>'Cotacao 4'!ExternalData_8</vt:lpstr>
      <vt:lpstr>'Cotacao 5'!ExternalData_8</vt:lpstr>
      <vt:lpstr>'Cotacao 4'!ExternalData_80</vt:lpstr>
      <vt:lpstr>'Cotacao 5'!ExternalData_80</vt:lpstr>
      <vt:lpstr>'Cotacao 4'!ExternalData_81</vt:lpstr>
      <vt:lpstr>'Cotacao 5'!ExternalData_81</vt:lpstr>
      <vt:lpstr>'Cotacao 4'!ExternalData_82</vt:lpstr>
      <vt:lpstr>'Cotacao 5'!ExternalData_82</vt:lpstr>
      <vt:lpstr>'Cotacao 4'!ExternalData_83</vt:lpstr>
      <vt:lpstr>'Cotacao 5'!ExternalData_83</vt:lpstr>
      <vt:lpstr>'Cotacao 4'!ExternalData_84</vt:lpstr>
      <vt:lpstr>'Cotacao 5'!ExternalData_84</vt:lpstr>
      <vt:lpstr>'Cotacao 4'!ExternalData_85</vt:lpstr>
      <vt:lpstr>'Cotacao 5'!ExternalData_85</vt:lpstr>
      <vt:lpstr>'Cotacao 4'!ExternalData_86</vt:lpstr>
      <vt:lpstr>'Cotacao 5'!ExternalData_86</vt:lpstr>
      <vt:lpstr>'Cotacao 4'!ExternalData_87</vt:lpstr>
      <vt:lpstr>'Cotacao 5'!ExternalData_87</vt:lpstr>
      <vt:lpstr>'Cotacao 4'!ExternalData_88</vt:lpstr>
      <vt:lpstr>'Cotacao 5'!ExternalData_88</vt:lpstr>
      <vt:lpstr>'Cotacao 4'!ExternalData_89</vt:lpstr>
      <vt:lpstr>'Cotacao 5'!ExternalData_89</vt:lpstr>
      <vt:lpstr>Cotacao!ExternalData_9</vt:lpstr>
      <vt:lpstr>'Cotacao 2'!ExternalData_9</vt:lpstr>
      <vt:lpstr>'Cotacao 3'!ExternalData_9</vt:lpstr>
      <vt:lpstr>'Cotacao 4'!ExternalData_9</vt:lpstr>
      <vt:lpstr>'Cotacao 5'!ExternalData_9</vt:lpstr>
      <vt:lpstr>'Cotacao 4'!ExternalData_90</vt:lpstr>
      <vt:lpstr>'Cotacao 5'!ExternalData_90</vt:lpstr>
      <vt:lpstr>'Cotacao 4'!ExternalData_91</vt:lpstr>
      <vt:lpstr>'Cotacao 5'!ExternalData_91</vt:lpstr>
      <vt:lpstr>'Cotacao 4'!ExternalData_92</vt:lpstr>
      <vt:lpstr>'Cotacao 5'!ExternalData_92</vt:lpstr>
      <vt:lpstr>'Cotacao 4'!ExternalData_93</vt:lpstr>
      <vt:lpstr>'Cotacao 5'!ExternalData_93</vt:lpstr>
      <vt:lpstr>'Cotacao 4'!ExternalData_94</vt:lpstr>
      <vt:lpstr>'Cotacao 5'!ExternalData_94</vt:lpstr>
      <vt:lpstr>'Cotacao 4'!ExternalData_95</vt:lpstr>
      <vt:lpstr>'Cotacao 5'!ExternalData_95</vt:lpstr>
      <vt:lpstr>'Cotacao 4'!ExternalData_96</vt:lpstr>
      <vt:lpstr>'Cotacao 5'!ExternalData_96</vt:lpstr>
      <vt:lpstr>'Cotacao 4'!ExternalData_97</vt:lpstr>
      <vt:lpstr>'Cotacao 5'!ExternalData_97</vt:lpstr>
      <vt:lpstr>'Cotacao 4'!ExternalData_98</vt:lpstr>
      <vt:lpstr>'Cotacao 5'!ExternalData_98</vt:lpstr>
      <vt:lpstr>'Cotacao 4'!ExternalData_99</vt:lpstr>
      <vt:lpstr>'Cotacao 5'!ExternalData_99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Engelbert</dc:creator>
  <cp:lastModifiedBy>Engelbert</cp:lastModifiedBy>
  <dcterms:created xsi:type="dcterms:W3CDTF">2013-12-06T00:58:41Z</dcterms:created>
  <dcterms:modified xsi:type="dcterms:W3CDTF">2014-02-21T16:18:38Z</dcterms:modified>
</cp:coreProperties>
</file>