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AG8" i="1" l="1"/>
  <c r="AB9" i="1"/>
  <c r="AA2" i="1"/>
  <c r="AA3" i="1"/>
  <c r="AA4" i="1"/>
  <c r="AA7" i="1"/>
  <c r="H2" i="1"/>
  <c r="H3" i="1"/>
  <c r="H4" i="1"/>
  <c r="I4" i="1" s="1"/>
  <c r="H5" i="1"/>
  <c r="I5" i="1" s="1"/>
  <c r="H6" i="1"/>
  <c r="I6" i="1" s="1"/>
  <c r="H7" i="1"/>
  <c r="I7" i="1" s="1"/>
  <c r="H8" i="1"/>
  <c r="I8" i="1" s="1"/>
  <c r="T2" i="1"/>
  <c r="T3" i="1"/>
  <c r="T4" i="1"/>
  <c r="T6" i="1"/>
  <c r="T7" i="1"/>
  <c r="T8" i="1"/>
  <c r="K5" i="1"/>
  <c r="X5" i="1" s="1"/>
  <c r="P5" i="1"/>
  <c r="Q5" i="1" s="1"/>
  <c r="Y5" i="1"/>
  <c r="K8" i="1"/>
  <c r="X8" i="1" s="1"/>
  <c r="P8" i="1"/>
  <c r="Q8" i="1" s="1"/>
  <c r="Y8" i="1"/>
  <c r="K7" i="1"/>
  <c r="P7" i="1"/>
  <c r="R7" i="1" s="1"/>
  <c r="X7" i="1"/>
  <c r="Y7" i="1"/>
  <c r="K4" i="1"/>
  <c r="P4" i="1"/>
  <c r="Q4" i="1" s="1"/>
  <c r="X4" i="1"/>
  <c r="Y4" i="1"/>
  <c r="K6" i="1"/>
  <c r="X6" i="1" s="1"/>
  <c r="P6" i="1"/>
  <c r="Q6" i="1" s="1"/>
  <c r="Y6" i="1"/>
  <c r="R5" i="1" l="1"/>
  <c r="R8" i="1"/>
  <c r="R4" i="1"/>
  <c r="R6" i="1"/>
  <c r="Q7" i="1"/>
  <c r="I3" i="1"/>
  <c r="K3" i="1"/>
  <c r="P3" i="1"/>
  <c r="X3" i="1"/>
  <c r="Y3" i="1"/>
  <c r="K2" i="1"/>
  <c r="P2" i="1"/>
  <c r="R2" i="1" s="1"/>
  <c r="X2" i="1"/>
  <c r="Y2" i="1"/>
  <c r="O4" i="1" l="1"/>
  <c r="O8" i="1"/>
  <c r="N5" i="1"/>
  <c r="M2" i="1"/>
  <c r="M6" i="1"/>
  <c r="O2" i="1"/>
  <c r="N3" i="1"/>
  <c r="M4" i="1"/>
  <c r="O3" i="1"/>
  <c r="N4" i="1"/>
  <c r="M5" i="1"/>
  <c r="O5" i="1"/>
  <c r="N2" i="1"/>
  <c r="N6" i="1"/>
  <c r="M3" i="1"/>
  <c r="M7" i="1"/>
  <c r="O6" i="1"/>
  <c r="N7" i="1"/>
  <c r="M8" i="1"/>
  <c r="O7" i="1"/>
  <c r="N8" i="1"/>
  <c r="Q3" i="1"/>
  <c r="R3" i="1"/>
  <c r="J5" i="1"/>
  <c r="L5" i="1"/>
  <c r="J8" i="1"/>
  <c r="L8" i="1"/>
  <c r="I2" i="1"/>
  <c r="Q2" i="1"/>
  <c r="S5" i="1" l="1"/>
  <c r="S8" i="1"/>
  <c r="J7" i="1"/>
  <c r="J4" i="1"/>
  <c r="J6" i="1"/>
  <c r="J3" i="1"/>
  <c r="J2" i="1"/>
  <c r="T5" i="1" l="1"/>
  <c r="U5" i="1" s="1"/>
  <c r="L7" i="1"/>
  <c r="L4" i="1"/>
  <c r="L6" i="1"/>
  <c r="L3" i="1"/>
  <c r="S3" i="1" s="1"/>
  <c r="L2" i="1"/>
  <c r="U3" i="1" l="1"/>
  <c r="U8" i="1"/>
  <c r="S6" i="1"/>
  <c r="U6" i="1" s="1"/>
  <c r="S4" i="1"/>
  <c r="U4" i="1" s="1"/>
  <c r="S2" i="1"/>
  <c r="U2" i="1" s="1"/>
  <c r="S7" i="1"/>
  <c r="U7" i="1" s="1"/>
  <c r="X9" i="1"/>
  <c r="V7" i="1" l="1"/>
  <c r="V6" i="1"/>
  <c r="V5" i="1"/>
  <c r="V2" i="1"/>
  <c r="V8" i="1"/>
  <c r="W8" i="1" s="1"/>
  <c r="AA8" i="1" s="1"/>
  <c r="V4" i="1"/>
  <c r="V3" i="1"/>
  <c r="W3" i="1" s="1"/>
  <c r="Z4" i="1" l="1"/>
  <c r="Z5" i="1"/>
  <c r="Z2" i="1"/>
  <c r="Z7" i="1"/>
  <c r="AB7" i="1" s="1"/>
  <c r="AG7" i="1" s="1"/>
  <c r="Z8" i="1"/>
  <c r="Z6" i="1"/>
  <c r="Z3" i="1"/>
  <c r="AB3" i="1" s="1"/>
  <c r="AG3" i="1" s="1"/>
  <c r="W5" i="1"/>
  <c r="AA5" i="1" s="1"/>
  <c r="W2" i="1"/>
  <c r="AB4" i="1"/>
  <c r="AG4" i="1" s="1"/>
  <c r="W7" i="1"/>
  <c r="W4" i="1"/>
  <c r="W6" i="1"/>
  <c r="AA6" i="1" s="1"/>
  <c r="AB5" i="1" l="1"/>
  <c r="AG5" i="1" s="1"/>
  <c r="AB8" i="1"/>
  <c r="AB2" i="1"/>
  <c r="AB6" i="1"/>
  <c r="AG6" i="1" s="1"/>
  <c r="AC6" i="1" l="1"/>
  <c r="AE6" i="1" s="1"/>
  <c r="AD5" i="1"/>
  <c r="AF5" i="1" s="1"/>
  <c r="AC4" i="1"/>
  <c r="AE4" i="1" s="1"/>
  <c r="AD4" i="1"/>
  <c r="AF4" i="1" s="1"/>
  <c r="AD8" i="1"/>
  <c r="AF8" i="1" s="1"/>
  <c r="AC5" i="1"/>
  <c r="AE5" i="1" s="1"/>
  <c r="AD2" i="1"/>
  <c r="AF2" i="1" s="1"/>
  <c r="AD3" i="1"/>
  <c r="AF3" i="1" s="1"/>
  <c r="AC3" i="1"/>
  <c r="AE3" i="1" s="1"/>
  <c r="AC8" i="1"/>
  <c r="AE8" i="1" s="1"/>
  <c r="AD6" i="1"/>
  <c r="AF6" i="1" s="1"/>
  <c r="AD7" i="1"/>
  <c r="AF7" i="1" s="1"/>
  <c r="AC2" i="1"/>
  <c r="AE2" i="1" s="1"/>
  <c r="AC7" i="1"/>
  <c r="AE7" i="1" s="1"/>
  <c r="AG2" i="1"/>
</calcChain>
</file>

<file path=xl/comments1.xml><?xml version="1.0" encoding="utf-8"?>
<comments xmlns="http://schemas.openxmlformats.org/spreadsheetml/2006/main">
  <authors>
    <author>Engelbert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<sst xmlns="http://schemas.openxmlformats.org/spreadsheetml/2006/main" count="90" uniqueCount="64">
  <si>
    <t>ATIVO</t>
  </si>
  <si>
    <t>QTDE</t>
  </si>
  <si>
    <t>PREÇO</t>
  </si>
  <si>
    <t>[D/N]</t>
  </si>
  <si>
    <t>ISS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</si>
  <si>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</si>
  <si>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</si>
  <si>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</si>
  <si>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</si>
  <si>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</si>
  <si>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</si>
  <si>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</si>
  <si>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</si>
  <si>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</si>
  <si>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</si>
  <si>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</si>
  <si>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</si>
  <si>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</si>
  <si>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</si>
  <si>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</si>
  <si>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</si>
  <si>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</si>
  <si>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</si>
  <si>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</si>
  <si>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</si>
  <si>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</si>
  <si>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</si>
  <si>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</si>
  <si>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</si>
  <si>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</si>
  <si>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</si>
  <si>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</si>
  <si>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</si>
  <si>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</si>
  <si>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</si>
  <si>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</si>
  <si>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</si>
  <si>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</si>
  <si>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OPER/TIPO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</si>
  <si>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</si>
  <si>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</si>
  <si>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</si>
  <si>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</si>
  <si>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</si>
  <si>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</si>
  <si>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</si>
  <si>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</si>
  <si>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</si>
  <si>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</si>
  <si>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</si>
  <si>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</si>
  <si>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</si>
  <si>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</si>
  <si>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</si>
  <si>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IRRF DAY TRADE</t>
  </si>
  <si>
    <t>DATA DE LIQUIDAÇÃO</t>
  </si>
  <si>
    <t>DATA BASE</t>
  </si>
  <si>
    <t>MEDIO P/ OP</t>
  </si>
  <si>
    <t>IRRF NORMAL</t>
  </si>
  <si>
    <t>IRRF DAYTRADE</t>
  </si>
  <si>
    <t>LUCRO MÊS NORMAL</t>
  </si>
  <si>
    <t>LUCRO MÊS DAYTRADE</t>
  </si>
  <si>
    <t>RENTABILIDADE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</si>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</sst>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8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44" fontId="3" fillId="0" borderId="0" xfId="1" applyFont="1" applyAlignment="1"/>
    <xf numFmtId="0" fontId="7" fillId="0" borderId="0" xfId="0" applyNumberFormat="1" applyFont="1" applyAlignment="1"/>
    <xf numFmtId="167" fontId="7" fillId="0" borderId="0" xfId="0" applyNumberFormat="1" applyFont="1" applyAlignment="1"/>
    <xf numFmtId="44" fontId="7" fillId="0" borderId="0" xfId="0" applyNumberFormat="1" applyFont="1" applyAlignment="1"/>
    <xf numFmtId="168" fontId="7" fillId="0" borderId="0" xfId="0" applyNumberFormat="1" applyFont="1" applyAlignment="1"/>
    <xf numFmtId="44" fontId="7" fillId="0" borderId="0" xfId="1" applyNumberFormat="1" applyFont="1" applyAlignment="1"/>
    <xf numFmtId="10" fontId="7" fillId="0" borderId="0" xfId="2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3" fillId="0" borderId="0" xfId="1" applyNumberFormat="1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7" fillId="0" borderId="0" xfId="0" applyNumberFormat="1" applyFont="1" applyAlignment="1"/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Q65514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9" totalsRowCount="1" headerRowDxfId="68" dataDxfId="67" totalsRowDxfId="66">
  <autoFilter ref="A1:AG8"/>
  <sortState ref="A2:AG8">
    <sortCondition ref="A1:A8"/>
  </sortState>
  <tableColumns count="33">
    <tableColumn id="19" name="ID" totalsRowLabel="Total" dataDxfId="65" totalsRowDxfId="32"/>
    <tableColumn id="2" name="ATIVO" dataDxfId="64" totalsRowDxfId="31"/>
    <tableColumn id="3" name="OPER/TIPO" dataDxfId="63" totalsRowDxfId="30"/>
    <tableColumn id="4" name="DATA" dataDxfId="62" totalsRowDxfId="29"/>
    <tableColumn id="5" name="QTDE" dataDxfId="61" totalsRowDxfId="28"/>
    <tableColumn id="6" name="PREÇO" dataDxfId="60" totalsRowDxfId="27"/>
    <tableColumn id="7" name="[D/N]" dataDxfId="59" totalsRowDxfId="26"/>
    <tableColumn id="34" name="DATA DE LIQUIDAÇÃO" dataDxfId="44" totalsRowDxfId="25">
      <calculatedColumnFormula>WORKDAY(NC[[#This Row],[DATA]],3,1)</calculatedColumnFormula>
    </tableColumn>
    <tableColumn id="31" name="DATA BASE" dataDxfId="42" totalsRowDxfId="24">
      <calculatedColumnFormula>EOMONTH(NC[[#This Row],[DATA DE LIQUIDAÇÃO]],0)</calculatedColumnFormula>
    </tableColumn>
    <tableColumn id="21" name="PAR" dataDxfId="43" totalsRowDxfId="23">
      <calculatedColumnFormula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calculatedColumnFormula>
    </tableColumn>
    <tableColumn id="8" name="VALOR DAS OPERAÇÕES" dataDxfId="58" totalsRowDxfId="22">
      <calculatedColumnFormula>NC[QTDE]*NC[PREÇO]</calculatedColumnFormula>
    </tableColumn>
    <tableColumn id="9" name="VALOR LÍQUIDO DAS OPERAÇÕES" dataDxfId="57" totalsRowDxfId="21">
      <calculatedColumnFormula>(SUMPRODUCT(N(NC[DATA]=NC[[#This Row],[DATA]]),N(NC[ID]&lt;=NC[[#This Row],[ID]]),N(NC[OPER/TIPO]="CV"),NC[VALOR DAS OPERAÇÕES])  +  SUMPRODUCT(N(NC[DATA]=NC[[#This Row],[DATA]]),N(NC[ID]&lt;=NC[[#This Row],[ID]]),N(NC[OPER/TIPO]="VV"),NC[VALOR DAS OPERAÇÕES]) )  -  (SUMPRODUCT(N(NC[DATA]=NC[[#This Row],[DATA]]),N(NC[ID]&lt;=NC[[#This Row],[ID]]),N(NC[OPER/TIPO]="CC"),NC[VALOR DAS OPERAÇÕES])  +  SUMPRODUCT(N(NC[DATA]=NC[[#This Row],[DATA]]),N(NC[ID]&lt;=NC[[#This Row],[ID]]),N(NC[OPER/TIPO]="VC"),NC[VALOR DAS OPERAÇÕES]))</calculatedColumnFormula>
    </tableColumn>
    <tableColumn id="10" name="TAXA DE LIQUIDAÇÃO" dataDxfId="47" totalsRowDxfId="20">
      <calculatedColumnFormula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calculatedColumnFormula>
    </tableColumn>
    <tableColumn id="11" name="EMOLUMENTOS" dataDxfId="46" totalsRowDxfId="19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45" totalsRowDxfId="18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56" totalsRowDxfId="17">
      <calculatedColumnFormula>SETUP!$E$3*SUMPRODUCT(N(NC[DATA]=NC[[#This Row],[DATA]]),N(NC[ID]&lt;=NC[[#This Row],[ID]]))</calculatedColumnFormula>
    </tableColumn>
    <tableColumn id="13" name="ISS" dataDxfId="55" totalsRowDxfId="16">
      <calculatedColumnFormula>TRUNC(NC[CORRETAGEM]*SETUP!$F$3,2)</calculatedColumnFormula>
    </tableColumn>
    <tableColumn id="15" name="OUTRAS BOVESPA" dataDxfId="51" totalsRowDxfId="15">
      <calculatedColumnFormula>ROUND(NC[CORRETAGEM]*SETUP!$G$3,2)</calculatedColumnFormula>
    </tableColumn>
    <tableColumn id="16" name="LÍQUIDO BASE" dataDxfId="50" totalsRowDxfId="14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DAY TRADE" dataDxfId="49" totalsRowDxfId="13">
      <calculatedColumnFormula>IF(AND(NC['[D/N']]="D",    NC[OPER/TIPO]="CV"),    NC[LÍQUIDO BASE]*0.01,    0)</calculatedColumnFormula>
    </tableColumn>
    <tableColumn id="35" name="LÍQUIDO" dataDxfId="48" totalsRowDxfId="12">
      <calculatedColumnFormula>NC[LÍQUIDO BASE]-SUMPRODUCT(N(NC[DATA]=NC[[#This Row],[DATA]]),    NC[IRRF DAY TRADE])</calculatedColumnFormula>
    </tableColumn>
    <tableColumn id="17" name="VALOR P/ OP" dataDxfId="41" totalsRowDxfId="11">
      <calculatedColumnFormula>NC[LÍQUIDO]-SUMPRODUCT(N(NC[DATA]=NC[[#This Row],[DATA]]),N(NC[ID]=(NC[[#This Row],[ID]]-1)),NC[LÍQUIDO])</calculatedColumnFormula>
    </tableColumn>
    <tableColumn id="18" name="MEDIO P/ OP" dataDxfId="54" totalsRowDxfId="10">
      <calculatedColumnFormula>ABS(V2)/E2</calculatedColumnFormula>
    </tableColumn>
    <tableColumn id="20" name="IRRF" totalsRowFunction="sum" dataDxfId="53" totalsRowDxfId="9">
      <calculatedColumnFormula>TRUNC(IF(OR(NC[OPER/TIPO]="CV",NC[OPER/TIPO]="VV"),     K2*SETUP!$H$3,     0),2)</calculatedColumnFormula>
    </tableColumn>
    <tableColumn id="24" name="SALDO" dataDxfId="52" totalsRowDxfId="8">
      <calculatedColumnFormula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calculatedColumnFormula>
    </tableColumn>
    <tableColumn id="22" name="MED CP" dataDxfId="35" totalsRowDxfId="7">
      <calculatedColumnFormula>IF(NC['[D/N']]="D",      IF(OR(NC[OPER/TIPO]="CC",NC[OPER/TIPO]="CV"),     ABS(SUMPRODUCT(N(NC[ATIVO]=NC[[#This Row],[ATIVO]]),N(NC[OPER/TIPO]="CC"),N(NC['[D/N']]="D"),N(NC[ID]&lt;=NC[[#This Row],[ID]]),N(NC[PAR]=NC[[#This Row],[PAR]]),NC[VALOR P/ OP]))  /  SUMPRODUCT(N(NC[ATIVO]=NC[[#This Row],[ATIVO]]),N(NC[OPER/TIPO]="CC"),N(NC['[D/N']]="D"),N(NC[ID]&lt;=NC[[#This Row],[ID]]),N(NC[PAR]=NC[[#This Row],[PAR]]),NC[QTDE]),     IF(NC[OPER/TIPO]="VC",NC[MEDIO P/ OP],0)),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 P/ OP],0)))</calculatedColumnFormula>
    </tableColumn>
    <tableColumn id="23" name="MED VD" dataDxfId="36" totalsRowDxfId="6">
      <calculatedColumnFormula>IF(NC['[D/N']]="D",     IF(OR(NC[OPER/TIPO]="VV",NC[OPER/TIPO]="VC"),     ABS(SUMPRODUCT(N(NC[ATIVO]=NC[[#This Row],[ATIVO]]),N(NC[OPER/TIPO]="VV"),N(NC['[D/N']]="D"),N(NC[ID]&lt;=NC[[#This Row],[ID]]),N(NC[PAR]=NC[[#This Row],[PAR]]),NC[VALOR P/ OP]))  /  SUMPRODUCT(N(NC[ATIVO]=NC[[#This Row],[ATIVO]]),N(NC[OPER/TIPO]="VV"),N(NC['[D/N']]="D"),N(NC[ID]&lt;=NC[[#This Row],[ID]]),N(NC[PAR]=NC[[#This Row],[PAR]]),NC[QTDE]),     IF(NC[OPER/TIPO]="CV",NC[MEDIO P/ OP],0)),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 P/ OP],0)))</calculatedColumnFormula>
    </tableColumn>
    <tableColumn id="25" name="LUCRO" totalsRowFunction="sum" dataDxfId="40" totalsRowDxfId="5">
      <calculatedColumnFormula>IF(AND(NC[MED CP]&gt;0,NC[MED VD]&gt;0),(NC[MED VD]-NC[MED CP])*NC[QTDE],0)</calculatedColumnFormula>
    </tableColumn>
    <tableColumn id="37" name="LUCRO MÊS NORMAL" dataDxfId="34" totalsRowDxfId="4">
      <calculatedColumnFormula>SUMPRODUCT(N(NC[DATA BASE]=NC[[#This Row],[DATA BASE]]),    N(NC['[D/N']]="N"),    NC[LUCRO])</calculatedColumnFormula>
    </tableColumn>
    <tableColumn id="39" name="LUCRO MÊS DAYTRADE" dataDxfId="33" totalsRowDxfId="3">
      <calculatedColumnFormula>SUMPRODUCT(N(NC[DATA BASE]=NC[[#This Row],[DATA BASE]]),    N(NC['[D/N']]="D"),    NC[LUCRO]) + SUMPRODUCT(N(NC[DATA BASE]=NC[[#This Row],[DATA BASE]]),    NC[IRRF DAY TRADE])</calculatedColumnFormula>
    </tableColumn>
    <tableColumn id="32" name="IRRF NORMAL" dataDxfId="39" totalsRowDxfId="2" dataCellStyle="Moeda">
      <calculatedColumnFormula>ROUND(NC[LUCRO MÊS NORMAL]*0.15,    2)</calculatedColumnFormula>
    </tableColumn>
    <tableColumn id="38" name="IRRF DAYTRADE" dataDxfId="38" totalsRowDxfId="1" dataCellStyle="Moeda">
      <calculatedColumnFormula>ROUND(NC[LUCRO MÊS DAYTRADE]*0.2,    2)  -  SUMPRODUCT(N(NC[DATA BASE]=NC[[#This Row],[DATA BASE]]),    NC[IRRF DAY TRADE])</calculatedColumnFormula>
    </tableColumn>
    <tableColumn id="30" name="RENTABILIDADE" dataDxfId="37" totalsRowDxfId="0" dataCellStyle="Porcentagem">
      <calculatedColumnFormula>IF(NC[MED CP] = 0,    0,    NC[LUCRO] / ABS(NC[QTDE] * NC[MED CP]))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28</v>
      </c>
      <c r="B3" s="11"/>
    </row>
    <row r="4" spans="1:2" x14ac:dyDescent="0.2">
      <c r="A4" s="8" t="s">
        <v>0</v>
      </c>
      <c r="B4" s="11" t="s">
        <v>27</v>
      </c>
    </row>
    <row r="5" spans="1:2" x14ac:dyDescent="0.2">
      <c r="A5" s="7" t="s">
        <v>23</v>
      </c>
      <c r="B5" s="12">
        <v>-862.45000000000027</v>
      </c>
    </row>
    <row r="6" spans="1:2" x14ac:dyDescent="0.2">
      <c r="A6" s="9" t="s">
        <v>20</v>
      </c>
      <c r="B6" s="13">
        <v>-130.13999999999999</v>
      </c>
    </row>
    <row r="7" spans="1:2" x14ac:dyDescent="0.2">
      <c r="A7" s="9" t="s">
        <v>17</v>
      </c>
      <c r="B7" s="13">
        <v>205.45000000000027</v>
      </c>
    </row>
    <row r="8" spans="1:2" x14ac:dyDescent="0.2">
      <c r="A8" s="9" t="s">
        <v>24</v>
      </c>
      <c r="B8" s="13">
        <v>-1201.19</v>
      </c>
    </row>
    <row r="9" spans="1:2" x14ac:dyDescent="0.2">
      <c r="A9" s="9" t="s">
        <v>8</v>
      </c>
      <c r="B9" s="13">
        <v>-121.93</v>
      </c>
    </row>
    <row r="10" spans="1:2" x14ac:dyDescent="0.2">
      <c r="A10" s="9" t="s">
        <v>19</v>
      </c>
      <c r="B10" s="13">
        <v>-21.560000000000855</v>
      </c>
    </row>
    <row r="11" spans="1:2" x14ac:dyDescent="0.2">
      <c r="A11" s="9" t="s">
        <v>21</v>
      </c>
      <c r="B11" s="13">
        <v>-81.129999999999654</v>
      </c>
    </row>
    <row r="12" spans="1:2" x14ac:dyDescent="0.2">
      <c r="A12" s="9" t="s">
        <v>6</v>
      </c>
      <c r="B12" s="13">
        <v>-255.90999999999991</v>
      </c>
    </row>
    <row r="13" spans="1:2" x14ac:dyDescent="0.2">
      <c r="A13" s="9" t="s">
        <v>18</v>
      </c>
      <c r="B13" s="13">
        <v>-88.079999999999814</v>
      </c>
    </row>
    <row r="14" spans="1:2" x14ac:dyDescent="0.2">
      <c r="A14" s="9" t="s">
        <v>22</v>
      </c>
      <c r="B14" s="13">
        <v>-150.42000000000007</v>
      </c>
    </row>
    <row r="15" spans="1:2" x14ac:dyDescent="0.2">
      <c r="A15" s="9" t="s">
        <v>25</v>
      </c>
      <c r="B15" s="13"/>
    </row>
    <row r="16" spans="1:2" x14ac:dyDescent="0.2">
      <c r="A16" s="10" t="s">
        <v>26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"/>
  <sheetViews>
    <sheetView tabSelected="1" workbookViewId="0">
      <pane xSplit="7" ySplit="1" topLeftCell="U2" activePane="bottomRight" state="frozen"/>
      <selection pane="topRight" activeCell="I1" sqref="I1"/>
      <selection pane="bottomLeft" activeCell="A2" sqref="A2"/>
      <selection pane="bottomRight" activeCell="V8" sqref="V8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" style="15" bestFit="1" customWidth="1"/>
    <col min="8" max="8" width="18" style="15" hidden="1" customWidth="1"/>
    <col min="9" max="9" width="10.5703125" style="15" hidden="1" customWidth="1"/>
    <col min="10" max="10" width="5.85546875" style="16" hidden="1" customWidth="1"/>
    <col min="11" max="11" width="19" style="15" hidden="1" customWidth="1"/>
    <col min="12" max="12" width="25.28515625" style="17" hidden="1" customWidth="1"/>
    <col min="13" max="13" width="17.85546875" style="15" hidden="1" customWidth="1"/>
    <col min="14" max="14" width="13.7109375" style="16" hidden="1" customWidth="1"/>
    <col min="15" max="15" width="15.5703125" style="16" hidden="1" customWidth="1"/>
    <col min="16" max="16" width="12.42578125" style="15" hidden="1" customWidth="1"/>
    <col min="17" max="17" width="6.85546875" style="15" hidden="1" customWidth="1"/>
    <col min="18" max="18" width="15" style="15" hidden="1" customWidth="1"/>
    <col min="19" max="19" width="12.5703125" style="15" hidden="1" customWidth="1"/>
    <col min="20" max="20" width="13.85546875" style="15" hidden="1" customWidth="1"/>
    <col min="21" max="21" width="9" style="15" bestFit="1" customWidth="1"/>
    <col min="22" max="22" width="11.85546875" style="15" bestFit="1" customWidth="1"/>
    <col min="23" max="23" width="11.85546875" style="15" hidden="1" customWidth="1"/>
    <col min="24" max="24" width="8.28515625" style="15" hidden="1" customWidth="1"/>
    <col min="25" max="25" width="8.5703125" style="15" hidden="1" customWidth="1"/>
    <col min="26" max="26" width="9.85546875" style="15" hidden="1" customWidth="1"/>
    <col min="27" max="27" width="11.140625" style="15" hidden="1" customWidth="1"/>
    <col min="28" max="28" width="8.5703125" style="15" bestFit="1" customWidth="1"/>
    <col min="29" max="29" width="17.28515625" style="15" bestFit="1" customWidth="1"/>
    <col min="30" max="30" width="18.42578125" style="15" bestFit="1" customWidth="1"/>
    <col min="31" max="31" width="12.42578125" style="15" bestFit="1" customWidth="1"/>
    <col min="32" max="32" width="13.5703125" style="15" bestFit="1" customWidth="1"/>
    <col min="33" max="33" width="13.7109375" style="15" bestFit="1" customWidth="1"/>
    <col min="34" max="16384" width="11.5703125" style="15"/>
  </cols>
  <sheetData>
    <row r="1" spans="1:33" s="18" customFormat="1" x14ac:dyDescent="0.2">
      <c r="A1" s="18" t="s">
        <v>30</v>
      </c>
      <c r="B1" s="18" t="s">
        <v>0</v>
      </c>
      <c r="C1" s="18" t="s">
        <v>38</v>
      </c>
      <c r="D1" s="18" t="s">
        <v>29</v>
      </c>
      <c r="E1" s="18" t="s">
        <v>1</v>
      </c>
      <c r="F1" s="18" t="s">
        <v>2</v>
      </c>
      <c r="G1" s="18" t="s">
        <v>3</v>
      </c>
      <c r="H1" s="18" t="s">
        <v>55</v>
      </c>
      <c r="I1" s="18" t="s">
        <v>56</v>
      </c>
      <c r="J1" s="18" t="s">
        <v>35</v>
      </c>
      <c r="K1" s="18" t="s">
        <v>48</v>
      </c>
      <c r="L1" s="18" t="s">
        <v>49</v>
      </c>
      <c r="M1" s="19" t="s">
        <v>50</v>
      </c>
      <c r="N1" s="18" t="s">
        <v>51</v>
      </c>
      <c r="O1" s="18" t="s">
        <v>52</v>
      </c>
      <c r="P1" s="20" t="s">
        <v>11</v>
      </c>
      <c r="Q1" s="18" t="s">
        <v>4</v>
      </c>
      <c r="R1" s="20" t="s">
        <v>53</v>
      </c>
      <c r="S1" s="18" t="s">
        <v>47</v>
      </c>
      <c r="T1" s="20" t="s">
        <v>54</v>
      </c>
      <c r="U1" s="20" t="s">
        <v>5</v>
      </c>
      <c r="V1" s="18" t="s">
        <v>31</v>
      </c>
      <c r="W1" s="18" t="s">
        <v>57</v>
      </c>
      <c r="X1" s="18" t="s">
        <v>32</v>
      </c>
      <c r="Y1" s="18" t="s">
        <v>36</v>
      </c>
      <c r="Z1" s="18" t="s">
        <v>33</v>
      </c>
      <c r="AA1" s="18" t="s">
        <v>34</v>
      </c>
      <c r="AB1" s="18" t="s">
        <v>63</v>
      </c>
      <c r="AC1" s="18" t="s">
        <v>60</v>
      </c>
      <c r="AD1" s="18" t="s">
        <v>61</v>
      </c>
      <c r="AE1" s="18" t="s">
        <v>58</v>
      </c>
      <c r="AF1" s="18" t="s">
        <v>59</v>
      </c>
      <c r="AG1" s="18" t="s">
        <v>62</v>
      </c>
    </row>
    <row r="2" spans="1:33" x14ac:dyDescent="0.2">
      <c r="A2" s="21">
        <v>1</v>
      </c>
      <c r="B2" s="21" t="s">
        <v>43</v>
      </c>
      <c r="C2" s="21" t="s">
        <v>39</v>
      </c>
      <c r="D2" s="22">
        <v>40980</v>
      </c>
      <c r="E2" s="21">
        <v>600</v>
      </c>
      <c r="F2" s="23">
        <v>0.28000000000000003</v>
      </c>
      <c r="G2" s="21" t="s">
        <v>7</v>
      </c>
      <c r="H2" s="22">
        <f>WORKDAY(NC[[#This Row],[DATA]],3,1)</f>
        <v>40983</v>
      </c>
      <c r="I2" s="41">
        <f>EOMONTH(NC[[#This Row],[DATA DE LIQUIDAÇÃO]],0)</f>
        <v>40999</v>
      </c>
      <c r="J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K2" s="23">
        <f>NC[QTDE]*NC[PREÇO]</f>
        <v>168.00000000000003</v>
      </c>
      <c r="L2" s="23">
        <f>(SUMPRODUCT(N(NC[DATA]=NC[[#This Row],[DATA]]),N(NC[ID]&lt;=NC[[#This Row],[ID]]),N(NC[OPER/TIPO]="CV"),NC[VALOR DAS OPERAÇÕES])  +  SUMPRODUCT(N(NC[DATA]=NC[[#This Row],[DATA]]),N(NC[ID]&lt;=NC[[#This Row],[ID]]),N(NC[OPER/TIPO]="VV"),NC[VALOR DAS OPERAÇÕES]) )  -  (SUMPRODUCT(N(NC[DATA]=NC[[#This Row],[DATA]]),N(NC[ID]&lt;=NC[[#This Row],[ID]]),N(NC[OPER/TIPO]="CC"),NC[VALOR DAS OPERAÇÕES])  +  SUMPRODUCT(N(NC[DATA]=NC[[#This Row],[DATA]]),N(NC[ID]&lt;=NC[[#This Row],[ID]]),N(NC[OPER/TIPO]="VC"),NC[VALOR DAS OPERAÇÕES]))</f>
        <v>-168.00000000000003</v>
      </c>
      <c r="M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N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O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P2" s="23">
        <f>SETUP!$E$3*SUMPRODUCT(N(NC[DATA]=NC[[#This Row],[DATA]]),N(NC[ID]&lt;=NC[[#This Row],[ID]]))</f>
        <v>14.9</v>
      </c>
      <c r="Q2" s="23">
        <f>TRUNC(NC[CORRETAGEM]*SETUP!$F$3,2)</f>
        <v>0.28999999999999998</v>
      </c>
      <c r="R2" s="23">
        <f>ROUND(NC[CORRETAGEM]*SETUP!$G$3,2)</f>
        <v>0.57999999999999996</v>
      </c>
      <c r="S2" s="23">
        <f>NC[VALOR LÍQUIDO DAS OPERAÇÕES]-NC[TAXA DE LIQUIDAÇÃO]-NC[EMOLUMENTOS]-NC[TAXA DE REGISTRO]-NC[CORRETAGEM]-NC[ISS]-IF(NC['[D/N']]="D",    0,    NC[OUTRAS BOVESPA])</f>
        <v>-183.98000000000005</v>
      </c>
      <c r="T2" s="23">
        <f>IF(AND(NC['[D/N']]="D",    NC[OPER/TIPO]="CV"),    NC[LÍQUIDO BASE]*0.01,    0)</f>
        <v>0</v>
      </c>
      <c r="U2" s="23">
        <f>NC[LÍQUIDO BASE]-SUMPRODUCT(N(NC[DATA]=NC[[#This Row],[DATA]]),    NC[IRRF DAY TRADE])</f>
        <v>-183.98000000000005</v>
      </c>
      <c r="V2" s="23">
        <f>NC[LÍQUIDO]-SUMPRODUCT(N(NC[DATA]=NC[[#This Row],[DATA]]),N(NC[ID]=(NC[[#This Row],[ID]]-1)),NC[LÍQUIDO])</f>
        <v>-183.98000000000005</v>
      </c>
      <c r="W2" s="23">
        <f>ABS(V2)/E2</f>
        <v>0.30663333333333342</v>
      </c>
      <c r="X2" s="23">
        <f>TRUNC(IF(OR(NC[OPER/TIPO]="CV",NC[OPER/TIPO]="VV"),     K2*SETUP!$H$3,     0),2)</f>
        <v>0</v>
      </c>
      <c r="Y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600</v>
      </c>
      <c r="Z2" s="24">
        <f>IF(NC['[D/N']]="D",      IF(OR(NC[OPER/TIPO]="CC",NC[OPER/TIPO]="CV"),     ABS(SUMPRODUCT(N(NC[ATIVO]=NC[[#This Row],[ATIVO]]),N(NC[OPER/TIPO]="CC"),N(NC['[D/N']]="D"),N(NC[ID]&lt;=NC[[#This Row],[ID]]),N(NC[PAR]=NC[[#This Row],[PAR]]),NC[VALOR P/ OP]))  /  SUMPRODUCT(N(NC[ATIVO]=NC[[#This Row],[ATIVO]]),N(NC[OPER/TIPO]="CC"),N(NC['[D/N']]="D"),N(NC[ID]&lt;=NC[[#This Row],[ID]]),N(NC[PAR]=NC[[#This Row],[PAR]]),NC[QTDE]),     IF(NC[OPER/TIPO]="VC",NC[MEDIO P/ OP],0)),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 P/ OP],0)))</f>
        <v>0.30663333333333342</v>
      </c>
      <c r="AA2" s="24">
        <f>IF(NC['[D/N']]="D",     IF(OR(NC[OPER/TIPO]="VV",NC[OPER/TIPO]="VC"),     ABS(SUMPRODUCT(N(NC[ATIVO]=NC[[#This Row],[ATIVO]]),N(NC[OPER/TIPO]="VV"),N(NC['[D/N']]="D"),N(NC[ID]&lt;=NC[[#This Row],[ID]]),N(NC[PAR]=NC[[#This Row],[PAR]]),NC[VALOR P/ OP]))  /  SUMPRODUCT(N(NC[ATIVO]=NC[[#This Row],[ATIVO]]),N(NC[OPER/TIPO]="VV"),N(NC['[D/N']]="D"),N(NC[ID]&lt;=NC[[#This Row],[ID]]),N(NC[PAR]=NC[[#This Row],[PAR]]),NC[QTDE]),     IF(NC[OPER/TIPO]="CV",NC[MEDIO P/ OP],0)),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 P/ OP],0)))</f>
        <v>0</v>
      </c>
      <c r="AB2" s="23">
        <f>IF(AND(NC[MED CP]&gt;0,NC[MED VD]&gt;0),(NC[MED VD]-NC[MED CP])*NC[QTDE],0)</f>
        <v>0</v>
      </c>
      <c r="AC2" s="23">
        <f>SUMPRODUCT(N(NC[DATA BASE]=NC[[#This Row],[DATA BASE]]),    N(NC['[D/N']]="N"),    NC[LUCRO])</f>
        <v>262.40999999999985</v>
      </c>
      <c r="AD2" s="23">
        <f>SUMPRODUCT(N(NC[DATA BASE]=NC[[#This Row],[DATA BASE]]),    N(NC['[D/N']]="D"),    NC[LUCRO]) + SUMPRODUCT(N(NC[DATA BASE]=NC[[#This Row],[DATA BASE]]),    NC[IRRF DAY TRADE])</f>
        <v>197.30999999999995</v>
      </c>
      <c r="AE2" s="29">
        <f>ROUND(NC[LUCRO MÊS NORMAL]*0.15,    2)</f>
        <v>39.36</v>
      </c>
      <c r="AF2" s="29">
        <f>ROUND(NC[LUCRO MÊS DAYTRADE]*0.2,    2)  -  SUMPRODUCT(N(NC[DATA BASE]=NC[[#This Row],[DATA BASE]]),    NC[IRRF DAY TRADE])</f>
        <v>37.486899999999999</v>
      </c>
      <c r="AG2" s="28">
        <f>IF(NC[MED CP] = 0,    0,    NC[LUCRO] / ABS(NC[QTDE] * NC[MED CP]))</f>
        <v>0</v>
      </c>
    </row>
    <row r="3" spans="1:33" x14ac:dyDescent="0.2">
      <c r="A3" s="21">
        <v>2</v>
      </c>
      <c r="B3" s="21" t="s">
        <v>44</v>
      </c>
      <c r="C3" s="21" t="s">
        <v>39</v>
      </c>
      <c r="D3" s="22">
        <v>40980</v>
      </c>
      <c r="E3" s="21">
        <v>400</v>
      </c>
      <c r="F3" s="23">
        <v>0.4</v>
      </c>
      <c r="G3" s="21" t="s">
        <v>7</v>
      </c>
      <c r="H3" s="22">
        <f>WORKDAY(NC[[#This Row],[DATA]],3,1)</f>
        <v>40983</v>
      </c>
      <c r="I3" s="41">
        <f>EOMONTH(NC[[#This Row],[DATA DE LIQUIDAÇÃO]],0)</f>
        <v>40999</v>
      </c>
      <c r="J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K3" s="23">
        <f>NC[QTDE]*NC[PREÇO]</f>
        <v>160</v>
      </c>
      <c r="L3" s="23">
        <f>(SUMPRODUCT(N(NC[DATA]=NC[[#This Row],[DATA]]),N(NC[ID]&lt;=NC[[#This Row],[ID]]),N(NC[OPER/TIPO]="CV"),NC[VALOR DAS OPERAÇÕES])  +  SUMPRODUCT(N(NC[DATA]=NC[[#This Row],[DATA]]),N(NC[ID]&lt;=NC[[#This Row],[ID]]),N(NC[OPER/TIPO]="VV"),NC[VALOR DAS OPERAÇÕES]) )  -  (SUMPRODUCT(N(NC[DATA]=NC[[#This Row],[DATA]]),N(NC[ID]&lt;=NC[[#This Row],[ID]]),N(NC[OPER/TIPO]="CC"),NC[VALOR DAS OPERAÇÕES])  +  SUMPRODUCT(N(NC[DATA]=NC[[#This Row],[DATA]]),N(NC[ID]&lt;=NC[[#This Row],[ID]]),N(NC[OPER/TIPO]="VC"),NC[VALOR DAS OPERAÇÕES]))</f>
        <v>-328</v>
      </c>
      <c r="M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N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O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P3" s="23">
        <f>SETUP!$E$3*SUMPRODUCT(N(NC[DATA]=NC[[#This Row],[DATA]]),N(NC[ID]&lt;=NC[[#This Row],[ID]]))</f>
        <v>29.8</v>
      </c>
      <c r="Q3" s="23">
        <f>TRUNC(NC[CORRETAGEM]*SETUP!$F$3,2)</f>
        <v>0.59</v>
      </c>
      <c r="R3" s="23">
        <f>ROUND(NC[CORRETAGEM]*SETUP!$G$3,2)</f>
        <v>1.1599999999999999</v>
      </c>
      <c r="S3" s="23">
        <f>NC[VALOR LÍQUIDO DAS OPERAÇÕES]-NC[TAXA DE LIQUIDAÇÃO]-NC[EMOLUMENTOS]-NC[TAXA DE REGISTRO]-NC[CORRETAGEM]-NC[ISS]-IF(NC['[D/N']]="D",    0,    NC[OUTRAS BOVESPA])</f>
        <v>-359.98</v>
      </c>
      <c r="T3" s="23">
        <f>IF(AND(NC['[D/N']]="D",    NC[OPER/TIPO]="CV"),    NC[LÍQUIDO BASE]*0.01,    0)</f>
        <v>0</v>
      </c>
      <c r="U3" s="23">
        <f>NC[LÍQUIDO BASE]-SUMPRODUCT(N(NC[DATA]=NC[[#This Row],[DATA]]),    NC[IRRF DAY TRADE])</f>
        <v>-359.98</v>
      </c>
      <c r="V3" s="23">
        <f>NC[LÍQUIDO]-SUMPRODUCT(N(NC[DATA]=NC[[#This Row],[DATA]]),N(NC[ID]=(NC[[#This Row],[ID]]-1)),NC[LÍQUIDO])</f>
        <v>-175.99999999999997</v>
      </c>
      <c r="W3" s="23">
        <f>ABS(V3)/E3</f>
        <v>0.43999999999999995</v>
      </c>
      <c r="X3" s="23">
        <f>TRUNC(IF(OR(NC[OPER/TIPO]="CV",NC[OPER/TIPO]="VV"),     K3*SETUP!$H$3,     0),2)</f>
        <v>0</v>
      </c>
      <c r="Y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400</v>
      </c>
      <c r="Z3" s="24">
        <f>IF(NC['[D/N']]="D",      IF(OR(NC[OPER/TIPO]="CC",NC[OPER/TIPO]="CV"),     ABS(SUMPRODUCT(N(NC[ATIVO]=NC[[#This Row],[ATIVO]]),N(NC[OPER/TIPO]="CC"),N(NC['[D/N']]="D"),N(NC[ID]&lt;=NC[[#This Row],[ID]]),N(NC[PAR]=NC[[#This Row],[PAR]]),NC[VALOR P/ OP]))  /  SUMPRODUCT(N(NC[ATIVO]=NC[[#This Row],[ATIVO]]),N(NC[OPER/TIPO]="CC"),N(NC['[D/N']]="D"),N(NC[ID]&lt;=NC[[#This Row],[ID]]),N(NC[PAR]=NC[[#This Row],[PAR]]),NC[QTDE]),     IF(NC[OPER/TIPO]="VC",NC[MEDIO P/ OP],0)),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 P/ OP],0)))</f>
        <v>0.43999999999999995</v>
      </c>
      <c r="AA3" s="24">
        <f>IF(NC['[D/N']]="D",     IF(OR(NC[OPER/TIPO]="VV",NC[OPER/TIPO]="VC"),     ABS(SUMPRODUCT(N(NC[ATIVO]=NC[[#This Row],[ATIVO]]),N(NC[OPER/TIPO]="VV"),N(NC['[D/N']]="D"),N(NC[ID]&lt;=NC[[#This Row],[ID]]),N(NC[PAR]=NC[[#This Row],[PAR]]),NC[VALOR P/ OP]))  /  SUMPRODUCT(N(NC[ATIVO]=NC[[#This Row],[ATIVO]]),N(NC[OPER/TIPO]="VV"),N(NC['[D/N']]="D"),N(NC[ID]&lt;=NC[[#This Row],[ID]]),N(NC[PAR]=NC[[#This Row],[PAR]]),NC[QTDE]),     IF(NC[OPER/TIPO]="CV",NC[MEDIO P/ OP],0)),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 P/ OP],0)))</f>
        <v>0</v>
      </c>
      <c r="AB3" s="23">
        <f>IF(AND(NC[MED CP]&gt;0,NC[MED VD]&gt;0),(NC[MED VD]-NC[MED CP])*NC[QTDE],0)</f>
        <v>0</v>
      </c>
      <c r="AC3" s="23">
        <f>SUMPRODUCT(N(NC[DATA BASE]=NC[[#This Row],[DATA BASE]]),    N(NC['[D/N']]="N"),    NC[LUCRO])</f>
        <v>262.40999999999985</v>
      </c>
      <c r="AD3" s="23">
        <f>SUMPRODUCT(N(NC[DATA BASE]=NC[[#This Row],[DATA BASE]]),    N(NC['[D/N']]="D"),    NC[LUCRO]) + SUMPRODUCT(N(NC[DATA BASE]=NC[[#This Row],[DATA BASE]]),    NC[IRRF DAY TRADE])</f>
        <v>197.30999999999995</v>
      </c>
      <c r="AE3" s="29">
        <f>ROUND(NC[LUCRO MÊS NORMAL]*0.15,    2)</f>
        <v>39.36</v>
      </c>
      <c r="AF3" s="29">
        <f>ROUND(NC[LUCRO MÊS DAYTRADE]*0.2,    2)  -  SUMPRODUCT(N(NC[DATA BASE]=NC[[#This Row],[DATA BASE]]),    NC[IRRF DAY TRADE])</f>
        <v>37.486899999999999</v>
      </c>
      <c r="AG3" s="28">
        <f>IF(NC[MED CP] = 0,    0,    NC[LUCRO] / ABS(NC[QTDE] * NC[MED CP]))</f>
        <v>0</v>
      </c>
    </row>
    <row r="4" spans="1:33" x14ac:dyDescent="0.2">
      <c r="A4" s="30">
        <v>3</v>
      </c>
      <c r="B4" s="30" t="s">
        <v>45</v>
      </c>
      <c r="C4" s="30" t="s">
        <v>39</v>
      </c>
      <c r="D4" s="31">
        <v>40981</v>
      </c>
      <c r="E4" s="30">
        <v>1200</v>
      </c>
      <c r="F4" s="32">
        <v>0.19</v>
      </c>
      <c r="G4" s="21" t="s">
        <v>16</v>
      </c>
      <c r="H4" s="31">
        <f>WORKDAY(NC[[#This Row],[DATA]],3,1)</f>
        <v>40984</v>
      </c>
      <c r="I4" s="42">
        <f>EOMONTH(NC[[#This Row],[DATA DE LIQUIDAÇÃO]],0)</f>
        <v>40999</v>
      </c>
      <c r="J4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0</v>
      </c>
      <c r="K4" s="32">
        <f>NC[QTDE]*NC[PREÇO]</f>
        <v>228</v>
      </c>
      <c r="L4" s="32">
        <f>(SUMPRODUCT(N(NC[DATA]=NC[[#This Row],[DATA]]),N(NC[ID]&lt;=NC[[#This Row],[ID]]),N(NC[OPER/TIPO]="CV"),NC[VALOR DAS OPERAÇÕES])  +  SUMPRODUCT(N(NC[DATA]=NC[[#This Row],[DATA]]),N(NC[ID]&lt;=NC[[#This Row],[ID]]),N(NC[OPER/TIPO]="VV"),NC[VALOR DAS OPERAÇÕES]) )  -  (SUMPRODUCT(N(NC[DATA]=NC[[#This Row],[DATA]]),N(NC[ID]&lt;=NC[[#This Row],[ID]]),N(NC[OPER/TIPO]="CC"),NC[VALOR DAS OPERAÇÕES])  +  SUMPRODUCT(N(NC[DATA]=NC[[#This Row],[DATA]]),N(NC[ID]&lt;=NC[[#This Row],[ID]]),N(NC[OPER/TIPO]="VC"),NC[VALOR DAS OPERAÇÕES]))</f>
        <v>-228</v>
      </c>
      <c r="M4" s="32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N4" s="3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O4" s="3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P4" s="32">
        <f>SETUP!$E$3*SUMPRODUCT(N(NC[DATA]=NC[[#This Row],[DATA]]),N(NC[ID]&lt;=NC[[#This Row],[ID]]))</f>
        <v>14.9</v>
      </c>
      <c r="Q4" s="32">
        <f>TRUNC(NC[CORRETAGEM]*SETUP!$F$3,2)</f>
        <v>0.28999999999999998</v>
      </c>
      <c r="R4" s="32">
        <f>ROUND(NC[CORRETAGEM]*SETUP!$G$3,2)</f>
        <v>0.57999999999999996</v>
      </c>
      <c r="S4" s="32">
        <f>NC[VALOR LÍQUIDO DAS OPERAÇÕES]-NC[TAXA DE LIQUIDAÇÃO]-NC[EMOLUMENTOS]-NC[TAXA DE REGISTRO]-NC[CORRETAGEM]-NC[ISS]-IF(NC['[D/N']]="D",    0,    NC[OUTRAS BOVESPA])</f>
        <v>-243.28</v>
      </c>
      <c r="T4" s="32">
        <f>IF(AND(NC['[D/N']]="D",    NC[OPER/TIPO]="CV"),    NC[LÍQUIDO BASE]*0.01,    0)</f>
        <v>0</v>
      </c>
      <c r="U4" s="32">
        <f>NC[LÍQUIDO BASE]-SUMPRODUCT(N(NC[DATA]=NC[[#This Row],[DATA]]),    NC[IRRF DAY TRADE])</f>
        <v>-245.25309999999999</v>
      </c>
      <c r="V4" s="32">
        <f>NC[LÍQUIDO]-SUMPRODUCT(N(NC[DATA]=NC[[#This Row],[DATA]]),N(NC[ID]=(NC[[#This Row],[ID]]-1)),NC[LÍQUIDO])</f>
        <v>-245.25309999999999</v>
      </c>
      <c r="W4" s="32">
        <f>ABS(V4)/E4</f>
        <v>0.20437758333333333</v>
      </c>
      <c r="X4" s="32">
        <f>TRUNC(IF(OR(NC[OPER/TIPO]="CV",NC[OPER/TIPO]="VV"),     K4*SETUP!$H$3,     0),2)</f>
        <v>0</v>
      </c>
      <c r="Y4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Z4" s="33">
        <f>IF(NC['[D/N']]="D",      IF(OR(NC[OPER/TIPO]="CC",NC[OPER/TIPO]="CV"),     ABS(SUMPRODUCT(N(NC[ATIVO]=NC[[#This Row],[ATIVO]]),N(NC[OPER/TIPO]="CC"),N(NC['[D/N']]="D"),N(NC[ID]&lt;=NC[[#This Row],[ID]]),N(NC[PAR]=NC[[#This Row],[PAR]]),NC[VALOR P/ OP]))  /  SUMPRODUCT(N(NC[ATIVO]=NC[[#This Row],[ATIVO]]),N(NC[OPER/TIPO]="CC"),N(NC['[D/N']]="D"),N(NC[ID]&lt;=NC[[#This Row],[ID]]),N(NC[PAR]=NC[[#This Row],[PAR]]),NC[QTDE]),     IF(NC[OPER/TIPO]="VC",NC[MEDIO P/ OP],0)),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 P/ OP],0)))</f>
        <v>0.20437758333333333</v>
      </c>
      <c r="AA4" s="33">
        <f>IF(NC['[D/N']]="D",     IF(OR(NC[OPER/TIPO]="VV",NC[OPER/TIPO]="VC"),     ABS(SUMPRODUCT(N(NC[ATIVO]=NC[[#This Row],[ATIVO]]),N(NC[OPER/TIPO]="VV"),N(NC['[D/N']]="D"),N(NC[ID]&lt;=NC[[#This Row],[ID]]),N(NC[PAR]=NC[[#This Row],[PAR]]),NC[VALOR P/ OP]))  /  SUMPRODUCT(N(NC[ATIVO]=NC[[#This Row],[ATIVO]]),N(NC[OPER/TIPO]="VV"),N(NC['[D/N']]="D"),N(NC[ID]&lt;=NC[[#This Row],[ID]]),N(NC[PAR]=NC[[#This Row],[PAR]]),NC[QTDE]),     IF(NC[OPER/TIPO]="CV",NC[MEDIO P/ OP],0)),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 P/ OP],0)))</f>
        <v>0</v>
      </c>
      <c r="AB4" s="32">
        <f>IF(AND(NC[MED CP]&gt;0,NC[MED VD]&gt;0),(NC[MED VD]-NC[MED CP])*NC[QTDE],0)</f>
        <v>0</v>
      </c>
      <c r="AC4" s="32">
        <f>SUMPRODUCT(N(NC[DATA BASE]=NC[[#This Row],[DATA BASE]]),    N(NC['[D/N']]="N"),    NC[LUCRO])</f>
        <v>262.40999999999985</v>
      </c>
      <c r="AD4" s="32">
        <f>SUMPRODUCT(N(NC[DATA BASE]=NC[[#This Row],[DATA BASE]]),    N(NC['[D/N']]="D"),    NC[LUCRO]) + SUMPRODUCT(N(NC[DATA BASE]=NC[[#This Row],[DATA BASE]]),    NC[IRRF DAY TRADE])</f>
        <v>197.30999999999995</v>
      </c>
      <c r="AE4" s="34">
        <f>ROUND(NC[LUCRO MÊS NORMAL]*0.15,    2)</f>
        <v>39.36</v>
      </c>
      <c r="AF4" s="34">
        <f>ROUND(NC[LUCRO MÊS DAYTRADE]*0.2,    2)  -  SUMPRODUCT(N(NC[DATA BASE]=NC[[#This Row],[DATA BASE]]),    NC[IRRF DAY TRADE])</f>
        <v>37.486899999999999</v>
      </c>
      <c r="AG4" s="35">
        <f>IF(NC[MED CP] = 0,    0,    NC[LUCRO] / ABS(NC[QTDE] * NC[MED CP]))</f>
        <v>0</v>
      </c>
    </row>
    <row r="5" spans="1:33" x14ac:dyDescent="0.2">
      <c r="A5" s="21">
        <v>4</v>
      </c>
      <c r="B5" s="21" t="s">
        <v>45</v>
      </c>
      <c r="C5" s="21" t="s">
        <v>40</v>
      </c>
      <c r="D5" s="22">
        <v>40981</v>
      </c>
      <c r="E5" s="21">
        <v>1200</v>
      </c>
      <c r="F5" s="23">
        <v>0.38</v>
      </c>
      <c r="G5" s="21" t="s">
        <v>16</v>
      </c>
      <c r="H5" s="22">
        <f>WORKDAY(NC[[#This Row],[DATA]],3,1)</f>
        <v>40984</v>
      </c>
      <c r="I5" s="41">
        <f>EOMONTH(NC[[#This Row],[DATA DE LIQUIDAÇÃO]],0)</f>
        <v>40999</v>
      </c>
      <c r="J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0</v>
      </c>
      <c r="K5" s="23">
        <f>NC[QTDE]*NC[PREÇO]</f>
        <v>456</v>
      </c>
      <c r="L5" s="23">
        <f>(SUMPRODUCT(N(NC[DATA]=NC[[#This Row],[DATA]]),N(NC[ID]&lt;=NC[[#This Row],[ID]]),N(NC[OPER/TIPO]="CV"),NC[VALOR DAS OPERAÇÕES])  +  SUMPRODUCT(N(NC[DATA]=NC[[#This Row],[DATA]]),N(NC[ID]&lt;=NC[[#This Row],[ID]]),N(NC[OPER/TIPO]="VV"),NC[VALOR DAS OPERAÇÕES]) )  -  (SUMPRODUCT(N(NC[DATA]=NC[[#This Row],[DATA]]),N(NC[ID]&lt;=NC[[#This Row],[ID]]),N(NC[OPER/TIPO]="CC"),NC[VALOR DAS OPERAÇÕES])  +  SUMPRODUCT(N(NC[DATA]=NC[[#This Row],[DATA]]),N(NC[ID]&lt;=NC[[#This Row],[ID]]),N(NC[OPER/TIPO]="VC"),NC[VALOR DAS OPERAÇÕES]))</f>
        <v>228</v>
      </c>
      <c r="M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N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O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P5" s="23">
        <f>SETUP!$E$3*SUMPRODUCT(N(NC[DATA]=NC[[#This Row],[DATA]]),N(NC[ID]&lt;=NC[[#This Row],[ID]]))</f>
        <v>29.8</v>
      </c>
      <c r="Q5" s="23">
        <f>TRUNC(NC[CORRETAGEM]*SETUP!$F$3,2)</f>
        <v>0.59</v>
      </c>
      <c r="R5" s="23">
        <f>ROUND(NC[CORRETAGEM]*SETUP!$G$3,2)</f>
        <v>1.1599999999999999</v>
      </c>
      <c r="S5" s="23">
        <f>NC[VALOR LÍQUIDO DAS OPERAÇÕES]-NC[TAXA DE LIQUIDAÇÃO]-NC[EMOLUMENTOS]-NC[TAXA DE REGISTRO]-NC[CORRETAGEM]-NC[ISS]-IF(NC['[D/N']]="D",    0,    NC[OUTRAS BOVESPA])</f>
        <v>197.30999999999997</v>
      </c>
      <c r="T5" s="23">
        <f>IF(AND(NC['[D/N']]="D",    NC[OPER/TIPO]="CV"),    NC[LÍQUIDO BASE]*0.01,    0)</f>
        <v>1.9730999999999999</v>
      </c>
      <c r="U5" s="23">
        <f>NC[LÍQUIDO BASE]-SUMPRODUCT(N(NC[DATA]=NC[[#This Row],[DATA]]),    NC[IRRF DAY TRADE])</f>
        <v>195.33689999999999</v>
      </c>
      <c r="V5" s="23">
        <f>NC[LÍQUIDO]-SUMPRODUCT(N(NC[DATA]=NC[[#This Row],[DATA]]),N(NC[ID]=(NC[[#This Row],[ID]]-1)),NC[LÍQUIDO])</f>
        <v>440.59</v>
      </c>
      <c r="W5" s="23">
        <f>ABS(V5)/E5</f>
        <v>0.36715833333333331</v>
      </c>
      <c r="X5" s="23">
        <f>TRUNC(IF(OR(NC[OPER/TIPO]="CV",NC[OPER/TIPO]="VV"),     K5*SETUP!$H$3,     0),2)</f>
        <v>0.02</v>
      </c>
      <c r="Y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Z5" s="24">
        <f>IF(NC['[D/N']]="D",      IF(OR(NC[OPER/TIPO]="CC",NC[OPER/TIPO]="CV"),     ABS(SUMPRODUCT(N(NC[ATIVO]=NC[[#This Row],[ATIVO]]),N(NC[OPER/TIPO]="CC"),N(NC['[D/N']]="D"),N(NC[ID]&lt;=NC[[#This Row],[ID]]),N(NC[PAR]=NC[[#This Row],[PAR]]),NC[VALOR P/ OP]))  /  SUMPRODUCT(N(NC[ATIVO]=NC[[#This Row],[ATIVO]]),N(NC[OPER/TIPO]="CC"),N(NC['[D/N']]="D"),N(NC[ID]&lt;=NC[[#This Row],[ID]]),N(NC[PAR]=NC[[#This Row],[PAR]]),NC[QTDE]),     IF(NC[OPER/TIPO]="VC",NC[MEDIO P/ OP],0)),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 P/ OP],0)))</f>
        <v>0.20437758333333333</v>
      </c>
      <c r="AA5" s="24">
        <f>IF(NC['[D/N']]="D",     IF(OR(NC[OPER/TIPO]="VV",NC[OPER/TIPO]="VC"),     ABS(SUMPRODUCT(N(NC[ATIVO]=NC[[#This Row],[ATIVO]]),N(NC[OPER/TIPO]="VV"),N(NC['[D/N']]="D"),N(NC[ID]&lt;=NC[[#This Row],[ID]]),N(NC[PAR]=NC[[#This Row],[PAR]]),NC[VALOR P/ OP]))  /  SUMPRODUCT(N(NC[ATIVO]=NC[[#This Row],[ATIVO]]),N(NC[OPER/TIPO]="VV"),N(NC['[D/N']]="D"),N(NC[ID]&lt;=NC[[#This Row],[ID]]),N(NC[PAR]=NC[[#This Row],[PAR]]),NC[QTDE]),     IF(NC[OPER/TIPO]="CV",NC[MEDIO P/ OP],0)),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 P/ OP],0)))</f>
        <v>0.36715833333333331</v>
      </c>
      <c r="AB5" s="23">
        <f>IF(AND(NC[MED CP]&gt;0,NC[MED VD]&gt;0),(NC[MED VD]-NC[MED CP])*NC[QTDE],0)</f>
        <v>195.33689999999996</v>
      </c>
      <c r="AC5" s="23">
        <f>SUMPRODUCT(N(NC[DATA BASE]=NC[[#This Row],[DATA BASE]]),    N(NC['[D/N']]="N"),    NC[LUCRO])</f>
        <v>262.40999999999985</v>
      </c>
      <c r="AD5" s="23">
        <f>SUMPRODUCT(N(NC[DATA BASE]=NC[[#This Row],[DATA BASE]]),    N(NC['[D/N']]="D"),    NC[LUCRO]) + SUMPRODUCT(N(NC[DATA BASE]=NC[[#This Row],[DATA BASE]]),    NC[IRRF DAY TRADE])</f>
        <v>197.30999999999995</v>
      </c>
      <c r="AE5" s="39">
        <f>ROUND(NC[LUCRO MÊS NORMAL]*0.15,    2)</f>
        <v>39.36</v>
      </c>
      <c r="AF5" s="39">
        <f>ROUND(NC[LUCRO MÊS DAYTRADE]*0.2,    2)  -  SUMPRODUCT(N(NC[DATA BASE]=NC[[#This Row],[DATA BASE]]),    NC[IRRF DAY TRADE])</f>
        <v>37.486899999999999</v>
      </c>
      <c r="AG5" s="28">
        <f>IF(NC[MED CP] = 0,    0,    NC[LUCRO] / ABS(NC[QTDE] * NC[MED CP]))</f>
        <v>0.79647066642582687</v>
      </c>
    </row>
    <row r="6" spans="1:33" x14ac:dyDescent="0.2">
      <c r="A6" s="30">
        <v>5</v>
      </c>
      <c r="B6" s="30" t="s">
        <v>44</v>
      </c>
      <c r="C6" s="30" t="s">
        <v>40</v>
      </c>
      <c r="D6" s="31">
        <v>40981</v>
      </c>
      <c r="E6" s="30">
        <v>400</v>
      </c>
      <c r="F6" s="32">
        <v>0.8</v>
      </c>
      <c r="G6" s="30" t="s">
        <v>7</v>
      </c>
      <c r="H6" s="31">
        <f>WORKDAY(NC[[#This Row],[DATA]],3,1)</f>
        <v>40984</v>
      </c>
      <c r="I6" s="42">
        <f>EOMONTH(NC[[#This Row],[DATA DE LIQUIDAÇÃO]],0)</f>
        <v>40999</v>
      </c>
      <c r="J6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K6" s="32">
        <f>NC[QTDE]*NC[PREÇO]</f>
        <v>320</v>
      </c>
      <c r="L6" s="32">
        <f>(SUMPRODUCT(N(NC[DATA]=NC[[#This Row],[DATA]]),N(NC[ID]&lt;=NC[[#This Row],[ID]]),N(NC[OPER/TIPO]="CV"),NC[VALOR DAS OPERAÇÕES])  +  SUMPRODUCT(N(NC[DATA]=NC[[#This Row],[DATA]]),N(NC[ID]&lt;=NC[[#This Row],[ID]]),N(NC[OPER/TIPO]="VV"),NC[VALOR DAS OPERAÇÕES]) )  -  (SUMPRODUCT(N(NC[DATA]=NC[[#This Row],[DATA]]),N(NC[ID]&lt;=NC[[#This Row],[ID]]),N(NC[OPER/TIPO]="CC"),NC[VALOR DAS OPERAÇÕES])  +  SUMPRODUCT(N(NC[DATA]=NC[[#This Row],[DATA]]),N(NC[ID]&lt;=NC[[#This Row],[ID]]),N(NC[OPER/TIPO]="VC"),NC[VALOR DAS OPERAÇÕES]))</f>
        <v>548</v>
      </c>
      <c r="M6" s="32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0.21</v>
      </c>
      <c r="N6" s="3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O6" s="3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P6" s="32">
        <f>SETUP!$E$3*SUMPRODUCT(N(NC[DATA]=NC[[#This Row],[DATA]]),N(NC[ID]&lt;=NC[[#This Row],[ID]]))</f>
        <v>44.7</v>
      </c>
      <c r="Q6" s="32">
        <f>TRUNC(NC[CORRETAGEM]*SETUP!$F$3,2)</f>
        <v>0.89</v>
      </c>
      <c r="R6" s="32">
        <f>ROUND(NC[CORRETAGEM]*SETUP!$G$3,2)</f>
        <v>1.74</v>
      </c>
      <c r="S6" s="32">
        <f>NC[VALOR LÍQUIDO DAS OPERAÇÕES]-NC[TAXA DE LIQUIDAÇÃO]-NC[EMOLUMENTOS]-NC[TAXA DE REGISTRO]-NC[CORRETAGEM]-NC[ISS]-IF(NC['[D/N']]="D",    0,    NC[OUTRAS BOVESPA])</f>
        <v>499.93999999999988</v>
      </c>
      <c r="T6" s="32">
        <f>IF(AND(NC['[D/N']]="D",    NC[OPER/TIPO]="CV"),    NC[LÍQUIDO BASE]*0.01,    0)</f>
        <v>0</v>
      </c>
      <c r="U6" s="32">
        <f>NC[LÍQUIDO BASE]-SUMPRODUCT(N(NC[DATA]=NC[[#This Row],[DATA]]),    NC[IRRF DAY TRADE])</f>
        <v>497.9668999999999</v>
      </c>
      <c r="V6" s="32">
        <f>NC[LÍQUIDO]-SUMPRODUCT(N(NC[DATA]=NC[[#This Row],[DATA]]),N(NC[ID]=(NC[[#This Row],[ID]]-1)),NC[LÍQUIDO])</f>
        <v>302.62999999999988</v>
      </c>
      <c r="W6" s="32">
        <f>ABS(V6)/E6</f>
        <v>0.75657499999999966</v>
      </c>
      <c r="X6" s="32">
        <f>TRUNC(IF(OR(NC[OPER/TIPO]="CV",NC[OPER/TIPO]="VV"),     K6*SETUP!$H$3,     0),2)</f>
        <v>0.01</v>
      </c>
      <c r="Y6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Z6" s="33">
        <f>IF(NC['[D/N']]="D",      IF(OR(NC[OPER/TIPO]="CC",NC[OPER/TIPO]="CV"),     ABS(SUMPRODUCT(N(NC[ATIVO]=NC[[#This Row],[ATIVO]]),N(NC[OPER/TIPO]="CC"),N(NC['[D/N']]="D"),N(NC[ID]&lt;=NC[[#This Row],[ID]]),N(NC[PAR]=NC[[#This Row],[PAR]]),NC[VALOR P/ OP]))  /  SUMPRODUCT(N(NC[ATIVO]=NC[[#This Row],[ATIVO]]),N(NC[OPER/TIPO]="CC"),N(NC['[D/N']]="D"),N(NC[ID]&lt;=NC[[#This Row],[ID]]),N(NC[PAR]=NC[[#This Row],[PAR]]),NC[QTDE]),     IF(NC[OPER/TIPO]="VC",NC[MEDIO P/ OP],0)),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 P/ OP],0)))</f>
        <v>0.43999999999999995</v>
      </c>
      <c r="AA6" s="33">
        <f>IF(NC['[D/N']]="D",     IF(OR(NC[OPER/TIPO]="VV",NC[OPER/TIPO]="VC"),     ABS(SUMPRODUCT(N(NC[ATIVO]=NC[[#This Row],[ATIVO]]),N(NC[OPER/TIPO]="VV"),N(NC['[D/N']]="D"),N(NC[ID]&lt;=NC[[#This Row],[ID]]),N(NC[PAR]=NC[[#This Row],[PAR]]),NC[VALOR P/ OP]))  /  SUMPRODUCT(N(NC[ATIVO]=NC[[#This Row],[ATIVO]]),N(NC[OPER/TIPO]="VV"),N(NC['[D/N']]="D"),N(NC[ID]&lt;=NC[[#This Row],[ID]]),N(NC[PAR]=NC[[#This Row],[PAR]]),NC[QTDE]),     IF(NC[OPER/TIPO]="CV",NC[MEDIO P/ OP],0)),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 P/ OP],0)))</f>
        <v>0.75657499999999966</v>
      </c>
      <c r="AB6" s="32">
        <f>IF(AND(NC[MED CP]&gt;0,NC[MED VD]&gt;0),(NC[MED VD]-NC[MED CP])*NC[QTDE],0)</f>
        <v>126.62999999999988</v>
      </c>
      <c r="AC6" s="32">
        <f>SUMPRODUCT(N(NC[DATA BASE]=NC[[#This Row],[DATA BASE]]),    N(NC['[D/N']]="N"),    NC[LUCRO])</f>
        <v>262.40999999999985</v>
      </c>
      <c r="AD6" s="32">
        <f>SUMPRODUCT(N(NC[DATA BASE]=NC[[#This Row],[DATA BASE]]),    N(NC['[D/N']]="D"),    NC[LUCRO]) + SUMPRODUCT(N(NC[DATA BASE]=NC[[#This Row],[DATA BASE]]),    NC[IRRF DAY TRADE])</f>
        <v>197.30999999999995</v>
      </c>
      <c r="AE6" s="34">
        <f>ROUND(NC[LUCRO MÊS NORMAL]*0.15,    2)</f>
        <v>39.36</v>
      </c>
      <c r="AF6" s="34">
        <f>ROUND(NC[LUCRO MÊS DAYTRADE]*0.2,    2)  -  SUMPRODUCT(N(NC[DATA BASE]=NC[[#This Row],[DATA BASE]]),    NC[IRRF DAY TRADE])</f>
        <v>37.486899999999999</v>
      </c>
      <c r="AG6" s="35">
        <f>IF(NC[MED CP] = 0,    0,    NC[LUCRO] / ABS(NC[QTDE] * NC[MED CP]))</f>
        <v>0.7194886363636358</v>
      </c>
    </row>
    <row r="7" spans="1:33" x14ac:dyDescent="0.2">
      <c r="A7" s="30">
        <v>6</v>
      </c>
      <c r="B7" s="30" t="s">
        <v>46</v>
      </c>
      <c r="C7" s="30" t="s">
        <v>39</v>
      </c>
      <c r="D7" s="31">
        <v>40981</v>
      </c>
      <c r="E7" s="30">
        <v>200</v>
      </c>
      <c r="F7" s="32">
        <v>0.8</v>
      </c>
      <c r="G7" s="30" t="s">
        <v>7</v>
      </c>
      <c r="H7" s="31">
        <f>WORKDAY(NC[[#This Row],[DATA]],3,1)</f>
        <v>40984</v>
      </c>
      <c r="I7" s="42">
        <f>EOMONTH(NC[[#This Row],[DATA DE LIQUIDAÇÃO]],0)</f>
        <v>40999</v>
      </c>
      <c r="J7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K7" s="32">
        <f>NC[QTDE]*NC[PREÇO]</f>
        <v>160</v>
      </c>
      <c r="L7" s="32">
        <f>(SUMPRODUCT(N(NC[DATA]=NC[[#This Row],[DATA]]),N(NC[ID]&lt;=NC[[#This Row],[ID]]),N(NC[OPER/TIPO]="CV"),NC[VALOR DAS OPERAÇÕES])  +  SUMPRODUCT(N(NC[DATA]=NC[[#This Row],[DATA]]),N(NC[ID]&lt;=NC[[#This Row],[ID]]),N(NC[OPER/TIPO]="VV"),NC[VALOR DAS OPERAÇÕES]) )  -  (SUMPRODUCT(N(NC[DATA]=NC[[#This Row],[DATA]]),N(NC[ID]&lt;=NC[[#This Row],[ID]]),N(NC[OPER/TIPO]="CC"),NC[VALOR DAS OPERAÇÕES])  +  SUMPRODUCT(N(NC[DATA]=NC[[#This Row],[DATA]]),N(NC[ID]&lt;=NC[[#This Row],[ID]]),N(NC[OPER/TIPO]="VC"),NC[VALOR DAS OPERAÇÕES]))</f>
        <v>388</v>
      </c>
      <c r="M7" s="32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N7" s="3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O7" s="3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P7" s="32">
        <f>SETUP!$E$3*SUMPRODUCT(N(NC[DATA]=NC[[#This Row],[DATA]]),N(NC[ID]&lt;=NC[[#This Row],[ID]]))</f>
        <v>59.6</v>
      </c>
      <c r="Q7" s="32">
        <f>TRUNC(NC[CORRETAGEM]*SETUP!$F$3,2)</f>
        <v>1.19</v>
      </c>
      <c r="R7" s="32">
        <f>ROUND(NC[CORRETAGEM]*SETUP!$G$3,2)</f>
        <v>2.3199999999999998</v>
      </c>
      <c r="S7" s="32">
        <f>NC[VALOR LÍQUIDO DAS OPERAÇÕES]-NC[TAXA DE LIQUIDAÇÃO]-NC[EMOLUMENTOS]-NC[TAXA DE REGISTRO]-NC[CORRETAGEM]-NC[ISS]-IF(NC['[D/N']]="D",    0,    NC[OUTRAS BOVESPA])</f>
        <v>323.95999999999998</v>
      </c>
      <c r="T7" s="32">
        <f>IF(AND(NC['[D/N']]="D",    NC[OPER/TIPO]="CV"),    NC[LÍQUIDO BASE]*0.01,    0)</f>
        <v>0</v>
      </c>
      <c r="U7" s="32">
        <f>NC[LÍQUIDO BASE]-SUMPRODUCT(N(NC[DATA]=NC[[#This Row],[DATA]]),    NC[IRRF DAY TRADE])</f>
        <v>321.98689999999999</v>
      </c>
      <c r="V7" s="32">
        <f>NC[LÍQUIDO]-SUMPRODUCT(N(NC[DATA]=NC[[#This Row],[DATA]]),N(NC[ID]=(NC[[#This Row],[ID]]-1)),NC[LÍQUIDO])</f>
        <v>-175.9799999999999</v>
      </c>
      <c r="W7" s="32">
        <f>ABS(V7)/E7</f>
        <v>0.87989999999999957</v>
      </c>
      <c r="X7" s="32">
        <f>TRUNC(IF(OR(NC[OPER/TIPO]="CV",NC[OPER/TIPO]="VV"),     K7*SETUP!$H$3,     0),2)</f>
        <v>0</v>
      </c>
      <c r="Y7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Z7" s="33">
        <f>IF(NC['[D/N']]="D",      IF(OR(NC[OPER/TIPO]="CC",NC[OPER/TIPO]="CV"),     ABS(SUMPRODUCT(N(NC[ATIVO]=NC[[#This Row],[ATIVO]]),N(NC[OPER/TIPO]="CC"),N(NC['[D/N']]="D"),N(NC[ID]&lt;=NC[[#This Row],[ID]]),N(NC[PAR]=NC[[#This Row],[PAR]]),NC[VALOR P/ OP]))  /  SUMPRODUCT(N(NC[ATIVO]=NC[[#This Row],[ATIVO]]),N(NC[OPER/TIPO]="CC"),N(NC['[D/N']]="D"),N(NC[ID]&lt;=NC[[#This Row],[ID]]),N(NC[PAR]=NC[[#This Row],[PAR]]),NC[QTDE]),     IF(NC[OPER/TIPO]="VC",NC[MEDIO P/ OP],0)),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 P/ OP],0)))</f>
        <v>0.87989999999999957</v>
      </c>
      <c r="AA7" s="33">
        <f>IF(NC['[D/N']]="D",     IF(OR(NC[OPER/TIPO]="VV",NC[OPER/TIPO]="VC"),     ABS(SUMPRODUCT(N(NC[ATIVO]=NC[[#This Row],[ATIVO]]),N(NC[OPER/TIPO]="VV"),N(NC['[D/N']]="D"),N(NC[ID]&lt;=NC[[#This Row],[ID]]),N(NC[PAR]=NC[[#This Row],[PAR]]),NC[VALOR P/ OP]))  /  SUMPRODUCT(N(NC[ATIVO]=NC[[#This Row],[ATIVO]]),N(NC[OPER/TIPO]="VV"),N(NC['[D/N']]="D"),N(NC[ID]&lt;=NC[[#This Row],[ID]]),N(NC[PAR]=NC[[#This Row],[PAR]]),NC[QTDE]),     IF(NC[OPER/TIPO]="CV",NC[MEDIO P/ OP],0)),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 P/ OP],0)))</f>
        <v>0</v>
      </c>
      <c r="AB7" s="32">
        <f>IF(AND(NC[MED CP]&gt;0,NC[MED VD]&gt;0),(NC[MED VD]-NC[MED CP])*NC[QTDE],0)</f>
        <v>0</v>
      </c>
      <c r="AC7" s="32">
        <f>SUMPRODUCT(N(NC[DATA BASE]=NC[[#This Row],[DATA BASE]]),    N(NC['[D/N']]="N"),    NC[LUCRO])</f>
        <v>262.40999999999985</v>
      </c>
      <c r="AD7" s="32">
        <f>SUMPRODUCT(N(NC[DATA BASE]=NC[[#This Row],[DATA BASE]]),    N(NC['[D/N']]="D"),    NC[LUCRO]) + SUMPRODUCT(N(NC[DATA BASE]=NC[[#This Row],[DATA BASE]]),    NC[IRRF DAY TRADE])</f>
        <v>197.30999999999995</v>
      </c>
      <c r="AE7" s="34">
        <f>ROUND(NC[LUCRO MÊS NORMAL]*0.15,    2)</f>
        <v>39.36</v>
      </c>
      <c r="AF7" s="34">
        <f>ROUND(NC[LUCRO MÊS DAYTRADE]*0.2,    2)  -  SUMPRODUCT(N(NC[DATA BASE]=NC[[#This Row],[DATA BASE]]),    NC[IRRF DAY TRADE])</f>
        <v>37.486899999999999</v>
      </c>
      <c r="AG7" s="35">
        <f>IF(NC[MED CP] = 0,    0,    NC[LUCRO] / ABS(NC[QTDE] * NC[MED CP]))</f>
        <v>0</v>
      </c>
    </row>
    <row r="8" spans="1:33" x14ac:dyDescent="0.2">
      <c r="A8" s="21">
        <v>7</v>
      </c>
      <c r="B8" s="21" t="s">
        <v>43</v>
      </c>
      <c r="C8" s="21" t="s">
        <v>40</v>
      </c>
      <c r="D8" s="22">
        <v>40981</v>
      </c>
      <c r="E8" s="21">
        <v>600</v>
      </c>
      <c r="F8" s="23">
        <v>0.56000000000000005</v>
      </c>
      <c r="G8" s="21" t="s">
        <v>7</v>
      </c>
      <c r="H8" s="22">
        <f>WORKDAY(NC[[#This Row],[DATA]],3,1)</f>
        <v>40984</v>
      </c>
      <c r="I8" s="41">
        <f>EOMONTH(NC[[#This Row],[DATA DE LIQUIDAÇÃO]],0)</f>
        <v>40999</v>
      </c>
      <c r="J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K8" s="23">
        <f>NC[QTDE]*NC[PREÇO]</f>
        <v>336.00000000000006</v>
      </c>
      <c r="L8" s="23">
        <f>(SUMPRODUCT(N(NC[DATA]=NC[[#This Row],[DATA]]),N(NC[ID]&lt;=NC[[#This Row],[ID]]),N(NC[OPER/TIPO]="CV"),NC[VALOR DAS OPERAÇÕES])  +  SUMPRODUCT(N(NC[DATA]=NC[[#This Row],[DATA]]),N(NC[ID]&lt;=NC[[#This Row],[ID]]),N(NC[OPER/TIPO]="VV"),NC[VALOR DAS OPERAÇÕES]) )  -  (SUMPRODUCT(N(NC[DATA]=NC[[#This Row],[DATA]]),N(NC[ID]&lt;=NC[[#This Row],[ID]]),N(NC[OPER/TIPO]="CC"),NC[VALOR DAS OPERAÇÕES])  +  SUMPRODUCT(N(NC[DATA]=NC[[#This Row],[DATA]]),N(NC[ID]&lt;=NC[[#This Row],[ID]]),N(NC[OPER/TIPO]="VC"),NC[VALOR DAS OPERAÇÕES]))</f>
        <v>724</v>
      </c>
      <c r="M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0.34</v>
      </c>
      <c r="N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O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P8" s="23">
        <f>SETUP!$E$3*SUMPRODUCT(N(NC[DATA]=NC[[#This Row],[DATA]]),N(NC[ID]&lt;=NC[[#This Row],[ID]]))</f>
        <v>74.5</v>
      </c>
      <c r="Q8" s="23">
        <f>TRUNC(NC[CORRETAGEM]*SETUP!$F$3,2)</f>
        <v>1.49</v>
      </c>
      <c r="R8" s="23">
        <f>ROUND(NC[CORRETAGEM]*SETUP!$G$3,2)</f>
        <v>2.91</v>
      </c>
      <c r="S8" s="23">
        <f>NC[VALOR LÍQUIDO DAS OPERAÇÕES]-NC[TAXA DE LIQUIDAÇÃO]-NC[EMOLUMENTOS]-NC[TAXA DE REGISTRO]-NC[CORRETAGEM]-NC[ISS]-IF(NC['[D/N']]="D",    0,    NC[OUTRAS BOVESPA])</f>
        <v>643.72</v>
      </c>
      <c r="T8" s="23">
        <f>IF(AND(NC['[D/N']]="D",    NC[OPER/TIPO]="CV"),    NC[LÍQUIDO BASE]*0.01,    0)</f>
        <v>0</v>
      </c>
      <c r="U8" s="23">
        <f>NC[LÍQUIDO BASE]-SUMPRODUCT(N(NC[DATA]=NC[[#This Row],[DATA]]),    NC[IRRF DAY TRADE])</f>
        <v>641.74689999999998</v>
      </c>
      <c r="V8" s="23">
        <f>NC[LÍQUIDO]-SUMPRODUCT(N(NC[DATA]=NC[[#This Row],[DATA]]),N(NC[ID]=(NC[[#This Row],[ID]]-1)),NC[LÍQUIDO])</f>
        <v>319.76</v>
      </c>
      <c r="W8" s="23">
        <f>ABS(V8)/E8</f>
        <v>0.53293333333333337</v>
      </c>
      <c r="X8" s="23">
        <f>TRUNC(IF(OR(NC[OPER/TIPO]="CV",NC[OPER/TIPO]="VV"),     K8*SETUP!$H$3,     0),2)</f>
        <v>0.01</v>
      </c>
      <c r="Y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Z8" s="24">
        <f>IF(NC['[D/N']]="D",      IF(OR(NC[OPER/TIPO]="CC",NC[OPER/TIPO]="CV"),     ABS(SUMPRODUCT(N(NC[ATIVO]=NC[[#This Row],[ATIVO]]),N(NC[OPER/TIPO]="CC"),N(NC['[D/N']]="D"),N(NC[ID]&lt;=NC[[#This Row],[ID]]),N(NC[PAR]=NC[[#This Row],[PAR]]),NC[VALOR P/ OP]))  /  SUMPRODUCT(N(NC[ATIVO]=NC[[#This Row],[ATIVO]]),N(NC[OPER/TIPO]="CC"),N(NC['[D/N']]="D"),N(NC[ID]&lt;=NC[[#This Row],[ID]]),N(NC[PAR]=NC[[#This Row],[PAR]]),NC[QTDE]),     IF(NC[OPER/TIPO]="VC",NC[MEDIO P/ OP],0)),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 P/ OP],0)))</f>
        <v>0.30663333333333342</v>
      </c>
      <c r="AA8" s="24">
        <f>IF(NC['[D/N']]="D",     IF(OR(NC[OPER/TIPO]="VV",NC[OPER/TIPO]="VC"),     ABS(SUMPRODUCT(N(NC[ATIVO]=NC[[#This Row],[ATIVO]]),N(NC[OPER/TIPO]="VV"),N(NC['[D/N']]="D"),N(NC[ID]&lt;=NC[[#This Row],[ID]]),N(NC[PAR]=NC[[#This Row],[PAR]]),NC[VALOR P/ OP]))  /  SUMPRODUCT(N(NC[ATIVO]=NC[[#This Row],[ATIVO]]),N(NC[OPER/TIPO]="VV"),N(NC['[D/N']]="D"),N(NC[ID]&lt;=NC[[#This Row],[ID]]),N(NC[PAR]=NC[[#This Row],[PAR]]),NC[QTDE]),     IF(NC[OPER/TIPO]="CV",NC[MEDIO P/ OP],0)),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 P/ OP],0)))</f>
        <v>0.53293333333333337</v>
      </c>
      <c r="AB8" s="23">
        <f>IF(AND(NC[MED CP]&gt;0,NC[MED VD]&gt;0),(NC[MED VD]-NC[MED CP])*NC[QTDE],0)</f>
        <v>135.77999999999997</v>
      </c>
      <c r="AC8" s="23">
        <f>SUMPRODUCT(N(NC[DATA BASE]=NC[[#This Row],[DATA BASE]]),    N(NC['[D/N']]="N"),    NC[LUCRO])</f>
        <v>262.40999999999985</v>
      </c>
      <c r="AD8" s="23">
        <f>SUMPRODUCT(N(NC[DATA BASE]=NC[[#This Row],[DATA BASE]]),    N(NC['[D/N']]="D"),    NC[LUCRO]) + SUMPRODUCT(N(NC[DATA BASE]=NC[[#This Row],[DATA BASE]]),    NC[IRRF DAY TRADE])</f>
        <v>197.30999999999995</v>
      </c>
      <c r="AE8" s="39">
        <f>ROUND(NC[LUCRO MÊS NORMAL]*0.15,    2)</f>
        <v>39.36</v>
      </c>
      <c r="AF8" s="39">
        <f>ROUND(NC[LUCRO MÊS DAYTRADE]*0.2,    2)  -  SUMPRODUCT(N(NC[DATA BASE]=NC[[#This Row],[DATA BASE]]),    NC[IRRF DAY TRADE])</f>
        <v>37.486899999999999</v>
      </c>
      <c r="AG8" s="28">
        <f>IF(NC[MED CP] = 0,    0,    NC[LUCRO] / ABS(NC[QTDE] * NC[MED CP]))</f>
        <v>0.73801500163061173</v>
      </c>
    </row>
    <row r="9" spans="1:33" x14ac:dyDescent="0.2">
      <c r="A9" s="40" t="s">
        <v>27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23"/>
      <c r="T9" s="40"/>
      <c r="U9" s="40"/>
      <c r="V9" s="40"/>
      <c r="W9" s="40"/>
      <c r="X9" s="23">
        <f>SUBTOTAL(109,NC[IRRF])</f>
        <v>0.04</v>
      </c>
      <c r="Y9" s="23"/>
      <c r="Z9" s="40"/>
      <c r="AA9" s="40"/>
      <c r="AB9" s="23">
        <f>SUBTOTAL(109,NC[LUCRO])</f>
        <v>457.74689999999981</v>
      </c>
      <c r="AC9" s="23"/>
      <c r="AD9" s="23"/>
      <c r="AE9" s="23"/>
      <c r="AF9" s="23"/>
      <c r="AG9" s="28"/>
    </row>
    <row r="10" spans="1:33" x14ac:dyDescent="0.2">
      <c r="D10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8" t="s">
        <v>9</v>
      </c>
      <c r="B1" s="38"/>
      <c r="C1" s="38" t="s">
        <v>10</v>
      </c>
      <c r="D1" s="38"/>
      <c r="E1" s="37" t="s">
        <v>11</v>
      </c>
      <c r="F1" s="37" t="s">
        <v>4</v>
      </c>
      <c r="G1" s="37" t="s">
        <v>12</v>
      </c>
      <c r="H1" s="37" t="s">
        <v>13</v>
      </c>
      <c r="I1" s="37" t="s">
        <v>37</v>
      </c>
    </row>
    <row r="2" spans="1:9" x14ac:dyDescent="0.2">
      <c r="A2" s="3" t="s">
        <v>14</v>
      </c>
      <c r="B2" s="3" t="s">
        <v>15</v>
      </c>
      <c r="C2" s="3" t="s">
        <v>14</v>
      </c>
      <c r="D2" s="3" t="s">
        <v>15</v>
      </c>
      <c r="E2" s="37"/>
      <c r="F2" s="37"/>
      <c r="G2" s="37"/>
      <c r="H2" s="37"/>
      <c r="I2" s="37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36" t="s">
        <v>41</v>
      </c>
      <c r="B4" s="36"/>
      <c r="C4" s="36"/>
      <c r="D4" s="36"/>
      <c r="E4" s="36"/>
      <c r="F4" s="36"/>
    </row>
    <row r="5" spans="1:9" x14ac:dyDescent="0.2">
      <c r="A5" s="36" t="s">
        <v>9</v>
      </c>
      <c r="B5" s="36"/>
      <c r="C5" s="36"/>
      <c r="D5" s="36" t="s">
        <v>10</v>
      </c>
      <c r="E5" s="36"/>
      <c r="F5" s="36"/>
    </row>
    <row r="6" spans="1:9" x14ac:dyDescent="0.2">
      <c r="A6" s="26" t="s">
        <v>14</v>
      </c>
      <c r="B6" s="26" t="s">
        <v>15</v>
      </c>
      <c r="C6" s="26" t="s">
        <v>42</v>
      </c>
      <c r="D6" s="26" t="s">
        <v>14</v>
      </c>
      <c r="E6" s="26" t="s">
        <v>15</v>
      </c>
      <c r="F6" s="26" t="s">
        <v>42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2012-03-14T01:00:42Z</dcterms:modified>
</cp:coreProperties>
</file>