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300" windowWidth="9270" windowHeight="2040" activeTab="1"/>
  </bookViews>
  <sheets>
    <sheet name="Analise" sheetId="1" r:id="rId1"/>
    <sheet name="Resultado" sheetId="5" r:id="rId2"/>
    <sheet name="Setup" sheetId="2" r:id="rId3"/>
    <sheet name="ROE" sheetId="7" r:id="rId4"/>
    <sheet name="Sheet1" sheetId="8" r:id="rId5"/>
  </sheets>
  <definedNames>
    <definedName name="Slicer_Setor">#N/A</definedName>
  </definedNames>
  <calcPr calcId="145621"/>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4" i="1" l="1"/>
  <c r="M83" i="1"/>
  <c r="I85" i="1"/>
  <c r="I84" i="1"/>
  <c r="I83" i="1"/>
  <c r="I82" i="1"/>
  <c r="I81" i="1"/>
  <c r="I80" i="1"/>
  <c r="N81" i="1"/>
  <c r="U81" i="1" s="1"/>
  <c r="N82" i="1"/>
  <c r="V82" i="1" s="1"/>
  <c r="N83" i="1"/>
  <c r="N84" i="1"/>
  <c r="N85" i="1"/>
  <c r="O81" i="1"/>
  <c r="O82" i="1"/>
  <c r="O83" i="1"/>
  <c r="O84" i="1"/>
  <c r="O85" i="1"/>
  <c r="P81" i="1"/>
  <c r="P82" i="1"/>
  <c r="P83" i="1"/>
  <c r="P84" i="1"/>
  <c r="P85" i="1"/>
  <c r="Q81" i="1"/>
  <c r="Q82" i="1"/>
  <c r="Q83" i="1"/>
  <c r="Q84" i="1"/>
  <c r="Q85" i="1"/>
  <c r="R81" i="1"/>
  <c r="R82" i="1"/>
  <c r="R83" i="1"/>
  <c r="R84" i="1"/>
  <c r="R85" i="1"/>
  <c r="S81" i="1"/>
  <c r="S82" i="1"/>
  <c r="S83" i="1"/>
  <c r="S84" i="1"/>
  <c r="S85" i="1"/>
  <c r="T81" i="1"/>
  <c r="T82" i="1"/>
  <c r="T83" i="1"/>
  <c r="T84" i="1"/>
  <c r="T85" i="1"/>
  <c r="U82" i="1"/>
  <c r="U83" i="1"/>
  <c r="U84" i="1"/>
  <c r="U85" i="1"/>
  <c r="V81" i="1"/>
  <c r="V83" i="1"/>
  <c r="V84" i="1"/>
  <c r="V85" i="1"/>
  <c r="N80" i="1"/>
  <c r="O80" i="1"/>
  <c r="P80" i="1"/>
  <c r="Q80" i="1"/>
  <c r="R80" i="1"/>
  <c r="S80" i="1"/>
  <c r="T80" i="1"/>
  <c r="U80" i="1"/>
  <c r="V80" i="1"/>
  <c r="N75" i="1" l="1"/>
  <c r="V75" i="1" s="1"/>
  <c r="N76" i="1"/>
  <c r="V76" i="1" s="1"/>
  <c r="N77" i="1"/>
  <c r="V77" i="1" s="1"/>
  <c r="N78" i="1"/>
  <c r="V78" i="1" s="1"/>
  <c r="N79" i="1"/>
  <c r="V79" i="1" s="1"/>
  <c r="O75" i="1"/>
  <c r="O76" i="1"/>
  <c r="O77" i="1"/>
  <c r="O78" i="1"/>
  <c r="O79" i="1"/>
  <c r="P75" i="1"/>
  <c r="P76" i="1"/>
  <c r="P77" i="1"/>
  <c r="P78" i="1"/>
  <c r="P79" i="1"/>
  <c r="Q75" i="1"/>
  <c r="Q76" i="1"/>
  <c r="Q77" i="1"/>
  <c r="Q78" i="1"/>
  <c r="Q79" i="1"/>
  <c r="R75" i="1"/>
  <c r="R76" i="1"/>
  <c r="R77" i="1"/>
  <c r="R78" i="1"/>
  <c r="R79" i="1"/>
  <c r="S75" i="1"/>
  <c r="S76" i="1"/>
  <c r="S77" i="1"/>
  <c r="S78" i="1"/>
  <c r="S79" i="1"/>
  <c r="T75" i="1"/>
  <c r="T76" i="1"/>
  <c r="T77" i="1"/>
  <c r="T78" i="1"/>
  <c r="T79" i="1"/>
  <c r="N74" i="1"/>
  <c r="V74" i="1" s="1"/>
  <c r="O74" i="1"/>
  <c r="P74" i="1"/>
  <c r="Q74" i="1"/>
  <c r="R74" i="1"/>
  <c r="S74" i="1"/>
  <c r="T74" i="1"/>
  <c r="I73" i="1"/>
  <c r="I72" i="1"/>
  <c r="I71" i="1"/>
  <c r="I70" i="1"/>
  <c r="I69" i="1"/>
  <c r="I68" i="1"/>
  <c r="N69" i="1"/>
  <c r="V69" i="1" s="1"/>
  <c r="N70" i="1"/>
  <c r="V70" i="1" s="1"/>
  <c r="N71" i="1"/>
  <c r="V71" i="1" s="1"/>
  <c r="N72" i="1"/>
  <c r="V72" i="1" s="1"/>
  <c r="N73" i="1"/>
  <c r="V73" i="1" s="1"/>
  <c r="O69" i="1"/>
  <c r="O70" i="1"/>
  <c r="O71" i="1"/>
  <c r="O72" i="1"/>
  <c r="O73" i="1"/>
  <c r="P69" i="1"/>
  <c r="P70" i="1"/>
  <c r="P71" i="1"/>
  <c r="P72" i="1"/>
  <c r="P73" i="1"/>
  <c r="Q69" i="1"/>
  <c r="Q70" i="1"/>
  <c r="Q71" i="1"/>
  <c r="Q72" i="1"/>
  <c r="Q73" i="1"/>
  <c r="R69" i="1"/>
  <c r="R70" i="1"/>
  <c r="R71" i="1"/>
  <c r="R72" i="1"/>
  <c r="R73" i="1"/>
  <c r="S69" i="1"/>
  <c r="S70" i="1"/>
  <c r="S71" i="1"/>
  <c r="S72" i="1"/>
  <c r="S73" i="1"/>
  <c r="T69" i="1"/>
  <c r="T70" i="1"/>
  <c r="T71" i="1"/>
  <c r="T72" i="1"/>
  <c r="T73" i="1"/>
  <c r="N68" i="1"/>
  <c r="V68" i="1" s="1"/>
  <c r="O68" i="1"/>
  <c r="P68" i="1"/>
  <c r="Q68" i="1"/>
  <c r="R68" i="1"/>
  <c r="S68" i="1"/>
  <c r="T68" i="1"/>
  <c r="M67" i="1"/>
  <c r="I67" i="1"/>
  <c r="I66" i="1"/>
  <c r="I65" i="1"/>
  <c r="I64" i="1"/>
  <c r="I63" i="1"/>
  <c r="I62" i="1"/>
  <c r="N63" i="1"/>
  <c r="V63" i="1" s="1"/>
  <c r="N64" i="1"/>
  <c r="V64" i="1" s="1"/>
  <c r="N65" i="1"/>
  <c r="V65" i="1" s="1"/>
  <c r="N66" i="1"/>
  <c r="V66" i="1" s="1"/>
  <c r="N67" i="1"/>
  <c r="V67" i="1" s="1"/>
  <c r="O63" i="1"/>
  <c r="O64" i="1"/>
  <c r="O65" i="1"/>
  <c r="O66" i="1"/>
  <c r="O67" i="1"/>
  <c r="P63" i="1"/>
  <c r="P64" i="1"/>
  <c r="P65" i="1"/>
  <c r="P66" i="1"/>
  <c r="P67" i="1"/>
  <c r="Q63" i="1"/>
  <c r="Q64" i="1"/>
  <c r="Q65" i="1"/>
  <c r="Q66" i="1"/>
  <c r="Q67" i="1"/>
  <c r="R63" i="1"/>
  <c r="R64" i="1"/>
  <c r="R65" i="1"/>
  <c r="R66" i="1"/>
  <c r="R67" i="1"/>
  <c r="S63" i="1"/>
  <c r="S64" i="1"/>
  <c r="S65" i="1"/>
  <c r="S66" i="1"/>
  <c r="S67" i="1"/>
  <c r="T63" i="1"/>
  <c r="T64" i="1"/>
  <c r="T65" i="1"/>
  <c r="T66" i="1"/>
  <c r="T67" i="1"/>
  <c r="N62" i="1"/>
  <c r="V62" i="1" s="1"/>
  <c r="O62" i="1"/>
  <c r="P62" i="1"/>
  <c r="Q62" i="1"/>
  <c r="R62" i="1"/>
  <c r="S62" i="1"/>
  <c r="T62" i="1"/>
  <c r="I61" i="1"/>
  <c r="I60" i="1"/>
  <c r="I59" i="1"/>
  <c r="I58" i="1"/>
  <c r="I57" i="1"/>
  <c r="I56" i="1"/>
  <c r="N61" i="1"/>
  <c r="V61" i="1" s="1"/>
  <c r="O61" i="1"/>
  <c r="P61" i="1"/>
  <c r="Q61" i="1"/>
  <c r="R61" i="1"/>
  <c r="S61" i="1"/>
  <c r="T61" i="1"/>
  <c r="N60" i="1"/>
  <c r="V60" i="1" s="1"/>
  <c r="O60" i="1"/>
  <c r="P60" i="1"/>
  <c r="Q60" i="1"/>
  <c r="R60" i="1"/>
  <c r="S60" i="1"/>
  <c r="T60" i="1"/>
  <c r="N59" i="1"/>
  <c r="V59" i="1" s="1"/>
  <c r="O59" i="1"/>
  <c r="P59" i="1"/>
  <c r="Q59" i="1"/>
  <c r="R59" i="1"/>
  <c r="S59" i="1"/>
  <c r="T59" i="1"/>
  <c r="N58" i="1"/>
  <c r="V58" i="1" s="1"/>
  <c r="O58" i="1"/>
  <c r="P58" i="1"/>
  <c r="Q58" i="1"/>
  <c r="R58" i="1"/>
  <c r="S58" i="1"/>
  <c r="T58" i="1"/>
  <c r="N57" i="1"/>
  <c r="V57" i="1" s="1"/>
  <c r="O57" i="1"/>
  <c r="P57" i="1"/>
  <c r="Q57" i="1"/>
  <c r="R57" i="1"/>
  <c r="S57" i="1"/>
  <c r="T57" i="1"/>
  <c r="N56" i="1"/>
  <c r="V56" i="1" s="1"/>
  <c r="O56" i="1"/>
  <c r="P56" i="1"/>
  <c r="Q56" i="1"/>
  <c r="R56" i="1"/>
  <c r="S56" i="1"/>
  <c r="T56" i="1"/>
  <c r="M55" i="1"/>
  <c r="M54" i="1"/>
  <c r="M53" i="1"/>
  <c r="I55" i="1"/>
  <c r="I54" i="1"/>
  <c r="I53" i="1"/>
  <c r="M52" i="1"/>
  <c r="M51" i="1"/>
  <c r="M50" i="1"/>
  <c r="I52" i="1"/>
  <c r="I51" i="1"/>
  <c r="I50" i="1"/>
  <c r="N51" i="1"/>
  <c r="V51" i="1" s="1"/>
  <c r="N52" i="1"/>
  <c r="V52" i="1" s="1"/>
  <c r="N53" i="1"/>
  <c r="V53" i="1" s="1"/>
  <c r="N54" i="1"/>
  <c r="V54" i="1" s="1"/>
  <c r="N55" i="1"/>
  <c r="V55" i="1" s="1"/>
  <c r="O51" i="1"/>
  <c r="O52" i="1"/>
  <c r="O53" i="1"/>
  <c r="O54" i="1"/>
  <c r="O55" i="1"/>
  <c r="P51" i="1"/>
  <c r="P52" i="1"/>
  <c r="P53" i="1"/>
  <c r="P54" i="1"/>
  <c r="P55" i="1"/>
  <c r="Q51" i="1"/>
  <c r="Q52" i="1"/>
  <c r="Q53" i="1"/>
  <c r="Q54" i="1"/>
  <c r="Q55" i="1"/>
  <c r="R51" i="1"/>
  <c r="R52" i="1"/>
  <c r="R53" i="1"/>
  <c r="R54" i="1"/>
  <c r="R55" i="1"/>
  <c r="S51" i="1"/>
  <c r="S52" i="1"/>
  <c r="S53" i="1"/>
  <c r="S54" i="1"/>
  <c r="S55" i="1"/>
  <c r="T51" i="1"/>
  <c r="T52" i="1"/>
  <c r="T53" i="1"/>
  <c r="T54" i="1"/>
  <c r="T55" i="1"/>
  <c r="N50" i="1"/>
  <c r="V50" i="1" s="1"/>
  <c r="O50" i="1"/>
  <c r="P50" i="1"/>
  <c r="Q50" i="1"/>
  <c r="R50" i="1"/>
  <c r="S50" i="1"/>
  <c r="T50" i="1"/>
  <c r="M49" i="1"/>
  <c r="M48" i="1"/>
  <c r="M47" i="1"/>
  <c r="I49" i="1"/>
  <c r="I48" i="1"/>
  <c r="I47" i="1"/>
  <c r="M46" i="1"/>
  <c r="M44" i="1"/>
  <c r="I46" i="1"/>
  <c r="I45" i="1"/>
  <c r="I44" i="1"/>
  <c r="N49" i="1"/>
  <c r="V49" i="1" s="1"/>
  <c r="O49" i="1"/>
  <c r="P49" i="1"/>
  <c r="Q49" i="1"/>
  <c r="R49" i="1"/>
  <c r="S49" i="1"/>
  <c r="T49" i="1"/>
  <c r="N48" i="1"/>
  <c r="V48" i="1" s="1"/>
  <c r="O48" i="1"/>
  <c r="P48" i="1"/>
  <c r="Q48" i="1"/>
  <c r="R48" i="1"/>
  <c r="S48" i="1"/>
  <c r="T48" i="1"/>
  <c r="N47" i="1"/>
  <c r="V47" i="1" s="1"/>
  <c r="O47" i="1"/>
  <c r="P47" i="1"/>
  <c r="Q47" i="1"/>
  <c r="R47" i="1"/>
  <c r="S47" i="1"/>
  <c r="T47" i="1"/>
  <c r="N46" i="1"/>
  <c r="V46" i="1" s="1"/>
  <c r="O46" i="1"/>
  <c r="P46" i="1"/>
  <c r="Q46" i="1"/>
  <c r="R46" i="1"/>
  <c r="S46" i="1"/>
  <c r="T46" i="1"/>
  <c r="N45" i="1"/>
  <c r="V45" i="1" s="1"/>
  <c r="O45" i="1"/>
  <c r="P45" i="1"/>
  <c r="Q45" i="1"/>
  <c r="R45" i="1"/>
  <c r="S45" i="1"/>
  <c r="T45" i="1"/>
  <c r="N44" i="1"/>
  <c r="V44" i="1" s="1"/>
  <c r="O44" i="1"/>
  <c r="P44" i="1"/>
  <c r="Q44" i="1"/>
  <c r="R44" i="1"/>
  <c r="S44" i="1"/>
  <c r="T44" i="1"/>
  <c r="M43" i="1"/>
  <c r="M42" i="1"/>
  <c r="M41" i="1"/>
  <c r="I43" i="1"/>
  <c r="I42" i="1"/>
  <c r="I41" i="1"/>
  <c r="M40" i="1"/>
  <c r="M39"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I40" i="1"/>
  <c r="I39" i="1"/>
  <c r="I38" i="1"/>
  <c r="N39" i="1"/>
  <c r="V39" i="1" s="1"/>
  <c r="N40" i="1"/>
  <c r="V40" i="1" s="1"/>
  <c r="N41" i="1"/>
  <c r="V41" i="1" s="1"/>
  <c r="N42" i="1"/>
  <c r="V42" i="1" s="1"/>
  <c r="N43" i="1"/>
  <c r="V43" i="1" s="1"/>
  <c r="O39" i="1"/>
  <c r="O40" i="1"/>
  <c r="O41" i="1"/>
  <c r="O42" i="1"/>
  <c r="O43" i="1"/>
  <c r="Q39" i="1"/>
  <c r="Q40" i="1"/>
  <c r="Q41" i="1"/>
  <c r="Q42" i="1"/>
  <c r="Q43" i="1"/>
  <c r="S39" i="1"/>
  <c r="S40" i="1"/>
  <c r="S41" i="1"/>
  <c r="S42" i="1"/>
  <c r="S43" i="1"/>
  <c r="T39" i="1"/>
  <c r="T40" i="1"/>
  <c r="T41" i="1"/>
  <c r="T42" i="1"/>
  <c r="T43" i="1"/>
  <c r="N38" i="1"/>
  <c r="V38" i="1" s="1"/>
  <c r="O38" i="1"/>
  <c r="Q38" i="1"/>
  <c r="S38" i="1"/>
  <c r="T38" i="1"/>
  <c r="M37" i="1"/>
  <c r="I37" i="1"/>
  <c r="I36" i="1"/>
  <c r="M35" i="1"/>
  <c r="M34" i="1"/>
  <c r="M33" i="1"/>
  <c r="M32" i="1"/>
  <c r="I35" i="1"/>
  <c r="I34" i="1"/>
  <c r="T8" i="1"/>
  <c r="T9" i="1"/>
  <c r="T10" i="1"/>
  <c r="T11" i="1"/>
  <c r="T12" i="1"/>
  <c r="T13" i="1"/>
  <c r="T18" i="1"/>
  <c r="T19" i="1"/>
  <c r="T24" i="1"/>
  <c r="T25" i="1"/>
  <c r="T26" i="1"/>
  <c r="T34" i="1"/>
  <c r="T35" i="1"/>
  <c r="T36" i="1"/>
  <c r="T37" i="1"/>
  <c r="S34" i="1"/>
  <c r="S35" i="1"/>
  <c r="S36" i="1"/>
  <c r="S37"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T33" i="1"/>
  <c r="T32" i="1"/>
  <c r="I33" i="1"/>
  <c r="S33" i="1" s="1"/>
  <c r="I32" i="1"/>
  <c r="S32" i="1" s="1"/>
  <c r="N33" i="1"/>
  <c r="V33" i="1" s="1"/>
  <c r="N34" i="1"/>
  <c r="V34" i="1" s="1"/>
  <c r="N35" i="1"/>
  <c r="V35" i="1" s="1"/>
  <c r="N36" i="1"/>
  <c r="V36" i="1" s="1"/>
  <c r="N37" i="1"/>
  <c r="V37" i="1" s="1"/>
  <c r="O33" i="1"/>
  <c r="O34" i="1"/>
  <c r="O35" i="1"/>
  <c r="O36" i="1"/>
  <c r="O37" i="1"/>
  <c r="N32" i="1"/>
  <c r="V32" i="1" s="1"/>
  <c r="O32" i="1"/>
  <c r="U79" i="1" l="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I31" i="1"/>
  <c r="S31" i="1" s="1"/>
  <c r="I30" i="1"/>
  <c r="S30" i="1" s="1"/>
  <c r="I29" i="1"/>
  <c r="S29" i="1" s="1"/>
  <c r="I28" i="1"/>
  <c r="S28" i="1" s="1"/>
  <c r="M31" i="1"/>
  <c r="T31" i="1" s="1"/>
  <c r="M30" i="1"/>
  <c r="T30" i="1" s="1"/>
  <c r="M29" i="1"/>
  <c r="T29" i="1" s="1"/>
  <c r="M28" i="1"/>
  <c r="T28" i="1" s="1"/>
  <c r="M27" i="1"/>
  <c r="T27" i="1" s="1"/>
  <c r="I27" i="1"/>
  <c r="S27" i="1" s="1"/>
  <c r="I26" i="1"/>
  <c r="S26" i="1" s="1"/>
  <c r="N8" i="1"/>
  <c r="N9" i="1"/>
  <c r="N10" i="1"/>
  <c r="N11" i="1"/>
  <c r="N12" i="1"/>
  <c r="N13" i="1"/>
  <c r="N18" i="1"/>
  <c r="N19" i="1"/>
  <c r="N24" i="1"/>
  <c r="N25" i="1"/>
  <c r="N26" i="1"/>
  <c r="N27" i="1"/>
  <c r="N28" i="1"/>
  <c r="N29" i="1"/>
  <c r="N30" i="1"/>
  <c r="N31" i="1"/>
  <c r="O27" i="1"/>
  <c r="O28" i="1"/>
  <c r="O29" i="1"/>
  <c r="O30" i="1"/>
  <c r="O31" i="1"/>
  <c r="O26" i="1"/>
  <c r="M23" i="1"/>
  <c r="I25" i="1"/>
  <c r="S25" i="1" s="1"/>
  <c r="I24" i="1"/>
  <c r="S24" i="1" s="1"/>
  <c r="I23" i="1"/>
  <c r="S23" i="1" s="1"/>
  <c r="M22" i="1"/>
  <c r="M21" i="1"/>
  <c r="M20" i="1"/>
  <c r="I22" i="1"/>
  <c r="S22" i="1" s="1"/>
  <c r="I21" i="1"/>
  <c r="S21" i="1" s="1"/>
  <c r="I20" i="1"/>
  <c r="S20" i="1" s="1"/>
  <c r="O2" i="1"/>
  <c r="O3" i="1"/>
  <c r="O4" i="1"/>
  <c r="O5" i="1"/>
  <c r="O6" i="1"/>
  <c r="O7" i="1"/>
  <c r="O8" i="1"/>
  <c r="O9" i="1"/>
  <c r="O10" i="1"/>
  <c r="O11" i="1"/>
  <c r="O12" i="1"/>
  <c r="O13" i="1"/>
  <c r="O14" i="1"/>
  <c r="O15" i="1"/>
  <c r="O16" i="1"/>
  <c r="O17" i="1"/>
  <c r="O18" i="1"/>
  <c r="O19" i="1"/>
  <c r="O20" i="1"/>
  <c r="O21" i="1"/>
  <c r="O22" i="1"/>
  <c r="O23" i="1"/>
  <c r="O24" i="1"/>
  <c r="O25" i="1"/>
  <c r="M17" i="1"/>
  <c r="M16" i="1"/>
  <c r="M15" i="1"/>
  <c r="M14" i="1"/>
  <c r="I16" i="1"/>
  <c r="S16" i="1" s="1"/>
  <c r="I15" i="1"/>
  <c r="S15" i="1" s="1"/>
  <c r="I14" i="1"/>
  <c r="S14" i="1" s="1"/>
  <c r="I19" i="1"/>
  <c r="S19" i="1" s="1"/>
  <c r="I18" i="1"/>
  <c r="S18" i="1" s="1"/>
  <c r="I17" i="1"/>
  <c r="S17" i="1" s="1"/>
  <c r="M7" i="1"/>
  <c r="M6" i="1"/>
  <c r="M5" i="1"/>
  <c r="M4" i="1"/>
  <c r="M3" i="1"/>
  <c r="M2" i="1"/>
  <c r="I13" i="1"/>
  <c r="S13" i="1" s="1"/>
  <c r="I12" i="1"/>
  <c r="S12" i="1" s="1"/>
  <c r="I11" i="1"/>
  <c r="S11" i="1" s="1"/>
  <c r="I10" i="1"/>
  <c r="S10" i="1" s="1"/>
  <c r="I9" i="1"/>
  <c r="S9" i="1" s="1"/>
  <c r="I8" i="1"/>
  <c r="S8" i="1" s="1"/>
  <c r="V31" i="1" l="1"/>
  <c r="U31" i="1"/>
  <c r="V30" i="1"/>
  <c r="U30" i="1"/>
  <c r="V29" i="1"/>
  <c r="U29" i="1"/>
  <c r="V28" i="1"/>
  <c r="U28" i="1"/>
  <c r="V27" i="1"/>
  <c r="U27" i="1"/>
  <c r="V26" i="1"/>
  <c r="U26" i="1"/>
  <c r="V25" i="1"/>
  <c r="U25" i="1"/>
  <c r="V24" i="1"/>
  <c r="U24" i="1"/>
  <c r="V19" i="1"/>
  <c r="U19" i="1"/>
  <c r="V18" i="1"/>
  <c r="U18" i="1"/>
  <c r="V13" i="1"/>
  <c r="U13" i="1"/>
  <c r="V12" i="1"/>
  <c r="U12" i="1"/>
  <c r="V11" i="1"/>
  <c r="U11" i="1"/>
  <c r="V10" i="1"/>
  <c r="U10" i="1"/>
  <c r="V9" i="1"/>
  <c r="U9" i="1"/>
  <c r="V8" i="1"/>
  <c r="U8" i="1"/>
  <c r="N2" i="1"/>
  <c r="T2" i="1"/>
  <c r="N3" i="1"/>
  <c r="T3" i="1"/>
  <c r="N4" i="1"/>
  <c r="T4" i="1"/>
  <c r="N5" i="1"/>
  <c r="T5" i="1"/>
  <c r="N6" i="1"/>
  <c r="T6" i="1"/>
  <c r="N7" i="1"/>
  <c r="T7" i="1"/>
  <c r="N14" i="1"/>
  <c r="T14" i="1"/>
  <c r="N15" i="1"/>
  <c r="T15" i="1"/>
  <c r="N16" i="1"/>
  <c r="T16" i="1"/>
  <c r="N17" i="1"/>
  <c r="T17" i="1"/>
  <c r="N20" i="1"/>
  <c r="T20" i="1"/>
  <c r="N21" i="1"/>
  <c r="T21" i="1"/>
  <c r="N22" i="1"/>
  <c r="T22" i="1"/>
  <c r="N23" i="1"/>
  <c r="T23" i="1"/>
  <c r="V23" i="1" l="1"/>
  <c r="U23" i="1"/>
  <c r="V22" i="1"/>
  <c r="U22" i="1"/>
  <c r="V21" i="1"/>
  <c r="U21" i="1"/>
  <c r="V20" i="1"/>
  <c r="U20" i="1"/>
  <c r="V17" i="1"/>
  <c r="U17" i="1"/>
  <c r="V16" i="1"/>
  <c r="U16" i="1"/>
  <c r="V15" i="1"/>
  <c r="U15" i="1"/>
  <c r="V14" i="1"/>
  <c r="U14" i="1"/>
  <c r="V7" i="1"/>
  <c r="U7" i="1"/>
  <c r="V6" i="1"/>
  <c r="U6" i="1"/>
  <c r="V5" i="1"/>
  <c r="U5" i="1"/>
  <c r="V4" i="1"/>
  <c r="U4" i="1"/>
  <c r="V3" i="1"/>
  <c r="U3" i="1"/>
  <c r="V2" i="1"/>
  <c r="U2" i="1"/>
  <c r="I7" i="1" l="1"/>
  <c r="S7" i="1" s="1"/>
  <c r="I6" i="1"/>
  <c r="S6" i="1" s="1"/>
  <c r="I5" i="1"/>
  <c r="S5" i="1" s="1"/>
  <c r="I4" i="1"/>
  <c r="S4" i="1" s="1"/>
  <c r="I3" i="1"/>
  <c r="S3" i="1" s="1"/>
  <c r="I2" i="1"/>
  <c r="S2" i="1" s="1"/>
</calcChain>
</file>

<file path=xl/comments1.xml><?xml version="1.0" encoding="utf-8"?>
<comments xmlns="http://schemas.openxmlformats.org/spreadsheetml/2006/main">
  <authors>
    <author>Author</author>
  </authors>
  <commentList>
    <comment ref="E1" authorId="0">
      <text>
        <r>
          <rPr>
            <b/>
            <sz val="8"/>
            <color indexed="81"/>
            <rFont val="Tahoma"/>
            <family val="2"/>
          </rPr>
          <t xml:space="preserve">AT: Ativo Total
Contas:
</t>
        </r>
        <r>
          <rPr>
            <sz val="8"/>
            <color indexed="81"/>
            <rFont val="Tahoma"/>
            <family val="2"/>
          </rPr>
          <t xml:space="preserve">1 Ativo Total
</t>
        </r>
      </text>
    </comment>
    <comment ref="F1" authorId="0">
      <text>
        <r>
          <rPr>
            <b/>
            <sz val="8"/>
            <color indexed="81"/>
            <rFont val="Tahoma"/>
            <family val="2"/>
          </rPr>
          <t xml:space="preserve">AC: Ativo Circulante
Contas:
</t>
        </r>
        <r>
          <rPr>
            <sz val="8"/>
            <color indexed="81"/>
            <rFont val="Tahoma"/>
            <family val="2"/>
          </rPr>
          <t xml:space="preserve">1.01 Ativo Circulante
</t>
        </r>
      </text>
    </comment>
    <comment ref="G1" authorId="0">
      <text>
        <r>
          <rPr>
            <b/>
            <sz val="8"/>
            <color indexed="81"/>
            <rFont val="Tahoma"/>
            <family val="2"/>
          </rPr>
          <t xml:space="preserve">AI: Ativo Imobilizado
Contas:
</t>
        </r>
        <r>
          <rPr>
            <sz val="8"/>
            <color indexed="81"/>
            <rFont val="Tahoma"/>
            <family val="2"/>
          </rPr>
          <t>1.02.03 Imobilizado</t>
        </r>
      </text>
    </comment>
    <comment ref="H1" authorId="0">
      <text>
        <r>
          <rPr>
            <b/>
            <sz val="8"/>
            <color indexed="81"/>
            <rFont val="Tahoma"/>
            <family val="2"/>
          </rPr>
          <t xml:space="preserve">PC: Passivo Circulante
Contas:
</t>
        </r>
        <r>
          <rPr>
            <sz val="8"/>
            <color indexed="81"/>
            <rFont val="Tahoma"/>
            <family val="2"/>
          </rPr>
          <t xml:space="preserve">2.01 Passivo Circulante
</t>
        </r>
      </text>
    </comment>
    <comment ref="I1" authorId="0">
      <text>
        <r>
          <rPr>
            <b/>
            <sz val="8"/>
            <color indexed="81"/>
            <rFont val="Tahoma"/>
            <family val="2"/>
          </rPr>
          <t xml:space="preserve">PO: Passivo Oneroso
Contas:
</t>
        </r>
        <r>
          <rPr>
            <sz val="8"/>
            <color indexed="81"/>
            <rFont val="Tahoma"/>
            <family val="2"/>
          </rPr>
          <t>2.01.04 Empréstimos e Financiamentos</t>
        </r>
        <r>
          <rPr>
            <b/>
            <sz val="8"/>
            <color indexed="81"/>
            <rFont val="Tahoma"/>
            <family val="2"/>
          </rPr>
          <t xml:space="preserve">
</t>
        </r>
        <r>
          <rPr>
            <sz val="8"/>
            <color indexed="81"/>
            <rFont val="Tahoma"/>
            <family val="2"/>
          </rPr>
          <t>2.01.05 Outras Obrigações
2.02.01 Empréstimos e Financiamentos
2.02.02 Outras Obrigações</t>
        </r>
      </text>
    </comment>
    <comment ref="J1" authorId="0">
      <text>
        <r>
          <rPr>
            <b/>
            <sz val="8"/>
            <color indexed="81"/>
            <rFont val="Tahoma"/>
            <family val="2"/>
          </rPr>
          <t>PL: Patrimônio Líquido
Contas:</t>
        </r>
        <r>
          <rPr>
            <sz val="8"/>
            <color indexed="81"/>
            <rFont val="Tahoma"/>
            <family val="2"/>
          </rPr>
          <t xml:space="preserve">
2.03 Patrimônio Líquido Consolidado</t>
        </r>
      </text>
    </comment>
    <comment ref="K1" authorId="0">
      <text>
        <r>
          <rPr>
            <b/>
            <sz val="8"/>
            <color indexed="81"/>
            <rFont val="Tahoma"/>
            <family val="2"/>
          </rPr>
          <t xml:space="preserve">RBV: Receita Bruta de Vendas
Contas:
</t>
        </r>
        <r>
          <rPr>
            <sz val="8"/>
            <color indexed="81"/>
            <rFont val="Tahoma"/>
            <family val="2"/>
          </rPr>
          <t>3.01 Receita de Venda de Bens e/ou Serviços</t>
        </r>
      </text>
    </comment>
    <comment ref="L1" authorId="0">
      <text>
        <r>
          <rPr>
            <b/>
            <sz val="8"/>
            <color indexed="81"/>
            <rFont val="Tahoma"/>
            <family val="2"/>
          </rPr>
          <t xml:space="preserve">LL: Lucro Líquido
Contas:
</t>
        </r>
        <r>
          <rPr>
            <sz val="8"/>
            <color indexed="81"/>
            <rFont val="Tahoma"/>
            <family val="2"/>
          </rPr>
          <t xml:space="preserve">3.11 Lucro/Prejuízo Consolidado do Período
</t>
        </r>
      </text>
    </comment>
    <comment ref="O1" authorId="0">
      <text>
        <r>
          <rPr>
            <b/>
            <sz val="8"/>
            <color indexed="81"/>
            <rFont val="Tahoma"/>
            <family val="2"/>
          </rPr>
          <t>MLL: Margem Líquida</t>
        </r>
        <r>
          <rPr>
            <sz val="8"/>
            <color indexed="81"/>
            <rFont val="Tahoma"/>
            <family val="2"/>
          </rPr>
          <t xml:space="preserve">
Esse índice aponta quanto efetivamente cada Real da receita total, se traduz em lucro líquido após a empresa pagar todas as despesas – incluindo juros, impostos e depreciação.
Você somente saberá se o número é bom ou ruim, depois de comparar com o mesmo indicador dos anos anteriores, e/ou com a média do setor
</t>
        </r>
        <r>
          <rPr>
            <b/>
            <sz val="8"/>
            <color indexed="81"/>
            <rFont val="Tahoma"/>
            <family val="2"/>
          </rPr>
          <t>MLL = LL/RBV</t>
        </r>
        <r>
          <rPr>
            <sz val="8"/>
            <color indexed="81"/>
            <rFont val="Tahoma"/>
            <family val="2"/>
          </rPr>
          <t xml:space="preserve">
</t>
        </r>
        <r>
          <rPr>
            <b/>
            <sz val="8"/>
            <color indexed="81"/>
            <rFont val="Tahoma"/>
            <family val="2"/>
          </rPr>
          <t xml:space="preserve">
</t>
        </r>
      </text>
    </comment>
    <comment ref="P1" authorId="0">
      <text>
        <r>
          <rPr>
            <b/>
            <sz val="8"/>
            <color indexed="81"/>
            <rFont val="Tahoma"/>
            <family val="2"/>
          </rPr>
          <t>ROE: Retorno sobre Patrimônio Líquido</t>
        </r>
        <r>
          <rPr>
            <sz val="8"/>
            <color indexed="81"/>
            <rFont val="Tahoma"/>
            <family val="2"/>
          </rPr>
          <t xml:space="preserve">
Ele mede o retorno sobre o dinheiro que eles têm colocado na empresa.
</t>
        </r>
        <r>
          <rPr>
            <b/>
            <sz val="8"/>
            <color indexed="81"/>
            <rFont val="Tahoma"/>
            <family val="2"/>
          </rPr>
          <t>ROE=LL/PL</t>
        </r>
        <r>
          <rPr>
            <sz val="8"/>
            <color indexed="81"/>
            <rFont val="Tahoma"/>
            <family val="2"/>
          </rPr>
          <t xml:space="preserve">
Como todos os outros índices, é preciso sempre se comparar esse número com o de outras empresas do setor, além de sua evolução no tempo.</t>
        </r>
      </text>
    </comment>
    <comment ref="Q1" authorId="0">
      <text>
        <r>
          <rPr>
            <b/>
            <sz val="8"/>
            <color indexed="81"/>
            <rFont val="Tahoma"/>
            <family val="2"/>
          </rPr>
          <t xml:space="preserve">LC: Liquidez Corrente
LC=AC/PC
</t>
        </r>
        <r>
          <rPr>
            <sz val="8"/>
            <color indexed="81"/>
            <rFont val="Tahoma"/>
            <family val="2"/>
          </rPr>
          <t>Este índice não é utilizado em percentual. Ele é usado em modo proporção mesmo.
Isso quer dizer que temos um valor base de 1, então qualquer valor maior significa que a empresa possui meios de quitar suas obrigações de curto prazo, e que qualquer valor menor indica que a coisa está feia, pois a empresa não tem o suficiente para honrar com essas obrigações.
Mas cabe ainda lembrar aquela velha máxima: ter muito mais do que o suficiente parado, pode indicar que o capital está sendo mal administrado, pois poderia estar sendo investido e dando mais retorno.</t>
        </r>
      </text>
    </comment>
    <comment ref="R1" authorId="0">
      <text>
        <r>
          <rPr>
            <b/>
            <sz val="8"/>
            <color indexed="81"/>
            <rFont val="Tahoma"/>
            <family val="2"/>
          </rPr>
          <t xml:space="preserve">IPL: Imobilização do Patrimônio Líquido
</t>
        </r>
        <r>
          <rPr>
            <sz val="8"/>
            <color indexed="81"/>
            <rFont val="Tahoma"/>
            <family val="2"/>
          </rPr>
          <t xml:space="preserve">Mostra o grau em que o dinheiro dos proprietários está congelado sob forma de imóveis, máquinas, instalações, equipamentos, veículos, etc, comprometendo assim a sua liquidez.
</t>
        </r>
        <r>
          <rPr>
            <b/>
            <sz val="8"/>
            <color indexed="81"/>
            <rFont val="Tahoma"/>
            <family val="2"/>
          </rPr>
          <t xml:space="preserve">IPL=AI/PL
</t>
        </r>
        <r>
          <rPr>
            <sz val="8"/>
            <color indexed="81"/>
            <rFont val="Tahoma"/>
            <family val="2"/>
          </rPr>
          <t>Em geral, um índice de 75% para cima é totalmente indesejado, pois quanto maior este valor, mais a empresa fica vulnerável a quaisquer eventos inesperados e mudanças imprevistas no ambiente de negócios.
Isso pois, quanto mais a empresa imobiliza seu próprio dinheiro, menos ela deixa para seu capital de giro e, consequentemente, mais ela se torna dependente do capital de terceiros para manter suas operações.</t>
        </r>
      </text>
    </comment>
    <comment ref="S1" authorId="0">
      <text>
        <r>
          <rPr>
            <b/>
            <sz val="8"/>
            <color indexed="81"/>
            <rFont val="Tahoma"/>
            <family val="2"/>
          </rPr>
          <t xml:space="preserve">OE: Endividamento Oneroso
</t>
        </r>
        <r>
          <rPr>
            <sz val="8"/>
            <color indexed="81"/>
            <rFont val="Tahoma"/>
            <family val="2"/>
          </rPr>
          <t xml:space="preserve">Este índice é muito interessante para se fazer uma análise básica das demonstrações financeiras, pois aponta quanto do endividamento gera despesa financeira.
Mas para conhecer o Endividamento Oneroso, primeiro você precisa saber o que é o Passivo Oneroso.
O Passivo Oneroso é toda aquela dívida que gera despesas financeiras e que está sujeita a variação financeira mensal em decorrência de juros. Isso inclui empréstimos, financiamentos e impostos parcelados ou atrasados.
Assim, o Endividamento Oneroso nada mais é que a relação do Passivo Oneroso com o Total de Recursos da empresa (Ativo Total).
</t>
        </r>
        <r>
          <rPr>
            <b/>
            <sz val="8"/>
            <color indexed="81"/>
            <rFont val="Tahoma"/>
            <family val="2"/>
          </rPr>
          <t xml:space="preserve">EO=PO/AT
</t>
        </r>
        <r>
          <rPr>
            <sz val="8"/>
            <color indexed="81"/>
            <rFont val="Tahoma"/>
            <family val="2"/>
          </rPr>
          <t>Para que você consiga dormir em paz a noite, digamos que aqui neste índice a ideia é de que quanto menor, melhor.</t>
        </r>
      </text>
    </comment>
  </commentList>
</comments>
</file>

<file path=xl/sharedStrings.xml><?xml version="1.0" encoding="utf-8"?>
<sst xmlns="http://schemas.openxmlformats.org/spreadsheetml/2006/main" count="232" uniqueCount="57">
  <si>
    <t>Nome de Pregão</t>
  </si>
  <si>
    <t>ETERNIT</t>
  </si>
  <si>
    <t>ANO</t>
  </si>
  <si>
    <t>MLL</t>
  </si>
  <si>
    <t>ROE</t>
  </si>
  <si>
    <t>PL</t>
  </si>
  <si>
    <t>LL</t>
  </si>
  <si>
    <t>RBV</t>
  </si>
  <si>
    <t>LC</t>
  </si>
  <si>
    <t>AC</t>
  </si>
  <si>
    <t>PC</t>
  </si>
  <si>
    <t>IPL</t>
  </si>
  <si>
    <t>AI</t>
  </si>
  <si>
    <t>EO</t>
  </si>
  <si>
    <t>AT</t>
  </si>
  <si>
    <t>PO</t>
  </si>
  <si>
    <t>HELBOR</t>
  </si>
  <si>
    <t>Dividendos</t>
  </si>
  <si>
    <t>Payout</t>
  </si>
  <si>
    <t>Ações</t>
  </si>
  <si>
    <t>Div/Ação</t>
  </si>
  <si>
    <t>CDI</t>
  </si>
  <si>
    <t>Valores</t>
  </si>
  <si>
    <t>*MLL</t>
  </si>
  <si>
    <t>*ROE</t>
  </si>
  <si>
    <t>*LC</t>
  </si>
  <si>
    <t>*IPL</t>
  </si>
  <si>
    <t>*EO</t>
  </si>
  <si>
    <t>PORTOBELLO</t>
  </si>
  <si>
    <t>Setor</t>
  </si>
  <si>
    <t>*Payout</t>
  </si>
  <si>
    <t>Compra [CDI]</t>
  </si>
  <si>
    <t>Compra [20%]</t>
  </si>
  <si>
    <t>*Compra [20%]</t>
  </si>
  <si>
    <t>*Compra [CDI]</t>
  </si>
  <si>
    <t xml:space="preserve">CEMIG       </t>
  </si>
  <si>
    <t>SARAIVA LIVR</t>
  </si>
  <si>
    <t>TAESA</t>
  </si>
  <si>
    <t>Unit</t>
  </si>
  <si>
    <t>CESP</t>
  </si>
  <si>
    <t>AES TIETE E</t>
  </si>
  <si>
    <t>LOJAS AMERIC</t>
  </si>
  <si>
    <t>Total</t>
  </si>
  <si>
    <t>HYPERMARCAS</t>
  </si>
  <si>
    <t>B2W DIGITAL</t>
  </si>
  <si>
    <t>Bens Industriais/Construção e Engenharia</t>
  </si>
  <si>
    <t>Utilidade Pública/Energia Elétrica</t>
  </si>
  <si>
    <t>Consumo Cíclico/Comércio</t>
  </si>
  <si>
    <t>TECNISA</t>
  </si>
  <si>
    <t>Consumo Cíclico / Construção Civil</t>
  </si>
  <si>
    <t>Financeiro e Outros / Intermediários Financeiros</t>
  </si>
  <si>
    <t>BRASIL</t>
  </si>
  <si>
    <t>Média de ROE</t>
  </si>
  <si>
    <t>Row Labels</t>
  </si>
  <si>
    <t>Grand Total</t>
  </si>
  <si>
    <t>Column Labels</t>
  </si>
  <si>
    <t>CONTAX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</si>
</sst>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 &quot;* #,##0.00_);_(&quot;R$ &quot;* \(#,##0.00\);_(&quot;R$ &quot;* &quot;-&quot;??_);_(@_)"/>
    <numFmt numFmtId="165" formatCode="_(* #,##0.00_);_(* \(#,##0.00\);_(* &quot;-&quot;??_);_(@_)"/>
    <numFmt numFmtId="166" formatCode="_(* #,##0_);_(* \(#,##0\);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indexed="81"/>
      <name val="Tahoma"/>
      <family val="2"/>
    </font>
    <font>
      <b/>
      <sz val="8"/>
      <color indexed="81"/>
      <name val="Tahoma"/>
      <family val="2"/>
    </font>
    <font>
      <b/>
      <sz val="9"/>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3" fillId="0" borderId="0" xfId="0" applyFont="1"/>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10" fontId="2" fillId="0" borderId="0" xfId="0" applyNumberFormat="1" applyFont="1"/>
    <xf numFmtId="2" fontId="2" fillId="0" borderId="0" xfId="0" applyNumberFormat="1" applyFont="1"/>
    <xf numFmtId="0" fontId="2" fillId="0" borderId="0" xfId="0" applyFont="1"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xf numFmtId="10" fontId="6" fillId="0" borderId="0" xfId="3" applyNumberFormat="1" applyFont="1"/>
    <xf numFmtId="164" fontId="6" fillId="0" borderId="0" xfId="2" applyFont="1"/>
    <xf numFmtId="166" fontId="6" fillId="0" borderId="0" xfId="1" applyNumberFormat="1" applyFont="1"/>
    <xf numFmtId="0" fontId="7" fillId="0" borderId="0" xfId="0" applyFont="1"/>
    <xf numFmtId="166" fontId="7" fillId="0" borderId="0" xfId="1" applyNumberFormat="1" applyFont="1"/>
    <xf numFmtId="3" fontId="7" fillId="0" borderId="0" xfId="0" applyNumberFormat="1" applyFont="1"/>
    <xf numFmtId="164" fontId="7" fillId="0" borderId="0" xfId="2" applyFont="1"/>
    <xf numFmtId="10" fontId="7" fillId="0" borderId="0" xfId="3" applyNumberFormat="1" applyFont="1"/>
    <xf numFmtId="165" fontId="7" fillId="0" borderId="0" xfId="1" applyFont="1"/>
    <xf numFmtId="164" fontId="7" fillId="0" borderId="0" xfId="0" applyNumberFormat="1" applyFont="1"/>
    <xf numFmtId="0" fontId="7" fillId="0" borderId="0" xfId="0" applyFont="1" applyBorder="1"/>
    <xf numFmtId="164" fontId="7" fillId="0" borderId="0" xfId="2" applyNumberFormat="1" applyFont="1"/>
    <xf numFmtId="3" fontId="7" fillId="0" borderId="0" xfId="0" applyNumberFormat="1" applyFont="1" applyBorder="1"/>
    <xf numFmtId="164" fontId="7" fillId="0" borderId="0" xfId="2" applyFont="1" applyBorder="1"/>
    <xf numFmtId="10" fontId="7" fillId="0" borderId="0" xfId="3" applyNumberFormat="1" applyFont="1" applyBorder="1"/>
    <xf numFmtId="165" fontId="7" fillId="0" borderId="0" xfId="1" applyFont="1" applyBorder="1"/>
    <xf numFmtId="164" fontId="7" fillId="0" borderId="0" xfId="0" applyNumberFormat="1" applyFont="1" applyBorder="1"/>
    <xf numFmtId="164" fontId="7" fillId="0" borderId="0" xfId="2" applyNumberFormat="1" applyFont="1" applyBorder="1"/>
    <xf numFmtId="166" fontId="7" fillId="0" borderId="0" xfId="1" applyNumberFormat="1" applyFont="1" applyBorder="1"/>
    <xf numFmtId="3" fontId="7" fillId="0" borderId="0" xfId="1" applyNumberFormat="1" applyFont="1" applyBorder="1"/>
    <xf numFmtId="3" fontId="7" fillId="0" borderId="0" xfId="1" applyNumberFormat="1" applyFont="1"/>
    <xf numFmtId="165" fontId="7" fillId="0" borderId="0" xfId="1" applyNumberFormat="1" applyFont="1" applyBorder="1"/>
    <xf numFmtId="165" fontId="7" fillId="0" borderId="0" xfId="1" applyNumberFormat="1" applyFont="1"/>
    <xf numFmtId="166" fontId="7" fillId="0" borderId="0" xfId="0" applyNumberFormat="1" applyFont="1"/>
    <xf numFmtId="10" fontId="7" fillId="0" borderId="0" xfId="0" applyNumberFormat="1" applyFont="1"/>
    <xf numFmtId="165" fontId="7" fillId="0" borderId="0" xfId="3" applyNumberFormat="1" applyFont="1"/>
    <xf numFmtId="166" fontId="7" fillId="0" borderId="0" xfId="2" applyNumberFormat="1" applyFont="1"/>
  </cellXfs>
  <cellStyles count="4">
    <cellStyle name="Comma" xfId="1" builtinId="3"/>
    <cellStyle name="Currency" xfId="2" builtinId="4"/>
    <cellStyle name="Normal" xfId="0" builtinId="0"/>
    <cellStyle name="Percent" xfId="3" builtinId="5"/>
  </cellStyles>
  <dxfs count="12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14" formatCode="0.0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14" formatCode="0.0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9"/>
        <color theme="1"/>
        <name val="Calibri"/>
        <scheme val="minor"/>
      </font>
      <numFmt numFmtId="166" formatCode="_(* #,##0_);_(* \(#,##0\);_(* &quot;-&quot;??_);_(@_)"/>
    </dxf>
    <dxf>
      <font>
        <b val="0"/>
        <i val="0"/>
        <strike val="0"/>
        <condense val="0"/>
        <extend val="0"/>
        <outline val="0"/>
        <shadow val="0"/>
        <u val="none"/>
        <vertAlign val="baseline"/>
        <sz val="9"/>
        <color theme="1"/>
        <name val="Calibri"/>
        <scheme val="minor"/>
      </font>
      <numFmt numFmtId="0" formatCode="0.00%"/>
    </dxf>
    <dxf>
      <font>
        <b/>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4" formatCode="_(&quot;R$ &quot;* #,##0.00_);_(&quot;R$ &quot;* \(#,##0.00\);_(&quot;R$ &quot;* &quot;-&quot;??_);_(@_)"/>
    </dxf>
    <dxf>
      <font>
        <strike val="0"/>
        <outline val="0"/>
        <shadow val="0"/>
        <u val="none"/>
        <vertAlign val="baseline"/>
        <sz val="9"/>
        <color theme="1"/>
        <name val="Calibri"/>
        <scheme val="minor"/>
      </font>
      <numFmt numFmtId="164" formatCode="_(&quot;R$ &quot;* #,##0.00_);_(&quot;R$ &quot;* \(#,##0.00\);_(&quot;R$ &quot;* &quot;-&quot;??_);_(@_)"/>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5" formatCode="_(* #,##0.00_);_(* \(#,##0.00\);_(* &quot;-&quot;??_);_(@_)"/>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4" formatCode="_(&quot;R$ &quot;* #,##0.00_);_(&quot;R$ &quot;* \(#,##0.00\);_(&quot;R$ &quot;* &quot;-&quot;??_);_(@_)"/>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b val="0"/>
        <i val="0"/>
        <strike val="0"/>
        <condense val="0"/>
        <extend val="0"/>
        <outline val="0"/>
        <shadow val="0"/>
        <u val="none"/>
        <vertAlign val="baseline"/>
        <sz val="9"/>
        <color theme="1"/>
        <name val="Calibri"/>
        <scheme val="minor"/>
      </font>
      <numFmt numFmtId="166" formatCode="_(* #,##0_);_(* \(#,##0\);_(* &quot;-&quot;??_);_(@_)"/>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14" formatCode="0.0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[analise-setorial.xlsx]ROE!Tabela dinâmica4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lineChart>
        <c:grouping val="standard"/>
        <c:varyColors val="0"/>
        <c:ser>
          <c:idx val="0"/>
          <c:order val="0"/>
          <c:tx>
            <c:strRef>
              <c:f>ROE!$B$3:$B$4</c:f>
              <c:strCache>
                <c:ptCount val="1"/>
                <c:pt idx="0">
                  <c:v>ETERNIT</c:v>
                </c:pt>
              </c:strCache>
            </c:strRef>
          </c:tx>
          <c:marker>
            <c:symbol val="none"/>
          </c:marker>
          <c:cat>
            <c:multiLvlStrRef>
              <c:f>ROE!$A$5:$A$12</c:f>
              <c:multiLvlStrCache>
                <c:ptCount val="6"/>
                <c:lvl>
                  <c:pt idx="0">
                    <c:v>2010</c:v>
                  </c:pt>
                  <c:pt idx="1">
                    <c:v>2011</c:v>
                  </c:pt>
                  <c:pt idx="2">
                    <c:v>2012</c:v>
                  </c:pt>
                  <c:pt idx="3">
                    <c:v>2013</c:v>
                  </c:pt>
                  <c:pt idx="4">
                    <c:v>2014</c:v>
                  </c:pt>
                  <c:pt idx="5">
                    <c:v>2015</c:v>
                  </c:pt>
                </c:lvl>
                <c:lvl>
                  <c:pt idx="0">
                    <c:v>Bens Industriais/Construção e Engenharia</c:v>
                  </c:pt>
                </c:lvl>
              </c:multiLvlStrCache>
            </c:multiLvlStrRef>
          </c:cat>
          <c:val>
            <c:numRef>
              <c:f>ROE!$B$5:$B$12</c:f>
              <c:numCache>
                <c:formatCode>0.00%</c:formatCode>
                <c:ptCount val="6"/>
                <c:pt idx="0">
                  <c:v>0.24748296318204849</c:v>
                </c:pt>
                <c:pt idx="1">
                  <c:v>0.22184813720880334</c:v>
                </c:pt>
                <c:pt idx="2">
                  <c:v>0.23565378054527938</c:v>
                </c:pt>
                <c:pt idx="3">
                  <c:v>0.20203149789875705</c:v>
                </c:pt>
                <c:pt idx="4">
                  <c:v>0.1654208947801899</c:v>
                </c:pt>
                <c:pt idx="5">
                  <c:v>5.8828351822377209E-2</c:v>
                </c:pt>
              </c:numCache>
            </c:numRef>
          </c:val>
          <c:smooth val="0"/>
        </c:ser>
        <c:ser>
          <c:idx val="1"/>
          <c:order val="1"/>
          <c:tx>
            <c:strRef>
              <c:f>ROE!$C$3:$C$4</c:f>
              <c:strCache>
                <c:ptCount val="1"/>
                <c:pt idx="0">
                  <c:v>PORTOBELLO</c:v>
                </c:pt>
              </c:strCache>
            </c:strRef>
          </c:tx>
          <c:marker>
            <c:symbol val="none"/>
          </c:marker>
          <c:cat>
            <c:multiLvlStrRef>
              <c:f>ROE!$A$5:$A$12</c:f>
              <c:multiLvlStrCache>
                <c:ptCount val="6"/>
                <c:lvl>
                  <c:pt idx="0">
                    <c:v>2010</c:v>
                  </c:pt>
                  <c:pt idx="1">
                    <c:v>2011</c:v>
                  </c:pt>
                  <c:pt idx="2">
                    <c:v>2012</c:v>
                  </c:pt>
                  <c:pt idx="3">
                    <c:v>2013</c:v>
                  </c:pt>
                  <c:pt idx="4">
                    <c:v>2014</c:v>
                  </c:pt>
                  <c:pt idx="5">
                    <c:v>2015</c:v>
                  </c:pt>
                </c:lvl>
                <c:lvl>
                  <c:pt idx="0">
                    <c:v>Bens Industriais/Construção e Engenharia</c:v>
                  </c:pt>
                </c:lvl>
              </c:multiLvlStrCache>
            </c:multiLvlStrRef>
          </c:cat>
          <c:val>
            <c:numRef>
              <c:f>ROE!$C$5:$C$12</c:f>
              <c:numCache>
                <c:formatCode>0.00%</c:formatCode>
                <c:ptCount val="6"/>
                <c:pt idx="0">
                  <c:v>0.53100138076139125</c:v>
                </c:pt>
                <c:pt idx="1">
                  <c:v>0.29817354947553731</c:v>
                </c:pt>
                <c:pt idx="2">
                  <c:v>0.51660937487709147</c:v>
                </c:pt>
                <c:pt idx="3">
                  <c:v>0.47176282335280967</c:v>
                </c:pt>
                <c:pt idx="4">
                  <c:v>0.39398179366149699</c:v>
                </c:pt>
                <c:pt idx="5">
                  <c:v>0.22717980125595197</c:v>
                </c:pt>
              </c:numCache>
            </c:numRef>
          </c:val>
          <c:smooth val="0"/>
        </c:ser>
        <c:ser>
          <c:idx val="2"/>
          <c:order val="2"/>
          <c:tx>
            <c:strRef>
              <c:f>ROE!$D$3:$D$4</c:f>
              <c:strCache>
                <c:ptCount val="1"/>
                <c:pt idx="0">
                  <c:v>CONTAX</c:v>
                </c:pt>
              </c:strCache>
            </c:strRef>
          </c:tx>
          <c:marker>
            <c:symbol val="none"/>
          </c:marker>
          <c:cat>
            <c:multiLvlStrRef>
              <c:f>ROE!$A$5:$A$12</c:f>
              <c:multiLvlStrCache>
                <c:ptCount val="6"/>
                <c:lvl>
                  <c:pt idx="0">
                    <c:v>2010</c:v>
                  </c:pt>
                  <c:pt idx="1">
                    <c:v>2011</c:v>
                  </c:pt>
                  <c:pt idx="2">
                    <c:v>2012</c:v>
                  </c:pt>
                  <c:pt idx="3">
                    <c:v>2013</c:v>
                  </c:pt>
                  <c:pt idx="4">
                    <c:v>2014</c:v>
                  </c:pt>
                  <c:pt idx="5">
                    <c:v>2015</c:v>
                  </c:pt>
                </c:lvl>
                <c:lvl>
                  <c:pt idx="0">
                    <c:v>Bens Industriais/Construção e Engenharia</c:v>
                  </c:pt>
                </c:lvl>
              </c:multiLvlStrCache>
            </c:multiLvlStrRef>
          </c:cat>
          <c:val>
            <c:numRef>
              <c:f>ROE!$D$5:$D$12</c:f>
              <c:numCache>
                <c:formatCode>0.00%</c:formatCode>
                <c:ptCount val="6"/>
                <c:pt idx="0">
                  <c:v>0.25905109853172786</c:v>
                </c:pt>
                <c:pt idx="1">
                  <c:v>4.6743793423950249E-2</c:v>
                </c:pt>
                <c:pt idx="2">
                  <c:v>9.9724040585065676E-2</c:v>
                </c:pt>
                <c:pt idx="3">
                  <c:v>0.23644092741797471</c:v>
                </c:pt>
                <c:pt idx="4">
                  <c:v>0.24418936639522162</c:v>
                </c:pt>
                <c:pt idx="5">
                  <c:v>-1.3285645658312535</c:v>
                </c:pt>
              </c:numCache>
            </c:numRef>
          </c:val>
          <c:smooth val="0"/>
        </c:ser>
        <c:dLbls>
          <c:showLegendKey val="0"/>
          <c:showVal val="0"/>
          <c:showCatName val="0"/>
          <c:showSerName val="0"/>
          <c:showPercent val="0"/>
          <c:showBubbleSize val="0"/>
        </c:dLbls>
        <c:marker val="1"/>
        <c:smooth val="0"/>
        <c:axId val="14163968"/>
        <c:axId val="14165504"/>
      </c:lineChart>
      <c:catAx>
        <c:axId val="14163968"/>
        <c:scaling>
          <c:orientation val="minMax"/>
        </c:scaling>
        <c:delete val="0"/>
        <c:axPos val="b"/>
        <c:majorTickMark val="out"/>
        <c:minorTickMark val="none"/>
        <c:tickLblPos val="nextTo"/>
        <c:crossAx val="14165504"/>
        <c:crosses val="autoZero"/>
        <c:auto val="1"/>
        <c:lblAlgn val="ctr"/>
        <c:lblOffset val="100"/>
        <c:noMultiLvlLbl val="0"/>
      </c:catAx>
      <c:valAx>
        <c:axId val="14165504"/>
        <c:scaling>
          <c:orientation val="minMax"/>
        </c:scaling>
        <c:delete val="0"/>
        <c:axPos val="l"/>
        <c:majorGridlines/>
        <c:numFmt formatCode="0.00%" sourceLinked="1"/>
        <c:majorTickMark val="out"/>
        <c:minorTickMark val="none"/>
        <c:tickLblPos val="nextTo"/>
        <c:crossAx val="1416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180974</xdr:colOff>
      <xdr:row>2</xdr:row>
      <xdr:rowOff>66676</xdr:rowOff>
    </xdr:from>
    <xdr:to>
      <xdr:col>8</xdr:col>
      <xdr:colOff>419100</xdr:colOff>
      <xdr:row>21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28575</xdr:rowOff>
    </xdr:from>
    <xdr:to>
      <xdr:col>0</xdr:col>
      <xdr:colOff>1847850</xdr:colOff>
      <xdr:row>13</xdr:row>
      <xdr:rowOff>76200</xdr:rowOff>
    </xdr:to>
    <mc:AlternateContent xmlns:mc="http://schemas.openxmlformats.org/markup-compatibility/2006">
      <mc:Choice xmlns:a14="http://schemas.microsoft.com/office/drawing/2010/main" Requires="a14">
        <xdr:graphicFrame macro="">
          <xdr:nvGraphicFramePr>
            <xdr:cNvPr id="5" name="Setor"/>
            <xdr:cNvGraphicFramePr/>
          </xdr:nvGraphicFramePr>
          <xdr:xfrm>
            <a:off x="0" y="0"/>
            <a:ext cx="0" cy="0"/>
          </xdr:xfrm>
          <a:graphic>
            <a:graphicData uri="http://schemas.microsoft.com/office/drawing/2010/slicer">
              <sle:slicer xmlns:sle="http://schemas.microsoft.com/office/drawing/2010/slicer" name="Setor"/>
            </a:graphicData>
          </a:graphic>
        </xdr:graphicFrame>
      </mc:Choice>
      <mc:Fallback>
        <xdr:sp macro="" textlink="">
          <xdr:nvSpPr>
            <xdr:cNvPr id="0" name=""/>
            <xdr:cNvSpPr>
              <a:spLocks noTextEdit="1"/>
            </xdr:cNvSpPr>
          </xdr:nvSpPr>
          <xdr:spPr>
            <a:xfrm>
              <a:off x="19050" y="285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740.829934490743" createdVersion="3" refreshedVersion="4" minRefreshableVersion="3" recordCount="84">
  <cacheSource type="worksheet">
    <worksheetSource name="Tabela2"/>
  </cacheSource>
  <cacheFields count="23">
    <cacheField name="Setor" numFmtId="0">
      <sharedItems count="9">
        <s v="Bens Industriais/Construção e Engenharia"/>
        <s v="Consumo Cíclico / Construção Civil"/>
        <s v="Utilidade Pública/Energia Elétrica"/>
        <s v="Consumo Cíclico/Comércio"/>
        <s v="Financeiro e Outros / Intermediários Financeiros"/>
        <s v="Consumo Cíclico/Construção Civil" u="1"/>
        <s v="Utilidade Pública" u="1"/>
        <s v="Consumo Cíclico" u="1"/>
        <s v="Bens Industriais" u="1"/>
      </sharedItems>
    </cacheField>
    <cacheField name="Nome de Pregão" numFmtId="0">
      <sharedItems count="14">
        <s v="ETERNIT"/>
        <s v="HELBOR"/>
        <s v="PORTOBELLO"/>
        <s v="CEMIG       "/>
        <s v="SARAIVA LIVR"/>
        <s v="TAESA"/>
        <s v="CESP"/>
        <s v="AES TIETE E"/>
        <s v="LOJAS AMERIC"/>
        <s v="HYPERMARCAS"/>
        <s v="B2W DIGITAL"/>
        <s v="TECNISA"/>
        <s v="BRASIL"/>
        <s v="CONTAX"/>
      </sharedItems>
    </cacheField>
    <cacheField name="ANO" numFmtId="0">
      <sharedItems containsSemiMixedTypes="0" containsString="0" containsNumber="1" containsInteger="1" minValue="2010" maxValue="2015" count="6">
        <n v="2015"/>
        <n v="2014"/>
        <n v="2013"/>
        <n v="2012"/>
        <n v="2011"/>
        <n v="2010"/>
      </sharedItems>
    </cacheField>
    <cacheField name="Ações" numFmtId="166">
      <sharedItems containsSemiMixedTypes="0" containsString="0" containsNumber="1" containsInteger="1" minValue="26701745" maxValue="2865417020"/>
    </cacheField>
    <cacheField name="AT" numFmtId="3">
      <sharedItems containsSemiMixedTypes="0" containsString="0" containsNumber="1" containsInteger="1" minValue="538113" maxValue="1388864529"/>
    </cacheField>
    <cacheField name="AC" numFmtId="3">
      <sharedItems containsSemiMixedTypes="0" containsString="0" containsNumber="1" containsInteger="1" minValue="214884" maxValue="1388864529"/>
    </cacheField>
    <cacheField name="AI" numFmtId="3">
      <sharedItems containsSemiMixedTypes="0" containsString="0" containsNumber="1" containsInteger="1" minValue="12741" maxValue="16476849"/>
    </cacheField>
    <cacheField name="PC" numFmtId="3">
      <sharedItems containsSemiMixedTypes="0" containsString="0" containsNumber="1" containsInteger="1" minValue="162585" maxValue="1388864529"/>
    </cacheField>
    <cacheField name="PO" numFmtId="3">
      <sharedItems containsString="0" containsBlank="1" containsNumber="1" containsInteger="1" minValue="74237" maxValue="24621139"/>
    </cacheField>
    <cacheField name="PL" numFmtId="3">
      <sharedItems containsSemiMixedTypes="0" containsString="0" containsNumber="1" containsInteger="1" minValue="60836" maxValue="86229994"/>
    </cacheField>
    <cacheField name="RBV" numFmtId="3">
      <sharedItems containsSemiMixedTypes="0" containsString="0" containsNumber="1" containsInteger="1" minValue="511415" maxValue="182368871"/>
    </cacheField>
    <cacheField name="LL" numFmtId="3">
      <sharedItems containsSemiMixedTypes="0" containsString="0" containsNumber="1" containsInteger="1" minValue="-418437" maxValue="15798039"/>
    </cacheField>
    <cacheField name="Dividendos" numFmtId="3">
      <sharedItems containsSemiMixedTypes="0" containsString="0" containsNumber="1" containsInteger="1" minValue="0" maxValue="5856986"/>
    </cacheField>
    <cacheField name="Div/Ação" numFmtId="164">
      <sharedItems containsSemiMixedTypes="0" containsString="0" containsNumber="1" minValue="0" maxValue="5.4142916873231135"/>
    </cacheField>
    <cacheField name="MLL" numFmtId="10">
      <sharedItems containsSemiMixedTypes="0" containsString="0" containsNumber="1" minValue="-0.12612318827214006" maxValue="0.6166739533280704"/>
    </cacheField>
    <cacheField name="ROE" numFmtId="10">
      <sharedItems containsSemiMixedTypes="0" containsString="0" containsNumber="1" minValue="-1.3285645658312535" maxValue="0.58873061934560666"/>
    </cacheField>
    <cacheField name="LC" numFmtId="165">
      <sharedItems containsSemiMixedTypes="0" containsString="0" containsNumber="1" minValue="0.54181011805172652" maxValue="5.8520939029056152"/>
    </cacheField>
    <cacheField name="IPL" numFmtId="10">
      <sharedItems containsSemiMixedTypes="0" containsString="0" containsNumber="1" minValue="4.2604258522133051E-3" maxValue="2.9296140443158656"/>
    </cacheField>
    <cacheField name="EO" numFmtId="10">
      <sharedItems containsSemiMixedTypes="0" containsString="0" containsNumber="1" minValue="0" maxValue="0.66241025101384987"/>
    </cacheField>
    <cacheField name="Payout" numFmtId="10">
      <sharedItems containsSemiMixedTypes="0" containsString="0" containsNumber="1" minValue="-5.3447575071923668" maxValue="4.2862471334763912"/>
    </cacheField>
    <cacheField name="Compra [20%]" numFmtId="164">
      <sharedItems containsSemiMixedTypes="0" containsString="0" containsNumber="1" minValue="0" maxValue="27.071458436615565"/>
    </cacheField>
    <cacheField name="Compra [CDI]" numFmtId="164">
      <sharedItems containsSemiMixedTypes="0" containsString="0" containsNumber="1" minValue="0" maxValue="39.007865182443176"/>
    </cacheField>
    <cacheField name="Unit" numFmtId="166">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4">
  <r>
    <x v="0"/>
    <x v="0"/>
    <x v="0"/>
    <n v="179000000"/>
    <n v="933194"/>
    <n v="412320"/>
    <n v="354047"/>
    <n v="205820"/>
    <n v="210461"/>
    <n v="500116"/>
    <n v="974872"/>
    <n v="29421"/>
    <n v="24694"/>
    <n v="0.13795530726256983"/>
    <n v="3.0179346621915494E-2"/>
    <n v="5.8828351822377209E-2"/>
    <n v="2.0033038577397728"/>
    <n v="0.70792976029561139"/>
    <n v="0.22552759661978108"/>
    <n v="0.83933244961082221"/>
    <n v="0.68977653631284908"/>
    <n v="0.99391431745367309"/>
    <n v="1"/>
  </r>
  <r>
    <x v="0"/>
    <x v="0"/>
    <x v="1"/>
    <n v="179000000"/>
    <n v="897864"/>
    <n v="395451"/>
    <n v="341684"/>
    <n v="221252"/>
    <n v="178187"/>
    <n v="514808"/>
    <n v="978154"/>
    <n v="85160"/>
    <n v="71577"/>
    <n v="0.39987150837988827"/>
    <n v="8.7061955479403041E-2"/>
    <n v="0.1654208947801899"/>
    <n v="1.7873329958599244"/>
    <n v="0.66371151963450448"/>
    <n v="0.19845655912253971"/>
    <n v="0.84050023485204317"/>
    <n v="1.9993575418994411"/>
    <n v="2.8809186482700881"/>
    <n v="1"/>
  </r>
  <r>
    <x v="0"/>
    <x v="0"/>
    <x v="2"/>
    <n v="179000000"/>
    <n v="833632"/>
    <n v="389943"/>
    <n v="279064"/>
    <n v="193082"/>
    <n v="133139"/>
    <n v="506129"/>
    <n v="957301"/>
    <n v="102254"/>
    <n v="71577"/>
    <n v="0.39987150837988827"/>
    <n v="0.10681488894297614"/>
    <n v="0.20203149789875705"/>
    <n v="2.0195719953180515"/>
    <n v="0.55136931493749619"/>
    <n v="0.15970956009366244"/>
    <n v="0.69999217634517963"/>
    <n v="1.9993575418994411"/>
    <n v="2.8809186482700881"/>
    <n v="1"/>
  </r>
  <r>
    <x v="0"/>
    <x v="0"/>
    <x v="3"/>
    <n v="179000000"/>
    <n v="810120"/>
    <n v="426031"/>
    <n v="252457"/>
    <n v="208094"/>
    <n v="125687"/>
    <n v="479534"/>
    <n v="906317"/>
    <n v="113004"/>
    <n v="71577"/>
    <n v="0.39987150837988827"/>
    <n v="0.12468485088550695"/>
    <n v="0.23565378054527938"/>
    <n v="2.0473007390890654"/>
    <n v="0.52646319134826725"/>
    <n v="0.1551461511874784"/>
    <n v="0.63340235743867479"/>
    <n v="1.9993575418994411"/>
    <n v="2.8809186482700881"/>
    <n v="1"/>
  </r>
  <r>
    <x v="0"/>
    <x v="0"/>
    <x v="4"/>
    <n v="179000000"/>
    <n v="691935"/>
    <n v="350886"/>
    <n v="225889"/>
    <n v="162585"/>
    <n v="87674"/>
    <n v="438106"/>
    <n v="820238"/>
    <n v="97193"/>
    <n v="71576"/>
    <n v="0.39986592178770952"/>
    <n v="0.11849365671914737"/>
    <n v="0.22184813720880334"/>
    <n v="2.1581695728388226"/>
    <n v="0.51560352973937817"/>
    <n v="0.12670843359564121"/>
    <n v="0.73643163602317041"/>
    <n v="1.9993296089385475"/>
    <n v="2.8808783990468982"/>
    <n v="1"/>
  </r>
  <r>
    <x v="0"/>
    <x v="0"/>
    <x v="5"/>
    <n v="179000000"/>
    <n v="661078"/>
    <n v="339304"/>
    <n v="209989"/>
    <n v="170278"/>
    <n v="74237"/>
    <n v="412489"/>
    <n v="758745"/>
    <n v="102084"/>
    <n v="80522"/>
    <n v="0.44984357541899439"/>
    <n v="0.13454322598501472"/>
    <n v="0.24748296318204849"/>
    <n v="1.9926473179154089"/>
    <n v="0.50907781783271799"/>
    <n v="0.11229688478515394"/>
    <n v="0.78878178754750994"/>
    <n v="2.249217877094972"/>
    <n v="3.2409479497045703"/>
    <n v="1"/>
  </r>
  <r>
    <x v="1"/>
    <x v="1"/>
    <x v="0"/>
    <n v="257699937"/>
    <n v="5083155"/>
    <n v="3812225"/>
    <n v="24769"/>
    <n v="1249605"/>
    <n v="3051596"/>
    <n v="1870312"/>
    <n v="1307399"/>
    <n v="68873"/>
    <n v="16357"/>
    <n v="6.3473046173076864E-2"/>
    <n v="5.2679403915713567E-2"/>
    <n v="3.6824337329814494E-2"/>
    <n v="3.0507440351150965"/>
    <n v="1.3243244977308598E-2"/>
    <n v="0.6003350281468891"/>
    <n v="0.23749509967621565"/>
    <n v="0.31736523086538432"/>
    <n v="0.45729860355242696"/>
    <n v="1"/>
  </r>
  <r>
    <x v="1"/>
    <x v="1"/>
    <x v="1"/>
    <n v="257699937"/>
    <n v="5052055"/>
    <n v="3018678"/>
    <n v="33276"/>
    <n v="1253496"/>
    <n v="3111058"/>
    <n v="1779016"/>
    <n v="1602005"/>
    <n v="210757"/>
    <n v="100110"/>
    <n v="0.38847506586701264"/>
    <n v="0.13155826604785878"/>
    <n v="0.118468299329517"/>
    <n v="2.4082071263091387"/>
    <n v="1.8704722161014854E-2"/>
    <n v="0.61580050098425299"/>
    <n v="0.47500201654037588"/>
    <n v="1.9423753293350632"/>
    <n v="2.7988117137392838"/>
    <n v="1"/>
  </r>
  <r>
    <x v="1"/>
    <x v="1"/>
    <x v="2"/>
    <n v="257699937"/>
    <n v="4903990"/>
    <n v="3235607"/>
    <n v="41260"/>
    <n v="1097109"/>
    <n v="2974879"/>
    <n v="1713374"/>
    <n v="1802504"/>
    <n v="304121"/>
    <n v="130012"/>
    <n v="0.50450924246830531"/>
    <n v="0.16872140089564294"/>
    <n v="0.17749831618782588"/>
    <n v="2.9492119743799385"/>
    <n v="2.4081140486548764E-2"/>
    <n v="0.60662419784705923"/>
    <n v="0.42750089602493746"/>
    <n v="2.5225462123415263"/>
    <n v="3.6347928131722282"/>
    <n v="1"/>
  </r>
  <r>
    <x v="1"/>
    <x v="1"/>
    <x v="3"/>
    <n v="257699937"/>
    <n v="3449668"/>
    <n v="2231996"/>
    <n v="30536"/>
    <n v="974676"/>
    <n v="2129711"/>
    <n v="1128181"/>
    <n v="1432311"/>
    <n v="272116"/>
    <n v="103405"/>
    <n v="0.40126125447985656"/>
    <n v="0.18998387919941967"/>
    <n v="0.24119888563980424"/>
    <n v="2.2899876471771132"/>
    <n v="2.7066578855697802E-2"/>
    <n v="0.61736694661631208"/>
    <n v="0.38000338091108204"/>
    <n v="2.0063062723992826"/>
    <n v="2.8909312282410413"/>
    <n v="1"/>
  </r>
  <r>
    <x v="1"/>
    <x v="1"/>
    <x v="4"/>
    <n v="257699937"/>
    <n v="2630337"/>
    <n v="1774019"/>
    <n v="21941"/>
    <n v="819375"/>
    <n v="1553360"/>
    <n v="908993"/>
    <n v="1178528"/>
    <n v="213345"/>
    <n v="70937"/>
    <n v="0.27526976073727172"/>
    <n v="0.18102667055852725"/>
    <n v="0.23470477770455878"/>
    <n v="2.1650880244088482"/>
    <n v="2.4137699630250177E-2"/>
    <n v="0.5905555067658631"/>
    <n v="0.33249900396072091"/>
    <n v="1.3763488036863585"/>
    <n v="1.9832115326892774"/>
    <n v="1"/>
  </r>
  <r>
    <x v="1"/>
    <x v="1"/>
    <x v="5"/>
    <n v="257699937"/>
    <n v="2099216"/>
    <n v="1582949"/>
    <n v="13085"/>
    <n v="614683"/>
    <n v="1225573"/>
    <n v="727827"/>
    <n v="987173"/>
    <n v="182058"/>
    <n v="51886"/>
    <n v="0.20134269571047664"/>
    <n v="0.18442360153691401"/>
    <n v="0.25013911272871164"/>
    <n v="2.575228207059574"/>
    <n v="1.7978173384609254E-2"/>
    <n v="0.5838241514927478"/>
    <n v="0.28499708883982028"/>
    <n v="1.006713478552383"/>
    <n v="1.4505957904213014"/>
    <n v="1"/>
  </r>
  <r>
    <x v="0"/>
    <x v="2"/>
    <x v="0"/>
    <n v="158488517"/>
    <n v="1351893"/>
    <n v="639604"/>
    <n v="444194"/>
    <n v="439490"/>
    <n v="866551"/>
    <n v="231856"/>
    <n v="1060395"/>
    <n v="52673"/>
    <n v="13209"/>
    <n v="8.3343577503473015E-2"/>
    <n v="4.9672999212557585E-2"/>
    <n v="0.22717980125595197"/>
    <n v="1.4553323170037999"/>
    <n v="1.9158184390311228"/>
    <n v="0.64099081806030511"/>
    <n v="0.25077364114441936"/>
    <n v="0.41671788751736505"/>
    <n v="0.60045805117775941"/>
    <n v="1"/>
  </r>
  <r>
    <x v="0"/>
    <x v="2"/>
    <x v="1"/>
    <n v="158488517"/>
    <n v="1132348"/>
    <n v="497839"/>
    <n v="392585"/>
    <n v="460243"/>
    <n v="643355"/>
    <n v="237280"/>
    <n v="949147"/>
    <n v="93484"/>
    <n v="45133"/>
    <n v="0.28477141974897779"/>
    <n v="9.8492646555275426E-2"/>
    <n v="0.39398179366149699"/>
    <n v="1.0816872825876764"/>
    <n v="1.6545220836142953"/>
    <n v="0.56816014158191652"/>
    <n v="0.48278849856659961"/>
    <n v="1.4238570987448889"/>
    <n v="2.051667289257765"/>
    <n v="1"/>
  </r>
  <r>
    <x v="0"/>
    <x v="2"/>
    <x v="2"/>
    <n v="158488517"/>
    <n v="904908"/>
    <n v="433732"/>
    <n v="265572"/>
    <n v="352485"/>
    <n v="450337"/>
    <n v="191857"/>
    <n v="834032"/>
    <n v="90511"/>
    <n v="30091"/>
    <n v="0.18986233557854543"/>
    <n v="0.10852221497496499"/>
    <n v="0.47176282335280967"/>
    <n v="1.2304977516773763"/>
    <n v="1.3842184543696607"/>
    <n v="0.49766053565666346"/>
    <n v="0.33245682845179036"/>
    <n v="0.94931167789272708"/>
    <n v="1.3678842620932667"/>
    <n v="1"/>
  </r>
  <r>
    <x v="0"/>
    <x v="2"/>
    <x v="3"/>
    <n v="158488517"/>
    <n v="695321"/>
    <n v="328230"/>
    <n v="187056"/>
    <n v="295375"/>
    <n v="318586"/>
    <n v="127127"/>
    <n v="706471"/>
    <n v="65675"/>
    <n v="15595"/>
    <n v="9.8398295947207323E-2"/>
    <n v="9.2962060721529974E-2"/>
    <n v="0.51660937487709147"/>
    <n v="1.1112314853999155"/>
    <n v="1.4714104792844951"/>
    <n v="0.45818549993456259"/>
    <n v="0.23745717548534451"/>
    <n v="0.49199147973603657"/>
    <n v="0.70892144054183948"/>
    <n v="1"/>
  </r>
  <r>
    <x v="0"/>
    <x v="2"/>
    <x v="4"/>
    <n v="158488517"/>
    <n v="550222"/>
    <n v="215923"/>
    <n v="178052"/>
    <n v="245403"/>
    <n v="271267"/>
    <n v="81798"/>
    <n v="586806"/>
    <n v="24390"/>
    <n v="0"/>
    <n v="0"/>
    <n v="4.1563992188218934E-2"/>
    <n v="0.29817354947553731"/>
    <n v="0.87987106922083269"/>
    <n v="2.1767280373603266"/>
    <n v="0.49301372900392931"/>
    <n v="0"/>
    <n v="0"/>
    <n v="0"/>
    <n v="1"/>
  </r>
  <r>
    <x v="0"/>
    <x v="2"/>
    <x v="5"/>
    <n v="158488517"/>
    <n v="538113"/>
    <n v="214884"/>
    <n v="178226"/>
    <n v="251275"/>
    <n v="303978"/>
    <n v="60836"/>
    <n v="511415"/>
    <n v="32304"/>
    <n v="0"/>
    <n v="0"/>
    <n v="6.3165922000723476E-2"/>
    <n v="0.53100138076139125"/>
    <n v="0.85517460949159285"/>
    <n v="2.9296140443158656"/>
    <n v="0.56489622068227308"/>
    <n v="0"/>
    <n v="0"/>
    <n v="0"/>
    <n v="1"/>
  </r>
  <r>
    <x v="2"/>
    <x v="3"/>
    <x v="0"/>
    <n v="1258841654"/>
    <n v="40857089"/>
    <n v="9376738"/>
    <n v="3940323"/>
    <n v="13074072"/>
    <n v="23553108"/>
    <n v="12987676"/>
    <n v="21292211"/>
    <n v="2469003"/>
    <n v="1256497"/>
    <n v="0.99813745120957043"/>
    <n v="0.11595803742504712"/>
    <n v="0.19010352583479909"/>
    <n v="0.71720103728968299"/>
    <n v="0.30338938236525148"/>
    <n v="0.57647543122810341"/>
    <n v="0.50890865665209806"/>
    <n v="4.9906872560478517"/>
    <n v="7.1911920115963284"/>
    <n v="1"/>
  </r>
  <r>
    <x v="2"/>
    <x v="3"/>
    <x v="1"/>
    <n v="1258841654"/>
    <n v="35000003"/>
    <n v="6554378"/>
    <n v="5543620"/>
    <n v="10123317"/>
    <n v="19953019"/>
    <n v="11284952"/>
    <n v="19539578"/>
    <n v="3136903"/>
    <n v="1594633"/>
    <n v="1.2667462940497836"/>
    <n v="0.16054097995361005"/>
    <n v="0.27797220581886389"/>
    <n v="0.64745359648423539"/>
    <n v="0.49124001590790994"/>
    <n v="0.57008620827832501"/>
    <n v="0.50834628931783987"/>
    <n v="6.3337314702489174"/>
    <n v="9.1264142222606885"/>
    <n v="1"/>
  </r>
  <r>
    <x v="2"/>
    <x v="3"/>
    <x v="2"/>
    <n v="1258841654"/>
    <n v="29814142"/>
    <n v="6668783"/>
    <n v="5817455"/>
    <n v="5921641"/>
    <n v="14828084"/>
    <n v="12638357"/>
    <n v="14627280"/>
    <n v="3103855"/>
    <n v="1601074"/>
    <n v="1.2718629026236528"/>
    <n v="0.21219632084707479"/>
    <n v="0.24559007155756085"/>
    <n v="1.1261714447059523"/>
    <n v="0.46030152495296661"/>
    <n v="0.49735068679823152"/>
    <n v="0.51583401930824735"/>
    <n v="6.3593145131182638"/>
    <n v="9.1632773964240108"/>
    <n v="1"/>
  </r>
  <r>
    <x v="2"/>
    <x v="3"/>
    <x v="3"/>
    <n v="1258841654"/>
    <n v="40772961"/>
    <n v="11990079"/>
    <n v="8810529"/>
    <n v="14307372"/>
    <n v="24621139"/>
    <n v="12044062"/>
    <n v="18460375"/>
    <n v="4271685"/>
    <n v="2289976"/>
    <n v="1.8191136214181867"/>
    <n v="0.23139752036456465"/>
    <n v="0.35467145552721335"/>
    <n v="0.83803503536498525"/>
    <n v="0.73152471317401058"/>
    <n v="0.60385947932503603"/>
    <n v="0.53608259972352834"/>
    <n v="9.0955681070909336"/>
    <n v="13.106005917998463"/>
    <n v="1"/>
  </r>
  <r>
    <x v="2"/>
    <x v="3"/>
    <x v="4"/>
    <n v="1258841654"/>
    <n v="37008883"/>
    <n v="8531649"/>
    <n v="8661791"/>
    <n v="12169346"/>
    <n v="21696517"/>
    <n v="11744948"/>
    <n v="15748716"/>
    <n v="2415450"/>
    <n v="1207725"/>
    <n v="0.95939389689118115"/>
    <n v="0.15337440842796327"/>
    <n v="0.20565863722853434"/>
    <n v="0.70107703404932364"/>
    <n v="0.73749079178554044"/>
    <n v="0.58625160343261373"/>
    <n v="0.5"/>
    <n v="4.7969694844559054"/>
    <n v="6.9120597758730629"/>
    <n v="1"/>
  </r>
  <r>
    <x v="2"/>
    <x v="3"/>
    <x v="5"/>
    <n v="1258841654"/>
    <n v="33473963"/>
    <n v="8085576"/>
    <n v="8228513"/>
    <n v="6403358"/>
    <n v="18669289"/>
    <n v="11476133"/>
    <n v="13846934"/>
    <n v="2257976"/>
    <n v="1128988"/>
    <n v="0.89684671333571875"/>
    <n v="0.16306685653300579"/>
    <n v="0.19675408083890278"/>
    <n v="1.2627087225171543"/>
    <n v="0.71701094785151065"/>
    <n v="0.55772568667773215"/>
    <n v="0.5"/>
    <n v="4.4842335666785935"/>
    <n v="6.46143165227463"/>
    <n v="1"/>
  </r>
  <r>
    <x v="3"/>
    <x v="4"/>
    <x v="0"/>
    <n v="26701745"/>
    <n v="1750734"/>
    <n v="1338522"/>
    <n v="99361"/>
    <n v="846456"/>
    <n v="750712"/>
    <n v="524552"/>
    <n v="1772815"/>
    <n v="93714"/>
    <n v="19884"/>
    <n v="0.74467043258783272"/>
    <n v="5.2861691716281731E-2"/>
    <n v="0.17865530967377877"/>
    <n v="1.581324959596246"/>
    <n v="0.18942068660495051"/>
    <n v="0.42879843539909546"/>
    <n v="0.21217747615084193"/>
    <n v="3.7233521629391633"/>
    <n v="5.3650607535146451"/>
    <n v="1"/>
  </r>
  <r>
    <x v="3"/>
    <x v="4"/>
    <x v="1"/>
    <n v="26701745"/>
    <n v="1871799"/>
    <n v="1444747"/>
    <n v="118341"/>
    <n v="1053068"/>
    <n v="877650"/>
    <n v="472518"/>
    <n v="1821453"/>
    <n v="5747"/>
    <n v="5466"/>
    <n v="0.20470572241626905"/>
    <n v="3.1551733698316673E-3"/>
    <n v="1.2162499629643738E-2"/>
    <n v="1.3719408433263569"/>
    <n v="0.25044760199611443"/>
    <n v="0.46888047274306699"/>
    <n v="0.95110492430833482"/>
    <n v="1.0235286120813452"/>
    <n v="1.4748250894543879"/>
    <n v="1"/>
  </r>
  <r>
    <x v="3"/>
    <x v="4"/>
    <x v="2"/>
    <n v="26701745"/>
    <n v="1326029"/>
    <n v="949363"/>
    <n v="116092"/>
    <n v="549896"/>
    <n v="505244"/>
    <n v="515741"/>
    <n v="2143751"/>
    <n v="13021"/>
    <n v="12372"/>
    <n v="0.4633405045250788"/>
    <n v="6.0739330267367804E-3"/>
    <n v="2.5247168636970883E-2"/>
    <n v="1.7264409997526806"/>
    <n v="0.22509748110000949"/>
    <n v="0.38102032459320273"/>
    <n v="0.9501574379847938"/>
    <n v="2.3167025226253939"/>
    <n v="3.3381880729472533"/>
    <n v="1"/>
  </r>
  <r>
    <x v="3"/>
    <x v="4"/>
    <x v="3"/>
    <n v="26701745"/>
    <n v="1334917"/>
    <n v="964310"/>
    <n v="126154"/>
    <n v="552460"/>
    <n v="439413"/>
    <n v="515941"/>
    <n v="1923508"/>
    <n v="77015"/>
    <n v="25985"/>
    <n v="0.97315737229907628"/>
    <n v="4.0038824897011084E-2"/>
    <n v="0.14927094377070246"/>
    <n v="1.7454838359338232"/>
    <n v="0.24451245394337726"/>
    <n v="0.32916877978181414"/>
    <n v="0.33740180484321236"/>
    <n v="4.8657868614953808"/>
    <n v="7.0112202615207222"/>
    <n v="1"/>
  </r>
  <r>
    <x v="3"/>
    <x v="4"/>
    <x v="4"/>
    <n v="26701745"/>
    <n v="1294402"/>
    <n v="969973"/>
    <n v="130235"/>
    <n v="538135"/>
    <n v="448850"/>
    <n v="466207"/>
    <n v="1888967"/>
    <n v="64921"/>
    <n v="24839"/>
    <n v="0.93023882896042942"/>
    <n v="3.4368519937087311E-2"/>
    <n v="0.13925359336088905"/>
    <n v="1.802471498787479"/>
    <n v="0.27935015990750889"/>
    <n v="0.34676244319770827"/>
    <n v="0.38260347191201616"/>
    <n v="4.6511941448021465"/>
    <n v="6.7020088541817682"/>
    <n v="1"/>
  </r>
  <r>
    <x v="3"/>
    <x v="4"/>
    <x v="5"/>
    <n v="26701745"/>
    <n v="1102477"/>
    <n v="969973"/>
    <n v="124731"/>
    <n v="470639"/>
    <n v="297572"/>
    <n v="424464"/>
    <n v="1564936"/>
    <n v="61023"/>
    <n v="22288"/>
    <n v="0.83470200168565767"/>
    <n v="3.8993926908193054E-2"/>
    <n v="0.14376484224810585"/>
    <n v="2.0609702978291216"/>
    <n v="0.29385530928417958"/>
    <n v="0.26991220678526628"/>
    <n v="0.36523933598807007"/>
    <n v="4.1735100084282877"/>
    <n v="6.0137031821733258"/>
    <n v="1"/>
  </r>
  <r>
    <x v="2"/>
    <x v="5"/>
    <x v="0"/>
    <n v="1033496721"/>
    <n v="8862458"/>
    <n v="2082212"/>
    <n v="22805"/>
    <n v="1008424"/>
    <n v="3912019"/>
    <n v="4377065"/>
    <n v="1542465"/>
    <n v="909423"/>
    <n v="824892"/>
    <n v="0.79815637847582488"/>
    <n v="0.58959068763310674"/>
    <n v="0.20777004682361355"/>
    <n v="2.0648179733921448"/>
    <n v="5.2101122555867916E-3"/>
    <n v="0.44141467299478315"/>
    <n v="0.90704985468808241"/>
    <n v="11.972345677137373"/>
    <n v="17.251218554952988"/>
    <n v="3"/>
  </r>
  <r>
    <x v="2"/>
    <x v="5"/>
    <x v="1"/>
    <n v="1033496721"/>
    <n v="8658788"/>
    <n v="1786946"/>
    <n v="24175"/>
    <n v="751767"/>
    <n v="4035315"/>
    <n v="4224632"/>
    <n v="1495804"/>
    <n v="904845"/>
    <n v="851757"/>
    <n v="0.82415065543299382"/>
    <n v="0.60492216894726847"/>
    <n v="0.21418315252074027"/>
    <n v="2.3769944677007637"/>
    <n v="5.7223919148460742E-3"/>
    <n v="0.46603693265154428"/>
    <n v="0.94132917792550108"/>
    <n v="12.362259831494907"/>
    <n v="17.813054512240498"/>
    <n v="3"/>
  </r>
  <r>
    <x v="2"/>
    <x v="5"/>
    <x v="2"/>
    <n v="1033496721"/>
    <n v="9154079"/>
    <n v="1788028"/>
    <n v="22861"/>
    <n v="1097570"/>
    <n v="4477997"/>
    <n v="4305064"/>
    <n v="1447851"/>
    <n v="892852"/>
    <n v="571078"/>
    <n v="0.55256875846440157"/>
    <n v="0.6166739533280704"/>
    <n v="0.20739575532442722"/>
    <n v="1.6290787831300053"/>
    <n v="5.3102578730536872E-3"/>
    <n v="0.48918050630762527"/>
    <n v="0.63961104415961434"/>
    <n v="8.2885313769660236"/>
    <n v="11.943128785253636"/>
    <n v="3"/>
  </r>
  <r>
    <x v="2"/>
    <x v="5"/>
    <x v="3"/>
    <n v="1033496721"/>
    <n v="9584907"/>
    <n v="3762674"/>
    <n v="17456"/>
    <n v="642962"/>
    <n v="4911317"/>
    <n v="4097243"/>
    <n v="1126865"/>
    <n v="589182"/>
    <n v="519285"/>
    <n v="0.5024544243329051"/>
    <n v="0.52285056328841517"/>
    <n v="0.14379962330767299"/>
    <n v="5.8520939029056152"/>
    <n v="4.2604258522133051E-3"/>
    <n v="0.51240111145575018"/>
    <n v="0.88136602951210319"/>
    <n v="7.5368163649935767"/>
    <n v="10.859965943794778"/>
    <n v="3"/>
  </r>
  <r>
    <x v="2"/>
    <x v="5"/>
    <x v="4"/>
    <n v="1033496721"/>
    <n v="6490580"/>
    <n v="1565781"/>
    <n v="13940"/>
    <n v="1657918"/>
    <n v="3656236"/>
    <n v="2252472"/>
    <n v="997244"/>
    <n v="495399"/>
    <n v="214267"/>
    <n v="0.20732238007748841"/>
    <n v="0.49676809286393298"/>
    <n v="0.21993569731388449"/>
    <n v="0.9444260813864136"/>
    <n v="6.1887561754374746E-3"/>
    <n v="0.56331421845197194"/>
    <n v="0.43251399377067778"/>
    <n v="3.1098357011623259"/>
    <n v="4.4810312696863486"/>
    <n v="3"/>
  </r>
  <r>
    <x v="2"/>
    <x v="5"/>
    <x v="5"/>
    <n v="1033496721"/>
    <n v="4576109"/>
    <n v="1081675"/>
    <n v="12741"/>
    <n v="308495"/>
    <n v="1775237"/>
    <n v="2508354"/>
    <n v="798594"/>
    <n v="428630"/>
    <n v="309929"/>
    <n v="0.29988387355512469"/>
    <n v="0.53673080438871312"/>
    <n v="0.17088098410351968"/>
    <n v="3.5062966984878199"/>
    <n v="5.0794265881131612E-3"/>
    <n v="0.38793590799519856"/>
    <n v="0.7230688472575415"/>
    <n v="4.4982581033268705"/>
    <n v="6.4816399183384297"/>
    <n v="3"/>
  </r>
  <r>
    <x v="2"/>
    <x v="6"/>
    <x v="0"/>
    <n v="327502673"/>
    <n v="11986763"/>
    <n v="1022615"/>
    <n v="7260107"/>
    <n v="998224"/>
    <n v="4605360"/>
    <n v="7310892"/>
    <n v="2950982"/>
    <n v="-61357"/>
    <n v="41326"/>
    <n v="0.12618522963933182"/>
    <n v="-2.0792061761135783E-2"/>
    <n v="-8.3925463541247771E-3"/>
    <n v="1.0244343954863837"/>
    <n v="0.99305351522085128"/>
    <n v="0.38420380881811045"/>
    <n v="-0.67353358215036585"/>
    <n v="0.63092614819665904"/>
    <n v="0.90911548731507075"/>
    <n v="1"/>
  </r>
  <r>
    <x v="2"/>
    <x v="6"/>
    <x v="1"/>
    <n v="327502673"/>
    <n v="14687886"/>
    <n v="2948585"/>
    <n v="8494806"/>
    <n v="2202432"/>
    <n v="5991926"/>
    <n v="8629077"/>
    <n v="4699251"/>
    <n v="560139"/>
    <n v="1773195"/>
    <n v="5.4142916873231135"/>
    <n v="0.11919750615576823"/>
    <n v="6.4912968096124304E-2"/>
    <n v="1.3387859420858397"/>
    <n v="0.984439703110773"/>
    <n v="0.40795019787054448"/>
    <n v="3.165633887302973"/>
    <n v="27.071458436615565"/>
    <n v="39.007865182443176"/>
    <n v="1"/>
  </r>
  <r>
    <x v="2"/>
    <x v="6"/>
    <x v="2"/>
    <n v="327502673"/>
    <n v="15174853"/>
    <n v="1471399"/>
    <n v="11076739"/>
    <n v="1251127"/>
    <n v="5783911"/>
    <n v="9317386"/>
    <n v="3904102"/>
    <n v="-195346"/>
    <n v="1044077"/>
    <n v="3.1879953541631094"/>
    <n v="-5.0036090245592968E-2"/>
    <n v="-2.0965751553064346E-2"/>
    <n v="1.1760588653270212"/>
    <n v="1.1888247411881401"/>
    <n v="0.381151039815674"/>
    <n v="-5.3447575071923668"/>
    <n v="15.939976770815546"/>
    <n v="22.968266240368223"/>
    <n v="1"/>
  </r>
  <r>
    <x v="2"/>
    <x v="6"/>
    <x v="3"/>
    <n v="327502673"/>
    <n v="16889872"/>
    <n v="1075237"/>
    <n v="15181566"/>
    <n v="1790097"/>
    <n v="6749717"/>
    <n v="9879937"/>
    <n v="3354005"/>
    <n v="147982"/>
    <n v="386172"/>
    <n v="1.1791415210830967"/>
    <n v="4.4120983719463748E-2"/>
    <n v="1.4978030730357896E-2"/>
    <n v="0.6006585118013158"/>
    <n v="1.5366055471811206"/>
    <n v="0.39963103331984989"/>
    <n v="2.6095876525523374"/>
    <n v="5.8957076054154829"/>
    <n v="8.49525591558427"/>
    <n v="1"/>
  </r>
  <r>
    <x v="2"/>
    <x v="6"/>
    <x v="4"/>
    <n v="327502673"/>
    <n v="17300019"/>
    <n v="969263"/>
    <n v="15841006"/>
    <n v="1599558"/>
    <n v="6791145"/>
    <n v="10118127"/>
    <n v="2957525"/>
    <n v="108581"/>
    <n v="465405"/>
    <n v="1.4210723709116109"/>
    <n v="3.6713468187082106E-2"/>
    <n v="1.0731333971198425E-2"/>
    <n v="0.60595677055786656"/>
    <n v="1.565606559395825"/>
    <n v="0.39255130297833779"/>
    <n v="4.2862471334763912"/>
    <n v="7.1053618545580539"/>
    <n v="10.238273565645612"/>
    <n v="1"/>
  </r>
  <r>
    <x v="2"/>
    <x v="6"/>
    <x v="5"/>
    <n v="327502673"/>
    <n v="17782435"/>
    <n v="857842"/>
    <n v="16476849"/>
    <n v="1583289"/>
    <n v="6819758"/>
    <n v="10474951"/>
    <n v="2905327"/>
    <n v="93042"/>
    <n v="239440"/>
    <n v="0.7311085366316995"/>
    <n v="3.2024622357483337E-2"/>
    <n v="8.882332719265227E-3"/>
    <n v="0.54181011805172652"/>
    <n v="1.5729762363566187"/>
    <n v="0.38351091962377482"/>
    <n v="2.5734614475183251"/>
    <n v="3.6555426831584974"/>
    <n v="5.2673525693926475"/>
    <n v="1"/>
  </r>
  <r>
    <x v="2"/>
    <x v="7"/>
    <x v="0"/>
    <n v="1967384912"/>
    <n v="4636779"/>
    <n v="1185381"/>
    <n v="3145358"/>
    <n v="915933"/>
    <n v="1480519"/>
    <n v="2018466"/>
    <n v="2625821"/>
    <n v="803316"/>
    <n v="571178"/>
    <n v="0.29032346264125464"/>
    <n v="0.30592945977658037"/>
    <n v="0.3979834190915279"/>
    <n v="1.2941787226794974"/>
    <n v="1.5582912964597868"/>
    <n v="0.31929902201506694"/>
    <n v="0.71102530013095722"/>
    <n v="7.2580865660313654"/>
    <n v="10.458337991399663"/>
    <n v="5"/>
  </r>
  <r>
    <x v="2"/>
    <x v="7"/>
    <x v="1"/>
    <n v="1967384912"/>
    <n v="17673814"/>
    <n v="4424012"/>
    <n v="3161589"/>
    <n v="4548918"/>
    <n v="8195441"/>
    <n v="5902875"/>
    <n v="3205007"/>
    <n v="209826"/>
    <n v="102842"/>
    <n v="5.2273451612197784E-2"/>
    <n v="6.5468187744987763E-2"/>
    <n v="3.5546407470935772E-2"/>
    <n v="0.97254160220078711"/>
    <n v="0.53560155009211607"/>
    <n v="0.46370528738165967"/>
    <n v="0.49012991716946425"/>
    <n v="1.3068362903049446"/>
    <n v="1.8830494096613035"/>
    <n v="5"/>
  </r>
  <r>
    <x v="2"/>
    <x v="7"/>
    <x v="2"/>
    <n v="1967384912"/>
    <n v="16573460"/>
    <n v="3450472"/>
    <n v="3150276"/>
    <n v="2865365"/>
    <n v="7150769"/>
    <n v="6538341"/>
    <n v="2336933"/>
    <n v="1063465"/>
    <n v="396276"/>
    <n v="0.20142270970104909"/>
    <n v="0.45506867334236795"/>
    <n v="0.16265058674669919"/>
    <n v="1.2041998139853038"/>
    <n v="0.48181580006304353"/>
    <n v="0.43145903148769177"/>
    <n v="0.37262721387163661"/>
    <n v="5.0355677425262266"/>
    <n v="7.2558613004700678"/>
    <n v="5"/>
  </r>
  <r>
    <x v="2"/>
    <x v="7"/>
    <x v="3"/>
    <n v="1967384912"/>
    <n v="16440554"/>
    <n v="3684149"/>
    <n v="3129052"/>
    <n v="3272881"/>
    <n v="5600801"/>
    <n v="7344034"/>
    <n v="10099789"/>
    <n v="836528"/>
    <n v="378542"/>
    <n v="0.19240871356240227"/>
    <n v="8.2826284786741589E-2"/>
    <n v="0.11390579074116487"/>
    <n v="1.1256593197247318"/>
    <n v="0.42606719957995837"/>
    <n v="0.34066984604046796"/>
    <n v="0.45251563605760953"/>
    <n v="4.8102178390600567"/>
    <n v="6.9311496240058457"/>
    <n v="5"/>
  </r>
  <r>
    <x v="2"/>
    <x v="7"/>
    <x v="4"/>
    <n v="1967384912"/>
    <n v="17203706"/>
    <n v="4067507"/>
    <n v="3165206"/>
    <n v="3342725"/>
    <n v="5873490"/>
    <n v="8059064"/>
    <n v="9917958"/>
    <n v="2667509"/>
    <n v="994874"/>
    <n v="0.50568345519567548"/>
    <n v="0.26895748096533578"/>
    <n v="0.33099488972912983"/>
    <n v="1.2168236992274268"/>
    <n v="0.39275106885861683"/>
    <n v="0.34140841514031917"/>
    <n v="0.37295994127854865"/>
    <n v="12.642086379891886"/>
    <n v="18.216262795233266"/>
    <n v="5"/>
  </r>
  <r>
    <x v="2"/>
    <x v="7"/>
    <x v="5"/>
    <n v="1967384912"/>
    <n v="17500232"/>
    <n v="4220454"/>
    <n v="3409116"/>
    <n v="3000384"/>
    <n v="6761203"/>
    <n v="7435025"/>
    <n v="9809511"/>
    <n v="1787147"/>
    <n v="695395"/>
    <n v="0.35346159043838393"/>
    <n v="0.18218512625145128"/>
    <n v="0.24036866049542538"/>
    <n v="1.4066379503423563"/>
    <n v="0.45852112131431971"/>
    <n v="0.38634933525452692"/>
    <n v="0.38910901005904941"/>
    <n v="8.8365397609595977"/>
    <n v="12.732766226166568"/>
    <n v="5"/>
  </r>
  <r>
    <x v="3"/>
    <x v="8"/>
    <x v="0"/>
    <n v="1413335807"/>
    <n v="20528253"/>
    <n v="12281139"/>
    <n v="2716759"/>
    <n v="7618062"/>
    <n v="10970057"/>
    <n v="2943605"/>
    <n v="17926155"/>
    <n v="64474"/>
    <n v="115500"/>
    <n v="8.1721555081212205E-2"/>
    <n v="3.5966441213969198E-3"/>
    <n v="2.1903074631276956E-2"/>
    <n v="1.6121080400763343"/>
    <n v="0.92293599175161067"/>
    <n v="0.53438824044111299"/>
    <n v="1.7914197971275243"/>
    <n v="0.40860777540606102"/>
    <n v="0.5887720106715576"/>
    <n v="1"/>
  </r>
  <r>
    <x v="3"/>
    <x v="8"/>
    <x v="1"/>
    <n v="1413335807"/>
    <n v="16858031"/>
    <n v="10093028"/>
    <n v="2317668"/>
    <n v="6547473"/>
    <n v="8262536"/>
    <n v="3048280"/>
    <n v="16145669"/>
    <n v="355210"/>
    <n v="115500"/>
    <n v="8.1721555081212205E-2"/>
    <n v="2.2000327146555525E-2"/>
    <n v="0.11652800923799651"/>
    <n v="1.5415150241933033"/>
    <n v="0.76031991811775823"/>
    <n v="0.4901246177563679"/>
    <n v="0.32515976464626561"/>
    <n v="0.40860777540606102"/>
    <n v="0.5887720106715576"/>
    <n v="1"/>
  </r>
  <r>
    <x v="3"/>
    <x v="8"/>
    <x v="2"/>
    <n v="1413335807"/>
    <n v="14138353"/>
    <n v="8991570"/>
    <n v="1785347"/>
    <n v="5480314"/>
    <n v="7838772"/>
    <n v="1488484"/>
    <n v="13401172"/>
    <n v="402617"/>
    <n v="115500"/>
    <n v="8.1721555081212205E-2"/>
    <n v="3.0043417098146341E-2"/>
    <n v="0.27048795956154048"/>
    <n v="1.6407034341462916"/>
    <n v="1.1994398327425757"/>
    <n v="0.55443317902728839"/>
    <n v="0.28687313253041974"/>
    <n v="0.40860777540606102"/>
    <n v="0.5887720106715576"/>
    <n v="1"/>
  </r>
  <r>
    <x v="3"/>
    <x v="8"/>
    <x v="3"/>
    <n v="1413335807"/>
    <n v="11080294"/>
    <n v="7354002"/>
    <n v="1334442"/>
    <n v="4904392"/>
    <n v="6387490"/>
    <n v="1169305"/>
    <n v="11334061"/>
    <n v="346574"/>
    <n v="100000"/>
    <n v="7.0754593143906669E-2"/>
    <n v="3.0578095529925239E-2"/>
    <n v="0.29639315661867521"/>
    <n v="1.4994727175152394"/>
    <n v="1.1412266260727526"/>
    <n v="0.57647297084355342"/>
    <n v="0.28853866706677361"/>
    <n v="0.35377296571953332"/>
    <n v="0.50975931659875118"/>
    <n v="1"/>
  </r>
  <r>
    <x v="3"/>
    <x v="8"/>
    <x v="4"/>
    <n v="1413335807"/>
    <n v="9458027"/>
    <n v="6772293"/>
    <n v="934592"/>
    <n v="4565564"/>
    <n v="5134248"/>
    <n v="1158428"/>
    <n v="9978406"/>
    <n v="303766"/>
    <n v="79846"/>
    <n v="5.649471244168372E-2"/>
    <n v="3.0442337182912782E-2"/>
    <n v="0.26222259821067861"/>
    <n v="1.4833420361646448"/>
    <n v="0.8067760793074753"/>
    <n v="0.54284556387923188"/>
    <n v="0.26285364392328303"/>
    <n v="0.28247356220841857"/>
    <n v="0.40702242393143889"/>
    <n v="1"/>
  </r>
  <r>
    <x v="3"/>
    <x v="8"/>
    <x v="5"/>
    <n v="1413335807"/>
    <n v="7996619"/>
    <n v="5851663"/>
    <n v="638406"/>
    <n v="4444963"/>
    <n v="4283463"/>
    <n v="550678"/>
    <n v="9149051"/>
    <n v="324201"/>
    <n v="71262"/>
    <n v="5.0421138166210772E-2"/>
    <n v="3.5435478499354744E-2"/>
    <n v="0.58873061934560666"/>
    <n v="1.316470575795569"/>
    <n v="1.1593090699101833"/>
    <n v="0.53565925799390968"/>
    <n v="0.21980808202318933"/>
    <n v="0.25210569083105383"/>
    <n v="0.36326468419460206"/>
    <n v="1"/>
  </r>
  <r>
    <x v="3"/>
    <x v="9"/>
    <x v="0"/>
    <n v="632238060"/>
    <n v="15823430"/>
    <n v="9771757"/>
    <n v="740661"/>
    <n v="3350320"/>
    <n v="6532948"/>
    <n v="8030455"/>
    <n v="2956649"/>
    <n v="559872"/>
    <n v="24908"/>
    <n v="3.9396552621333805E-2"/>
    <n v="0.18936031974035469"/>
    <n v="6.9718590042531836E-2"/>
    <n v="2.9166637813701377"/>
    <n v="9.2231511165930202E-2"/>
    <n v="0.41286547859724471"/>
    <n v="4.4488740283493367E-2"/>
    <n v="0.19698276310666901"/>
    <n v="0.2838368344476499"/>
    <n v="1"/>
  </r>
  <r>
    <x v="3"/>
    <x v="9"/>
    <x v="1"/>
    <n v="632238060"/>
    <n v="13887691"/>
    <n v="4825420"/>
    <n v="1666691"/>
    <n v="2989129"/>
    <n v="5620018"/>
    <n v="7475963"/>
    <n v="2768096"/>
    <n v="402695"/>
    <n v="0"/>
    <n v="0"/>
    <n v="0.14547725223402658"/>
    <n v="5.3865301366526293E-2"/>
    <n v="1.6143231021478164"/>
    <n v="0.22293997442202429"/>
    <n v="0.40467619851276931"/>
    <n v="0"/>
    <n v="0"/>
    <n v="0"/>
    <n v="1"/>
  </r>
  <r>
    <x v="3"/>
    <x v="9"/>
    <x v="2"/>
    <n v="632238060"/>
    <n v="12501987"/>
    <n v="3774193"/>
    <n v="1521759"/>
    <n v="1916989"/>
    <n v="4526446"/>
    <n v="7078577"/>
    <n v="4258740"/>
    <n v="256722"/>
    <n v="0"/>
    <n v="0"/>
    <n v="6.0281209935332987E-2"/>
    <n v="3.6267458840950659E-2"/>
    <n v="1.9688130709148566"/>
    <n v="0.21498092060028448"/>
    <n v="0.3620581272400939"/>
    <n v="0"/>
    <n v="0"/>
    <n v="0"/>
    <n v="1"/>
  </r>
  <r>
    <x v="3"/>
    <x v="9"/>
    <x v="3"/>
    <n v="632238060"/>
    <n v="12656511"/>
    <n v="4011689"/>
    <n v="1376971"/>
    <n v="1658867"/>
    <n v="4834039"/>
    <n v="6868366"/>
    <n v="3873683"/>
    <n v="203913"/>
    <n v="102112"/>
    <n v="0.16150878357433907"/>
    <n v="5.2640600689318147E-2"/>
    <n v="2.9688720723386026E-2"/>
    <n v="2.4183307040287136"/>
    <n v="0.20048014331210653"/>
    <n v="0.38194088402404108"/>
    <n v="0.50076258011995312"/>
    <n v="0.80754391787169533"/>
    <n v="1.1636079508237684"/>
    <n v="1"/>
  </r>
  <r>
    <x v="3"/>
    <x v="9"/>
    <x v="4"/>
    <n v="632238060"/>
    <n v="13325286"/>
    <n v="4718407"/>
    <n v="1258664"/>
    <n v="1599875"/>
    <n v="5637876"/>
    <n v="6645934"/>
    <n v="3324630"/>
    <n v="-54651"/>
    <n v="0"/>
    <n v="0"/>
    <n v="-1.6438220192923726E-2"/>
    <n v="-8.2232234024593089E-3"/>
    <n v="2.9492347839674973"/>
    <n v="0.1893885795435224"/>
    <n v="0.42309605962678776"/>
    <n v="0"/>
    <n v="0"/>
    <n v="0"/>
    <n v="1"/>
  </r>
  <r>
    <x v="3"/>
    <x v="9"/>
    <x v="5"/>
    <n v="632238060"/>
    <n v="9987182"/>
    <n v="4487508"/>
    <n v="739685"/>
    <n v="1748553"/>
    <n v="4573848"/>
    <n v="5059091"/>
    <n v="3159728"/>
    <n v="261901"/>
    <n v="0"/>
    <n v="0"/>
    <n v="8.2887197885387606E-2"/>
    <n v="5.1768390803802501E-2"/>
    <n v="2.5664123420908602"/>
    <n v="0.14620907194592864"/>
    <n v="0.4579718282895015"/>
    <n v="0"/>
    <n v="0"/>
    <n v="0"/>
    <n v="1"/>
  </r>
  <r>
    <x v="3"/>
    <x v="10"/>
    <x v="0"/>
    <n v="341794262"/>
    <n v="9948401"/>
    <n v="5257690"/>
    <n v="565965"/>
    <n v="3262136"/>
    <n v="4692564"/>
    <n v="2706133"/>
    <n v="9013779"/>
    <n v="-418437"/>
    <n v="0"/>
    <n v="0"/>
    <n v="-4.6421928028188841E-2"/>
    <n v="-0.1546254378480289"/>
    <n v="1.6117323128158973"/>
    <n v="0.20914160538303181"/>
    <n v="0.47169027464815705"/>
    <n v="0"/>
    <n v="0"/>
    <n v="0"/>
    <n v="1"/>
  </r>
  <r>
    <x v="3"/>
    <x v="10"/>
    <x v="1"/>
    <n v="341794262"/>
    <n v="7634965"/>
    <n v="4027890"/>
    <n v="474169"/>
    <n v="3107329"/>
    <n v="2269423"/>
    <n v="3079457"/>
    <n v="7963835"/>
    <n v="-163313"/>
    <n v="0"/>
    <n v="0"/>
    <n v="-2.050682868241243E-2"/>
    <n v="-5.3033050956710875E-2"/>
    <n v="1.2962547577034811"/>
    <n v="0.15397812016858817"/>
    <n v="0.29724078630353906"/>
    <n v="0"/>
    <n v="0"/>
    <n v="0"/>
    <n v="1"/>
  </r>
  <r>
    <x v="3"/>
    <x v="10"/>
    <x v="2"/>
    <n v="341794262"/>
    <n v="6613476"/>
    <n v="4142478"/>
    <n v="319636"/>
    <n v="2556308"/>
    <n v="3798332"/>
    <n v="829673"/>
    <n v="6088500"/>
    <n v="-159562"/>
    <n v="0"/>
    <n v="0"/>
    <n v="-2.6207111768087377E-2"/>
    <n v="-0.19231914260196487"/>
    <n v="1.6204925228102405"/>
    <n v="0.38525539580051416"/>
    <n v="0.57433216662463127"/>
    <n v="0"/>
    <n v="0"/>
    <n v="0"/>
    <n v="1"/>
  </r>
  <r>
    <x v="3"/>
    <x v="10"/>
    <x v="3"/>
    <n v="341794262"/>
    <n v="4786747"/>
    <n v="3136775"/>
    <n v="262015"/>
    <n v="1647391"/>
    <n v="2797056"/>
    <n v="969013"/>
    <n v="4812439"/>
    <n v="-170667"/>
    <n v="0"/>
    <n v="0"/>
    <n v="-3.5463722241466336E-2"/>
    <n v="-0.17612457211616356"/>
    <n v="1.9040865222645991"/>
    <n v="0.27039368924875107"/>
    <n v="0.5843333687784209"/>
    <n v="0"/>
    <n v="0"/>
    <n v="0"/>
    <n v="1"/>
  </r>
  <r>
    <x v="3"/>
    <x v="10"/>
    <x v="4"/>
    <n v="341794262"/>
    <n v="4090027"/>
    <n v="2801029"/>
    <n v="213037"/>
    <n v="1400221"/>
    <n v="2145625"/>
    <n v="1138848"/>
    <n v="4232137"/>
    <n v="-89168"/>
    <n v="0"/>
    <n v="0"/>
    <n v="-2.1069261226656887E-2"/>
    <n v="-7.8296664699766788E-2"/>
    <n v="2.0004192195374872"/>
    <n v="0.18706359408806092"/>
    <n v="0.52459922636207534"/>
    <n v="0"/>
    <n v="0"/>
    <n v="0"/>
    <n v="1"/>
  </r>
  <r>
    <x v="3"/>
    <x v="10"/>
    <x v="5"/>
    <n v="341794262"/>
    <n v="3212014"/>
    <n v="2324298"/>
    <n v="131949"/>
    <n v="1400288"/>
    <n v="2127671"/>
    <n v="225945"/>
    <n v="4073569"/>
    <n v="33587"/>
    <n v="6186"/>
    <n v="1.8098606933313586E-2"/>
    <n v="8.2451039862096367E-3"/>
    <n v="0.1486512204297506"/>
    <n v="1.659871397883864"/>
    <n v="0.58398725353515235"/>
    <n v="0.66241025101384987"/>
    <n v="0.18417840235805519"/>
    <n v="9.0493034666567926E-2"/>
    <n v="0.13039342170975204"/>
    <n v="1"/>
  </r>
  <r>
    <x v="1"/>
    <x v="11"/>
    <x v="0"/>
    <n v="273500000"/>
    <n v="3712812"/>
    <n v="2107312"/>
    <n v="20266"/>
    <n v="1258696"/>
    <n v="1754318"/>
    <n v="1712013"/>
    <n v="1271749"/>
    <n v="292905"/>
    <n v="28000"/>
    <n v="0.10237659963436929"/>
    <n v="0.23031667412358886"/>
    <n v="0.17108807000881418"/>
    <n v="1.6742025079923986"/>
    <n v="1.1837526934666968E-2"/>
    <n v="0.47250385960829688"/>
    <n v="9.5594134617025997E-2"/>
    <n v="0.51188299817184646"/>
    <n v="0.73758357085280468"/>
    <n v="1"/>
  </r>
  <r>
    <x v="1"/>
    <x v="11"/>
    <x v="1"/>
    <n v="273500000"/>
    <n v="4798379"/>
    <n v="3123812"/>
    <n v="57349"/>
    <n v="1833577"/>
    <n v="2819185"/>
    <n v="1700318"/>
    <n v="1612505"/>
    <n v="211790"/>
    <n v="36896"/>
    <n v="0.13490310786106033"/>
    <n v="0.13134222839619103"/>
    <n v="0.12455905307124902"/>
    <n v="1.7036710211788215"/>
    <n v="3.3728396688148921E-2"/>
    <n v="0.58752862164493469"/>
    <n v="0.1742103026582936"/>
    <n v="0.67451553930530161"/>
    <n v="0.97192440822089565"/>
    <n v="1"/>
  </r>
  <r>
    <x v="1"/>
    <x v="11"/>
    <x v="2"/>
    <n v="273500000"/>
    <n v="4690095"/>
    <n v="3288973"/>
    <n v="66246"/>
    <n v="1620124"/>
    <n v="2855182"/>
    <n v="1579047"/>
    <n v="1832249"/>
    <n v="285449"/>
    <n v="84035"/>
    <n v="0.30725776965265084"/>
    <n v="0.15579159819435023"/>
    <n v="0.18077295989289743"/>
    <n v="2.0300748584676236"/>
    <n v="4.1953152756061089E-2"/>
    <n v="0.60876847910330179"/>
    <n v="0.29439584654351564"/>
    <n v="1.5362888482632542"/>
    <n v="2.21367269202198"/>
    <n v="1"/>
  </r>
  <r>
    <x v="1"/>
    <x v="11"/>
    <x v="3"/>
    <n v="273500000"/>
    <n v="4167991"/>
    <n v="2710386"/>
    <n v="71436"/>
    <n v="1407416"/>
    <n v="2485778"/>
    <n v="1433298"/>
    <n v="1355405"/>
    <n v="-170948"/>
    <n v="0"/>
    <n v="0"/>
    <n v="-0.12612318827214006"/>
    <n v="-0.11926898663083323"/>
    <n v="1.9257888214998267"/>
    <n v="4.9840298388750981E-2"/>
    <n v="0.59639716112630758"/>
    <n v="0"/>
    <n v="0"/>
    <n v="0"/>
    <n v="1"/>
  </r>
  <r>
    <x v="1"/>
    <x v="11"/>
    <x v="4"/>
    <n v="273500000"/>
    <n v="3943761"/>
    <n v="2681117"/>
    <n v="40171"/>
    <n v="1066987"/>
    <n v="2076173"/>
    <n v="1632314"/>
    <n v="1596145"/>
    <n v="144411"/>
    <n v="54876"/>
    <n v="0.2006435100548446"/>
    <n v="9.0474862872733999E-2"/>
    <n v="8.8470110530204357E-2"/>
    <n v="2.5127925644829787"/>
    <n v="2.460984835025614E-2"/>
    <n v="0.52644493416309968"/>
    <n v="0.37999875355755447"/>
    <n v="1.0032175502742229"/>
    <n v="1.4455584297899466"/>
    <n v="1"/>
  </r>
  <r>
    <x v="1"/>
    <x v="11"/>
    <x v="5"/>
    <n v="273500000"/>
    <n v="3135070"/>
    <n v="1901013"/>
    <n v="36022"/>
    <n v="856221"/>
    <n v="1741766"/>
    <n v="1195384"/>
    <n v="1415218"/>
    <n v="200048"/>
    <n v="47512"/>
    <n v="0.17371846435100549"/>
    <n v="0.14135490079973545"/>
    <n v="0.16735040790239789"/>
    <n v="2.2202363642097076"/>
    <n v="3.0134249747361518E-2"/>
    <n v="0.55557483564960275"/>
    <n v="0.23750299928017277"/>
    <n v="0.86859232175502743"/>
    <n v="1.2515739506556591"/>
    <n v="1"/>
  </r>
  <r>
    <x v="4"/>
    <x v="12"/>
    <x v="0"/>
    <n v="2865417020"/>
    <n v="1388864529"/>
    <n v="1388864529"/>
    <n v="7411947"/>
    <n v="1388864529"/>
    <m/>
    <n v="86229994"/>
    <n v="182368871"/>
    <n v="15798039"/>
    <n v="4484285"/>
    <n v="1.5649676709186295"/>
    <n v="8.6626839950114068E-2"/>
    <n v="0.18320816536297102"/>
    <n v="1"/>
    <n v="8.5955555093741517E-2"/>
    <n v="0"/>
    <n v="0.28385073615782314"/>
    <n v="7.8248383545931475"/>
    <n v="11.274983219874851"/>
    <n v="1"/>
  </r>
  <r>
    <x v="4"/>
    <x v="12"/>
    <x v="1"/>
    <n v="2865417020"/>
    <n v="1278136948"/>
    <n v="1278136948"/>
    <n v="7179878"/>
    <n v="1278136948"/>
    <m/>
    <n v="85440036"/>
    <n v="137778601"/>
    <n v="13343496"/>
    <n v="4141713"/>
    <n v="1.4454136940946907"/>
    <n v="9.6847376175637032E-2"/>
    <n v="0.1561738106009225"/>
    <n v="1"/>
    <n v="8.4034117214089182E-2"/>
    <n v="0"/>
    <n v="0.31039189429816594"/>
    <n v="7.2270684704734531"/>
    <n v="10.413643329212467"/>
    <n v="1"/>
  </r>
  <r>
    <x v="4"/>
    <x v="12"/>
    <x v="2"/>
    <n v="2865417020"/>
    <n v="1162167882"/>
    <n v="1162167882"/>
    <n v="6575390"/>
    <n v="1162167882"/>
    <m/>
    <n v="76381996"/>
    <n v="104582211"/>
    <n v="11288834"/>
    <n v="5856986"/>
    <n v="2.0440256894963231"/>
    <n v="0.10794220061000623"/>
    <n v="0.14779443574635048"/>
    <n v="1"/>
    <n v="8.6085600591008379E-2"/>
    <n v="0"/>
    <n v="0.51883002265778733"/>
    <n v="10.220128447481615"/>
    <n v="14.726409866688206"/>
    <n v="1"/>
  </r>
  <r>
    <x v="4"/>
    <x v="12"/>
    <x v="3"/>
    <n v="2865417020"/>
    <n v="1136007475"/>
    <n v="1136007475"/>
    <n v="7299814"/>
    <n v="1136007475"/>
    <m/>
    <n v="69898229"/>
    <n v="107931378"/>
    <n v="11438200"/>
    <n v="4438295"/>
    <n v="1.5489176510859142"/>
    <n v="0.1059765956105925"/>
    <n v="0.16364076978259348"/>
    <n v="1"/>
    <n v="0.10443489204855247"/>
    <n v="0"/>
    <n v="0.38802390236225981"/>
    <n v="7.7445882554295702"/>
    <n v="11.159349071224165"/>
    <n v="1"/>
  </r>
  <r>
    <x v="4"/>
    <x v="12"/>
    <x v="4"/>
    <n v="2865417020"/>
    <n v="966823068"/>
    <n v="966823068"/>
    <n v="6194386"/>
    <n v="966823068"/>
    <m/>
    <n v="63269224"/>
    <n v="106919760"/>
    <n v="12736912"/>
    <n v="4089194"/>
    <n v="1.4270851228488899"/>
    <n v="0.11912589403492863"/>
    <n v="0.20131291637147311"/>
    <n v="1"/>
    <n v="9.7905199532714357E-2"/>
    <n v="0"/>
    <n v="0.32105065968894186"/>
    <n v="7.1354256142444488"/>
    <n v="10.281593104098629"/>
    <n v="1"/>
  </r>
  <r>
    <x v="4"/>
    <x v="12"/>
    <x v="5"/>
    <n v="2865417020"/>
    <n v="802819795"/>
    <n v="802819795"/>
    <n v="5553136"/>
    <n v="802819795"/>
    <m/>
    <n v="54418937"/>
    <n v="85143206"/>
    <n v="11330345"/>
    <n v="3885445"/>
    <n v="1.3559788934317141"/>
    <n v="0.13307397656602218"/>
    <n v="0.20820592287570777"/>
    <n v="1"/>
    <n v="0.10204418362674009"/>
    <n v="0"/>
    <n v="0.34292380329107364"/>
    <n v="6.7798944671585701"/>
    <n v="9.7693003849547111"/>
    <n v="1"/>
  </r>
  <r>
    <x v="0"/>
    <x v="13"/>
    <x v="0"/>
    <n v="345767870"/>
    <n v="2621368"/>
    <n v="863895"/>
    <n v="373298"/>
    <n v="1589799"/>
    <n v="1619686"/>
    <n v="170694"/>
    <n v="3209384"/>
    <n v="-226778"/>
    <n v="0"/>
    <n v="0"/>
    <n v="-7.0660911875923854E-2"/>
    <n v="-1.3285645658312535"/>
    <n v="0.5433988825002406"/>
    <n v="2.1869427162056079"/>
    <n v="0.61787814606724423"/>
    <n v="0"/>
    <n v="0"/>
    <n v="0"/>
    <n v="1"/>
  </r>
  <r>
    <x v="0"/>
    <x v="13"/>
    <x v="1"/>
    <n v="345767870"/>
    <n v="2653754"/>
    <n v="948876"/>
    <n v="448575"/>
    <n v="1005819"/>
    <n v="1499796"/>
    <n v="395783"/>
    <n v="3452231"/>
    <n v="96646"/>
    <n v="24162"/>
    <n v="6.9879251649379678E-2"/>
    <n v="2.799522975142741E-2"/>
    <n v="0.24418936639522162"/>
    <n v="0.94338643433858382"/>
    <n v="1.1333862242693598"/>
    <n v="0.56516014672045711"/>
    <n v="0.25000517351985596"/>
    <n v="0.34939625824689835"/>
    <n v="0.50345282168140981"/>
    <n v="1"/>
  </r>
  <r>
    <x v="0"/>
    <x v="13"/>
    <x v="2"/>
    <n v="345767870"/>
    <n v="2638616"/>
    <n v="918194"/>
    <n v="508411"/>
    <n v="933277"/>
    <n v="1319305"/>
    <n v="438249"/>
    <n v="3617962"/>
    <n v="103620"/>
    <n v="25564"/>
    <n v="7.3933995081729251E-2"/>
    <n v="2.8640433481612024E-2"/>
    <n v="0.23644092741797471"/>
    <n v="0.9838386674052827"/>
    <n v="1.1600962010181426"/>
    <n v="0.49999886304032115"/>
    <n v="0.24670912951167728"/>
    <n v="0.36966997540864621"/>
    <n v="0.53266567061764591"/>
    <n v="1"/>
  </r>
  <r>
    <x v="0"/>
    <x v="13"/>
    <x v="3"/>
    <n v="345767870"/>
    <n v="2479819"/>
    <n v="867306"/>
    <n v="542446"/>
    <n v="823782"/>
    <n v="1215903"/>
    <n v="504422"/>
    <n v="3619013"/>
    <n v="50303"/>
    <n v="44527"/>
    <n v="0.12877714751228911"/>
    <n v="1.3899646118983269E-2"/>
    <n v="9.9724040585065676E-2"/>
    <n v="1.0528343663736279"/>
    <n v="1.075381327539243"/>
    <n v="0.49031925313903957"/>
    <n v="0.88517583444327375"/>
    <n v="0.64388573756144551"/>
    <n v="0.92778924720669387"/>
    <n v="1"/>
  </r>
  <r>
    <x v="0"/>
    <x v="13"/>
    <x v="4"/>
    <n v="345767870"/>
    <n v="2647457"/>
    <n v="1120650"/>
    <n v="519913"/>
    <n v="1150354"/>
    <n v="1419120"/>
    <n v="498141"/>
    <n v="2956199"/>
    <n v="23285"/>
    <n v="19874"/>
    <n v="5.7477868027471728E-2"/>
    <n v="7.8766686545797496E-3"/>
    <n v="4.6743793423950249E-2"/>
    <n v="0.97417838334982099"/>
    <n v="1.0437065007698623"/>
    <n v="0.53603136897029868"/>
    <n v="0.85351084389091691"/>
    <n v="0.28738934013735862"/>
    <n v="0.41410567743135246"/>
    <n v="1"/>
  </r>
  <r>
    <x v="0"/>
    <x v="13"/>
    <x v="5"/>
    <n v="345767870"/>
    <n v="1378557"/>
    <n v="602073"/>
    <n v="405873"/>
    <n v="504476"/>
    <n v="512498"/>
    <n v="420971"/>
    <n v="2397309"/>
    <n v="109053"/>
    <n v="100000"/>
    <n v="0.2892113717795699"/>
    <n v="4.5489755388229053E-2"/>
    <n v="0.25905109853172786"/>
    <n v="1.1934621270387491"/>
    <n v="0.96413529673065368"/>
    <n v="0.37176409825636519"/>
    <n v="0.91698531906504177"/>
    <n v="1.4460568588978495"/>
    <n v="2.083655416279321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13" applyNumberFormats="0" applyBorderFormats="0" applyFontFormats="0" applyPatternFormats="0" applyAlignmentFormats="0" applyWidthHeightFormats="1" dataCaption="Valores" updatedVersion="4" minRefreshableVersion="3" showCalcMbrs="0" useAutoFormatting="1" itemPrintTitles="1" createdVersion="3" indent="0" outline="1" outlineData="1" multipleFieldFilters="0" chartFormat="2">
  <location ref="A7:J28" firstHeaderRow="1" firstDataRow="2" firstDataCol="1"/>
  <pivotFields count="23">
    <pivotField axis="axisRow" showAll="0" sortType="ascending">
      <items count="10">
        <item m="1" x="8"/>
        <item x="0"/>
        <item m="1" x="7"/>
        <item x="1"/>
        <item x="3"/>
        <item m="1" x="5"/>
        <item x="4"/>
        <item m="1" x="6"/>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5"/>
        <item sd="0" x="4"/>
        <item sd="0" x="3"/>
        <item sd="0" x="2"/>
        <item sd="0" x="1"/>
        <item sd="0" x="0"/>
        <item t="default"/>
      </items>
    </pivotField>
    <pivotField numFmtId="166"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164" showAll="0"/>
    <pivotField dataField="1" numFmtId="10" showAll="0"/>
    <pivotField dataField="1" numFmtId="10" showAll="0"/>
    <pivotField dataField="1" numFmtId="165" showAll="0"/>
    <pivotField dataField="1" numFmtId="10" showAll="0"/>
    <pivotField dataField="1" numFmtId="10" showAll="0"/>
    <pivotField dataField="1" numFmtId="10" showAll="0"/>
    <pivotField dataField="1" numFmtId="164" showAll="0" defaultSubtotal="0"/>
    <pivotField dataField="1" numFmtId="164" showAll="0" defaultSubtotal="0"/>
    <pivotField showAll="0" defaultSubtotal="0"/>
  </pivotFields>
  <rowFields count="3">
    <field x="0"/>
    <field x="1"/>
    <field x="2"/>
  </rowFields>
  <rowItems count="20">
    <i>
      <x v="1"/>
    </i>
    <i r="1">
      <x/>
    </i>
    <i r="1">
      <x v="2"/>
    </i>
    <i r="1">
      <x v="13"/>
    </i>
    <i>
      <x v="3"/>
    </i>
    <i r="1">
      <x v="1"/>
    </i>
    <i r="1">
      <x v="11"/>
    </i>
    <i>
      <x v="4"/>
    </i>
    <i r="1">
      <x v="4"/>
    </i>
    <i r="1">
      <x v="8"/>
    </i>
    <i r="1">
      <x v="9"/>
    </i>
    <i r="1">
      <x v="10"/>
    </i>
    <i>
      <x v="6"/>
    </i>
    <i r="1">
      <x v="12"/>
    </i>
    <i>
      <x v="8"/>
    </i>
    <i r="1">
      <x v="3"/>
    </i>
    <i r="1">
      <x v="5"/>
    </i>
    <i r="1">
      <x v="6"/>
    </i>
    <i r="1">
      <x v="7"/>
    </i>
    <i t="grand">
      <x/>
    </i>
  </rowItems>
  <colFields count="1">
    <field x="-2"/>
  </colFields>
  <colItems count="9">
    <i>
      <x/>
    </i>
    <i i="1">
      <x v="1"/>
    </i>
    <i i="2">
      <x v="2"/>
    </i>
    <i i="3">
      <x v="3"/>
    </i>
    <i i="4">
      <x v="4"/>
    </i>
    <i i="5">
      <x v="5"/>
    </i>
    <i i="6">
      <x v="6"/>
    </i>
    <i i="7">
      <x v="7"/>
    </i>
    <i i="8">
      <x v="8"/>
    </i>
  </colItems>
  <dataFields count="9">
    <dataField name="*Payout" fld="19" subtotal="average" baseField="0" baseItem="0" numFmtId="10"/>
    <dataField name="*Compra [20%]" fld="20" subtotal="average" baseField="0" baseItem="0" numFmtId="164"/>
    <dataField name="*Compra [CDI]" fld="21" subtotal="average" baseField="0" baseItem="0" numFmtId="164"/>
    <dataField name="*MLL" fld="14" subtotal="average" baseField="0" baseItem="0" numFmtId="10"/>
    <dataField name="*ROE" fld="15" subtotal="average" baseField="0" baseItem="0" numFmtId="10"/>
    <dataField name="*LC" fld="16" subtotal="average" baseField="0" baseItem="0" numFmtId="2"/>
    <dataField name="*IPL" fld="17" subtotal="average" baseField="0" baseItem="0" numFmtId="10"/>
    <dataField name="*EO" fld="18" subtotal="average" baseField="0" baseItem="0" numFmtId="10"/>
    <dataField name="Total" fld="4" subtotal="count" baseField="0" baseItem="0"/>
  </dataFields>
  <formats count="40">
    <format dxfId="128">
      <pivotArea collapsedLevelsAreSubtotals="1" fieldPosition="0">
        <references count="3">
          <reference field="4294967294" count="1" selected="0">
            <x v="6"/>
          </reference>
          <reference field="0" count="1" selected="0">
            <x v="0"/>
          </reference>
          <reference field="1" count="1">
            <x v="2"/>
          </reference>
        </references>
      </pivotArea>
    </format>
    <format dxfId="127">
      <pivotArea collapsedLevelsAreSubtotals="1" fieldPosition="0">
        <references count="3">
          <reference field="4294967294" count="1" selected="0">
            <x v="3"/>
          </reference>
          <reference field="0" count="1" selected="0">
            <x v="2"/>
          </reference>
          <reference field="1" count="1">
            <x v="4"/>
          </reference>
        </references>
      </pivotArea>
    </format>
    <format dxfId="126">
      <pivotArea collapsedLevelsAreSubtotals="1" fieldPosition="0">
        <references count="3">
          <reference field="4294967294" count="1" selected="0">
            <x v="5"/>
          </reference>
          <reference field="0" count="1" selected="0">
            <x v="7"/>
          </reference>
          <reference field="1" count="1">
            <x v="3"/>
          </reference>
        </references>
      </pivotArea>
    </format>
    <format dxfId="125">
      <pivotArea collapsedLevelsAreSubtotals="1" fieldPosition="0">
        <references count="3">
          <reference field="4294967294" count="1" selected="0">
            <x v="5"/>
          </reference>
          <reference field="0" count="1" selected="0">
            <x v="7"/>
          </reference>
          <reference field="1" count="1">
            <x v="6"/>
          </reference>
        </references>
      </pivotArea>
    </format>
    <format dxfId="124">
      <pivotArea dataOnly="0" labelOnly="1" fieldPosition="0">
        <references count="2">
          <reference field="0" count="1" selected="0">
            <x v="7"/>
          </reference>
          <reference field="1" count="1">
            <x v="6"/>
          </reference>
        </references>
      </pivotArea>
    </format>
    <format dxfId="123">
      <pivotArea dataOnly="0" labelOnly="1" fieldPosition="0">
        <references count="2">
          <reference field="0" count="1" selected="0">
            <x v="2"/>
          </reference>
          <reference field="1" count="1">
            <x v="4"/>
          </reference>
        </references>
      </pivotArea>
    </format>
    <format dxfId="122">
      <pivotArea dataOnly="0" labelOnly="1" fieldPosition="0">
        <references count="2">
          <reference field="0" count="1" selected="0">
            <x v="0"/>
          </reference>
          <reference field="1" count="1">
            <x v="2"/>
          </reference>
        </references>
      </pivotArea>
    </format>
    <format dxfId="121">
      <pivotArea dataOnly="0" labelOnly="1" fieldPosition="0">
        <references count="2">
          <reference field="0" count="1" selected="0">
            <x v="7"/>
          </reference>
          <reference field="1" count="1">
            <x v="3"/>
          </reference>
        </references>
      </pivotArea>
    </format>
    <format dxfId="120">
      <pivotArea collapsedLevelsAreSubtotals="1" fieldPosition="0">
        <references count="3">
          <reference field="4294967294" count="1" selected="0">
            <x v="6"/>
          </reference>
          <reference field="0" count="1" selected="0">
            <x v="7"/>
          </reference>
          <reference field="1" count="1">
            <x v="6"/>
          </reference>
        </references>
      </pivotArea>
    </format>
    <format dxfId="119">
      <pivotArea dataOnly="0" labelOnly="1" fieldPosition="0">
        <references count="2">
          <reference field="0" count="1" selected="0">
            <x v="2"/>
          </reference>
          <reference field="1" count="1">
            <x v="1"/>
          </reference>
        </references>
      </pivotArea>
    </format>
    <format dxfId="118">
      <pivotArea outline="0" fieldPosition="0">
        <references count="1">
          <reference field="4294967294" count="1">
            <x v="7"/>
          </reference>
        </references>
      </pivotArea>
    </format>
    <format dxfId="117">
      <pivotArea collapsedLevelsAreSubtotals="1" fieldPosition="0">
        <references count="3">
          <reference field="4294967294" count="1" selected="0">
            <x v="3"/>
          </reference>
          <reference field="0" count="1" selected="0">
            <x v="2"/>
          </reference>
          <reference field="1" count="1">
            <x v="8"/>
          </reference>
        </references>
      </pivotArea>
    </format>
    <format dxfId="116">
      <pivotArea collapsedLevelsAreSubtotals="1" fieldPosition="0">
        <references count="3">
          <reference field="4294967294" count="1" selected="0">
            <x v="6"/>
          </reference>
          <reference field="0" count="1" selected="0">
            <x v="2"/>
          </reference>
          <reference field="1" count="1">
            <x v="8"/>
          </reference>
        </references>
      </pivotArea>
    </format>
    <format dxfId="115">
      <pivotArea dataOnly="0" labelOnly="1" fieldPosition="0">
        <references count="2">
          <reference field="0" count="1" selected="0">
            <x v="2"/>
          </reference>
          <reference field="1" count="1">
            <x v="8"/>
          </reference>
        </references>
      </pivotArea>
    </format>
    <format dxfId="114">
      <pivotArea collapsedLevelsAreSubtotals="1" fieldPosition="0">
        <references count="3">
          <reference field="4294967294" count="1" selected="0">
            <x v="7"/>
          </reference>
          <reference field="0" count="1" selected="0">
            <x v="2"/>
          </reference>
          <reference field="1" count="1">
            <x v="1"/>
          </reference>
        </references>
      </pivotArea>
    </format>
    <format dxfId="113">
      <pivotArea collapsedLevelsAreSubtotals="1" fieldPosition="0">
        <references count="3">
          <reference field="4294967294" count="1" selected="0">
            <x v="4"/>
          </reference>
          <reference field="0" count="1" selected="0">
            <x v="2"/>
          </reference>
          <reference field="1" count="1">
            <x v="9"/>
          </reference>
        </references>
      </pivotArea>
    </format>
    <format dxfId="112">
      <pivotArea dataOnly="0" labelOnly="1" fieldPosition="0">
        <references count="2">
          <reference field="0" count="1" selected="0">
            <x v="2"/>
          </reference>
          <reference field="1" count="1">
            <x v="9"/>
          </reference>
        </references>
      </pivotArea>
    </format>
    <format dxfId="111">
      <pivotArea collapsedLevelsAreSubtotals="1" fieldPosition="0">
        <references count="3">
          <reference field="4294967294" count="1" selected="0">
            <x v="7"/>
          </reference>
          <reference field="0" count="1" selected="0">
            <x v="2"/>
          </reference>
          <reference field="1" count="1">
            <x v="8"/>
          </reference>
        </references>
      </pivotArea>
    </format>
    <format dxfId="110">
      <pivotArea collapsedLevelsAreSubtotals="1" fieldPosition="0">
        <references count="3">
          <reference field="4294967294" count="1" selected="0">
            <x v="3"/>
          </reference>
          <reference field="0" count="1" selected="0">
            <x v="2"/>
          </reference>
          <reference field="1" count="1">
            <x v="10"/>
          </reference>
        </references>
      </pivotArea>
    </format>
    <format dxfId="109">
      <pivotArea collapsedLevelsAreSubtotals="1" fieldPosition="0">
        <references count="3">
          <reference field="4294967294" count="1" selected="0">
            <x v="4"/>
          </reference>
          <reference field="0" count="1" selected="0">
            <x v="2"/>
          </reference>
          <reference field="1" count="1">
            <x v="10"/>
          </reference>
        </references>
      </pivotArea>
    </format>
    <format dxfId="108">
      <pivotArea collapsedLevelsAreSubtotals="1" fieldPosition="0">
        <references count="3">
          <reference field="4294967294" count="1" selected="0">
            <x v="4"/>
          </reference>
          <reference field="0" count="1" selected="0">
            <x v="2"/>
          </reference>
          <reference field="1" count="1">
            <x v="4"/>
          </reference>
        </references>
      </pivotArea>
    </format>
    <format dxfId="107">
      <pivotArea collapsedLevelsAreSubtotals="1" fieldPosition="0">
        <references count="3">
          <reference field="4294967294" count="1" selected="0">
            <x v="7"/>
          </reference>
          <reference field="0" count="1" selected="0">
            <x v="2"/>
          </reference>
          <reference field="1" count="1">
            <x v="10"/>
          </reference>
        </references>
      </pivotArea>
    </format>
    <format dxfId="106">
      <pivotArea dataOnly="0" labelOnly="1" fieldPosition="0">
        <references count="2">
          <reference field="0" count="1" selected="0">
            <x v="2"/>
          </reference>
          <reference field="1" count="1">
            <x v="10"/>
          </reference>
        </references>
      </pivotArea>
    </format>
    <format dxfId="105">
      <pivotArea collapsedLevelsAreSubtotals="1" fieldPosition="0">
        <references count="3">
          <reference field="4294967294" count="2" selected="0">
            <x v="3"/>
            <x v="4"/>
          </reference>
          <reference field="0" count="1" selected="0">
            <x v="4"/>
          </reference>
          <reference field="1" count="1">
            <x v="10"/>
          </reference>
        </references>
      </pivotArea>
    </format>
    <format dxfId="104">
      <pivotArea dataOnly="0" labelOnly="1" fieldPosition="0">
        <references count="2">
          <reference field="0" count="1" selected="0">
            <x v="4"/>
          </reference>
          <reference field="1" count="1">
            <x v="10"/>
          </reference>
        </references>
      </pivotArea>
    </format>
    <format dxfId="103">
      <pivotArea collapsedLevelsAreSubtotals="1" fieldPosition="0">
        <references count="3">
          <reference field="4294967294" count="1" selected="0">
            <x v="6"/>
          </reference>
          <reference field="0" count="1" selected="0">
            <x v="4"/>
          </reference>
          <reference field="1" count="1">
            <x v="8"/>
          </reference>
        </references>
      </pivotArea>
    </format>
    <format dxfId="102">
      <pivotArea collapsedLevelsAreSubtotals="1" fieldPosition="0">
        <references count="3">
          <reference field="4294967294" count="1" selected="0">
            <x v="4"/>
          </reference>
          <reference field="0" count="1" selected="0">
            <x v="4"/>
          </reference>
          <reference field="1" count="1">
            <x v="9"/>
          </reference>
        </references>
      </pivotArea>
    </format>
    <format dxfId="101">
      <pivotArea dataOnly="0" labelOnly="1" fieldPosition="0">
        <references count="2">
          <reference field="0" count="1" selected="0">
            <x v="4"/>
          </reference>
          <reference field="1" count="2">
            <x v="8"/>
            <x v="9"/>
          </reference>
        </references>
      </pivotArea>
    </format>
    <format dxfId="100">
      <pivotArea collapsedLevelsAreSubtotals="1" fieldPosition="0">
        <references count="3">
          <reference field="4294967294" count="1" selected="0">
            <x v="5"/>
          </reference>
          <reference field="0" count="1" selected="0">
            <x v="8"/>
          </reference>
          <reference field="1" count="1">
            <x v="3"/>
          </reference>
        </references>
      </pivotArea>
    </format>
    <format dxfId="99">
      <pivotArea collapsedLevelsAreSubtotals="1" fieldPosition="0">
        <references count="3">
          <reference field="4294967294" count="1" selected="0">
            <x v="5"/>
          </reference>
          <reference field="0" count="1" selected="0">
            <x v="8"/>
          </reference>
          <reference field="1" count="1">
            <x v="6"/>
          </reference>
        </references>
      </pivotArea>
    </format>
    <format dxfId="98">
      <pivotArea dataOnly="0" labelOnly="1" fieldPosition="0">
        <references count="2">
          <reference field="0" count="1" selected="0">
            <x v="8"/>
          </reference>
          <reference field="1" count="1">
            <x v="3"/>
          </reference>
        </references>
      </pivotArea>
    </format>
    <format dxfId="97">
      <pivotArea dataOnly="0" labelOnly="1" fieldPosition="0">
        <references count="2">
          <reference field="0" count="1" selected="0">
            <x v="8"/>
          </reference>
          <reference field="1" count="1">
            <x v="6"/>
          </reference>
        </references>
      </pivotArea>
    </format>
    <format dxfId="7">
      <pivotArea collapsedLevelsAreSubtotals="1" fieldPosition="0">
        <references count="3">
          <reference field="4294967294" count="1" selected="0">
            <x v="3"/>
          </reference>
          <reference field="0" count="1" selected="0">
            <x v="1"/>
          </reference>
          <reference field="1" count="1">
            <x v="13"/>
          </reference>
        </references>
      </pivotArea>
    </format>
    <format dxfId="6">
      <pivotArea collapsedLevelsAreSubtotals="1" fieldPosition="0">
        <references count="3">
          <reference field="4294967294" count="1" selected="0">
            <x v="4"/>
          </reference>
          <reference field="0" count="1" selected="0">
            <x v="1"/>
          </reference>
          <reference field="1" count="1">
            <x v="13"/>
          </reference>
        </references>
      </pivotArea>
    </format>
    <format dxfId="5">
      <pivotArea collapsedLevelsAreSubtotals="1" fieldPosition="0">
        <references count="3">
          <reference field="4294967294" count="1" selected="0">
            <x v="5"/>
          </reference>
          <reference field="0" count="1" selected="0">
            <x v="1"/>
          </reference>
          <reference field="1" count="1">
            <x v="13"/>
          </reference>
        </references>
      </pivotArea>
    </format>
    <format dxfId="4">
      <pivotArea collapsedLevelsAreSubtotals="1" fieldPosition="0">
        <references count="3">
          <reference field="4294967294" count="1" selected="0">
            <x v="6"/>
          </reference>
          <reference field="0" count="1" selected="0">
            <x v="1"/>
          </reference>
          <reference field="1" count="1">
            <x v="13"/>
          </reference>
        </references>
      </pivotArea>
    </format>
    <format dxfId="3">
      <pivotArea collapsedLevelsAreSubtotals="1" fieldPosition="0">
        <references count="3">
          <reference field="4294967294" count="1" selected="0">
            <x v="7"/>
          </reference>
          <reference field="0" count="1" selected="0">
            <x v="1"/>
          </reference>
          <reference field="1" count="1">
            <x v="13"/>
          </reference>
        </references>
      </pivotArea>
    </format>
    <format dxfId="2">
      <pivotArea collapsedLevelsAreSubtotals="1" fieldPosition="0">
        <references count="3">
          <reference field="4294967294" count="1" selected="0">
            <x v="7"/>
          </reference>
          <reference field="0" count="1" selected="0">
            <x v="1"/>
          </reference>
          <reference field="1" count="1">
            <x v="2"/>
          </reference>
        </references>
      </pivotArea>
    </format>
    <format dxfId="1">
      <pivotArea collapsedLevelsAreSubtotals="1" fieldPosition="0">
        <references count="3">
          <reference field="4294967294" count="1" selected="0">
            <x v="6"/>
          </reference>
          <reference field="0" count="1" selected="0">
            <x v="1"/>
          </reference>
          <reference field="1" count="1">
            <x v="2"/>
          </reference>
        </references>
      </pivotArea>
    </format>
    <format dxfId="0">
      <pivotArea dataOnly="0" labelOnly="1" fieldPosition="0">
        <references count="2">
          <reference field="0" count="1" selected="0">
            <x v="1"/>
          </reference>
          <reference field="1" count="2">
            <x v="2"/>
            <x v="13"/>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13" applyNumberFormats="0" applyBorderFormats="0" applyFontFormats="0" applyPatternFormats="0" applyAlignmentFormats="0" applyWidthHeightFormats="1" dataCaption="Valores" updatedVersion="4" minRefreshableVersion="3" showCalcMbrs="0" useAutoFormatting="1" itemPrintTitles="1" createdVersion="3" indent="0" outline="1" outlineData="1" multipleFieldFilters="0" chartFormat="1">
  <location ref="A3:E12" firstHeaderRow="1" firstDataRow="2" firstDataCol="1"/>
  <pivotFields count="23">
    <pivotField axis="axisRow" showAll="0">
      <items count="10">
        <item h="1" m="1" x="8"/>
        <item x="0"/>
        <item h="1" m="1" x="7"/>
        <item h="1" x="1"/>
        <item h="1" x="3"/>
        <item h="1" m="1" x="5"/>
        <item h="1" x="4"/>
        <item h="1" m="1" x="6"/>
        <item h="1" x="2"/>
        <item t="default"/>
      </items>
    </pivotField>
    <pivotField axis="axisCol" showAll="0">
      <items count="15">
        <item x="7"/>
        <item x="10"/>
        <item x="12"/>
        <item x="3"/>
        <item x="6"/>
        <item x="0"/>
        <item x="1"/>
        <item x="9"/>
        <item x="8"/>
        <item x="2"/>
        <item x="4"/>
        <item x="5"/>
        <item x="11"/>
        <item x="13"/>
        <item t="default"/>
      </items>
    </pivotField>
    <pivotField axis="axisRow" showAll="0">
      <items count="7">
        <item x="5"/>
        <item x="4"/>
        <item x="3"/>
        <item x="2"/>
        <item x="1"/>
        <item x="0"/>
        <item t="default"/>
      </items>
    </pivotField>
    <pivotField numFmtId="166"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164" showAll="0"/>
    <pivotField numFmtId="10" showAll="0"/>
    <pivotField dataField="1" numFmtId="10" showAll="0"/>
    <pivotField numFmtId="165" showAll="0"/>
    <pivotField numFmtId="10" showAll="0"/>
    <pivotField numFmtId="10" showAll="0"/>
    <pivotField numFmtId="10" showAll="0"/>
    <pivotField numFmtId="164" showAll="0"/>
    <pivotField numFmtId="164" showAll="0"/>
    <pivotField numFmtId="166" showAll="0"/>
  </pivotFields>
  <rowFields count="2">
    <field x="0"/>
    <field x="2"/>
  </rowFields>
  <rowItems count="8">
    <i>
      <x v="1"/>
    </i>
    <i r="1">
      <x/>
    </i>
    <i r="1">
      <x v="1"/>
    </i>
    <i r="1">
      <x v="2"/>
    </i>
    <i r="1">
      <x v="3"/>
    </i>
    <i r="1">
      <x v="4"/>
    </i>
    <i r="1">
      <x v="5"/>
    </i>
    <i t="grand">
      <x/>
    </i>
  </rowItems>
  <colFields count="1">
    <field x="1"/>
  </colFields>
  <colItems count="4">
    <i>
      <x v="5"/>
    </i>
    <i>
      <x v="9"/>
    </i>
    <i>
      <x v="13"/>
    </i>
    <i t="grand">
      <x/>
    </i>
  </colItems>
  <dataFields count="1">
    <dataField name="Média de ROE" fld="15" subtotal="average" baseField="0" baseItem="0" numFmtId="1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7"/>
          </reference>
        </references>
      </pivotArea>
    </chartFormat>
    <chartFormat chart="0" format="2" series="1">
      <pivotArea type="data" outline="0" fieldPosition="0">
        <references count="2">
          <reference field="4294967294" count="1" selected="0">
            <x v="0"/>
          </reference>
          <reference field="1" count="1" selected="0">
            <x v="8"/>
          </reference>
        </references>
      </pivotArea>
    </chartFormat>
    <chartFormat chart="0" format="3" series="1">
      <pivotArea type="data" outline="0" fieldPosition="0">
        <references count="2">
          <reference field="4294967294" count="1" selected="0">
            <x v="0"/>
          </reference>
          <reference field="1" count="1" selected="0">
            <x v="10"/>
          </reference>
        </references>
      </pivotArea>
    </chartFormat>
    <chartFormat chart="0" format="4" series="1">
      <pivotArea type="data" outline="0" fieldPosition="0">
        <references count="2">
          <reference field="4294967294" count="1" selected="0">
            <x v="0"/>
          </reference>
          <reference field="1" count="1" selected="0">
            <x v="11"/>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0"/>
          </reference>
          <reference field="1" count="1" selected="0">
            <x v="9"/>
          </reference>
        </references>
      </pivotArea>
    </chartFormat>
    <chartFormat chart="0" format="14"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3:C20" firstHeaderRow="1" firstDataRow="1" firstDataCol="0"/>
  <pivotFields count="23">
    <pivotField showAll="0"/>
    <pivotField showAll="0"/>
    <pivotField showAll="0"/>
    <pivotField numFmtId="166"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164" showAll="0"/>
    <pivotField numFmtId="10" showAll="0"/>
    <pivotField numFmtId="10" showAll="0"/>
    <pivotField numFmtId="165" showAll="0"/>
    <pivotField numFmtId="10" showAll="0"/>
    <pivotField numFmtId="10" showAll="0"/>
    <pivotField numFmtId="10" showAll="0"/>
    <pivotField numFmtId="164" showAll="0"/>
    <pivotField numFmtId="164" showAll="0"/>
    <pivotField numFmtId="166" showAll="0"/>
  </pivot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tor" sourceName="Setor">
  <pivotTables>
    <pivotTable tabId="7" name="Tabela dinâmica4"/>
  </pivotTables>
  <data>
    <tabular pivotCacheId="1">
      <items count="9">
        <i x="0" s="1"/>
        <i x="1"/>
        <i x="3"/>
        <i x="4"/>
        <i x="2"/>
        <i x="8" nd="1"/>
        <i x="7" nd="1"/>
        <i x="5"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tor" cache="Slicer_Setor" caption="Setor" rowHeight="241300"/>
</slicers>
</file>

<file path=xl/tables/table1.xml><?xml version="1.0" encoding="utf-8"?>
<table xmlns="http://schemas.openxmlformats.org/spreadsheetml/2006/main" id="2" name="Tabela2" displayName="Tabela2" ref="A1:W85" totalsRowShown="0" headerRowDxfId="74" dataDxfId="73">
  <autoFilter ref="A1:W85"/>
  <tableColumns count="23">
    <tableColumn id="1" name="Setor" dataDxfId="96"/>
    <tableColumn id="3" name="Nome de Pregão" dataDxfId="95"/>
    <tableColumn id="4" name="ANO" dataDxfId="94"/>
    <tableColumn id="5" name="Ações" dataDxfId="93"/>
    <tableColumn id="6" name="AT" dataDxfId="92"/>
    <tableColumn id="7" name="AC" dataDxfId="91"/>
    <tableColumn id="8" name="AI" dataDxfId="90"/>
    <tableColumn id="9" name="PC" dataDxfId="89"/>
    <tableColumn id="10" name="PO" dataDxfId="88"/>
    <tableColumn id="11" name="PL" dataDxfId="87"/>
    <tableColumn id="12" name="RBV" dataDxfId="86"/>
    <tableColumn id="13" name="LL" dataDxfId="85"/>
    <tableColumn id="14" name="Dividendos" dataDxfId="84"/>
    <tableColumn id="15" name="Div/Ação" dataDxfId="83">
      <calculatedColumnFormula>IF(Tabela2[Ações]&lt;&gt;0,Tabela2[Dividendos]*1000/Tabela2[Ações],0)</calculatedColumnFormula>
    </tableColumn>
    <tableColumn id="16" name="MLL" dataDxfId="82">
      <calculatedColumnFormula>IF(Tabela2[RBV]&gt;0,Tabela2[LL]/Tabela2[RBV],0)</calculatedColumnFormula>
    </tableColumn>
    <tableColumn id="17" name="ROE" dataDxfId="81">
      <calculatedColumnFormula>IF(Tabela2[PL]&lt;&gt;0,Tabela2[LL]/Tabela2[PL],0)</calculatedColumnFormula>
    </tableColumn>
    <tableColumn id="18" name="LC" dataDxfId="80">
      <calculatedColumnFormula>IF(Tabela2[PC]&lt;&gt;0,Tabela2[AC]/Tabela2[PC],0)</calculatedColumnFormula>
    </tableColumn>
    <tableColumn id="19" name="IPL" dataDxfId="79">
      <calculatedColumnFormula>IF(Tabela2[PL]&lt;&gt;0,Tabela2[AI]/Tabela2[PL],0)</calculatedColumnFormula>
    </tableColumn>
    <tableColumn id="20" name="EO" dataDxfId="78">
      <calculatedColumnFormula>IF(Tabela2[AT]&lt;&gt;0,Tabela2[PO]/Tabela2[AT],0)</calculatedColumnFormula>
    </tableColumn>
    <tableColumn id="21" name="Payout" dataDxfId="77">
      <calculatedColumnFormula>IF(Tabela2[LL]&lt;&gt;0,Tabela2[Dividendos]/Tabela2[LL],0)</calculatedColumnFormula>
    </tableColumn>
    <tableColumn id="22" name="Compra [20%]" dataDxfId="76">
      <calculatedColumnFormula>(Tabela2[Div/Ação]/20%*Tabela2[Unit])</calculatedColumnFormula>
    </tableColumn>
    <tableColumn id="23" name="Compra [CDI]" dataDxfId="75">
      <calculatedColumnFormula>(Tabela2[Div/Ação]/Setup!$A$2*Tabela2[Unit])</calculatedColumnFormula>
    </tableColumn>
    <tableColumn id="25" name="Unit" dataDxfId="7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workbookViewId="0">
      <pane xSplit="3" ySplit="1" topLeftCell="D57" activePane="bottomRight" state="frozen"/>
      <selection pane="topRight" activeCell="D1" sqref="D1"/>
      <selection pane="bottomLeft" activeCell="A2" sqref="A2"/>
      <selection pane="bottomRight" activeCell="O79" sqref="O79"/>
    </sheetView>
  </sheetViews>
  <sheetFormatPr defaultRowHeight="12" x14ac:dyDescent="0.2"/>
  <cols>
    <col min="1" max="1" width="15.7109375" style="25" customWidth="1"/>
    <col min="2" max="2" width="15" style="25" bestFit="1" customWidth="1"/>
    <col min="3" max="3" width="6.5703125" style="25" bestFit="1" customWidth="1"/>
    <col min="4" max="4" width="12" style="25" bestFit="1" customWidth="1"/>
    <col min="5" max="6" width="10.85546875" style="25" bestFit="1" customWidth="1"/>
    <col min="7" max="7" width="8.7109375" style="25" bestFit="1" customWidth="1"/>
    <col min="8" max="8" width="10.85546875" style="25" bestFit="1" customWidth="1"/>
    <col min="9" max="10" width="8.7109375" style="25" bestFit="1" customWidth="1"/>
    <col min="11" max="11" width="9.5703125" style="25" bestFit="1" customWidth="1"/>
    <col min="12" max="12" width="8.7109375" style="25" bestFit="1" customWidth="1"/>
    <col min="13" max="13" width="11.140625" style="25" bestFit="1" customWidth="1"/>
    <col min="14" max="14" width="9.85546875" style="25" bestFit="1" customWidth="1"/>
    <col min="15" max="15" width="6.7109375" style="25" bestFit="1" customWidth="1"/>
    <col min="16" max="16" width="7.5703125" style="29" bestFit="1" customWidth="1"/>
    <col min="17" max="17" width="5.140625" style="29" bestFit="1" customWidth="1"/>
    <col min="18" max="18" width="7" style="25" bestFit="1" customWidth="1"/>
    <col min="19" max="19" width="6.140625" style="25" bestFit="1" customWidth="1"/>
    <col min="20" max="20" width="8.140625" style="29" bestFit="1" customWidth="1"/>
    <col min="21" max="21" width="13.28515625" style="25" bestFit="1" customWidth="1"/>
    <col min="22" max="22" width="13.85546875" style="25" bestFit="1" customWidth="1"/>
    <col min="23" max="23" width="7.42578125" style="28" bestFit="1" customWidth="1"/>
    <col min="24" max="24" width="10" style="26" bestFit="1" customWidth="1"/>
    <col min="25" max="25" width="9.140625" style="30"/>
    <col min="26" max="16384" width="9.140625" style="25"/>
  </cols>
  <sheetData>
    <row r="1" spans="1:25" x14ac:dyDescent="0.2">
      <c r="A1" s="21" t="s">
        <v>29</v>
      </c>
      <c r="B1" s="21" t="s">
        <v>0</v>
      </c>
      <c r="C1" s="21" t="s">
        <v>2</v>
      </c>
      <c r="D1" s="21" t="s">
        <v>19</v>
      </c>
      <c r="E1" s="21" t="s">
        <v>14</v>
      </c>
      <c r="F1" s="21" t="s">
        <v>9</v>
      </c>
      <c r="G1" s="21" t="s">
        <v>12</v>
      </c>
      <c r="H1" s="21" t="s">
        <v>10</v>
      </c>
      <c r="I1" s="21" t="s">
        <v>15</v>
      </c>
      <c r="J1" s="21" t="s">
        <v>5</v>
      </c>
      <c r="K1" s="21" t="s">
        <v>7</v>
      </c>
      <c r="L1" s="21" t="s">
        <v>6</v>
      </c>
      <c r="M1" s="21" t="s">
        <v>17</v>
      </c>
      <c r="N1" s="21" t="s">
        <v>20</v>
      </c>
      <c r="O1" s="22" t="s">
        <v>3</v>
      </c>
      <c r="P1" s="22" t="s">
        <v>4</v>
      </c>
      <c r="Q1" s="21" t="s">
        <v>8</v>
      </c>
      <c r="R1" s="21" t="s">
        <v>11</v>
      </c>
      <c r="S1" s="22" t="s">
        <v>13</v>
      </c>
      <c r="T1" s="22" t="s">
        <v>18</v>
      </c>
      <c r="U1" s="22" t="s">
        <v>32</v>
      </c>
      <c r="V1" s="23" t="s">
        <v>31</v>
      </c>
      <c r="W1" s="24" t="s">
        <v>38</v>
      </c>
      <c r="X1" s="25"/>
      <c r="Y1" s="25"/>
    </row>
    <row r="2" spans="1:25" x14ac:dyDescent="0.2">
      <c r="A2" s="25" t="s">
        <v>45</v>
      </c>
      <c r="B2" s="25" t="s">
        <v>1</v>
      </c>
      <c r="C2" s="25">
        <v>2015</v>
      </c>
      <c r="D2" s="26">
        <v>179000000</v>
      </c>
      <c r="E2" s="27">
        <v>933194</v>
      </c>
      <c r="F2" s="27">
        <v>412320</v>
      </c>
      <c r="G2" s="27">
        <v>354047</v>
      </c>
      <c r="H2" s="27">
        <v>205820</v>
      </c>
      <c r="I2" s="27">
        <f>90307+21614+76954+21586</f>
        <v>210461</v>
      </c>
      <c r="J2" s="27">
        <v>500116</v>
      </c>
      <c r="K2" s="27">
        <v>974872</v>
      </c>
      <c r="L2" s="27">
        <v>29421</v>
      </c>
      <c r="M2" s="27">
        <f>1611+23083</f>
        <v>24694</v>
      </c>
      <c r="N2" s="28">
        <f>IF(Tabela2[Ações]&lt;&gt;0,Tabela2[Dividendos]*1000/Tabela2[Ações],0)</f>
        <v>0.13795530726256983</v>
      </c>
      <c r="O2" s="29">
        <f>IF(Tabela2[RBV]&gt;0,Tabela2[LL]/Tabela2[RBV],0)</f>
        <v>3.0179346621915494E-2</v>
      </c>
      <c r="P2" s="29">
        <f>IF(Tabela2[PL]&lt;&gt;0,Tabela2[LL]/Tabela2[PL],0)</f>
        <v>5.8828351822377209E-2</v>
      </c>
      <c r="Q2" s="30">
        <f>IF(Tabela2[PC]&lt;&gt;0,Tabela2[AC]/Tabela2[PC],0)</f>
        <v>2.0033038577397728</v>
      </c>
      <c r="R2" s="29">
        <f>IF(Tabela2[PL]&lt;&gt;0,Tabela2[AI]/Tabela2[PL],0)</f>
        <v>0.70792976029561139</v>
      </c>
      <c r="S2" s="29">
        <f>IF(Tabela2[AT]&lt;&gt;0,Tabela2[PO]/Tabela2[AT],0)</f>
        <v>0.22552759661978108</v>
      </c>
      <c r="T2" s="29">
        <f>IF(Tabela2[LL]&lt;&gt;0,Tabela2[Dividendos]/Tabela2[LL],0)</f>
        <v>0.83933244961082221</v>
      </c>
      <c r="U2" s="31">
        <f>(Tabela2[Div/Ação]/20%*Tabela2[Unit])</f>
        <v>0.68977653631284908</v>
      </c>
      <c r="V2" s="31">
        <f>(Tabela2[Div/Ação]/Setup!$A$2*Tabela2[Unit])</f>
        <v>0.99391431745367309</v>
      </c>
      <c r="W2" s="26">
        <v>1</v>
      </c>
      <c r="X2" s="25"/>
      <c r="Y2" s="25"/>
    </row>
    <row r="3" spans="1:25" x14ac:dyDescent="0.2">
      <c r="A3" s="25" t="s">
        <v>45</v>
      </c>
      <c r="B3" s="25" t="s">
        <v>1</v>
      </c>
      <c r="C3" s="25">
        <v>2014</v>
      </c>
      <c r="D3" s="26">
        <v>179000000</v>
      </c>
      <c r="E3" s="27">
        <v>897864</v>
      </c>
      <c r="F3" s="27">
        <v>395451</v>
      </c>
      <c r="G3" s="27">
        <v>341684</v>
      </c>
      <c r="H3" s="27">
        <v>221252</v>
      </c>
      <c r="I3" s="27">
        <f>88946+28640+38978+21623</f>
        <v>178187</v>
      </c>
      <c r="J3" s="27">
        <v>514808</v>
      </c>
      <c r="K3" s="27">
        <v>978154</v>
      </c>
      <c r="L3" s="27">
        <v>85160</v>
      </c>
      <c r="M3" s="27">
        <f>47688+23889</f>
        <v>71577</v>
      </c>
      <c r="N3" s="28">
        <f>IF(Tabela2[Ações]&lt;&gt;0,Tabela2[Dividendos]*1000/Tabela2[Ações],0)</f>
        <v>0.39987150837988827</v>
      </c>
      <c r="O3" s="29">
        <f>IF(Tabela2[RBV]&gt;0,Tabela2[LL]/Tabela2[RBV],0)</f>
        <v>8.7061955479403041E-2</v>
      </c>
      <c r="P3" s="29">
        <f>IF(Tabela2[PL]&lt;&gt;0,Tabela2[LL]/Tabela2[PL],0)</f>
        <v>0.1654208947801899</v>
      </c>
      <c r="Q3" s="30">
        <f>IF(Tabela2[PC]&lt;&gt;0,Tabela2[AC]/Tabela2[PC],0)</f>
        <v>1.7873329958599244</v>
      </c>
      <c r="R3" s="29">
        <f>IF(Tabela2[PL]&lt;&gt;0,Tabela2[AI]/Tabela2[PL],0)</f>
        <v>0.66371151963450448</v>
      </c>
      <c r="S3" s="29">
        <f>IF(Tabela2[AT]&lt;&gt;0,Tabela2[PO]/Tabela2[AT],0)</f>
        <v>0.19845655912253971</v>
      </c>
      <c r="T3" s="29">
        <f>IF(Tabela2[LL]&lt;&gt;0,Tabela2[Dividendos]/Tabela2[LL],0)</f>
        <v>0.84050023485204317</v>
      </c>
      <c r="U3" s="31">
        <f>(Tabela2[Div/Ação]/20%*Tabela2[Unit])</f>
        <v>1.9993575418994411</v>
      </c>
      <c r="V3" s="28">
        <f>(Tabela2[Div/Ação]/Setup!$A$2*Tabela2[Unit])</f>
        <v>2.8809186482700881</v>
      </c>
      <c r="W3" s="26">
        <v>1</v>
      </c>
      <c r="X3" s="25"/>
      <c r="Y3" s="25"/>
    </row>
    <row r="4" spans="1:25" x14ac:dyDescent="0.2">
      <c r="A4" s="25" t="s">
        <v>45</v>
      </c>
      <c r="B4" s="25" t="s">
        <v>1</v>
      </c>
      <c r="C4" s="25">
        <v>2013</v>
      </c>
      <c r="D4" s="26">
        <v>179000000</v>
      </c>
      <c r="E4" s="27">
        <v>833632</v>
      </c>
      <c r="F4" s="27">
        <v>389943</v>
      </c>
      <c r="G4" s="27">
        <v>279064</v>
      </c>
      <c r="H4" s="27">
        <v>193082</v>
      </c>
      <c r="I4" s="27">
        <f>56881+31023+25799+19436</f>
        <v>133139</v>
      </c>
      <c r="J4" s="27">
        <v>506129</v>
      </c>
      <c r="K4" s="27">
        <v>957301</v>
      </c>
      <c r="L4" s="27">
        <v>102254</v>
      </c>
      <c r="M4" s="27">
        <f>48851+22726</f>
        <v>71577</v>
      </c>
      <c r="N4" s="28">
        <f>IF(Tabela2[Ações]&lt;&gt;0,Tabela2[Dividendos]*1000/Tabela2[Ações],0)</f>
        <v>0.39987150837988827</v>
      </c>
      <c r="O4" s="29">
        <f>IF(Tabela2[RBV]&gt;0,Tabela2[LL]/Tabela2[RBV],0)</f>
        <v>0.10681488894297614</v>
      </c>
      <c r="P4" s="29">
        <f>IF(Tabela2[PL]&lt;&gt;0,Tabela2[LL]/Tabela2[PL],0)</f>
        <v>0.20203149789875705</v>
      </c>
      <c r="Q4" s="30">
        <f>IF(Tabela2[PC]&lt;&gt;0,Tabela2[AC]/Tabela2[PC],0)</f>
        <v>2.0195719953180515</v>
      </c>
      <c r="R4" s="29">
        <f>IF(Tabela2[PL]&lt;&gt;0,Tabela2[AI]/Tabela2[PL],0)</f>
        <v>0.55136931493749619</v>
      </c>
      <c r="S4" s="29">
        <f>IF(Tabela2[AT]&lt;&gt;0,Tabela2[PO]/Tabela2[AT],0)</f>
        <v>0.15970956009366244</v>
      </c>
      <c r="T4" s="29">
        <f>IF(Tabela2[LL]&lt;&gt;0,Tabela2[Dividendos]/Tabela2[LL],0)</f>
        <v>0.69999217634517963</v>
      </c>
      <c r="U4" s="31">
        <f>(Tabela2[Div/Ação]/20%*Tabela2[Unit])</f>
        <v>1.9993575418994411</v>
      </c>
      <c r="V4" s="28">
        <f>(Tabela2[Div/Ação]/Setup!$A$2*Tabela2[Unit])</f>
        <v>2.8809186482700881</v>
      </c>
      <c r="W4" s="26">
        <v>1</v>
      </c>
      <c r="X4" s="25"/>
      <c r="Y4" s="25"/>
    </row>
    <row r="5" spans="1:25" x14ac:dyDescent="0.2">
      <c r="A5" s="25" t="s">
        <v>45</v>
      </c>
      <c r="B5" s="25" t="s">
        <v>1</v>
      </c>
      <c r="C5" s="25">
        <v>2012</v>
      </c>
      <c r="D5" s="26">
        <v>179000000</v>
      </c>
      <c r="E5" s="27">
        <v>810120</v>
      </c>
      <c r="F5" s="27">
        <v>426031</v>
      </c>
      <c r="G5" s="27">
        <v>252457</v>
      </c>
      <c r="H5" s="27">
        <v>208094</v>
      </c>
      <c r="I5" s="27">
        <f>55839+28491+24107+17250</f>
        <v>125687</v>
      </c>
      <c r="J5" s="27">
        <v>479534</v>
      </c>
      <c r="K5" s="27">
        <v>906317</v>
      </c>
      <c r="L5" s="27">
        <v>113004</v>
      </c>
      <c r="M5" s="27">
        <f>24068+47509</f>
        <v>71577</v>
      </c>
      <c r="N5" s="28">
        <f>IF(Tabela2[Ações]&lt;&gt;0,Tabela2[Dividendos]*1000/Tabela2[Ações],0)</f>
        <v>0.39987150837988827</v>
      </c>
      <c r="O5" s="29">
        <f>IF(Tabela2[RBV]&gt;0,Tabela2[LL]/Tabela2[RBV],0)</f>
        <v>0.12468485088550695</v>
      </c>
      <c r="P5" s="29">
        <f>IF(Tabela2[PL]&lt;&gt;0,Tabela2[LL]/Tabela2[PL],0)</f>
        <v>0.23565378054527938</v>
      </c>
      <c r="Q5" s="30">
        <f>IF(Tabela2[PC]&lt;&gt;0,Tabela2[AC]/Tabela2[PC],0)</f>
        <v>2.0473007390890654</v>
      </c>
      <c r="R5" s="29">
        <f>IF(Tabela2[PL]&lt;&gt;0,Tabela2[AI]/Tabela2[PL],0)</f>
        <v>0.52646319134826725</v>
      </c>
      <c r="S5" s="29">
        <f>IF(Tabela2[AT]&lt;&gt;0,Tabela2[PO]/Tabela2[AT],0)</f>
        <v>0.1551461511874784</v>
      </c>
      <c r="T5" s="29">
        <f>IF(Tabela2[LL]&lt;&gt;0,Tabela2[Dividendos]/Tabela2[LL],0)</f>
        <v>0.63340235743867479</v>
      </c>
      <c r="U5" s="31">
        <f>(Tabela2[Div/Ação]/20%*Tabela2[Unit])</f>
        <v>1.9993575418994411</v>
      </c>
      <c r="V5" s="28">
        <f>(Tabela2[Div/Ação]/Setup!$A$2*Tabela2[Unit])</f>
        <v>2.8809186482700881</v>
      </c>
      <c r="W5" s="26">
        <v>1</v>
      </c>
      <c r="X5" s="25"/>
      <c r="Y5" s="25"/>
    </row>
    <row r="6" spans="1:25" x14ac:dyDescent="0.2">
      <c r="A6" s="25" t="s">
        <v>45</v>
      </c>
      <c r="B6" s="25" t="s">
        <v>1</v>
      </c>
      <c r="C6" s="25">
        <v>2011</v>
      </c>
      <c r="D6" s="26">
        <v>179000000</v>
      </c>
      <c r="E6" s="27">
        <v>691935</v>
      </c>
      <c r="F6" s="27">
        <v>350886</v>
      </c>
      <c r="G6" s="27">
        <v>225889</v>
      </c>
      <c r="H6" s="27">
        <v>162585</v>
      </c>
      <c r="I6" s="27">
        <f>40553+29043+7891+10187</f>
        <v>87674</v>
      </c>
      <c r="J6" s="27">
        <v>438106</v>
      </c>
      <c r="K6" s="27">
        <v>820238</v>
      </c>
      <c r="L6" s="27">
        <v>97193</v>
      </c>
      <c r="M6" s="27">
        <f>47956+23620</f>
        <v>71576</v>
      </c>
      <c r="N6" s="28">
        <f>IF(Tabela2[Ações]&lt;&gt;0,Tabela2[Dividendos]*1000/Tabela2[Ações],0)</f>
        <v>0.39986592178770952</v>
      </c>
      <c r="O6" s="29">
        <f>IF(Tabela2[RBV]&gt;0,Tabela2[LL]/Tabela2[RBV],0)</f>
        <v>0.11849365671914737</v>
      </c>
      <c r="P6" s="29">
        <f>IF(Tabela2[PL]&lt;&gt;0,Tabela2[LL]/Tabela2[PL],0)</f>
        <v>0.22184813720880334</v>
      </c>
      <c r="Q6" s="30">
        <f>IF(Tabela2[PC]&lt;&gt;0,Tabela2[AC]/Tabela2[PC],0)</f>
        <v>2.1581695728388226</v>
      </c>
      <c r="R6" s="29">
        <f>IF(Tabela2[PL]&lt;&gt;0,Tabela2[AI]/Tabela2[PL],0)</f>
        <v>0.51560352973937817</v>
      </c>
      <c r="S6" s="29">
        <f>IF(Tabela2[AT]&lt;&gt;0,Tabela2[PO]/Tabela2[AT],0)</f>
        <v>0.12670843359564121</v>
      </c>
      <c r="T6" s="29">
        <f>IF(Tabela2[LL]&lt;&gt;0,Tabela2[Dividendos]/Tabela2[LL],0)</f>
        <v>0.73643163602317041</v>
      </c>
      <c r="U6" s="31">
        <f>(Tabela2[Div/Ação]/20%*Tabela2[Unit])</f>
        <v>1.9993296089385475</v>
      </c>
      <c r="V6" s="28">
        <f>(Tabela2[Div/Ação]/Setup!$A$2*Tabela2[Unit])</f>
        <v>2.8808783990468982</v>
      </c>
      <c r="W6" s="26">
        <v>1</v>
      </c>
      <c r="X6" s="25"/>
      <c r="Y6" s="25"/>
    </row>
    <row r="7" spans="1:25" x14ac:dyDescent="0.2">
      <c r="A7" s="25" t="s">
        <v>45</v>
      </c>
      <c r="B7" s="25" t="s">
        <v>1</v>
      </c>
      <c r="C7" s="25">
        <v>2010</v>
      </c>
      <c r="D7" s="26">
        <v>179000000</v>
      </c>
      <c r="E7" s="27">
        <v>661078</v>
      </c>
      <c r="F7" s="27">
        <v>339304</v>
      </c>
      <c r="G7" s="27">
        <v>209989</v>
      </c>
      <c r="H7" s="27">
        <v>170278</v>
      </c>
      <c r="I7" s="27">
        <f>20443+40781+3491+9522</f>
        <v>74237</v>
      </c>
      <c r="J7" s="27">
        <v>412489</v>
      </c>
      <c r="K7" s="27">
        <v>758745</v>
      </c>
      <c r="L7" s="27">
        <v>102084</v>
      </c>
      <c r="M7" s="27">
        <f>58155+22367</f>
        <v>80522</v>
      </c>
      <c r="N7" s="28">
        <f>IF(Tabela2[Ações]&lt;&gt;0,Tabela2[Dividendos]*1000/Tabela2[Ações],0)</f>
        <v>0.44984357541899439</v>
      </c>
      <c r="O7" s="29">
        <f>IF(Tabela2[RBV]&gt;0,Tabela2[LL]/Tabela2[RBV],0)</f>
        <v>0.13454322598501472</v>
      </c>
      <c r="P7" s="29">
        <f>IF(Tabela2[PL]&lt;&gt;0,Tabela2[LL]/Tabela2[PL],0)</f>
        <v>0.24748296318204849</v>
      </c>
      <c r="Q7" s="30">
        <f>IF(Tabela2[PC]&lt;&gt;0,Tabela2[AC]/Tabela2[PC],0)</f>
        <v>1.9926473179154089</v>
      </c>
      <c r="R7" s="29">
        <f>IF(Tabela2[PL]&lt;&gt;0,Tabela2[AI]/Tabela2[PL],0)</f>
        <v>0.50907781783271799</v>
      </c>
      <c r="S7" s="29">
        <f>IF(Tabela2[AT]&lt;&gt;0,Tabela2[PO]/Tabela2[AT],0)</f>
        <v>0.11229688478515394</v>
      </c>
      <c r="T7" s="29">
        <f>IF(Tabela2[LL]&lt;&gt;0,Tabela2[Dividendos]/Tabela2[LL],0)</f>
        <v>0.78878178754750994</v>
      </c>
      <c r="U7" s="31">
        <f>(Tabela2[Div/Ação]/20%*Tabela2[Unit])</f>
        <v>2.249217877094972</v>
      </c>
      <c r="V7" s="28">
        <f>(Tabela2[Div/Ação]/Setup!$A$2*Tabela2[Unit])</f>
        <v>3.2409479497045703</v>
      </c>
      <c r="W7" s="26">
        <v>1</v>
      </c>
      <c r="X7" s="25"/>
      <c r="Y7" s="25"/>
    </row>
    <row r="8" spans="1:25" x14ac:dyDescent="0.2">
      <c r="A8" s="32" t="s">
        <v>49</v>
      </c>
      <c r="B8" s="25" t="s">
        <v>16</v>
      </c>
      <c r="C8" s="25">
        <v>2015</v>
      </c>
      <c r="D8" s="26">
        <v>257699937</v>
      </c>
      <c r="E8" s="27">
        <v>5083155</v>
      </c>
      <c r="F8" s="27">
        <v>3812225</v>
      </c>
      <c r="G8" s="27">
        <v>24769</v>
      </c>
      <c r="H8" s="27">
        <v>1249605</v>
      </c>
      <c r="I8" s="27">
        <f>778112+395239+1189566+688679</f>
        <v>3051596</v>
      </c>
      <c r="J8" s="27">
        <v>1870312</v>
      </c>
      <c r="K8" s="27">
        <v>1307399</v>
      </c>
      <c r="L8" s="27">
        <v>68873</v>
      </c>
      <c r="M8" s="27">
        <v>16357</v>
      </c>
      <c r="N8" s="28">
        <f>IF(Tabela2[Ações]&lt;&gt;0,Tabela2[Dividendos]*1000/Tabela2[Ações],0)</f>
        <v>6.3473046173076864E-2</v>
      </c>
      <c r="O8" s="29">
        <f>IF(Tabela2[RBV]&gt;0,Tabela2[LL]/Tabela2[RBV],0)</f>
        <v>5.2679403915713567E-2</v>
      </c>
      <c r="P8" s="29">
        <f>IF(Tabela2[PL]&lt;&gt;0,Tabela2[LL]/Tabela2[PL],0)</f>
        <v>3.6824337329814494E-2</v>
      </c>
      <c r="Q8" s="30">
        <f>IF(Tabela2[PC]&lt;&gt;0,Tabela2[AC]/Tabela2[PC],0)</f>
        <v>3.0507440351150965</v>
      </c>
      <c r="R8" s="29">
        <f>IF(Tabela2[PL]&lt;&gt;0,Tabela2[AI]/Tabela2[PL],0)</f>
        <v>1.3243244977308598E-2</v>
      </c>
      <c r="S8" s="29">
        <f>IF(Tabela2[AT]&lt;&gt;0,Tabela2[PO]/Tabela2[AT],0)</f>
        <v>0.6003350281468891</v>
      </c>
      <c r="T8" s="29">
        <f>IF(Tabela2[LL]&lt;&gt;0,Tabela2[Dividendos]/Tabela2[LL],0)</f>
        <v>0.23749509967621565</v>
      </c>
      <c r="U8" s="31">
        <f>(Tabela2[Div/Ação]/20%*Tabela2[Unit])</f>
        <v>0.31736523086538432</v>
      </c>
      <c r="V8" s="28">
        <f>(Tabela2[Div/Ação]/Setup!$A$2*Tabela2[Unit])</f>
        <v>0.45729860355242696</v>
      </c>
      <c r="W8" s="26">
        <v>1</v>
      </c>
      <c r="X8" s="25"/>
      <c r="Y8" s="25"/>
    </row>
    <row r="9" spans="1:25" x14ac:dyDescent="0.2">
      <c r="A9" s="32" t="s">
        <v>49</v>
      </c>
      <c r="B9" s="25" t="s">
        <v>16</v>
      </c>
      <c r="C9" s="25">
        <v>2014</v>
      </c>
      <c r="D9" s="26">
        <v>257699937</v>
      </c>
      <c r="E9" s="27">
        <v>5052055</v>
      </c>
      <c r="F9" s="27">
        <v>3018678</v>
      </c>
      <c r="G9" s="27">
        <v>33276</v>
      </c>
      <c r="H9" s="27">
        <v>1253496</v>
      </c>
      <c r="I9" s="27">
        <f>720649+432590+733187+1224632</f>
        <v>3111058</v>
      </c>
      <c r="J9" s="27">
        <v>1779016</v>
      </c>
      <c r="K9" s="27">
        <v>1602005</v>
      </c>
      <c r="L9" s="27">
        <v>210757</v>
      </c>
      <c r="M9" s="27">
        <v>100110</v>
      </c>
      <c r="N9" s="28">
        <f>IF(Tabela2[Ações]&lt;&gt;0,Tabela2[Dividendos]*1000/Tabela2[Ações],0)</f>
        <v>0.38847506586701264</v>
      </c>
      <c r="O9" s="29">
        <f>IF(Tabela2[RBV]&gt;0,Tabela2[LL]/Tabela2[RBV],0)</f>
        <v>0.13155826604785878</v>
      </c>
      <c r="P9" s="29">
        <f>IF(Tabela2[PL]&lt;&gt;0,Tabela2[LL]/Tabela2[PL],0)</f>
        <v>0.118468299329517</v>
      </c>
      <c r="Q9" s="30">
        <f>IF(Tabela2[PC]&lt;&gt;0,Tabela2[AC]/Tabela2[PC],0)</f>
        <v>2.4082071263091387</v>
      </c>
      <c r="R9" s="29">
        <f>IF(Tabela2[PL]&lt;&gt;0,Tabela2[AI]/Tabela2[PL],0)</f>
        <v>1.8704722161014854E-2</v>
      </c>
      <c r="S9" s="29">
        <f>IF(Tabela2[AT]&lt;&gt;0,Tabela2[PO]/Tabela2[AT],0)</f>
        <v>0.61580050098425299</v>
      </c>
      <c r="T9" s="29">
        <f>IF(Tabela2[LL]&lt;&gt;0,Tabela2[Dividendos]/Tabela2[LL],0)</f>
        <v>0.47500201654037588</v>
      </c>
      <c r="U9" s="31">
        <f>(Tabela2[Div/Ação]/20%*Tabela2[Unit])</f>
        <v>1.9423753293350632</v>
      </c>
      <c r="V9" s="28">
        <f>(Tabela2[Div/Ação]/Setup!$A$2*Tabela2[Unit])</f>
        <v>2.7988117137392838</v>
      </c>
      <c r="W9" s="26">
        <v>1</v>
      </c>
      <c r="X9" s="25"/>
      <c r="Y9" s="25"/>
    </row>
    <row r="10" spans="1:25" x14ac:dyDescent="0.2">
      <c r="A10" s="32" t="s">
        <v>49</v>
      </c>
      <c r="B10" s="25" t="s">
        <v>16</v>
      </c>
      <c r="C10" s="25">
        <v>2013</v>
      </c>
      <c r="D10" s="26">
        <v>257699937</v>
      </c>
      <c r="E10" s="27">
        <v>4903990</v>
      </c>
      <c r="F10" s="27">
        <v>3235607</v>
      </c>
      <c r="G10" s="27">
        <v>41260</v>
      </c>
      <c r="H10" s="27">
        <v>1097109</v>
      </c>
      <c r="I10" s="27">
        <f>573086+402609+762424+1236760</f>
        <v>2974879</v>
      </c>
      <c r="J10" s="27">
        <v>1713374</v>
      </c>
      <c r="K10" s="27">
        <v>1802504</v>
      </c>
      <c r="L10" s="27">
        <v>304121</v>
      </c>
      <c r="M10" s="27">
        <v>130012</v>
      </c>
      <c r="N10" s="28">
        <f>IF(Tabela2[Ações]&lt;&gt;0,Tabela2[Dividendos]*1000/Tabela2[Ações],0)</f>
        <v>0.50450924246830531</v>
      </c>
      <c r="O10" s="29">
        <f>IF(Tabela2[RBV]&gt;0,Tabela2[LL]/Tabela2[RBV],0)</f>
        <v>0.16872140089564294</v>
      </c>
      <c r="P10" s="29">
        <f>IF(Tabela2[PL]&lt;&gt;0,Tabela2[LL]/Tabela2[PL],0)</f>
        <v>0.17749831618782588</v>
      </c>
      <c r="Q10" s="30">
        <f>IF(Tabela2[PC]&lt;&gt;0,Tabela2[AC]/Tabela2[PC],0)</f>
        <v>2.9492119743799385</v>
      </c>
      <c r="R10" s="29">
        <f>IF(Tabela2[PL]&lt;&gt;0,Tabela2[AI]/Tabela2[PL],0)</f>
        <v>2.4081140486548764E-2</v>
      </c>
      <c r="S10" s="29">
        <f>IF(Tabela2[AT]&lt;&gt;0,Tabela2[PO]/Tabela2[AT],0)</f>
        <v>0.60662419784705923</v>
      </c>
      <c r="T10" s="29">
        <f>IF(Tabela2[LL]&lt;&gt;0,Tabela2[Dividendos]/Tabela2[LL],0)</f>
        <v>0.42750089602493746</v>
      </c>
      <c r="U10" s="31">
        <f>(Tabela2[Div/Ação]/20%*Tabela2[Unit])</f>
        <v>2.5225462123415263</v>
      </c>
      <c r="V10" s="28">
        <f>(Tabela2[Div/Ação]/Setup!$A$2*Tabela2[Unit])</f>
        <v>3.6347928131722282</v>
      </c>
      <c r="W10" s="26">
        <v>1</v>
      </c>
      <c r="X10" s="25"/>
      <c r="Y10" s="25"/>
    </row>
    <row r="11" spans="1:25" x14ac:dyDescent="0.2">
      <c r="A11" s="32" t="s">
        <v>49</v>
      </c>
      <c r="B11" s="25" t="s">
        <v>16</v>
      </c>
      <c r="C11" s="25">
        <v>2012</v>
      </c>
      <c r="D11" s="26">
        <v>257699937</v>
      </c>
      <c r="E11" s="27">
        <v>3449668</v>
      </c>
      <c r="F11" s="27">
        <v>2231996</v>
      </c>
      <c r="G11" s="27">
        <v>30536</v>
      </c>
      <c r="H11" s="27">
        <v>974676</v>
      </c>
      <c r="I11" s="27">
        <f>466104+384297+553653+725657</f>
        <v>2129711</v>
      </c>
      <c r="J11" s="27">
        <v>1128181</v>
      </c>
      <c r="K11" s="27">
        <v>1432311</v>
      </c>
      <c r="L11" s="27">
        <v>272116</v>
      </c>
      <c r="M11" s="27">
        <v>103405</v>
      </c>
      <c r="N11" s="28">
        <f>IF(Tabela2[Ações]&lt;&gt;0,Tabela2[Dividendos]*1000/Tabela2[Ações],0)</f>
        <v>0.40126125447985656</v>
      </c>
      <c r="O11" s="29">
        <f>IF(Tabela2[RBV]&gt;0,Tabela2[LL]/Tabela2[RBV],0)</f>
        <v>0.18998387919941967</v>
      </c>
      <c r="P11" s="29">
        <f>IF(Tabela2[PL]&lt;&gt;0,Tabela2[LL]/Tabela2[PL],0)</f>
        <v>0.24119888563980424</v>
      </c>
      <c r="Q11" s="30">
        <f>IF(Tabela2[PC]&lt;&gt;0,Tabela2[AC]/Tabela2[PC],0)</f>
        <v>2.2899876471771132</v>
      </c>
      <c r="R11" s="29">
        <f>IF(Tabela2[PL]&lt;&gt;0,Tabela2[AI]/Tabela2[PL],0)</f>
        <v>2.7066578855697802E-2</v>
      </c>
      <c r="S11" s="29">
        <f>IF(Tabela2[AT]&lt;&gt;0,Tabela2[PO]/Tabela2[AT],0)</f>
        <v>0.61736694661631208</v>
      </c>
      <c r="T11" s="29">
        <f>IF(Tabela2[LL]&lt;&gt;0,Tabela2[Dividendos]/Tabela2[LL],0)</f>
        <v>0.38000338091108204</v>
      </c>
      <c r="U11" s="31">
        <f>(Tabela2[Div/Ação]/20%*Tabela2[Unit])</f>
        <v>2.0063062723992826</v>
      </c>
      <c r="V11" s="28">
        <f>(Tabela2[Div/Ação]/Setup!$A$2*Tabela2[Unit])</f>
        <v>2.8909312282410413</v>
      </c>
      <c r="W11" s="26">
        <v>1</v>
      </c>
      <c r="X11" s="25"/>
      <c r="Y11" s="25"/>
    </row>
    <row r="12" spans="1:25" x14ac:dyDescent="0.2">
      <c r="A12" s="32" t="s">
        <v>49</v>
      </c>
      <c r="B12" s="25" t="s">
        <v>16</v>
      </c>
      <c r="C12" s="25">
        <v>2011</v>
      </c>
      <c r="D12" s="26">
        <v>257699937</v>
      </c>
      <c r="E12" s="27">
        <v>2630337</v>
      </c>
      <c r="F12" s="27">
        <v>1774019</v>
      </c>
      <c r="G12" s="27">
        <v>21941</v>
      </c>
      <c r="H12" s="27">
        <v>819375</v>
      </c>
      <c r="I12" s="27">
        <f>469844+231815+280787+570914</f>
        <v>1553360</v>
      </c>
      <c r="J12" s="27">
        <v>908993</v>
      </c>
      <c r="K12" s="27">
        <v>1178528</v>
      </c>
      <c r="L12" s="27">
        <v>213345</v>
      </c>
      <c r="M12" s="27">
        <v>70937</v>
      </c>
      <c r="N12" s="28">
        <f>IF(Tabela2[Ações]&lt;&gt;0,Tabela2[Dividendos]*1000/Tabela2[Ações],0)</f>
        <v>0.27526976073727172</v>
      </c>
      <c r="O12" s="29">
        <f>IF(Tabela2[RBV]&gt;0,Tabela2[LL]/Tabela2[RBV],0)</f>
        <v>0.18102667055852725</v>
      </c>
      <c r="P12" s="29">
        <f>IF(Tabela2[PL]&lt;&gt;0,Tabela2[LL]/Tabela2[PL],0)</f>
        <v>0.23470477770455878</v>
      </c>
      <c r="Q12" s="30">
        <f>IF(Tabela2[PC]&lt;&gt;0,Tabela2[AC]/Tabela2[PC],0)</f>
        <v>2.1650880244088482</v>
      </c>
      <c r="R12" s="29">
        <f>IF(Tabela2[PL]&lt;&gt;0,Tabela2[AI]/Tabela2[PL],0)</f>
        <v>2.4137699630250177E-2</v>
      </c>
      <c r="S12" s="29">
        <f>IF(Tabela2[AT]&lt;&gt;0,Tabela2[PO]/Tabela2[AT],0)</f>
        <v>0.5905555067658631</v>
      </c>
      <c r="T12" s="29">
        <f>IF(Tabela2[LL]&lt;&gt;0,Tabela2[Dividendos]/Tabela2[LL],0)</f>
        <v>0.33249900396072091</v>
      </c>
      <c r="U12" s="31">
        <f>(Tabela2[Div/Ação]/20%*Tabela2[Unit])</f>
        <v>1.3763488036863585</v>
      </c>
      <c r="V12" s="28">
        <f>(Tabela2[Div/Ação]/Setup!$A$2*Tabela2[Unit])</f>
        <v>1.9832115326892774</v>
      </c>
      <c r="W12" s="26">
        <v>1</v>
      </c>
      <c r="X12" s="25"/>
      <c r="Y12" s="25"/>
    </row>
    <row r="13" spans="1:25" x14ac:dyDescent="0.2">
      <c r="A13" s="32" t="s">
        <v>49</v>
      </c>
      <c r="B13" s="25" t="s">
        <v>16</v>
      </c>
      <c r="C13" s="25">
        <v>2010</v>
      </c>
      <c r="D13" s="26">
        <v>257699937</v>
      </c>
      <c r="E13" s="27">
        <v>2099216</v>
      </c>
      <c r="F13" s="27">
        <v>1582949</v>
      </c>
      <c r="G13" s="27">
        <v>13085</v>
      </c>
      <c r="H13" s="27">
        <v>614683</v>
      </c>
      <c r="I13" s="27">
        <f>292479+209103+258807+465184</f>
        <v>1225573</v>
      </c>
      <c r="J13" s="27">
        <v>727827</v>
      </c>
      <c r="K13" s="27">
        <v>987173</v>
      </c>
      <c r="L13" s="27">
        <v>182058</v>
      </c>
      <c r="M13" s="27">
        <v>51886</v>
      </c>
      <c r="N13" s="28">
        <f>IF(Tabela2[Ações]&lt;&gt;0,Tabela2[Dividendos]*1000/Tabela2[Ações],0)</f>
        <v>0.20134269571047664</v>
      </c>
      <c r="O13" s="29">
        <f>IF(Tabela2[RBV]&gt;0,Tabela2[LL]/Tabela2[RBV],0)</f>
        <v>0.18442360153691401</v>
      </c>
      <c r="P13" s="29">
        <f>IF(Tabela2[PL]&lt;&gt;0,Tabela2[LL]/Tabela2[PL],0)</f>
        <v>0.25013911272871164</v>
      </c>
      <c r="Q13" s="30">
        <f>IF(Tabela2[PC]&lt;&gt;0,Tabela2[AC]/Tabela2[PC],0)</f>
        <v>2.575228207059574</v>
      </c>
      <c r="R13" s="29">
        <f>IF(Tabela2[PL]&lt;&gt;0,Tabela2[AI]/Tabela2[PL],0)</f>
        <v>1.7978173384609254E-2</v>
      </c>
      <c r="S13" s="29">
        <f>IF(Tabela2[AT]&lt;&gt;0,Tabela2[PO]/Tabela2[AT],0)</f>
        <v>0.5838241514927478</v>
      </c>
      <c r="T13" s="29">
        <f>IF(Tabela2[LL]&lt;&gt;0,Tabela2[Dividendos]/Tabela2[LL],0)</f>
        <v>0.28499708883982028</v>
      </c>
      <c r="U13" s="31">
        <f>(Tabela2[Div/Ação]/20%*Tabela2[Unit])</f>
        <v>1.006713478552383</v>
      </c>
      <c r="V13" s="28">
        <f>(Tabela2[Div/Ação]/Setup!$A$2*Tabela2[Unit])</f>
        <v>1.4505957904213014</v>
      </c>
      <c r="W13" s="26">
        <v>1</v>
      </c>
      <c r="X13" s="25"/>
      <c r="Y13" s="25"/>
    </row>
    <row r="14" spans="1:25" x14ac:dyDescent="0.2">
      <c r="A14" s="25" t="s">
        <v>45</v>
      </c>
      <c r="B14" s="25" t="s">
        <v>28</v>
      </c>
      <c r="C14" s="25">
        <v>2015</v>
      </c>
      <c r="D14" s="26">
        <v>158488517</v>
      </c>
      <c r="E14" s="27">
        <v>1351893</v>
      </c>
      <c r="F14" s="27">
        <v>639604</v>
      </c>
      <c r="G14" s="27">
        <v>444194</v>
      </c>
      <c r="H14" s="27">
        <v>439490</v>
      </c>
      <c r="I14" s="27">
        <f>210714+47481+487014+121342</f>
        <v>866551</v>
      </c>
      <c r="J14" s="27">
        <v>231856</v>
      </c>
      <c r="K14" s="27">
        <v>1060395</v>
      </c>
      <c r="L14" s="27">
        <v>52673</v>
      </c>
      <c r="M14" s="27">
        <f>7269+5940</f>
        <v>13209</v>
      </c>
      <c r="N14" s="28">
        <f>IF(Tabela2[Ações]&lt;&gt;0,Tabela2[Dividendos]*1000/Tabela2[Ações],0)</f>
        <v>8.3343577503473015E-2</v>
      </c>
      <c r="O14" s="29">
        <f>IF(Tabela2[RBV]&gt;0,Tabela2[LL]/Tabela2[RBV],0)</f>
        <v>4.9672999212557585E-2</v>
      </c>
      <c r="P14" s="29">
        <f>IF(Tabela2[PL]&lt;&gt;0,Tabela2[LL]/Tabela2[PL],0)</f>
        <v>0.22717980125595197</v>
      </c>
      <c r="Q14" s="30">
        <f>IF(Tabela2[PC]&lt;&gt;0,Tabela2[AC]/Tabela2[PC],0)</f>
        <v>1.4553323170037999</v>
      </c>
      <c r="R14" s="29">
        <f>IF(Tabela2[PL]&lt;&gt;0,Tabela2[AI]/Tabela2[PL],0)</f>
        <v>1.9158184390311228</v>
      </c>
      <c r="S14" s="29">
        <f>IF(Tabela2[AT]&lt;&gt;0,Tabela2[PO]/Tabela2[AT],0)</f>
        <v>0.64099081806030511</v>
      </c>
      <c r="T14" s="29">
        <f>IF(Tabela2[LL]&lt;&gt;0,Tabela2[Dividendos]/Tabela2[LL],0)</f>
        <v>0.25077364114441936</v>
      </c>
      <c r="U14" s="31">
        <f>(Tabela2[Div/Ação]/20%*Tabela2[Unit])</f>
        <v>0.41671788751736505</v>
      </c>
      <c r="V14" s="28">
        <f>(Tabela2[Div/Ação]/Setup!$A$2*Tabela2[Unit])</f>
        <v>0.60045805117775941</v>
      </c>
      <c r="W14" s="26">
        <v>1</v>
      </c>
      <c r="X14" s="25"/>
      <c r="Y14" s="25"/>
    </row>
    <row r="15" spans="1:25" x14ac:dyDescent="0.2">
      <c r="A15" s="25" t="s">
        <v>45</v>
      </c>
      <c r="B15" s="25" t="s">
        <v>28</v>
      </c>
      <c r="C15" s="25">
        <v>2014</v>
      </c>
      <c r="D15" s="26">
        <v>158488517</v>
      </c>
      <c r="E15" s="27">
        <v>1132348</v>
      </c>
      <c r="F15" s="27">
        <v>497839</v>
      </c>
      <c r="G15" s="27">
        <v>392585</v>
      </c>
      <c r="H15" s="27">
        <v>460243</v>
      </c>
      <c r="I15" s="27">
        <f>172722+86005+274646+109982</f>
        <v>643355</v>
      </c>
      <c r="J15" s="27">
        <v>237280</v>
      </c>
      <c r="K15" s="27">
        <v>949147</v>
      </c>
      <c r="L15" s="27">
        <v>93484</v>
      </c>
      <c r="M15" s="27">
        <f>6447+16488+22198</f>
        <v>45133</v>
      </c>
      <c r="N15" s="28">
        <f>IF(Tabela2[Ações]&lt;&gt;0,Tabela2[Dividendos]*1000/Tabela2[Ações],0)</f>
        <v>0.28477141974897779</v>
      </c>
      <c r="O15" s="29">
        <f>IF(Tabela2[RBV]&gt;0,Tabela2[LL]/Tabela2[RBV],0)</f>
        <v>9.8492646555275426E-2</v>
      </c>
      <c r="P15" s="29">
        <f>IF(Tabela2[PL]&lt;&gt;0,Tabela2[LL]/Tabela2[PL],0)</f>
        <v>0.39398179366149699</v>
      </c>
      <c r="Q15" s="30">
        <f>IF(Tabela2[PC]&lt;&gt;0,Tabela2[AC]/Tabela2[PC],0)</f>
        <v>1.0816872825876764</v>
      </c>
      <c r="R15" s="29">
        <f>IF(Tabela2[PL]&lt;&gt;0,Tabela2[AI]/Tabela2[PL],0)</f>
        <v>1.6545220836142953</v>
      </c>
      <c r="S15" s="29">
        <f>IF(Tabela2[AT]&lt;&gt;0,Tabela2[PO]/Tabela2[AT],0)</f>
        <v>0.56816014158191652</v>
      </c>
      <c r="T15" s="29">
        <f>IF(Tabela2[LL]&lt;&gt;0,Tabela2[Dividendos]/Tabela2[LL],0)</f>
        <v>0.48278849856659961</v>
      </c>
      <c r="U15" s="31">
        <f>(Tabela2[Div/Ação]/20%*Tabela2[Unit])</f>
        <v>1.4238570987448889</v>
      </c>
      <c r="V15" s="28">
        <f>(Tabela2[Div/Ação]/Setup!$A$2*Tabela2[Unit])</f>
        <v>2.051667289257765</v>
      </c>
      <c r="W15" s="26">
        <v>1</v>
      </c>
      <c r="X15" s="25"/>
      <c r="Y15" s="25"/>
    </row>
    <row r="16" spans="1:25" x14ac:dyDescent="0.2">
      <c r="A16" s="25" t="s">
        <v>45</v>
      </c>
      <c r="B16" s="25" t="s">
        <v>28</v>
      </c>
      <c r="C16" s="25">
        <v>2013</v>
      </c>
      <c r="D16" s="26">
        <v>158488517</v>
      </c>
      <c r="E16" s="27">
        <v>904908</v>
      </c>
      <c r="F16" s="27">
        <v>433732</v>
      </c>
      <c r="G16" s="27">
        <v>265572</v>
      </c>
      <c r="H16" s="27">
        <v>352485</v>
      </c>
      <c r="I16" s="27">
        <f>91068+40003+202066+117200</f>
        <v>450337</v>
      </c>
      <c r="J16" s="27">
        <v>191857</v>
      </c>
      <c r="K16" s="27">
        <v>834032</v>
      </c>
      <c r="L16" s="27">
        <v>90511</v>
      </c>
      <c r="M16" s="27">
        <f>17836+3658+8597</f>
        <v>30091</v>
      </c>
      <c r="N16" s="28">
        <f>IF(Tabela2[Ações]&lt;&gt;0,Tabela2[Dividendos]*1000/Tabela2[Ações],0)</f>
        <v>0.18986233557854543</v>
      </c>
      <c r="O16" s="29">
        <f>IF(Tabela2[RBV]&gt;0,Tabela2[LL]/Tabela2[RBV],0)</f>
        <v>0.10852221497496499</v>
      </c>
      <c r="P16" s="29">
        <f>IF(Tabela2[PL]&lt;&gt;0,Tabela2[LL]/Tabela2[PL],0)</f>
        <v>0.47176282335280967</v>
      </c>
      <c r="Q16" s="30">
        <f>IF(Tabela2[PC]&lt;&gt;0,Tabela2[AC]/Tabela2[PC],0)</f>
        <v>1.2304977516773763</v>
      </c>
      <c r="R16" s="29">
        <f>IF(Tabela2[PL]&lt;&gt;0,Tabela2[AI]/Tabela2[PL],0)</f>
        <v>1.3842184543696607</v>
      </c>
      <c r="S16" s="29">
        <f>IF(Tabela2[AT]&lt;&gt;0,Tabela2[PO]/Tabela2[AT],0)</f>
        <v>0.49766053565666346</v>
      </c>
      <c r="T16" s="29">
        <f>IF(Tabela2[LL]&lt;&gt;0,Tabela2[Dividendos]/Tabela2[LL],0)</f>
        <v>0.33245682845179036</v>
      </c>
      <c r="U16" s="31">
        <f>(Tabela2[Div/Ação]/20%*Tabela2[Unit])</f>
        <v>0.94931167789272708</v>
      </c>
      <c r="V16" s="28">
        <f>(Tabela2[Div/Ação]/Setup!$A$2*Tabela2[Unit])</f>
        <v>1.3678842620932667</v>
      </c>
      <c r="W16" s="26">
        <v>1</v>
      </c>
      <c r="X16" s="25"/>
      <c r="Y16" s="25"/>
    </row>
    <row r="17" spans="1:25" x14ac:dyDescent="0.2">
      <c r="A17" s="25" t="s">
        <v>45</v>
      </c>
      <c r="B17" s="25" t="s">
        <v>28</v>
      </c>
      <c r="C17" s="25">
        <v>2012</v>
      </c>
      <c r="D17" s="26">
        <v>158488517</v>
      </c>
      <c r="E17" s="27">
        <v>695321</v>
      </c>
      <c r="F17" s="27">
        <v>328230</v>
      </c>
      <c r="G17" s="27">
        <v>187056</v>
      </c>
      <c r="H17" s="27">
        <v>295375</v>
      </c>
      <c r="I17" s="27">
        <f>75584+38707+90931+113364</f>
        <v>318586</v>
      </c>
      <c r="J17" s="27">
        <v>127127</v>
      </c>
      <c r="K17" s="27">
        <v>706471</v>
      </c>
      <c r="L17" s="27">
        <v>65675</v>
      </c>
      <c r="M17" s="27">
        <f>13742+1853</f>
        <v>15595</v>
      </c>
      <c r="N17" s="28">
        <f>IF(Tabela2[Ações]&lt;&gt;0,Tabela2[Dividendos]*1000/Tabela2[Ações],0)</f>
        <v>9.8398295947207323E-2</v>
      </c>
      <c r="O17" s="29">
        <f>IF(Tabela2[RBV]&gt;0,Tabela2[LL]/Tabela2[RBV],0)</f>
        <v>9.2962060721529974E-2</v>
      </c>
      <c r="P17" s="29">
        <f>IF(Tabela2[PL]&lt;&gt;0,Tabela2[LL]/Tabela2[PL],0)</f>
        <v>0.51660937487709147</v>
      </c>
      <c r="Q17" s="30">
        <f>IF(Tabela2[PC]&lt;&gt;0,Tabela2[AC]/Tabela2[PC],0)</f>
        <v>1.1112314853999155</v>
      </c>
      <c r="R17" s="29">
        <f>IF(Tabela2[PL]&lt;&gt;0,Tabela2[AI]/Tabela2[PL],0)</f>
        <v>1.4714104792844951</v>
      </c>
      <c r="S17" s="29">
        <f>IF(Tabela2[AT]&lt;&gt;0,Tabela2[PO]/Tabela2[AT],0)</f>
        <v>0.45818549993456259</v>
      </c>
      <c r="T17" s="29">
        <f>IF(Tabela2[LL]&lt;&gt;0,Tabela2[Dividendos]/Tabela2[LL],0)</f>
        <v>0.23745717548534451</v>
      </c>
      <c r="U17" s="31">
        <f>(Tabela2[Div/Ação]/20%*Tabela2[Unit])</f>
        <v>0.49199147973603657</v>
      </c>
      <c r="V17" s="28">
        <f>(Tabela2[Div/Ação]/Setup!$A$2*Tabela2[Unit])</f>
        <v>0.70892144054183948</v>
      </c>
      <c r="W17" s="26">
        <v>1</v>
      </c>
      <c r="X17" s="25"/>
      <c r="Y17" s="25"/>
    </row>
    <row r="18" spans="1:25" x14ac:dyDescent="0.2">
      <c r="A18" s="25" t="s">
        <v>45</v>
      </c>
      <c r="B18" s="25" t="s">
        <v>28</v>
      </c>
      <c r="C18" s="25">
        <v>2011</v>
      </c>
      <c r="D18" s="26">
        <v>158488517</v>
      </c>
      <c r="E18" s="27">
        <v>550222</v>
      </c>
      <c r="F18" s="27">
        <v>215923</v>
      </c>
      <c r="G18" s="27">
        <v>178052</v>
      </c>
      <c r="H18" s="27">
        <v>245403</v>
      </c>
      <c r="I18" s="27">
        <f>79600+23401+40210+128056</f>
        <v>271267</v>
      </c>
      <c r="J18" s="27">
        <v>81798</v>
      </c>
      <c r="K18" s="27">
        <v>586806</v>
      </c>
      <c r="L18" s="27">
        <v>24390</v>
      </c>
      <c r="M18" s="27">
        <v>0</v>
      </c>
      <c r="N18" s="28">
        <f>IF(Tabela2[Ações]&lt;&gt;0,Tabela2[Dividendos]*1000/Tabela2[Ações],0)</f>
        <v>0</v>
      </c>
      <c r="O18" s="29">
        <f>IF(Tabela2[RBV]&gt;0,Tabela2[LL]/Tabela2[RBV],0)</f>
        <v>4.1563992188218934E-2</v>
      </c>
      <c r="P18" s="29">
        <f>IF(Tabela2[PL]&lt;&gt;0,Tabela2[LL]/Tabela2[PL],0)</f>
        <v>0.29817354947553731</v>
      </c>
      <c r="Q18" s="30">
        <f>IF(Tabela2[PC]&lt;&gt;0,Tabela2[AC]/Tabela2[PC],0)</f>
        <v>0.87987106922083269</v>
      </c>
      <c r="R18" s="29">
        <f>IF(Tabela2[PL]&lt;&gt;0,Tabela2[AI]/Tabela2[PL],0)</f>
        <v>2.1767280373603266</v>
      </c>
      <c r="S18" s="29">
        <f>IF(Tabela2[AT]&lt;&gt;0,Tabela2[PO]/Tabela2[AT],0)</f>
        <v>0.49301372900392931</v>
      </c>
      <c r="T18" s="29">
        <f>IF(Tabela2[LL]&lt;&gt;0,Tabela2[Dividendos]/Tabela2[LL],0)</f>
        <v>0</v>
      </c>
      <c r="U18" s="31">
        <f>(Tabela2[Div/Ação]/20%*Tabela2[Unit])</f>
        <v>0</v>
      </c>
      <c r="V18" s="28">
        <f>(Tabela2[Div/Ação]/Setup!$A$2*Tabela2[Unit])</f>
        <v>0</v>
      </c>
      <c r="W18" s="26">
        <v>1</v>
      </c>
      <c r="X18" s="25"/>
      <c r="Y18" s="25"/>
    </row>
    <row r="19" spans="1:25" x14ac:dyDescent="0.2">
      <c r="A19" s="25" t="s">
        <v>45</v>
      </c>
      <c r="B19" s="25" t="s">
        <v>28</v>
      </c>
      <c r="C19" s="25">
        <v>2010</v>
      </c>
      <c r="D19" s="26">
        <v>158488517</v>
      </c>
      <c r="E19" s="27">
        <v>538113</v>
      </c>
      <c r="F19" s="27">
        <v>214884</v>
      </c>
      <c r="G19" s="27">
        <v>178226</v>
      </c>
      <c r="H19" s="27">
        <v>251275</v>
      </c>
      <c r="I19" s="27">
        <f>97584+20885+45242+140267</f>
        <v>303978</v>
      </c>
      <c r="J19" s="27">
        <v>60836</v>
      </c>
      <c r="K19" s="27">
        <v>511415</v>
      </c>
      <c r="L19" s="27">
        <v>32304</v>
      </c>
      <c r="M19" s="27">
        <v>0</v>
      </c>
      <c r="N19" s="28">
        <f>IF(Tabela2[Ações]&lt;&gt;0,Tabela2[Dividendos]*1000/Tabela2[Ações],0)</f>
        <v>0</v>
      </c>
      <c r="O19" s="29">
        <f>IF(Tabela2[RBV]&gt;0,Tabela2[LL]/Tabela2[RBV],0)</f>
        <v>6.3165922000723476E-2</v>
      </c>
      <c r="P19" s="29">
        <f>IF(Tabela2[PL]&lt;&gt;0,Tabela2[LL]/Tabela2[PL],0)</f>
        <v>0.53100138076139125</v>
      </c>
      <c r="Q19" s="30">
        <f>IF(Tabela2[PC]&lt;&gt;0,Tabela2[AC]/Tabela2[PC],0)</f>
        <v>0.85517460949159285</v>
      </c>
      <c r="R19" s="29">
        <f>IF(Tabela2[PL]&lt;&gt;0,Tabela2[AI]/Tabela2[PL],0)</f>
        <v>2.9296140443158656</v>
      </c>
      <c r="S19" s="29">
        <f>IF(Tabela2[AT]&lt;&gt;0,Tabela2[PO]/Tabela2[AT],0)</f>
        <v>0.56489622068227308</v>
      </c>
      <c r="T19" s="29">
        <f>IF(Tabela2[LL]&lt;&gt;0,Tabela2[Dividendos]/Tabela2[LL],0)</f>
        <v>0</v>
      </c>
      <c r="U19" s="31">
        <f>(Tabela2[Div/Ação]/20%*Tabela2[Unit])</f>
        <v>0</v>
      </c>
      <c r="V19" s="28">
        <f>(Tabela2[Div/Ação]/Setup!$A$2*Tabela2[Unit])</f>
        <v>0</v>
      </c>
      <c r="W19" s="26">
        <v>1</v>
      </c>
      <c r="X19" s="25"/>
      <c r="Y19" s="25"/>
    </row>
    <row r="20" spans="1:25" x14ac:dyDescent="0.2">
      <c r="A20" s="25" t="s">
        <v>46</v>
      </c>
      <c r="B20" s="25" t="s">
        <v>35</v>
      </c>
      <c r="C20" s="25">
        <v>2015</v>
      </c>
      <c r="D20" s="26">
        <v>1258841654</v>
      </c>
      <c r="E20" s="27">
        <v>40857089</v>
      </c>
      <c r="F20" s="27">
        <v>9376738</v>
      </c>
      <c r="G20" s="27">
        <v>3940323</v>
      </c>
      <c r="H20" s="27">
        <v>13074072</v>
      </c>
      <c r="I20" s="27">
        <f>6300359+3901228+8866178+4485343</f>
        <v>23553108</v>
      </c>
      <c r="J20" s="27">
        <v>12987676</v>
      </c>
      <c r="K20" s="27">
        <v>21292211</v>
      </c>
      <c r="L20" s="27">
        <v>2469003</v>
      </c>
      <c r="M20" s="27">
        <f>200000+1056497</f>
        <v>1256497</v>
      </c>
      <c r="N20" s="28">
        <f>IF(Tabela2[Ações]&lt;&gt;0,Tabela2[Dividendos]*1000/Tabela2[Ações],0)</f>
        <v>0.99813745120957043</v>
      </c>
      <c r="O20" s="29">
        <f>IF(Tabela2[RBV]&gt;0,Tabela2[LL]/Tabela2[RBV],0)</f>
        <v>0.11595803742504712</v>
      </c>
      <c r="P20" s="29">
        <f>IF(Tabela2[PL]&lt;&gt;0,Tabela2[LL]/Tabela2[PL],0)</f>
        <v>0.19010352583479909</v>
      </c>
      <c r="Q20" s="30">
        <f>IF(Tabela2[PC]&lt;&gt;0,Tabela2[AC]/Tabela2[PC],0)</f>
        <v>0.71720103728968299</v>
      </c>
      <c r="R20" s="29">
        <f>IF(Tabela2[PL]&lt;&gt;0,Tabela2[AI]/Tabela2[PL],0)</f>
        <v>0.30338938236525148</v>
      </c>
      <c r="S20" s="29">
        <f>IF(Tabela2[AT]&lt;&gt;0,Tabela2[PO]/Tabela2[AT],0)</f>
        <v>0.57647543122810341</v>
      </c>
      <c r="T20" s="29">
        <f>IF(Tabela2[LL]&lt;&gt;0,Tabela2[Dividendos]/Tabela2[LL],0)</f>
        <v>0.50890865665209806</v>
      </c>
      <c r="U20" s="31">
        <f>(Tabela2[Div/Ação]/20%*Tabela2[Unit])</f>
        <v>4.9906872560478517</v>
      </c>
      <c r="V20" s="33">
        <f>(Tabela2[Div/Ação]/Setup!$A$2*Tabela2[Unit])</f>
        <v>7.1911920115963284</v>
      </c>
      <c r="W20" s="26">
        <v>1</v>
      </c>
      <c r="X20" s="25"/>
      <c r="Y20" s="25"/>
    </row>
    <row r="21" spans="1:25" x14ac:dyDescent="0.2">
      <c r="A21" s="25" t="s">
        <v>46</v>
      </c>
      <c r="B21" s="25" t="s">
        <v>35</v>
      </c>
      <c r="C21" s="25">
        <v>2014</v>
      </c>
      <c r="D21" s="26">
        <v>1258841654</v>
      </c>
      <c r="E21" s="27">
        <v>35000003</v>
      </c>
      <c r="F21" s="27">
        <v>6554378</v>
      </c>
      <c r="G21" s="27">
        <v>5543620</v>
      </c>
      <c r="H21" s="27">
        <v>10123317</v>
      </c>
      <c r="I21" s="27">
        <f>5290655+2437074+8218083+4007207</f>
        <v>19953019</v>
      </c>
      <c r="J21" s="27">
        <v>11284952</v>
      </c>
      <c r="K21" s="27">
        <v>19539578</v>
      </c>
      <c r="L21" s="27">
        <v>3136903</v>
      </c>
      <c r="M21" s="27">
        <f>230000+1364633</f>
        <v>1594633</v>
      </c>
      <c r="N21" s="28">
        <f>IF(Tabela2[Ações]&lt;&gt;0,Tabela2[Dividendos]*1000/Tabela2[Ações],0)</f>
        <v>1.2667462940497836</v>
      </c>
      <c r="O21" s="29">
        <f>IF(Tabela2[RBV]&gt;0,Tabela2[LL]/Tabela2[RBV],0)</f>
        <v>0.16054097995361005</v>
      </c>
      <c r="P21" s="29">
        <f>IF(Tabela2[PL]&lt;&gt;0,Tabela2[LL]/Tabela2[PL],0)</f>
        <v>0.27797220581886389</v>
      </c>
      <c r="Q21" s="30">
        <f>IF(Tabela2[PC]&lt;&gt;0,Tabela2[AC]/Tabela2[PC],0)</f>
        <v>0.64745359648423539</v>
      </c>
      <c r="R21" s="29">
        <f>IF(Tabela2[PL]&lt;&gt;0,Tabela2[AI]/Tabela2[PL],0)</f>
        <v>0.49124001590790994</v>
      </c>
      <c r="S21" s="29">
        <f>IF(Tabela2[AT]&lt;&gt;0,Tabela2[PO]/Tabela2[AT],0)</f>
        <v>0.57008620827832501</v>
      </c>
      <c r="T21" s="29">
        <f>IF(Tabela2[LL]&lt;&gt;0,Tabela2[Dividendos]/Tabela2[LL],0)</f>
        <v>0.50834628931783987</v>
      </c>
      <c r="U21" s="31">
        <f>(Tabela2[Div/Ação]/20%*Tabela2[Unit])</f>
        <v>6.3337314702489174</v>
      </c>
      <c r="V21" s="33">
        <f>(Tabela2[Div/Ação]/Setup!$A$2*Tabela2[Unit])</f>
        <v>9.1264142222606885</v>
      </c>
      <c r="W21" s="26">
        <v>1</v>
      </c>
      <c r="X21" s="25"/>
      <c r="Y21" s="25"/>
    </row>
    <row r="22" spans="1:25" x14ac:dyDescent="0.2">
      <c r="A22" s="25" t="s">
        <v>46</v>
      </c>
      <c r="B22" s="25" t="s">
        <v>35</v>
      </c>
      <c r="C22" s="25">
        <v>2013</v>
      </c>
      <c r="D22" s="26">
        <v>1258841654</v>
      </c>
      <c r="E22" s="27">
        <v>29814142</v>
      </c>
      <c r="F22" s="27">
        <v>6668783</v>
      </c>
      <c r="G22" s="27">
        <v>5817455</v>
      </c>
      <c r="H22" s="27">
        <v>5921641</v>
      </c>
      <c r="I22" s="27">
        <f>2237766+1898372+7219598+3472348</f>
        <v>14828084</v>
      </c>
      <c r="J22" s="27">
        <v>12638357</v>
      </c>
      <c r="K22" s="27">
        <v>14627280</v>
      </c>
      <c r="L22" s="27">
        <v>3103855</v>
      </c>
      <c r="M22" s="27">
        <f>533149+1067925</f>
        <v>1601074</v>
      </c>
      <c r="N22" s="28">
        <f>IF(Tabela2[Ações]&lt;&gt;0,Tabela2[Dividendos]*1000/Tabela2[Ações],0)</f>
        <v>1.2718629026236528</v>
      </c>
      <c r="O22" s="29">
        <f>IF(Tabela2[RBV]&gt;0,Tabela2[LL]/Tabela2[RBV],0)</f>
        <v>0.21219632084707479</v>
      </c>
      <c r="P22" s="29">
        <f>IF(Tabela2[PL]&lt;&gt;0,Tabela2[LL]/Tabela2[PL],0)</f>
        <v>0.24559007155756085</v>
      </c>
      <c r="Q22" s="30">
        <f>IF(Tabela2[PC]&lt;&gt;0,Tabela2[AC]/Tabela2[PC],0)</f>
        <v>1.1261714447059523</v>
      </c>
      <c r="R22" s="29">
        <f>IF(Tabela2[PL]&lt;&gt;0,Tabela2[AI]/Tabela2[PL],0)</f>
        <v>0.46030152495296661</v>
      </c>
      <c r="S22" s="29">
        <f>IF(Tabela2[AT]&lt;&gt;0,Tabela2[PO]/Tabela2[AT],0)</f>
        <v>0.49735068679823152</v>
      </c>
      <c r="T22" s="29">
        <f>IF(Tabela2[LL]&lt;&gt;0,Tabela2[Dividendos]/Tabela2[LL],0)</f>
        <v>0.51583401930824735</v>
      </c>
      <c r="U22" s="31">
        <f>(Tabela2[Div/Ação]/20%*Tabela2[Unit])</f>
        <v>6.3593145131182638</v>
      </c>
      <c r="V22" s="33">
        <f>(Tabela2[Div/Ação]/Setup!$A$2*Tabela2[Unit])</f>
        <v>9.1632773964240108</v>
      </c>
      <c r="W22" s="26">
        <v>1</v>
      </c>
      <c r="X22" s="25"/>
      <c r="Y22" s="25"/>
    </row>
    <row r="23" spans="1:25" x14ac:dyDescent="0.2">
      <c r="A23" s="25" t="s">
        <v>46</v>
      </c>
      <c r="B23" s="25" t="s">
        <v>35</v>
      </c>
      <c r="C23" s="25">
        <v>2012</v>
      </c>
      <c r="D23" s="26">
        <v>1258841654</v>
      </c>
      <c r="E23" s="27">
        <v>40772961</v>
      </c>
      <c r="F23" s="27">
        <v>11990079</v>
      </c>
      <c r="G23" s="27">
        <v>8810529</v>
      </c>
      <c r="H23" s="27">
        <v>14307372</v>
      </c>
      <c r="I23" s="27">
        <f>7106306+4509362+9064004+3941467</f>
        <v>24621139</v>
      </c>
      <c r="J23" s="27">
        <v>12044062</v>
      </c>
      <c r="K23" s="27">
        <v>18460375</v>
      </c>
      <c r="L23" s="27">
        <v>4271685</v>
      </c>
      <c r="M23" s="27">
        <f>1700000+589976</f>
        <v>2289976</v>
      </c>
      <c r="N23" s="28">
        <f>IF(Tabela2[Ações]&lt;&gt;0,Tabela2[Dividendos]*1000/Tabela2[Ações],0)</f>
        <v>1.8191136214181867</v>
      </c>
      <c r="O23" s="29">
        <f>IF(Tabela2[RBV]&gt;0,Tabela2[LL]/Tabela2[RBV],0)</f>
        <v>0.23139752036456465</v>
      </c>
      <c r="P23" s="29">
        <f>IF(Tabela2[PL]&lt;&gt;0,Tabela2[LL]/Tabela2[PL],0)</f>
        <v>0.35467145552721335</v>
      </c>
      <c r="Q23" s="30">
        <f>IF(Tabela2[PC]&lt;&gt;0,Tabela2[AC]/Tabela2[PC],0)</f>
        <v>0.83803503536498525</v>
      </c>
      <c r="R23" s="29">
        <f>IF(Tabela2[PL]&lt;&gt;0,Tabela2[AI]/Tabela2[PL],0)</f>
        <v>0.73152471317401058</v>
      </c>
      <c r="S23" s="29">
        <f>IF(Tabela2[AT]&lt;&gt;0,Tabela2[PO]/Tabela2[AT],0)</f>
        <v>0.60385947932503603</v>
      </c>
      <c r="T23" s="29">
        <f>IF(Tabela2[LL]&lt;&gt;0,Tabela2[Dividendos]/Tabela2[LL],0)</f>
        <v>0.53608259972352834</v>
      </c>
      <c r="U23" s="31">
        <f>(Tabela2[Div/Ação]/20%*Tabela2[Unit])</f>
        <v>9.0955681070909336</v>
      </c>
      <c r="V23" s="33">
        <f>(Tabela2[Div/Ação]/Setup!$A$2*Tabela2[Unit])</f>
        <v>13.106005917998463</v>
      </c>
      <c r="W23" s="26">
        <v>1</v>
      </c>
      <c r="X23" s="25"/>
      <c r="Y23" s="25"/>
    </row>
    <row r="24" spans="1:25" x14ac:dyDescent="0.2">
      <c r="A24" s="25" t="s">
        <v>46</v>
      </c>
      <c r="B24" s="25" t="s">
        <v>35</v>
      </c>
      <c r="C24" s="25">
        <v>2011</v>
      </c>
      <c r="D24" s="26">
        <v>1258841654</v>
      </c>
      <c r="E24" s="27">
        <v>37008883</v>
      </c>
      <c r="F24" s="27">
        <v>8531649</v>
      </c>
      <c r="G24" s="27">
        <v>8661791</v>
      </c>
      <c r="H24" s="27">
        <v>12169346</v>
      </c>
      <c r="I24" s="27">
        <f>7821060+2215467+7958009+3701981</f>
        <v>21696517</v>
      </c>
      <c r="J24" s="27">
        <v>11744948</v>
      </c>
      <c r="K24" s="27">
        <v>15748716</v>
      </c>
      <c r="L24" s="27">
        <v>2415450</v>
      </c>
      <c r="M24" s="27">
        <v>1207725</v>
      </c>
      <c r="N24" s="28">
        <f>IF(Tabela2[Ações]&lt;&gt;0,Tabela2[Dividendos]*1000/Tabela2[Ações],0)</f>
        <v>0.95939389689118115</v>
      </c>
      <c r="O24" s="29">
        <f>IF(Tabela2[RBV]&gt;0,Tabela2[LL]/Tabela2[RBV],0)</f>
        <v>0.15337440842796327</v>
      </c>
      <c r="P24" s="29">
        <f>IF(Tabela2[PL]&lt;&gt;0,Tabela2[LL]/Tabela2[PL],0)</f>
        <v>0.20565863722853434</v>
      </c>
      <c r="Q24" s="30">
        <f>IF(Tabela2[PC]&lt;&gt;0,Tabela2[AC]/Tabela2[PC],0)</f>
        <v>0.70107703404932364</v>
      </c>
      <c r="R24" s="29">
        <f>IF(Tabela2[PL]&lt;&gt;0,Tabela2[AI]/Tabela2[PL],0)</f>
        <v>0.73749079178554044</v>
      </c>
      <c r="S24" s="29">
        <f>IF(Tabela2[AT]&lt;&gt;0,Tabela2[PO]/Tabela2[AT],0)</f>
        <v>0.58625160343261373</v>
      </c>
      <c r="T24" s="29">
        <f>IF(Tabela2[LL]&lt;&gt;0,Tabela2[Dividendos]/Tabela2[LL],0)</f>
        <v>0.5</v>
      </c>
      <c r="U24" s="31">
        <f>(Tabela2[Div/Ação]/20%*Tabela2[Unit])</f>
        <v>4.7969694844559054</v>
      </c>
      <c r="V24" s="33">
        <f>(Tabela2[Div/Ação]/Setup!$A$2*Tabela2[Unit])</f>
        <v>6.9120597758730629</v>
      </c>
      <c r="W24" s="26">
        <v>1</v>
      </c>
      <c r="X24" s="25"/>
      <c r="Y24" s="25"/>
    </row>
    <row r="25" spans="1:25" x14ac:dyDescent="0.2">
      <c r="A25" s="25" t="s">
        <v>46</v>
      </c>
      <c r="B25" s="25" t="s">
        <v>35</v>
      </c>
      <c r="C25" s="32">
        <v>2010</v>
      </c>
      <c r="D25" s="26">
        <v>1258841654</v>
      </c>
      <c r="E25" s="34">
        <v>33473963</v>
      </c>
      <c r="F25" s="34">
        <v>8085576</v>
      </c>
      <c r="G25" s="34">
        <v>8228513</v>
      </c>
      <c r="H25" s="34">
        <v>6403358</v>
      </c>
      <c r="I25" s="34">
        <f>2202566+2226686+11023924+3216113</f>
        <v>18669289</v>
      </c>
      <c r="J25" s="34">
        <v>11476133</v>
      </c>
      <c r="K25" s="34">
        <v>13846934</v>
      </c>
      <c r="L25" s="34">
        <v>2257976</v>
      </c>
      <c r="M25" s="34">
        <v>1128988</v>
      </c>
      <c r="N25" s="35">
        <f>IF(Tabela2[Ações]&lt;&gt;0,Tabela2[Dividendos]*1000/Tabela2[Ações],0)</f>
        <v>0.89684671333571875</v>
      </c>
      <c r="O25" s="36">
        <f>IF(Tabela2[RBV]&gt;0,Tabela2[LL]/Tabela2[RBV],0)</f>
        <v>0.16306685653300579</v>
      </c>
      <c r="P25" s="36">
        <f>IF(Tabela2[PL]&lt;&gt;0,Tabela2[LL]/Tabela2[PL],0)</f>
        <v>0.19675408083890278</v>
      </c>
      <c r="Q25" s="37">
        <f>IF(Tabela2[PC]&lt;&gt;0,Tabela2[AC]/Tabela2[PC],0)</f>
        <v>1.2627087225171543</v>
      </c>
      <c r="R25" s="36">
        <f>IF(Tabela2[PL]&lt;&gt;0,Tabela2[AI]/Tabela2[PL],0)</f>
        <v>0.71701094785151065</v>
      </c>
      <c r="S25" s="36">
        <f>IF(Tabela2[AT]&lt;&gt;0,Tabela2[PO]/Tabela2[AT],0)</f>
        <v>0.55772568667773215</v>
      </c>
      <c r="T25" s="36">
        <f>IF(Tabela2[LL]&lt;&gt;0,Tabela2[Dividendos]/Tabela2[LL],0)</f>
        <v>0.5</v>
      </c>
      <c r="U25" s="38">
        <f>(Tabela2[Div/Ação]/20%*Tabela2[Unit])</f>
        <v>4.4842335666785935</v>
      </c>
      <c r="V25" s="39">
        <f>(Tabela2[Div/Ação]/Setup!$A$2*Tabela2[Unit])</f>
        <v>6.46143165227463</v>
      </c>
      <c r="W25" s="26">
        <v>1</v>
      </c>
      <c r="X25" s="25"/>
      <c r="Y25" s="25"/>
    </row>
    <row r="26" spans="1:25" x14ac:dyDescent="0.2">
      <c r="A26" s="32" t="s">
        <v>47</v>
      </c>
      <c r="B26" s="32" t="s">
        <v>36</v>
      </c>
      <c r="C26" s="25">
        <v>2015</v>
      </c>
      <c r="D26" s="40">
        <v>26701745</v>
      </c>
      <c r="E26" s="34">
        <v>1750734</v>
      </c>
      <c r="F26" s="34">
        <v>1338522</v>
      </c>
      <c r="G26" s="34">
        <v>99361</v>
      </c>
      <c r="H26" s="34">
        <v>846456</v>
      </c>
      <c r="I26" s="34">
        <f>324495+70441+351393+4383</f>
        <v>750712</v>
      </c>
      <c r="J26" s="34">
        <v>524552</v>
      </c>
      <c r="K26" s="34">
        <v>1772815</v>
      </c>
      <c r="L26" s="34">
        <v>93714</v>
      </c>
      <c r="M26" s="34">
        <v>19884</v>
      </c>
      <c r="N26" s="39">
        <f>IF(Tabela2[Ações]&lt;&gt;0,Tabela2[Dividendos]*1000/Tabela2[Ações],0)</f>
        <v>0.74467043258783272</v>
      </c>
      <c r="O26" s="36">
        <f>IF(Tabela2[RBV]&gt;0,Tabela2[LL]/Tabela2[RBV],0)</f>
        <v>5.2861691716281731E-2</v>
      </c>
      <c r="P26" s="36">
        <f>IF(Tabela2[PL]&lt;&gt;0,Tabela2[LL]/Tabela2[PL],0)</f>
        <v>0.17865530967377877</v>
      </c>
      <c r="Q26" s="37">
        <f>IF(Tabela2[PC]&lt;&gt;0,Tabela2[AC]/Tabela2[PC],0)</f>
        <v>1.581324959596246</v>
      </c>
      <c r="R26" s="36">
        <f>IF(Tabela2[PL]&lt;&gt;0,Tabela2[AI]/Tabela2[PL],0)</f>
        <v>0.18942068660495051</v>
      </c>
      <c r="S26" s="36">
        <f>IF(Tabela2[AT]&lt;&gt;0,Tabela2[PO]/Tabela2[AT],0)</f>
        <v>0.42879843539909546</v>
      </c>
      <c r="T26" s="36">
        <f>IF(Tabela2[LL]&lt;&gt;0,Tabela2[Dividendos]/Tabela2[LL],0)</f>
        <v>0.21217747615084193</v>
      </c>
      <c r="U26" s="38">
        <f>(Tabela2[Div/Ação]/20%*Tabela2[Unit])</f>
        <v>3.7233521629391633</v>
      </c>
      <c r="V26" s="39">
        <f>(Tabela2[Div/Ação]/Setup!$A$2*Tabela2[Unit])</f>
        <v>5.3650607535146451</v>
      </c>
      <c r="W26" s="26">
        <v>1</v>
      </c>
      <c r="X26" s="25"/>
      <c r="Y26" s="25"/>
    </row>
    <row r="27" spans="1:25" x14ac:dyDescent="0.2">
      <c r="A27" s="32" t="s">
        <v>47</v>
      </c>
      <c r="B27" s="32" t="s">
        <v>36</v>
      </c>
      <c r="C27" s="25">
        <v>2014</v>
      </c>
      <c r="D27" s="40">
        <v>26701745</v>
      </c>
      <c r="E27" s="27">
        <v>1871799</v>
      </c>
      <c r="F27" s="27">
        <v>1444747</v>
      </c>
      <c r="G27" s="27">
        <v>118341</v>
      </c>
      <c r="H27" s="27">
        <v>1053068</v>
      </c>
      <c r="I27" s="27">
        <f>503677+68738+297566+7669</f>
        <v>877650</v>
      </c>
      <c r="J27" s="27">
        <v>472518</v>
      </c>
      <c r="K27" s="27">
        <v>1821453</v>
      </c>
      <c r="L27" s="27">
        <v>5747</v>
      </c>
      <c r="M27" s="27">
        <f>1367+4099</f>
        <v>5466</v>
      </c>
      <c r="N27" s="33">
        <f>IF(Tabela2[Ações]&lt;&gt;0,Tabela2[Dividendos]*1000/Tabela2[Ações],0)</f>
        <v>0.20470572241626905</v>
      </c>
      <c r="O27" s="29">
        <f>IF(Tabela2[RBV]&gt;0,Tabela2[LL]/Tabela2[RBV],0)</f>
        <v>3.1551733698316673E-3</v>
      </c>
      <c r="P27" s="29">
        <f>IF(Tabela2[PL]&lt;&gt;0,Tabela2[LL]/Tabela2[PL],0)</f>
        <v>1.2162499629643738E-2</v>
      </c>
      <c r="Q27" s="30">
        <f>IF(Tabela2[PC]&lt;&gt;0,Tabela2[AC]/Tabela2[PC],0)</f>
        <v>1.3719408433263569</v>
      </c>
      <c r="R27" s="29">
        <f>IF(Tabela2[PL]&lt;&gt;0,Tabela2[AI]/Tabela2[PL],0)</f>
        <v>0.25044760199611443</v>
      </c>
      <c r="S27" s="29">
        <f>IF(Tabela2[AT]&lt;&gt;0,Tabela2[PO]/Tabela2[AT],0)</f>
        <v>0.46888047274306699</v>
      </c>
      <c r="T27" s="29">
        <f>IF(Tabela2[LL]&lt;&gt;0,Tabela2[Dividendos]/Tabela2[LL],0)</f>
        <v>0.95110492430833482</v>
      </c>
      <c r="U27" s="31">
        <f>(Tabela2[Div/Ação]/20%*Tabela2[Unit])</f>
        <v>1.0235286120813452</v>
      </c>
      <c r="V27" s="33">
        <f>(Tabela2[Div/Ação]/Setup!$A$2*Tabela2[Unit])</f>
        <v>1.4748250894543879</v>
      </c>
      <c r="W27" s="26">
        <v>1</v>
      </c>
      <c r="X27" s="25"/>
      <c r="Y27" s="25"/>
    </row>
    <row r="28" spans="1:25" x14ac:dyDescent="0.2">
      <c r="A28" s="32" t="s">
        <v>47</v>
      </c>
      <c r="B28" s="32" t="s">
        <v>36</v>
      </c>
      <c r="C28" s="25">
        <v>2013</v>
      </c>
      <c r="D28" s="40">
        <v>26701745</v>
      </c>
      <c r="E28" s="27">
        <v>1326029</v>
      </c>
      <c r="F28" s="27">
        <v>949363</v>
      </c>
      <c r="G28" s="27">
        <v>116092</v>
      </c>
      <c r="H28" s="27">
        <v>549896</v>
      </c>
      <c r="I28" s="27">
        <f>224722+59346+220962+214</f>
        <v>505244</v>
      </c>
      <c r="J28" s="27">
        <v>515741</v>
      </c>
      <c r="K28" s="27">
        <v>2143751</v>
      </c>
      <c r="L28" s="27">
        <v>13021</v>
      </c>
      <c r="M28" s="27">
        <f>3093+9279</f>
        <v>12372</v>
      </c>
      <c r="N28" s="33">
        <f>IF(Tabela2[Ações]&lt;&gt;0,Tabela2[Dividendos]*1000/Tabela2[Ações],0)</f>
        <v>0.4633405045250788</v>
      </c>
      <c r="O28" s="29">
        <f>IF(Tabela2[RBV]&gt;0,Tabela2[LL]/Tabela2[RBV],0)</f>
        <v>6.0739330267367804E-3</v>
      </c>
      <c r="P28" s="29">
        <f>IF(Tabela2[PL]&lt;&gt;0,Tabela2[LL]/Tabela2[PL],0)</f>
        <v>2.5247168636970883E-2</v>
      </c>
      <c r="Q28" s="30">
        <f>IF(Tabela2[PC]&lt;&gt;0,Tabela2[AC]/Tabela2[PC],0)</f>
        <v>1.7264409997526806</v>
      </c>
      <c r="R28" s="29">
        <f>IF(Tabela2[PL]&lt;&gt;0,Tabela2[AI]/Tabela2[PL],0)</f>
        <v>0.22509748110000949</v>
      </c>
      <c r="S28" s="29">
        <f>IF(Tabela2[AT]&lt;&gt;0,Tabela2[PO]/Tabela2[AT],0)</f>
        <v>0.38102032459320273</v>
      </c>
      <c r="T28" s="29">
        <f>IF(Tabela2[LL]&lt;&gt;0,Tabela2[Dividendos]/Tabela2[LL],0)</f>
        <v>0.9501574379847938</v>
      </c>
      <c r="U28" s="31">
        <f>(Tabela2[Div/Ação]/20%*Tabela2[Unit])</f>
        <v>2.3167025226253939</v>
      </c>
      <c r="V28" s="33">
        <f>(Tabela2[Div/Ação]/Setup!$A$2*Tabela2[Unit])</f>
        <v>3.3381880729472533</v>
      </c>
      <c r="W28" s="26">
        <v>1</v>
      </c>
      <c r="X28" s="25"/>
      <c r="Y28" s="25"/>
    </row>
    <row r="29" spans="1:25" x14ac:dyDescent="0.2">
      <c r="A29" s="32" t="s">
        <v>47</v>
      </c>
      <c r="B29" s="32" t="s">
        <v>36</v>
      </c>
      <c r="C29" s="25">
        <v>2012</v>
      </c>
      <c r="D29" s="40">
        <v>26701745</v>
      </c>
      <c r="E29" s="27">
        <v>1334917</v>
      </c>
      <c r="F29" s="27">
        <v>964310</v>
      </c>
      <c r="G29" s="27">
        <v>126154</v>
      </c>
      <c r="H29" s="27">
        <v>552460</v>
      </c>
      <c r="I29" s="27">
        <f>148371+59813+226622+4607</f>
        <v>439413</v>
      </c>
      <c r="J29" s="27">
        <v>515941</v>
      </c>
      <c r="K29" s="27">
        <v>1923508</v>
      </c>
      <c r="L29" s="27">
        <v>77015</v>
      </c>
      <c r="M29" s="27">
        <f>18290+7695</f>
        <v>25985</v>
      </c>
      <c r="N29" s="33">
        <f>IF(Tabela2[Ações]&lt;&gt;0,Tabela2[Dividendos]*1000/Tabela2[Ações],0)</f>
        <v>0.97315737229907628</v>
      </c>
      <c r="O29" s="29">
        <f>IF(Tabela2[RBV]&gt;0,Tabela2[LL]/Tabela2[RBV],0)</f>
        <v>4.0038824897011084E-2</v>
      </c>
      <c r="P29" s="29">
        <f>IF(Tabela2[PL]&lt;&gt;0,Tabela2[LL]/Tabela2[PL],0)</f>
        <v>0.14927094377070246</v>
      </c>
      <c r="Q29" s="30">
        <f>IF(Tabela2[PC]&lt;&gt;0,Tabela2[AC]/Tabela2[PC],0)</f>
        <v>1.7454838359338232</v>
      </c>
      <c r="R29" s="29">
        <f>IF(Tabela2[PL]&lt;&gt;0,Tabela2[AI]/Tabela2[PL],0)</f>
        <v>0.24451245394337726</v>
      </c>
      <c r="S29" s="29">
        <f>IF(Tabela2[AT]&lt;&gt;0,Tabela2[PO]/Tabela2[AT],0)</f>
        <v>0.32916877978181414</v>
      </c>
      <c r="T29" s="29">
        <f>IF(Tabela2[LL]&lt;&gt;0,Tabela2[Dividendos]/Tabela2[LL],0)</f>
        <v>0.33740180484321236</v>
      </c>
      <c r="U29" s="31">
        <f>(Tabela2[Div/Ação]/20%*Tabela2[Unit])</f>
        <v>4.8657868614953808</v>
      </c>
      <c r="V29" s="33">
        <f>(Tabela2[Div/Ação]/Setup!$A$2*Tabela2[Unit])</f>
        <v>7.0112202615207222</v>
      </c>
      <c r="W29" s="26">
        <v>1</v>
      </c>
      <c r="X29" s="25"/>
      <c r="Y29" s="25"/>
    </row>
    <row r="30" spans="1:25" x14ac:dyDescent="0.2">
      <c r="A30" s="32" t="s">
        <v>47</v>
      </c>
      <c r="B30" s="32" t="s">
        <v>36</v>
      </c>
      <c r="C30" s="25">
        <v>2011</v>
      </c>
      <c r="D30" s="40">
        <v>26701745</v>
      </c>
      <c r="E30" s="27">
        <v>1294402</v>
      </c>
      <c r="F30" s="27">
        <v>969973</v>
      </c>
      <c r="G30" s="27">
        <v>130235</v>
      </c>
      <c r="H30" s="27">
        <v>538135</v>
      </c>
      <c r="I30" s="27">
        <f>117872+68025+257864+5089</f>
        <v>448850</v>
      </c>
      <c r="J30" s="27">
        <v>466207</v>
      </c>
      <c r="K30" s="27">
        <v>1888967</v>
      </c>
      <c r="L30" s="27">
        <v>64921</v>
      </c>
      <c r="M30" s="27">
        <f>15419+9420</f>
        <v>24839</v>
      </c>
      <c r="N30" s="33">
        <f>IF(Tabela2[Ações]&lt;&gt;0,Tabela2[Dividendos]*1000/Tabela2[Ações],0)</f>
        <v>0.93023882896042942</v>
      </c>
      <c r="O30" s="29">
        <f>IF(Tabela2[RBV]&gt;0,Tabela2[LL]/Tabela2[RBV],0)</f>
        <v>3.4368519937087311E-2</v>
      </c>
      <c r="P30" s="29">
        <f>IF(Tabela2[PL]&lt;&gt;0,Tabela2[LL]/Tabela2[PL],0)</f>
        <v>0.13925359336088905</v>
      </c>
      <c r="Q30" s="30">
        <f>IF(Tabela2[PC]&lt;&gt;0,Tabela2[AC]/Tabela2[PC],0)</f>
        <v>1.802471498787479</v>
      </c>
      <c r="R30" s="29">
        <f>IF(Tabela2[PL]&lt;&gt;0,Tabela2[AI]/Tabela2[PL],0)</f>
        <v>0.27935015990750889</v>
      </c>
      <c r="S30" s="29">
        <f>IF(Tabela2[AT]&lt;&gt;0,Tabela2[PO]/Tabela2[AT],0)</f>
        <v>0.34676244319770827</v>
      </c>
      <c r="T30" s="29">
        <f>IF(Tabela2[LL]&lt;&gt;0,Tabela2[Dividendos]/Tabela2[LL],0)</f>
        <v>0.38260347191201616</v>
      </c>
      <c r="U30" s="31">
        <f>(Tabela2[Div/Ação]/20%*Tabela2[Unit])</f>
        <v>4.6511941448021465</v>
      </c>
      <c r="V30" s="33">
        <f>(Tabela2[Div/Ação]/Setup!$A$2*Tabela2[Unit])</f>
        <v>6.7020088541817682</v>
      </c>
      <c r="W30" s="26">
        <v>1</v>
      </c>
      <c r="X30" s="25"/>
      <c r="Y30" s="25"/>
    </row>
    <row r="31" spans="1:25" x14ac:dyDescent="0.2">
      <c r="A31" s="32" t="s">
        <v>47</v>
      </c>
      <c r="B31" s="32" t="s">
        <v>36</v>
      </c>
      <c r="C31" s="32">
        <v>2010</v>
      </c>
      <c r="D31" s="40">
        <v>26701745</v>
      </c>
      <c r="E31" s="27">
        <v>1102477</v>
      </c>
      <c r="F31" s="27">
        <v>969973</v>
      </c>
      <c r="G31" s="27">
        <v>124731</v>
      </c>
      <c r="H31" s="27">
        <v>470639</v>
      </c>
      <c r="I31" s="27">
        <f>96875+50631+144137+5929</f>
        <v>297572</v>
      </c>
      <c r="J31" s="27">
        <v>424464</v>
      </c>
      <c r="K31" s="27">
        <v>1564936</v>
      </c>
      <c r="L31" s="27">
        <v>61023</v>
      </c>
      <c r="M31" s="27">
        <f>14493+7795</f>
        <v>22288</v>
      </c>
      <c r="N31" s="33">
        <f>IF(Tabela2[Ações]&lt;&gt;0,Tabela2[Dividendos]*1000/Tabela2[Ações],0)</f>
        <v>0.83470200168565767</v>
      </c>
      <c r="O31" s="29">
        <f>IF(Tabela2[RBV]&gt;0,Tabela2[LL]/Tabela2[RBV],0)</f>
        <v>3.8993926908193054E-2</v>
      </c>
      <c r="P31" s="29">
        <f>IF(Tabela2[PL]&lt;&gt;0,Tabela2[LL]/Tabela2[PL],0)</f>
        <v>0.14376484224810585</v>
      </c>
      <c r="Q31" s="30">
        <f>IF(Tabela2[PC]&lt;&gt;0,Tabela2[AC]/Tabela2[PC],0)</f>
        <v>2.0609702978291216</v>
      </c>
      <c r="R31" s="29">
        <f>IF(Tabela2[PL]&lt;&gt;0,Tabela2[AI]/Tabela2[PL],0)</f>
        <v>0.29385530928417958</v>
      </c>
      <c r="S31" s="29">
        <f>IF(Tabela2[AT]&lt;&gt;0,Tabela2[PO]/Tabela2[AT],0)</f>
        <v>0.26991220678526628</v>
      </c>
      <c r="T31" s="29">
        <f>IF(Tabela2[LL]&lt;&gt;0,Tabela2[Dividendos]/Tabela2[LL],0)</f>
        <v>0.36523933598807007</v>
      </c>
      <c r="U31" s="31">
        <f>(Tabela2[Div/Ação]/20%*Tabela2[Unit])</f>
        <v>4.1735100084282877</v>
      </c>
      <c r="V31" s="33">
        <f>(Tabela2[Div/Ação]/Setup!$A$2*Tabela2[Unit])</f>
        <v>6.0137031821733258</v>
      </c>
      <c r="W31" s="26">
        <v>1</v>
      </c>
      <c r="X31" s="25"/>
      <c r="Y31" s="25"/>
    </row>
    <row r="32" spans="1:25" x14ac:dyDescent="0.2">
      <c r="A32" s="25" t="s">
        <v>46</v>
      </c>
      <c r="B32" s="32" t="s">
        <v>37</v>
      </c>
      <c r="C32" s="25">
        <v>2015</v>
      </c>
      <c r="D32" s="26">
        <v>1033496721</v>
      </c>
      <c r="E32" s="41">
        <v>8862458</v>
      </c>
      <c r="F32" s="34">
        <v>2082212</v>
      </c>
      <c r="G32" s="34">
        <v>22805</v>
      </c>
      <c r="H32" s="34">
        <v>1008424</v>
      </c>
      <c r="I32" s="34">
        <f>864554+85665+2807991+153809</f>
        <v>3912019</v>
      </c>
      <c r="J32" s="34">
        <v>4377065</v>
      </c>
      <c r="K32" s="34">
        <v>1542465</v>
      </c>
      <c r="L32" s="34">
        <v>909423</v>
      </c>
      <c r="M32" s="34">
        <f>244648+257585+322659</f>
        <v>824892</v>
      </c>
      <c r="N32" s="39">
        <f>IF(Tabela2[Ações]&lt;&gt;0,Tabela2[Dividendos]*1000/Tabela2[Ações],0)</f>
        <v>0.79815637847582488</v>
      </c>
      <c r="O32" s="36">
        <f>IF(Tabela2[RBV]&gt;0,Tabela2[LL]/Tabela2[RBV],0)</f>
        <v>0.58959068763310674</v>
      </c>
      <c r="P32" s="36">
        <f>IF(Tabela2[PL]&lt;&gt;0,Tabela2[LL]/Tabela2[PL],0)</f>
        <v>0.20777004682361355</v>
      </c>
      <c r="Q32" s="37">
        <f>IF(Tabela2[PC]&lt;&gt;0,Tabela2[AC]/Tabela2[PC],0)</f>
        <v>2.0648179733921448</v>
      </c>
      <c r="R32" s="36">
        <f>IF(Tabela2[PL]&lt;&gt;0,Tabela2[AI]/Tabela2[PL],0)</f>
        <v>5.2101122555867916E-3</v>
      </c>
      <c r="S32" s="36">
        <f>IF(Tabela2[AT]&lt;&gt;0,Tabela2[PO]/Tabela2[AT],0)</f>
        <v>0.44141467299478315</v>
      </c>
      <c r="T32" s="36">
        <f>IF(Tabela2[LL]&lt;&gt;0,Tabela2[Dividendos]/Tabela2[LL],0)</f>
        <v>0.90704985468808241</v>
      </c>
      <c r="U32" s="38">
        <f>(Tabela2[Div/Ação]/20%*Tabela2[Unit])</f>
        <v>11.972345677137373</v>
      </c>
      <c r="V32" s="39">
        <f>(Tabela2[Div/Ação]/Setup!$A$2*Tabela2[Unit])</f>
        <v>17.251218554952988</v>
      </c>
      <c r="W32" s="40">
        <v>3</v>
      </c>
      <c r="X32" s="25"/>
      <c r="Y32" s="25"/>
    </row>
    <row r="33" spans="1:25" x14ac:dyDescent="0.2">
      <c r="A33" s="25" t="s">
        <v>46</v>
      </c>
      <c r="B33" s="32" t="s">
        <v>37</v>
      </c>
      <c r="C33" s="25">
        <v>2014</v>
      </c>
      <c r="D33" s="26">
        <v>1033496721</v>
      </c>
      <c r="E33" s="42">
        <v>8658788</v>
      </c>
      <c r="F33" s="27">
        <v>1786946</v>
      </c>
      <c r="G33" s="27">
        <v>24175</v>
      </c>
      <c r="H33" s="27">
        <v>751767</v>
      </c>
      <c r="I33" s="27">
        <f>605806+96832+3239588+93089</f>
        <v>4035315</v>
      </c>
      <c r="J33" s="27">
        <v>4224632</v>
      </c>
      <c r="K33" s="27">
        <v>1495804</v>
      </c>
      <c r="L33" s="27">
        <v>904845</v>
      </c>
      <c r="M33" s="27">
        <f>400000+197000+254757</f>
        <v>851757</v>
      </c>
      <c r="N33" s="33">
        <f>IF(Tabela2[Ações]&lt;&gt;0,Tabela2[Dividendos]*1000/Tabela2[Ações],0)</f>
        <v>0.82415065543299382</v>
      </c>
      <c r="O33" s="29">
        <f>IF(Tabela2[RBV]&gt;0,Tabela2[LL]/Tabela2[RBV],0)</f>
        <v>0.60492216894726847</v>
      </c>
      <c r="P33" s="29">
        <f>IF(Tabela2[PL]&lt;&gt;0,Tabela2[LL]/Tabela2[PL],0)</f>
        <v>0.21418315252074027</v>
      </c>
      <c r="Q33" s="30">
        <f>IF(Tabela2[PC]&lt;&gt;0,Tabela2[AC]/Tabela2[PC],0)</f>
        <v>2.3769944677007637</v>
      </c>
      <c r="R33" s="29">
        <f>IF(Tabela2[PL]&lt;&gt;0,Tabela2[AI]/Tabela2[PL],0)</f>
        <v>5.7223919148460742E-3</v>
      </c>
      <c r="S33" s="29">
        <f>IF(Tabela2[AT]&lt;&gt;0,Tabela2[PO]/Tabela2[AT],0)</f>
        <v>0.46603693265154428</v>
      </c>
      <c r="T33" s="29">
        <f>IF(Tabela2[LL]&lt;&gt;0,Tabela2[Dividendos]/Tabela2[LL],0)</f>
        <v>0.94132917792550108</v>
      </c>
      <c r="U33" s="31">
        <f>(Tabela2[Div/Ação]/20%*Tabela2[Unit])</f>
        <v>12.362259831494907</v>
      </c>
      <c r="V33" s="33">
        <f>(Tabela2[Div/Ação]/Setup!$A$2*Tabela2[Unit])</f>
        <v>17.813054512240498</v>
      </c>
      <c r="W33" s="40">
        <v>3</v>
      </c>
      <c r="X33" s="25"/>
      <c r="Y33" s="25"/>
    </row>
    <row r="34" spans="1:25" x14ac:dyDescent="0.2">
      <c r="A34" s="25" t="s">
        <v>46</v>
      </c>
      <c r="B34" s="32" t="s">
        <v>37</v>
      </c>
      <c r="C34" s="25">
        <v>2013</v>
      </c>
      <c r="D34" s="26">
        <v>1033496721</v>
      </c>
      <c r="E34" s="27">
        <v>9154079</v>
      </c>
      <c r="F34" s="27">
        <v>1788028</v>
      </c>
      <c r="G34" s="27">
        <v>22861</v>
      </c>
      <c r="H34" s="27">
        <v>1097570</v>
      </c>
      <c r="I34" s="27">
        <f>942160+110634+3425203</f>
        <v>4477997</v>
      </c>
      <c r="J34" s="27">
        <v>4305064</v>
      </c>
      <c r="K34" s="27">
        <v>1447851</v>
      </c>
      <c r="L34" s="27">
        <v>892852</v>
      </c>
      <c r="M34" s="27">
        <f>25389+190000+210000+145689</f>
        <v>571078</v>
      </c>
      <c r="N34" s="33">
        <f>IF(Tabela2[Ações]&lt;&gt;0,Tabela2[Dividendos]*1000/Tabela2[Ações],0)</f>
        <v>0.55256875846440157</v>
      </c>
      <c r="O34" s="29">
        <f>IF(Tabela2[RBV]&gt;0,Tabela2[LL]/Tabela2[RBV],0)</f>
        <v>0.6166739533280704</v>
      </c>
      <c r="P34" s="29">
        <f>IF(Tabela2[PL]&lt;&gt;0,Tabela2[LL]/Tabela2[PL],0)</f>
        <v>0.20739575532442722</v>
      </c>
      <c r="Q34" s="30">
        <f>IF(Tabela2[PC]&lt;&gt;0,Tabela2[AC]/Tabela2[PC],0)</f>
        <v>1.6290787831300053</v>
      </c>
      <c r="R34" s="29">
        <f>IF(Tabela2[PL]&lt;&gt;0,Tabela2[AI]/Tabela2[PL],0)</f>
        <v>5.3102578730536872E-3</v>
      </c>
      <c r="S34" s="29">
        <f>IF(Tabela2[AT]&lt;&gt;0,Tabela2[PO]/Tabela2[AT],0)</f>
        <v>0.48918050630762527</v>
      </c>
      <c r="T34" s="29">
        <f>IF(Tabela2[LL]&lt;&gt;0,Tabela2[Dividendos]/Tabela2[LL],0)</f>
        <v>0.63961104415961434</v>
      </c>
      <c r="U34" s="31">
        <f>(Tabela2[Div/Ação]/20%*Tabela2[Unit])</f>
        <v>8.2885313769660236</v>
      </c>
      <c r="V34" s="33">
        <f>(Tabela2[Div/Ação]/Setup!$A$2*Tabela2[Unit])</f>
        <v>11.943128785253636</v>
      </c>
      <c r="W34" s="40">
        <v>3</v>
      </c>
      <c r="X34" s="25"/>
      <c r="Y34" s="25"/>
    </row>
    <row r="35" spans="1:25" x14ac:dyDescent="0.2">
      <c r="A35" s="25" t="s">
        <v>46</v>
      </c>
      <c r="B35" s="32" t="s">
        <v>37</v>
      </c>
      <c r="C35" s="25">
        <v>2012</v>
      </c>
      <c r="D35" s="26">
        <v>1033496721</v>
      </c>
      <c r="E35" s="27">
        <v>9584907</v>
      </c>
      <c r="F35" s="27">
        <v>3762674</v>
      </c>
      <c r="G35" s="27">
        <v>17456</v>
      </c>
      <c r="H35" s="27">
        <v>642962</v>
      </c>
      <c r="I35" s="27">
        <f>421715+173282+4316320</f>
        <v>4911317</v>
      </c>
      <c r="J35" s="27">
        <v>4097243</v>
      </c>
      <c r="K35" s="27">
        <v>1126865</v>
      </c>
      <c r="L35" s="27">
        <v>589182</v>
      </c>
      <c r="M35" s="27">
        <f>99643+259642+160000</f>
        <v>519285</v>
      </c>
      <c r="N35" s="33">
        <f>IF(Tabela2[Ações]&lt;&gt;0,Tabela2[Dividendos]*1000/Tabela2[Ações],0)</f>
        <v>0.5024544243329051</v>
      </c>
      <c r="O35" s="29">
        <f>IF(Tabela2[RBV]&gt;0,Tabela2[LL]/Tabela2[RBV],0)</f>
        <v>0.52285056328841517</v>
      </c>
      <c r="P35" s="29">
        <f>IF(Tabela2[PL]&lt;&gt;0,Tabela2[LL]/Tabela2[PL],0)</f>
        <v>0.14379962330767299</v>
      </c>
      <c r="Q35" s="30">
        <f>IF(Tabela2[PC]&lt;&gt;0,Tabela2[AC]/Tabela2[PC],0)</f>
        <v>5.8520939029056152</v>
      </c>
      <c r="R35" s="29">
        <f>IF(Tabela2[PL]&lt;&gt;0,Tabela2[AI]/Tabela2[PL],0)</f>
        <v>4.2604258522133051E-3</v>
      </c>
      <c r="S35" s="29">
        <f>IF(Tabela2[AT]&lt;&gt;0,Tabela2[PO]/Tabela2[AT],0)</f>
        <v>0.51240111145575018</v>
      </c>
      <c r="T35" s="29">
        <f>IF(Tabela2[LL]&lt;&gt;0,Tabela2[Dividendos]/Tabela2[LL],0)</f>
        <v>0.88136602951210319</v>
      </c>
      <c r="U35" s="31">
        <f>(Tabela2[Div/Ação]/20%*Tabela2[Unit])</f>
        <v>7.5368163649935767</v>
      </c>
      <c r="V35" s="33">
        <f>(Tabela2[Div/Ação]/Setup!$A$2*Tabela2[Unit])</f>
        <v>10.859965943794778</v>
      </c>
      <c r="W35" s="40">
        <v>3</v>
      </c>
      <c r="X35" s="25"/>
      <c r="Y35" s="25"/>
    </row>
    <row r="36" spans="1:25" x14ac:dyDescent="0.2">
      <c r="A36" s="25" t="s">
        <v>46</v>
      </c>
      <c r="B36" s="32" t="s">
        <v>37</v>
      </c>
      <c r="C36" s="25">
        <v>2011</v>
      </c>
      <c r="D36" s="26">
        <v>1033496721</v>
      </c>
      <c r="E36" s="27">
        <v>6490580</v>
      </c>
      <c r="F36" s="27">
        <v>1565781</v>
      </c>
      <c r="G36" s="27">
        <v>13940</v>
      </c>
      <c r="H36" s="27">
        <v>1657918</v>
      </c>
      <c r="I36" s="27">
        <f>1314304+296644+2015405+29883</f>
        <v>3656236</v>
      </c>
      <c r="J36" s="27">
        <v>2252472</v>
      </c>
      <c r="K36" s="27">
        <v>997244</v>
      </c>
      <c r="L36" s="27">
        <v>495399</v>
      </c>
      <c r="M36" s="27">
        <v>214267</v>
      </c>
      <c r="N36" s="33">
        <f>IF(Tabela2[Ações]&lt;&gt;0,Tabela2[Dividendos]*1000/Tabela2[Ações],0)</f>
        <v>0.20732238007748841</v>
      </c>
      <c r="O36" s="29">
        <f>IF(Tabela2[RBV]&gt;0,Tabela2[LL]/Tabela2[RBV],0)</f>
        <v>0.49676809286393298</v>
      </c>
      <c r="P36" s="29">
        <f>IF(Tabela2[PL]&lt;&gt;0,Tabela2[LL]/Tabela2[PL],0)</f>
        <v>0.21993569731388449</v>
      </c>
      <c r="Q36" s="30">
        <f>IF(Tabela2[PC]&lt;&gt;0,Tabela2[AC]/Tabela2[PC],0)</f>
        <v>0.9444260813864136</v>
      </c>
      <c r="R36" s="29">
        <f>IF(Tabela2[PL]&lt;&gt;0,Tabela2[AI]/Tabela2[PL],0)</f>
        <v>6.1887561754374746E-3</v>
      </c>
      <c r="S36" s="29">
        <f>IF(Tabela2[AT]&lt;&gt;0,Tabela2[PO]/Tabela2[AT],0)</f>
        <v>0.56331421845197194</v>
      </c>
      <c r="T36" s="29">
        <f>IF(Tabela2[LL]&lt;&gt;0,Tabela2[Dividendos]/Tabela2[LL],0)</f>
        <v>0.43251399377067778</v>
      </c>
      <c r="U36" s="31">
        <f>(Tabela2[Div/Ação]/20%*Tabela2[Unit])</f>
        <v>3.1098357011623259</v>
      </c>
      <c r="V36" s="33">
        <f>(Tabela2[Div/Ação]/Setup!$A$2*Tabela2[Unit])</f>
        <v>4.4810312696863486</v>
      </c>
      <c r="W36" s="40">
        <v>3</v>
      </c>
      <c r="X36" s="25"/>
      <c r="Y36" s="25"/>
    </row>
    <row r="37" spans="1:25" x14ac:dyDescent="0.2">
      <c r="A37" s="25" t="s">
        <v>46</v>
      </c>
      <c r="B37" s="32" t="s">
        <v>37</v>
      </c>
      <c r="C37" s="32">
        <v>2010</v>
      </c>
      <c r="D37" s="26">
        <v>1033496721</v>
      </c>
      <c r="E37" s="27">
        <v>4576109</v>
      </c>
      <c r="F37" s="27">
        <v>1081675</v>
      </c>
      <c r="G37" s="27">
        <v>12741</v>
      </c>
      <c r="H37" s="27">
        <v>308495</v>
      </c>
      <c r="I37" s="27">
        <f>54017+226432+1487279+7509</f>
        <v>1775237</v>
      </c>
      <c r="J37" s="27">
        <v>2508354</v>
      </c>
      <c r="K37" s="27">
        <v>798594</v>
      </c>
      <c r="L37" s="27">
        <v>428630</v>
      </c>
      <c r="M37" s="27">
        <f>106330+203599</f>
        <v>309929</v>
      </c>
      <c r="N37" s="33">
        <f>IF(Tabela2[Ações]&lt;&gt;0,Tabela2[Dividendos]*1000/Tabela2[Ações],0)</f>
        <v>0.29988387355512469</v>
      </c>
      <c r="O37" s="29">
        <f>IF(Tabela2[RBV]&gt;0,Tabela2[LL]/Tabela2[RBV],0)</f>
        <v>0.53673080438871312</v>
      </c>
      <c r="P37" s="29">
        <f>IF(Tabela2[PL]&lt;&gt;0,Tabela2[LL]/Tabela2[PL],0)</f>
        <v>0.17088098410351968</v>
      </c>
      <c r="Q37" s="30">
        <f>IF(Tabela2[PC]&lt;&gt;0,Tabela2[AC]/Tabela2[PC],0)</f>
        <v>3.5062966984878199</v>
      </c>
      <c r="R37" s="29">
        <f>IF(Tabela2[PL]&lt;&gt;0,Tabela2[AI]/Tabela2[PL],0)</f>
        <v>5.0794265881131612E-3</v>
      </c>
      <c r="S37" s="29">
        <f>IF(Tabela2[AT]&lt;&gt;0,Tabela2[PO]/Tabela2[AT],0)</f>
        <v>0.38793590799519856</v>
      </c>
      <c r="T37" s="29">
        <f>IF(Tabela2[LL]&lt;&gt;0,Tabela2[Dividendos]/Tabela2[LL],0)</f>
        <v>0.7230688472575415</v>
      </c>
      <c r="U37" s="31">
        <f>(Tabela2[Div/Ação]/20%*Tabela2[Unit])</f>
        <v>4.4982581033268705</v>
      </c>
      <c r="V37" s="33">
        <f>(Tabela2[Div/Ação]/Setup!$A$2*Tabela2[Unit])</f>
        <v>6.4816399183384297</v>
      </c>
      <c r="W37" s="40">
        <v>3</v>
      </c>
      <c r="X37" s="25"/>
      <c r="Y37" s="25"/>
    </row>
    <row r="38" spans="1:25" x14ac:dyDescent="0.2">
      <c r="A38" s="25" t="s">
        <v>46</v>
      </c>
      <c r="B38" s="32" t="s">
        <v>39</v>
      </c>
      <c r="C38" s="25">
        <v>2015</v>
      </c>
      <c r="D38" s="40">
        <v>327502673</v>
      </c>
      <c r="E38" s="34">
        <v>11986763</v>
      </c>
      <c r="F38" s="34">
        <v>1022615</v>
      </c>
      <c r="G38" s="34">
        <v>7260107</v>
      </c>
      <c r="H38" s="34">
        <v>998224</v>
      </c>
      <c r="I38" s="34">
        <f>206736+720977+675973+3001674</f>
        <v>4605360</v>
      </c>
      <c r="J38" s="34">
        <v>7310892</v>
      </c>
      <c r="K38" s="34">
        <v>2950982</v>
      </c>
      <c r="L38" s="27">
        <v>-61357</v>
      </c>
      <c r="M38" s="34">
        <v>41326</v>
      </c>
      <c r="N38" s="39">
        <f>IF(Tabela2[Ações]&lt;&gt;0,Tabela2[Dividendos]*1000/Tabela2[Ações],0)</f>
        <v>0.12618522963933182</v>
      </c>
      <c r="O38" s="36">
        <f>IF(Tabela2[RBV]&gt;0,Tabela2[LL]/Tabela2[RBV],0)</f>
        <v>-2.0792061761135783E-2</v>
      </c>
      <c r="P38" s="36">
        <f>IF(Tabela2[PL]&lt;&gt;0,Tabela2[LL]/Tabela2[PL],0)</f>
        <v>-8.3925463541247771E-3</v>
      </c>
      <c r="Q38" s="43">
        <f>IF(Tabela2[PC]&lt;&gt;0,Tabela2[AC]/Tabela2[PC],0)</f>
        <v>1.0244343954863837</v>
      </c>
      <c r="R38" s="36">
        <f>IF(Tabela2[PL]&lt;&gt;0,Tabela2[AI]/Tabela2[PL],0)</f>
        <v>0.99305351522085128</v>
      </c>
      <c r="S38" s="36">
        <f>IF(Tabela2[AT]&lt;&gt;0,Tabela2[PO]/Tabela2[AT],0)</f>
        <v>0.38420380881811045</v>
      </c>
      <c r="T38" s="36">
        <f>IF(Tabela2[LL]&lt;&gt;0,Tabela2[Dividendos]/Tabela2[LL],0)</f>
        <v>-0.67353358215036585</v>
      </c>
      <c r="U38" s="38">
        <f>(Tabela2[Div/Ação]/20%*Tabela2[Unit])</f>
        <v>0.63092614819665904</v>
      </c>
      <c r="V38" s="39">
        <f>(Tabela2[Div/Ação]/Setup!$A$2*Tabela2[Unit])</f>
        <v>0.90911548731507075</v>
      </c>
      <c r="W38" s="40">
        <v>1</v>
      </c>
      <c r="X38" s="30"/>
      <c r="Y38" s="25"/>
    </row>
    <row r="39" spans="1:25" x14ac:dyDescent="0.2">
      <c r="A39" s="25" t="s">
        <v>46</v>
      </c>
      <c r="B39" s="32" t="s">
        <v>39</v>
      </c>
      <c r="C39" s="25">
        <v>2014</v>
      </c>
      <c r="D39" s="40">
        <v>327502673</v>
      </c>
      <c r="E39" s="27">
        <v>14687886</v>
      </c>
      <c r="F39" s="27">
        <v>2948585</v>
      </c>
      <c r="G39" s="27">
        <v>8494806</v>
      </c>
      <c r="H39" s="27">
        <v>2202432</v>
      </c>
      <c r="I39" s="27">
        <f>1149797+985752+605267+3251110</f>
        <v>5991926</v>
      </c>
      <c r="J39" s="27">
        <v>8629077</v>
      </c>
      <c r="K39" s="27">
        <v>4699251</v>
      </c>
      <c r="L39" s="27">
        <v>560139</v>
      </c>
      <c r="M39" s="27">
        <f>404543+193000+1175652</f>
        <v>1773195</v>
      </c>
      <c r="N39" s="33">
        <f>IF(Tabela2[Ações]&lt;&gt;0,Tabela2[Dividendos]*1000/Tabela2[Ações],0)</f>
        <v>5.4142916873231135</v>
      </c>
      <c r="O39" s="29">
        <f>IF(Tabela2[RBV]&gt;0,Tabela2[LL]/Tabela2[RBV],0)</f>
        <v>0.11919750615576823</v>
      </c>
      <c r="P39" s="29">
        <f>IF(Tabela2[PL]&lt;&gt;0,Tabela2[LL]/Tabela2[PL],0)</f>
        <v>6.4912968096124304E-2</v>
      </c>
      <c r="Q39" s="44">
        <f>IF(Tabela2[PC]&lt;&gt;0,Tabela2[AC]/Tabela2[PC],0)</f>
        <v>1.3387859420858397</v>
      </c>
      <c r="R39" s="29">
        <f>IF(Tabela2[PL]&lt;&gt;0,Tabela2[AI]/Tabela2[PL],0)</f>
        <v>0.984439703110773</v>
      </c>
      <c r="S39" s="29">
        <f>IF(Tabela2[AT]&lt;&gt;0,Tabela2[PO]/Tabela2[AT],0)</f>
        <v>0.40795019787054448</v>
      </c>
      <c r="T39" s="29">
        <f>IF(Tabela2[LL]&lt;&gt;0,Tabela2[Dividendos]/Tabela2[LL],0)</f>
        <v>3.165633887302973</v>
      </c>
      <c r="U39" s="31">
        <f>(Tabela2[Div/Ação]/20%*Tabela2[Unit])</f>
        <v>27.071458436615565</v>
      </c>
      <c r="V39" s="33">
        <f>(Tabela2[Div/Ação]/Setup!$A$2*Tabela2[Unit])</f>
        <v>39.007865182443176</v>
      </c>
      <c r="W39" s="26">
        <v>1</v>
      </c>
      <c r="X39" s="30"/>
      <c r="Y39" s="25"/>
    </row>
    <row r="40" spans="1:25" x14ac:dyDescent="0.2">
      <c r="A40" s="25" t="s">
        <v>46</v>
      </c>
      <c r="B40" s="32" t="s">
        <v>39</v>
      </c>
      <c r="C40" s="25">
        <v>2013</v>
      </c>
      <c r="D40" s="40">
        <v>327502673</v>
      </c>
      <c r="E40" s="27">
        <v>15174853</v>
      </c>
      <c r="F40" s="27">
        <v>1471399</v>
      </c>
      <c r="G40" s="27">
        <v>11076739</v>
      </c>
      <c r="H40" s="27">
        <v>1251127</v>
      </c>
      <c r="I40" s="27">
        <f>193781+983790+1569012+3037328</f>
        <v>5783911</v>
      </c>
      <c r="J40" s="27">
        <v>9317386</v>
      </c>
      <c r="K40" s="27">
        <v>3904102</v>
      </c>
      <c r="L40" s="27">
        <v>-195346</v>
      </c>
      <c r="M40" s="27">
        <f>401543+196000+446534</f>
        <v>1044077</v>
      </c>
      <c r="N40" s="33">
        <f>IF(Tabela2[Ações]&lt;&gt;0,Tabela2[Dividendos]*1000/Tabela2[Ações],0)</f>
        <v>3.1879953541631094</v>
      </c>
      <c r="O40" s="29">
        <f>IF(Tabela2[RBV]&gt;0,Tabela2[LL]/Tabela2[RBV],0)</f>
        <v>-5.0036090245592968E-2</v>
      </c>
      <c r="P40" s="29">
        <f>IF(Tabela2[PL]&lt;&gt;0,Tabela2[LL]/Tabela2[PL],0)</f>
        <v>-2.0965751553064346E-2</v>
      </c>
      <c r="Q40" s="44">
        <f>IF(Tabela2[PC]&lt;&gt;0,Tabela2[AC]/Tabela2[PC],0)</f>
        <v>1.1760588653270212</v>
      </c>
      <c r="R40" s="29">
        <f>IF(Tabela2[PL]&lt;&gt;0,Tabela2[AI]/Tabela2[PL],0)</f>
        <v>1.1888247411881401</v>
      </c>
      <c r="S40" s="29">
        <f>IF(Tabela2[AT]&lt;&gt;0,Tabela2[PO]/Tabela2[AT],0)</f>
        <v>0.381151039815674</v>
      </c>
      <c r="T40" s="29">
        <f>IF(Tabela2[LL]&lt;&gt;0,Tabela2[Dividendos]/Tabela2[LL],0)</f>
        <v>-5.3447575071923668</v>
      </c>
      <c r="U40" s="31">
        <f>(Tabela2[Div/Ação]/20%*Tabela2[Unit])</f>
        <v>15.939976770815546</v>
      </c>
      <c r="V40" s="33">
        <f>(Tabela2[Div/Ação]/Setup!$A$2*Tabela2[Unit])</f>
        <v>22.968266240368223</v>
      </c>
      <c r="W40" s="26">
        <v>1</v>
      </c>
      <c r="X40" s="30"/>
      <c r="Y40" s="25"/>
    </row>
    <row r="41" spans="1:25" x14ac:dyDescent="0.2">
      <c r="A41" s="25" t="s">
        <v>46</v>
      </c>
      <c r="B41" s="32" t="s">
        <v>39</v>
      </c>
      <c r="C41" s="25">
        <v>2012</v>
      </c>
      <c r="D41" s="40">
        <v>327502673</v>
      </c>
      <c r="E41" s="27">
        <v>16889872</v>
      </c>
      <c r="F41" s="27">
        <v>1075237</v>
      </c>
      <c r="G41" s="27">
        <v>15181566</v>
      </c>
      <c r="H41" s="27">
        <v>1790097</v>
      </c>
      <c r="I41" s="27">
        <f>703789+1004017+1763999+3277912</f>
        <v>6749717</v>
      </c>
      <c r="J41" s="27">
        <v>9879937</v>
      </c>
      <c r="K41" s="27">
        <v>3354005</v>
      </c>
      <c r="L41" s="27">
        <v>147982</v>
      </c>
      <c r="M41" s="27">
        <f>271172+115000</f>
        <v>386172</v>
      </c>
      <c r="N41" s="33">
        <f>IF(Tabela2[Ações]&lt;&gt;0,Tabela2[Dividendos]*1000/Tabela2[Ações],0)</f>
        <v>1.1791415210830967</v>
      </c>
      <c r="O41" s="29">
        <f>IF(Tabela2[RBV]&gt;0,Tabela2[LL]/Tabela2[RBV],0)</f>
        <v>4.4120983719463748E-2</v>
      </c>
      <c r="P41" s="29">
        <f>IF(Tabela2[PL]&lt;&gt;0,Tabela2[LL]/Tabela2[PL],0)</f>
        <v>1.4978030730357896E-2</v>
      </c>
      <c r="Q41" s="44">
        <f>IF(Tabela2[PC]&lt;&gt;0,Tabela2[AC]/Tabela2[PC],0)</f>
        <v>0.6006585118013158</v>
      </c>
      <c r="R41" s="29">
        <f>IF(Tabela2[PL]&lt;&gt;0,Tabela2[AI]/Tabela2[PL],0)</f>
        <v>1.5366055471811206</v>
      </c>
      <c r="S41" s="29">
        <f>IF(Tabela2[AT]&lt;&gt;0,Tabela2[PO]/Tabela2[AT],0)</f>
        <v>0.39963103331984989</v>
      </c>
      <c r="T41" s="29">
        <f>IF(Tabela2[LL]&lt;&gt;0,Tabela2[Dividendos]/Tabela2[LL],0)</f>
        <v>2.6095876525523374</v>
      </c>
      <c r="U41" s="31">
        <f>(Tabela2[Div/Ação]/20%*Tabela2[Unit])</f>
        <v>5.8957076054154829</v>
      </c>
      <c r="V41" s="33">
        <f>(Tabela2[Div/Ação]/Setup!$A$2*Tabela2[Unit])</f>
        <v>8.49525591558427</v>
      </c>
      <c r="W41" s="26">
        <v>1</v>
      </c>
      <c r="X41" s="30"/>
      <c r="Y41" s="25"/>
    </row>
    <row r="42" spans="1:25" x14ac:dyDescent="0.2">
      <c r="A42" s="25" t="s">
        <v>46</v>
      </c>
      <c r="B42" s="32" t="s">
        <v>39</v>
      </c>
      <c r="C42" s="25">
        <v>2011</v>
      </c>
      <c r="D42" s="40">
        <v>327502673</v>
      </c>
      <c r="E42" s="27">
        <v>17300019</v>
      </c>
      <c r="F42" s="27">
        <v>969263</v>
      </c>
      <c r="G42" s="27">
        <v>15841006</v>
      </c>
      <c r="H42" s="27">
        <v>1599558</v>
      </c>
      <c r="I42" s="27">
        <f>425906+1026385+2223375+3115479</f>
        <v>6791145</v>
      </c>
      <c r="J42" s="27">
        <v>10118127</v>
      </c>
      <c r="K42" s="27">
        <v>2957525</v>
      </c>
      <c r="L42" s="27">
        <v>108581</v>
      </c>
      <c r="M42" s="27">
        <f>390405+75000</f>
        <v>465405</v>
      </c>
      <c r="N42" s="33">
        <f>IF(Tabela2[Ações]&lt;&gt;0,Tabela2[Dividendos]*1000/Tabela2[Ações],0)</f>
        <v>1.4210723709116109</v>
      </c>
      <c r="O42" s="29">
        <f>IF(Tabela2[RBV]&gt;0,Tabela2[LL]/Tabela2[RBV],0)</f>
        <v>3.6713468187082106E-2</v>
      </c>
      <c r="P42" s="29">
        <f>IF(Tabela2[PL]&lt;&gt;0,Tabela2[LL]/Tabela2[PL],0)</f>
        <v>1.0731333971198425E-2</v>
      </c>
      <c r="Q42" s="44">
        <f>IF(Tabela2[PC]&lt;&gt;0,Tabela2[AC]/Tabela2[PC],0)</f>
        <v>0.60595677055786656</v>
      </c>
      <c r="R42" s="29">
        <f>IF(Tabela2[PL]&lt;&gt;0,Tabela2[AI]/Tabela2[PL],0)</f>
        <v>1.565606559395825</v>
      </c>
      <c r="S42" s="29">
        <f>IF(Tabela2[AT]&lt;&gt;0,Tabela2[PO]/Tabela2[AT],0)</f>
        <v>0.39255130297833779</v>
      </c>
      <c r="T42" s="29">
        <f>IF(Tabela2[LL]&lt;&gt;0,Tabela2[Dividendos]/Tabela2[LL],0)</f>
        <v>4.2862471334763912</v>
      </c>
      <c r="U42" s="31">
        <f>(Tabela2[Div/Ação]/20%*Tabela2[Unit])</f>
        <v>7.1053618545580539</v>
      </c>
      <c r="V42" s="33">
        <f>(Tabela2[Div/Ação]/Setup!$A$2*Tabela2[Unit])</f>
        <v>10.238273565645612</v>
      </c>
      <c r="W42" s="26">
        <v>1</v>
      </c>
      <c r="X42" s="30"/>
      <c r="Y42" s="25"/>
    </row>
    <row r="43" spans="1:25" x14ac:dyDescent="0.2">
      <c r="A43" s="25" t="s">
        <v>46</v>
      </c>
      <c r="B43" s="32" t="s">
        <v>39</v>
      </c>
      <c r="C43" s="32">
        <v>2010</v>
      </c>
      <c r="D43" s="40">
        <v>327502673</v>
      </c>
      <c r="E43" s="27">
        <v>17782435</v>
      </c>
      <c r="F43" s="27">
        <v>857842</v>
      </c>
      <c r="G43" s="27">
        <v>16476849</v>
      </c>
      <c r="H43" s="27">
        <v>1583289</v>
      </c>
      <c r="I43" s="27">
        <f>572901+849259+2197143+3200455</f>
        <v>6819758</v>
      </c>
      <c r="J43" s="27">
        <v>10474951</v>
      </c>
      <c r="K43" s="27">
        <v>2905327</v>
      </c>
      <c r="L43" s="27">
        <v>93042</v>
      </c>
      <c r="M43" s="27">
        <f>164440+75000</f>
        <v>239440</v>
      </c>
      <c r="N43" s="33">
        <f>IF(Tabela2[Ações]&lt;&gt;0,Tabela2[Dividendos]*1000/Tabela2[Ações],0)</f>
        <v>0.7311085366316995</v>
      </c>
      <c r="O43" s="29">
        <f>IF(Tabela2[RBV]&gt;0,Tabela2[LL]/Tabela2[RBV],0)</f>
        <v>3.2024622357483337E-2</v>
      </c>
      <c r="P43" s="29">
        <f>IF(Tabela2[PL]&lt;&gt;0,Tabela2[LL]/Tabela2[PL],0)</f>
        <v>8.882332719265227E-3</v>
      </c>
      <c r="Q43" s="44">
        <f>IF(Tabela2[PC]&lt;&gt;0,Tabela2[AC]/Tabela2[PC],0)</f>
        <v>0.54181011805172652</v>
      </c>
      <c r="R43" s="29">
        <f>IF(Tabela2[PL]&lt;&gt;0,Tabela2[AI]/Tabela2[PL],0)</f>
        <v>1.5729762363566187</v>
      </c>
      <c r="S43" s="29">
        <f>IF(Tabela2[AT]&lt;&gt;0,Tabela2[PO]/Tabela2[AT],0)</f>
        <v>0.38351091962377482</v>
      </c>
      <c r="T43" s="29">
        <f>IF(Tabela2[LL]&lt;&gt;0,Tabela2[Dividendos]/Tabela2[LL],0)</f>
        <v>2.5734614475183251</v>
      </c>
      <c r="U43" s="31">
        <f>(Tabela2[Div/Ação]/20%*Tabela2[Unit])</f>
        <v>3.6555426831584974</v>
      </c>
      <c r="V43" s="33">
        <f>(Tabela2[Div/Ação]/Setup!$A$2*Tabela2[Unit])</f>
        <v>5.2673525693926475</v>
      </c>
      <c r="W43" s="26">
        <v>1</v>
      </c>
      <c r="X43" s="30"/>
      <c r="Y43" s="25"/>
    </row>
    <row r="44" spans="1:25" x14ac:dyDescent="0.2">
      <c r="A44" s="25" t="s">
        <v>46</v>
      </c>
      <c r="B44" s="32" t="s">
        <v>40</v>
      </c>
      <c r="C44" s="25">
        <v>2015</v>
      </c>
      <c r="D44" s="40">
        <v>1967384912</v>
      </c>
      <c r="E44" s="34">
        <v>4636779</v>
      </c>
      <c r="F44" s="34">
        <v>1185381</v>
      </c>
      <c r="G44" s="34">
        <v>3145358</v>
      </c>
      <c r="H44" s="34">
        <v>915933</v>
      </c>
      <c r="I44" s="34">
        <f>160597+75476+1231061+13385</f>
        <v>1480519</v>
      </c>
      <c r="J44" s="34">
        <v>2018466</v>
      </c>
      <c r="K44" s="34">
        <v>2625821</v>
      </c>
      <c r="L44" s="34">
        <v>803316</v>
      </c>
      <c r="M44" s="34">
        <f>107362+35432+428384</f>
        <v>571178</v>
      </c>
      <c r="N44" s="39">
        <f>IF(Tabela2[Ações]&lt;&gt;0,Tabela2[Dividendos]*1000/Tabela2[Ações],0)</f>
        <v>0.29032346264125464</v>
      </c>
      <c r="O44" s="36">
        <f>IF(Tabela2[RBV]&gt;0,Tabela2[LL]/Tabela2[RBV],0)</f>
        <v>0.30592945977658037</v>
      </c>
      <c r="P44" s="36">
        <f>IF(Tabela2[PL]&lt;&gt;0,Tabela2[LL]/Tabela2[PL],0)</f>
        <v>0.3979834190915279</v>
      </c>
      <c r="Q44" s="43">
        <f>IF(Tabela2[PC]&lt;&gt;0,Tabela2[AC]/Tabela2[PC],0)</f>
        <v>1.2941787226794974</v>
      </c>
      <c r="R44" s="36">
        <f>IF(Tabela2[PL]&lt;&gt;0,Tabela2[AI]/Tabela2[PL],0)</f>
        <v>1.5582912964597868</v>
      </c>
      <c r="S44" s="36">
        <f>IF(Tabela2[AT]&lt;&gt;0,Tabela2[PO]/Tabela2[AT],0)</f>
        <v>0.31929902201506694</v>
      </c>
      <c r="T44" s="36">
        <f>IF(Tabela2[LL]&lt;&gt;0,Tabela2[Dividendos]/Tabela2[LL],0)</f>
        <v>0.71102530013095722</v>
      </c>
      <c r="U44" s="38">
        <f>(Tabela2[Div/Ação]/20%*Tabela2[Unit])</f>
        <v>7.2580865660313654</v>
      </c>
      <c r="V44" s="39">
        <f>(Tabela2[Div/Ação]/Setup!$A$2*Tabela2[Unit])</f>
        <v>10.458337991399663</v>
      </c>
      <c r="W44" s="40">
        <v>5</v>
      </c>
      <c r="X44" s="30"/>
      <c r="Y44" s="25"/>
    </row>
    <row r="45" spans="1:25" x14ac:dyDescent="0.2">
      <c r="A45" s="25" t="s">
        <v>46</v>
      </c>
      <c r="B45" s="32" t="s">
        <v>40</v>
      </c>
      <c r="C45" s="25">
        <v>2014</v>
      </c>
      <c r="D45" s="40">
        <v>1967384912</v>
      </c>
      <c r="E45" s="34">
        <v>17673814</v>
      </c>
      <c r="F45" s="34">
        <v>4424012</v>
      </c>
      <c r="G45" s="34">
        <v>3161589</v>
      </c>
      <c r="H45" s="34">
        <v>4548918</v>
      </c>
      <c r="I45" s="34">
        <f>1418388+469128+3277542+3030383</f>
        <v>8195441</v>
      </c>
      <c r="J45" s="34">
        <v>5902875</v>
      </c>
      <c r="K45" s="34">
        <v>3205007</v>
      </c>
      <c r="L45" s="34">
        <v>209826</v>
      </c>
      <c r="M45" s="34">
        <v>102842</v>
      </c>
      <c r="N45" s="39">
        <f>IF(Tabela2[Ações]&lt;&gt;0,Tabela2[Dividendos]*1000/Tabela2[Ações],0)</f>
        <v>5.2273451612197784E-2</v>
      </c>
      <c r="O45" s="36">
        <f>IF(Tabela2[RBV]&gt;0,Tabela2[LL]/Tabela2[RBV],0)</f>
        <v>6.5468187744987763E-2</v>
      </c>
      <c r="P45" s="36">
        <f>IF(Tabela2[PL]&lt;&gt;0,Tabela2[LL]/Tabela2[PL],0)</f>
        <v>3.5546407470935772E-2</v>
      </c>
      <c r="Q45" s="43">
        <f>IF(Tabela2[PC]&lt;&gt;0,Tabela2[AC]/Tabela2[PC],0)</f>
        <v>0.97254160220078711</v>
      </c>
      <c r="R45" s="36">
        <f>IF(Tabela2[PL]&lt;&gt;0,Tabela2[AI]/Tabela2[PL],0)</f>
        <v>0.53560155009211607</v>
      </c>
      <c r="S45" s="36">
        <f>IF(Tabela2[AT]&lt;&gt;0,Tabela2[PO]/Tabela2[AT],0)</f>
        <v>0.46370528738165967</v>
      </c>
      <c r="T45" s="36">
        <f>IF(Tabela2[LL]&lt;&gt;0,Tabela2[Dividendos]/Tabela2[LL],0)</f>
        <v>0.49012991716946425</v>
      </c>
      <c r="U45" s="38">
        <f>(Tabela2[Div/Ação]/20%*Tabela2[Unit])</f>
        <v>1.3068362903049446</v>
      </c>
      <c r="V45" s="39">
        <f>(Tabela2[Div/Ação]/Setup!$A$2*Tabela2[Unit])</f>
        <v>1.8830494096613035</v>
      </c>
      <c r="W45" s="40">
        <v>5</v>
      </c>
      <c r="X45" s="30"/>
      <c r="Y45" s="25"/>
    </row>
    <row r="46" spans="1:25" x14ac:dyDescent="0.2">
      <c r="A46" s="25" t="s">
        <v>46</v>
      </c>
      <c r="B46" s="32" t="s">
        <v>40</v>
      </c>
      <c r="C46" s="25">
        <v>2013</v>
      </c>
      <c r="D46" s="40">
        <v>1967384912</v>
      </c>
      <c r="E46" s="34">
        <v>16573460</v>
      </c>
      <c r="F46" s="34">
        <v>3450472</v>
      </c>
      <c r="G46" s="34">
        <v>3150276</v>
      </c>
      <c r="H46" s="34">
        <v>2865365</v>
      </c>
      <c r="I46" s="34">
        <f>441344+501749+3424499+2783177</f>
        <v>7150769</v>
      </c>
      <c r="J46" s="34">
        <v>6538341</v>
      </c>
      <c r="K46" s="34">
        <v>2336933</v>
      </c>
      <c r="L46" s="34">
        <v>1063465</v>
      </c>
      <c r="M46" s="34">
        <f>278000+38276+80000</f>
        <v>396276</v>
      </c>
      <c r="N46" s="39">
        <f>IF(Tabela2[Ações]&lt;&gt;0,Tabela2[Dividendos]*1000/Tabela2[Ações],0)</f>
        <v>0.20142270970104909</v>
      </c>
      <c r="O46" s="36">
        <f>IF(Tabela2[RBV]&gt;0,Tabela2[LL]/Tabela2[RBV],0)</f>
        <v>0.45506867334236795</v>
      </c>
      <c r="P46" s="36">
        <f>IF(Tabela2[PL]&lt;&gt;0,Tabela2[LL]/Tabela2[PL],0)</f>
        <v>0.16265058674669919</v>
      </c>
      <c r="Q46" s="43">
        <f>IF(Tabela2[PC]&lt;&gt;0,Tabela2[AC]/Tabela2[PC],0)</f>
        <v>1.2041998139853038</v>
      </c>
      <c r="R46" s="36">
        <f>IF(Tabela2[PL]&lt;&gt;0,Tabela2[AI]/Tabela2[PL],0)</f>
        <v>0.48181580006304353</v>
      </c>
      <c r="S46" s="36">
        <f>IF(Tabela2[AT]&lt;&gt;0,Tabela2[PO]/Tabela2[AT],0)</f>
        <v>0.43145903148769177</v>
      </c>
      <c r="T46" s="36">
        <f>IF(Tabela2[LL]&lt;&gt;0,Tabela2[Dividendos]/Tabela2[LL],0)</f>
        <v>0.37262721387163661</v>
      </c>
      <c r="U46" s="38">
        <f>(Tabela2[Div/Ação]/20%*Tabela2[Unit])</f>
        <v>5.0355677425262266</v>
      </c>
      <c r="V46" s="39">
        <f>(Tabela2[Div/Ação]/Setup!$A$2*Tabela2[Unit])</f>
        <v>7.2558613004700678</v>
      </c>
      <c r="W46" s="40">
        <v>5</v>
      </c>
      <c r="X46" s="30"/>
      <c r="Y46" s="25"/>
    </row>
    <row r="47" spans="1:25" x14ac:dyDescent="0.2">
      <c r="A47" s="25" t="s">
        <v>46</v>
      </c>
      <c r="B47" s="32" t="s">
        <v>40</v>
      </c>
      <c r="C47" s="25">
        <v>2012</v>
      </c>
      <c r="D47" s="40">
        <v>1967384912</v>
      </c>
      <c r="E47" s="34">
        <v>16440554</v>
      </c>
      <c r="F47" s="34">
        <v>3684149</v>
      </c>
      <c r="G47" s="34">
        <v>3129052</v>
      </c>
      <c r="H47" s="34">
        <v>3272881</v>
      </c>
      <c r="I47" s="34">
        <f>401904+522318+3316775+1359804</f>
        <v>5600801</v>
      </c>
      <c r="J47" s="34">
        <v>7344034</v>
      </c>
      <c r="K47" s="34">
        <v>10099789</v>
      </c>
      <c r="L47" s="34">
        <v>836528</v>
      </c>
      <c r="M47" s="34">
        <f>142451+109318+126773</f>
        <v>378542</v>
      </c>
      <c r="N47" s="39">
        <f>IF(Tabela2[Ações]&lt;&gt;0,Tabela2[Dividendos]*1000/Tabela2[Ações],0)</f>
        <v>0.19240871356240227</v>
      </c>
      <c r="O47" s="36">
        <f>IF(Tabela2[RBV]&gt;0,Tabela2[LL]/Tabela2[RBV],0)</f>
        <v>8.2826284786741589E-2</v>
      </c>
      <c r="P47" s="36">
        <f>IF(Tabela2[PL]&lt;&gt;0,Tabela2[LL]/Tabela2[PL],0)</f>
        <v>0.11390579074116487</v>
      </c>
      <c r="Q47" s="43">
        <f>IF(Tabela2[PC]&lt;&gt;0,Tabela2[AC]/Tabela2[PC],0)</f>
        <v>1.1256593197247318</v>
      </c>
      <c r="R47" s="36">
        <f>IF(Tabela2[PL]&lt;&gt;0,Tabela2[AI]/Tabela2[PL],0)</f>
        <v>0.42606719957995837</v>
      </c>
      <c r="S47" s="36">
        <f>IF(Tabela2[AT]&lt;&gt;0,Tabela2[PO]/Tabela2[AT],0)</f>
        <v>0.34066984604046796</v>
      </c>
      <c r="T47" s="36">
        <f>IF(Tabela2[LL]&lt;&gt;0,Tabela2[Dividendos]/Tabela2[LL],0)</f>
        <v>0.45251563605760953</v>
      </c>
      <c r="U47" s="38">
        <f>(Tabela2[Div/Ação]/20%*Tabela2[Unit])</f>
        <v>4.8102178390600567</v>
      </c>
      <c r="V47" s="39">
        <f>(Tabela2[Div/Ação]/Setup!$A$2*Tabela2[Unit])</f>
        <v>6.9311496240058457</v>
      </c>
      <c r="W47" s="40">
        <v>5</v>
      </c>
      <c r="X47" s="30"/>
      <c r="Y47" s="25"/>
    </row>
    <row r="48" spans="1:25" x14ac:dyDescent="0.2">
      <c r="A48" s="25" t="s">
        <v>46</v>
      </c>
      <c r="B48" s="32" t="s">
        <v>40</v>
      </c>
      <c r="C48" s="25">
        <v>2011</v>
      </c>
      <c r="D48" s="40">
        <v>1967384912</v>
      </c>
      <c r="E48" s="34">
        <v>17203706</v>
      </c>
      <c r="F48" s="34">
        <v>4067507</v>
      </c>
      <c r="G48" s="34">
        <v>3165206</v>
      </c>
      <c r="H48" s="34">
        <v>3342725</v>
      </c>
      <c r="I48" s="34">
        <f>365883+884073+3054287+1569247</f>
        <v>5873490</v>
      </c>
      <c r="J48" s="34">
        <v>8059064</v>
      </c>
      <c r="K48" s="34">
        <v>9917958</v>
      </c>
      <c r="L48" s="34">
        <v>2667509</v>
      </c>
      <c r="M48" s="34">
        <f>299175+267478+428221</f>
        <v>994874</v>
      </c>
      <c r="N48" s="39">
        <f>IF(Tabela2[Ações]&lt;&gt;0,Tabela2[Dividendos]*1000/Tabela2[Ações],0)</f>
        <v>0.50568345519567548</v>
      </c>
      <c r="O48" s="36">
        <f>IF(Tabela2[RBV]&gt;0,Tabela2[LL]/Tabela2[RBV],0)</f>
        <v>0.26895748096533578</v>
      </c>
      <c r="P48" s="36">
        <f>IF(Tabela2[PL]&lt;&gt;0,Tabela2[LL]/Tabela2[PL],0)</f>
        <v>0.33099488972912983</v>
      </c>
      <c r="Q48" s="43">
        <f>IF(Tabela2[PC]&lt;&gt;0,Tabela2[AC]/Tabela2[PC],0)</f>
        <v>1.2168236992274268</v>
      </c>
      <c r="R48" s="36">
        <f>IF(Tabela2[PL]&lt;&gt;0,Tabela2[AI]/Tabela2[PL],0)</f>
        <v>0.39275106885861683</v>
      </c>
      <c r="S48" s="36">
        <f>IF(Tabela2[AT]&lt;&gt;0,Tabela2[PO]/Tabela2[AT],0)</f>
        <v>0.34140841514031917</v>
      </c>
      <c r="T48" s="36">
        <f>IF(Tabela2[LL]&lt;&gt;0,Tabela2[Dividendos]/Tabela2[LL],0)</f>
        <v>0.37295994127854865</v>
      </c>
      <c r="U48" s="38">
        <f>(Tabela2[Div/Ação]/20%*Tabela2[Unit])</f>
        <v>12.642086379891886</v>
      </c>
      <c r="V48" s="39">
        <f>(Tabela2[Div/Ação]/Setup!$A$2*Tabela2[Unit])</f>
        <v>18.216262795233266</v>
      </c>
      <c r="W48" s="40">
        <v>5</v>
      </c>
      <c r="X48" s="30"/>
      <c r="Y48" s="25"/>
    </row>
    <row r="49" spans="1:25" x14ac:dyDescent="0.2">
      <c r="A49" s="25" t="s">
        <v>46</v>
      </c>
      <c r="B49" s="32" t="s">
        <v>40</v>
      </c>
      <c r="C49" s="32">
        <v>2010</v>
      </c>
      <c r="D49" s="40">
        <v>1967384912</v>
      </c>
      <c r="E49" s="34">
        <v>17500232</v>
      </c>
      <c r="F49" s="34">
        <v>4220454</v>
      </c>
      <c r="G49" s="34">
        <v>3409116</v>
      </c>
      <c r="H49" s="34">
        <v>3000384</v>
      </c>
      <c r="I49" s="34">
        <f>353807+573275+4117020+1717101</f>
        <v>6761203</v>
      </c>
      <c r="J49" s="34">
        <v>7435025</v>
      </c>
      <c r="K49" s="34">
        <v>9809511</v>
      </c>
      <c r="L49" s="34">
        <v>1787147</v>
      </c>
      <c r="M49" s="34">
        <f>343331+352064</f>
        <v>695395</v>
      </c>
      <c r="N49" s="39">
        <f>IF(Tabela2[Ações]&lt;&gt;0,Tabela2[Dividendos]*1000/Tabela2[Ações],0)</f>
        <v>0.35346159043838393</v>
      </c>
      <c r="O49" s="36">
        <f>IF(Tabela2[RBV]&gt;0,Tabela2[LL]/Tabela2[RBV],0)</f>
        <v>0.18218512625145128</v>
      </c>
      <c r="P49" s="36">
        <f>IF(Tabela2[PL]&lt;&gt;0,Tabela2[LL]/Tabela2[PL],0)</f>
        <v>0.24036866049542538</v>
      </c>
      <c r="Q49" s="43">
        <f>IF(Tabela2[PC]&lt;&gt;0,Tabela2[AC]/Tabela2[PC],0)</f>
        <v>1.4066379503423563</v>
      </c>
      <c r="R49" s="36">
        <f>IF(Tabela2[PL]&lt;&gt;0,Tabela2[AI]/Tabela2[PL],0)</f>
        <v>0.45852112131431971</v>
      </c>
      <c r="S49" s="36">
        <f>IF(Tabela2[AT]&lt;&gt;0,Tabela2[PO]/Tabela2[AT],0)</f>
        <v>0.38634933525452692</v>
      </c>
      <c r="T49" s="36">
        <f>IF(Tabela2[LL]&lt;&gt;0,Tabela2[Dividendos]/Tabela2[LL],0)</f>
        <v>0.38910901005904941</v>
      </c>
      <c r="U49" s="38">
        <f>(Tabela2[Div/Ação]/20%*Tabela2[Unit])</f>
        <v>8.8365397609595977</v>
      </c>
      <c r="V49" s="39">
        <f>(Tabela2[Div/Ação]/Setup!$A$2*Tabela2[Unit])</f>
        <v>12.732766226166568</v>
      </c>
      <c r="W49" s="40">
        <v>5</v>
      </c>
      <c r="X49" s="30"/>
      <c r="Y49" s="25"/>
    </row>
    <row r="50" spans="1:25" x14ac:dyDescent="0.2">
      <c r="A50" s="32" t="s">
        <v>47</v>
      </c>
      <c r="B50" s="32" t="s">
        <v>41</v>
      </c>
      <c r="C50" s="25">
        <v>2015</v>
      </c>
      <c r="D50" s="40">
        <v>1413335807</v>
      </c>
      <c r="E50" s="34">
        <v>20528253</v>
      </c>
      <c r="F50" s="34">
        <v>12281139</v>
      </c>
      <c r="G50" s="34">
        <v>2716759</v>
      </c>
      <c r="H50" s="34">
        <v>7618062</v>
      </c>
      <c r="I50" s="34">
        <f>1223546+140364+9541570+64577</f>
        <v>10970057</v>
      </c>
      <c r="J50" s="34">
        <v>2943605</v>
      </c>
      <c r="K50" s="34">
        <v>17926155</v>
      </c>
      <c r="L50" s="34">
        <v>64474</v>
      </c>
      <c r="M50" s="34">
        <f>94000+21500</f>
        <v>115500</v>
      </c>
      <c r="N50" s="39">
        <f>IF(Tabela2[Ações]&lt;&gt;0,Tabela2[Dividendos]*1000/Tabela2[Ações],0)</f>
        <v>8.1721555081212205E-2</v>
      </c>
      <c r="O50" s="36">
        <f>IF(Tabela2[RBV]&gt;0,Tabela2[LL]/Tabela2[RBV],0)</f>
        <v>3.5966441213969198E-3</v>
      </c>
      <c r="P50" s="36">
        <f>IF(Tabela2[PL]&lt;&gt;0,Tabela2[LL]/Tabela2[PL],0)</f>
        <v>2.1903074631276956E-2</v>
      </c>
      <c r="Q50" s="43">
        <f>IF(Tabela2[PC]&lt;&gt;0,Tabela2[AC]/Tabela2[PC],0)</f>
        <v>1.6121080400763343</v>
      </c>
      <c r="R50" s="36">
        <f>IF(Tabela2[PL]&lt;&gt;0,Tabela2[AI]/Tabela2[PL],0)</f>
        <v>0.92293599175161067</v>
      </c>
      <c r="S50" s="36">
        <f>IF(Tabela2[AT]&lt;&gt;0,Tabela2[PO]/Tabela2[AT],0)</f>
        <v>0.53438824044111299</v>
      </c>
      <c r="T50" s="36">
        <f>IF(Tabela2[LL]&lt;&gt;0,Tabela2[Dividendos]/Tabela2[LL],0)</f>
        <v>1.7914197971275243</v>
      </c>
      <c r="U50" s="38">
        <f>(Tabela2[Div/Ação]/20%*Tabela2[Unit])</f>
        <v>0.40860777540606102</v>
      </c>
      <c r="V50" s="39">
        <f>(Tabela2[Div/Ação]/Setup!$A$2*Tabela2[Unit])</f>
        <v>0.5887720106715576</v>
      </c>
      <c r="W50" s="40">
        <v>1</v>
      </c>
      <c r="X50" s="30"/>
      <c r="Y50" s="25"/>
    </row>
    <row r="51" spans="1:25" x14ac:dyDescent="0.2">
      <c r="A51" s="32" t="s">
        <v>47</v>
      </c>
      <c r="B51" s="32" t="s">
        <v>41</v>
      </c>
      <c r="C51" s="25">
        <v>2014</v>
      </c>
      <c r="D51" s="40">
        <v>1413335807</v>
      </c>
      <c r="E51" s="27">
        <v>16858031</v>
      </c>
      <c r="F51" s="27">
        <v>10093028</v>
      </c>
      <c r="G51" s="27">
        <v>2317668</v>
      </c>
      <c r="H51" s="27">
        <v>6547473</v>
      </c>
      <c r="I51" s="27">
        <f>966353+226230+7049027+20926</f>
        <v>8262536</v>
      </c>
      <c r="J51" s="27">
        <v>3048280</v>
      </c>
      <c r="K51" s="27">
        <v>16145669</v>
      </c>
      <c r="L51" s="27">
        <v>355210</v>
      </c>
      <c r="M51" s="27">
        <f>54415+55000+6085</f>
        <v>115500</v>
      </c>
      <c r="N51" s="33">
        <f>IF(Tabela2[Ações]&lt;&gt;0,Tabela2[Dividendos]*1000/Tabela2[Ações],0)</f>
        <v>8.1721555081212205E-2</v>
      </c>
      <c r="O51" s="29">
        <f>IF(Tabela2[RBV]&gt;0,Tabela2[LL]/Tabela2[RBV],0)</f>
        <v>2.2000327146555525E-2</v>
      </c>
      <c r="P51" s="29">
        <f>IF(Tabela2[PL]&lt;&gt;0,Tabela2[LL]/Tabela2[PL],0)</f>
        <v>0.11652800923799651</v>
      </c>
      <c r="Q51" s="44">
        <f>IF(Tabela2[PC]&lt;&gt;0,Tabela2[AC]/Tabela2[PC],0)</f>
        <v>1.5415150241933033</v>
      </c>
      <c r="R51" s="29">
        <f>IF(Tabela2[PL]&lt;&gt;0,Tabela2[AI]/Tabela2[PL],0)</f>
        <v>0.76031991811775823</v>
      </c>
      <c r="S51" s="29">
        <f>IF(Tabela2[AT]&lt;&gt;0,Tabela2[PO]/Tabela2[AT],0)</f>
        <v>0.4901246177563679</v>
      </c>
      <c r="T51" s="29">
        <f>IF(Tabela2[LL]&lt;&gt;0,Tabela2[Dividendos]/Tabela2[LL],0)</f>
        <v>0.32515976464626561</v>
      </c>
      <c r="U51" s="31">
        <f>(Tabela2[Div/Ação]/20%*Tabela2[Unit])</f>
        <v>0.40860777540606102</v>
      </c>
      <c r="V51" s="33">
        <f>(Tabela2[Div/Ação]/Setup!$A$2*Tabela2[Unit])</f>
        <v>0.5887720106715576</v>
      </c>
      <c r="W51" s="26">
        <v>1</v>
      </c>
      <c r="X51" s="30"/>
      <c r="Y51" s="25"/>
    </row>
    <row r="52" spans="1:25" x14ac:dyDescent="0.2">
      <c r="A52" s="32" t="s">
        <v>47</v>
      </c>
      <c r="B52" s="32" t="s">
        <v>41</v>
      </c>
      <c r="C52" s="25">
        <v>2013</v>
      </c>
      <c r="D52" s="40">
        <v>1413335807</v>
      </c>
      <c r="E52" s="27">
        <v>14138353</v>
      </c>
      <c r="F52" s="27">
        <v>8991570</v>
      </c>
      <c r="G52" s="27">
        <v>1785347</v>
      </c>
      <c r="H52" s="27">
        <v>5480314</v>
      </c>
      <c r="I52" s="27">
        <f>747650+134396+6945688+11038</f>
        <v>7838772</v>
      </c>
      <c r="J52" s="27">
        <v>1488484</v>
      </c>
      <c r="K52" s="27">
        <v>13401172</v>
      </c>
      <c r="L52" s="27">
        <v>402617</v>
      </c>
      <c r="M52" s="27">
        <f>73758+39000+2742</f>
        <v>115500</v>
      </c>
      <c r="N52" s="33">
        <f>IF(Tabela2[Ações]&lt;&gt;0,Tabela2[Dividendos]*1000/Tabela2[Ações],0)</f>
        <v>8.1721555081212205E-2</v>
      </c>
      <c r="O52" s="29">
        <f>IF(Tabela2[RBV]&gt;0,Tabela2[LL]/Tabela2[RBV],0)</f>
        <v>3.0043417098146341E-2</v>
      </c>
      <c r="P52" s="29">
        <f>IF(Tabela2[PL]&lt;&gt;0,Tabela2[LL]/Tabela2[PL],0)</f>
        <v>0.27048795956154048</v>
      </c>
      <c r="Q52" s="44">
        <f>IF(Tabela2[PC]&lt;&gt;0,Tabela2[AC]/Tabela2[PC],0)</f>
        <v>1.6407034341462916</v>
      </c>
      <c r="R52" s="29">
        <f>IF(Tabela2[PL]&lt;&gt;0,Tabela2[AI]/Tabela2[PL],0)</f>
        <v>1.1994398327425757</v>
      </c>
      <c r="S52" s="29">
        <f>IF(Tabela2[AT]&lt;&gt;0,Tabela2[PO]/Tabela2[AT],0)</f>
        <v>0.55443317902728839</v>
      </c>
      <c r="T52" s="29">
        <f>IF(Tabela2[LL]&lt;&gt;0,Tabela2[Dividendos]/Tabela2[LL],0)</f>
        <v>0.28687313253041974</v>
      </c>
      <c r="U52" s="31">
        <f>(Tabela2[Div/Ação]/20%*Tabela2[Unit])</f>
        <v>0.40860777540606102</v>
      </c>
      <c r="V52" s="33">
        <f>(Tabela2[Div/Ação]/Setup!$A$2*Tabela2[Unit])</f>
        <v>0.5887720106715576</v>
      </c>
      <c r="W52" s="26">
        <v>1</v>
      </c>
      <c r="X52" s="30"/>
      <c r="Y52" s="25"/>
    </row>
    <row r="53" spans="1:25" x14ac:dyDescent="0.2">
      <c r="A53" s="32" t="s">
        <v>47</v>
      </c>
      <c r="B53" s="32" t="s">
        <v>41</v>
      </c>
      <c r="C53" s="25">
        <v>2012</v>
      </c>
      <c r="D53" s="40">
        <v>1413335807</v>
      </c>
      <c r="E53" s="27">
        <v>11080294</v>
      </c>
      <c r="F53" s="27">
        <v>7354002</v>
      </c>
      <c r="G53" s="27">
        <v>1334442</v>
      </c>
      <c r="H53" s="27">
        <v>4904392</v>
      </c>
      <c r="I53" s="27">
        <f>1360086+117896+4892209+17299</f>
        <v>6387490</v>
      </c>
      <c r="J53" s="27">
        <v>1169305</v>
      </c>
      <c r="K53" s="27">
        <v>11334061</v>
      </c>
      <c r="L53" s="27">
        <v>346574</v>
      </c>
      <c r="M53" s="27">
        <f>60627+37500+1873</f>
        <v>100000</v>
      </c>
      <c r="N53" s="33">
        <f>IF(Tabela2[Ações]&lt;&gt;0,Tabela2[Dividendos]*1000/Tabela2[Ações],0)</f>
        <v>7.0754593143906669E-2</v>
      </c>
      <c r="O53" s="29">
        <f>IF(Tabela2[RBV]&gt;0,Tabela2[LL]/Tabela2[RBV],0)</f>
        <v>3.0578095529925239E-2</v>
      </c>
      <c r="P53" s="29">
        <f>IF(Tabela2[PL]&lt;&gt;0,Tabela2[LL]/Tabela2[PL],0)</f>
        <v>0.29639315661867521</v>
      </c>
      <c r="Q53" s="44">
        <f>IF(Tabela2[PC]&lt;&gt;0,Tabela2[AC]/Tabela2[PC],0)</f>
        <v>1.4994727175152394</v>
      </c>
      <c r="R53" s="29">
        <f>IF(Tabela2[PL]&lt;&gt;0,Tabela2[AI]/Tabela2[PL],0)</f>
        <v>1.1412266260727526</v>
      </c>
      <c r="S53" s="29">
        <f>IF(Tabela2[AT]&lt;&gt;0,Tabela2[PO]/Tabela2[AT],0)</f>
        <v>0.57647297084355342</v>
      </c>
      <c r="T53" s="29">
        <f>IF(Tabela2[LL]&lt;&gt;0,Tabela2[Dividendos]/Tabela2[LL],0)</f>
        <v>0.28853866706677361</v>
      </c>
      <c r="U53" s="31">
        <f>(Tabela2[Div/Ação]/20%*Tabela2[Unit])</f>
        <v>0.35377296571953332</v>
      </c>
      <c r="V53" s="33">
        <f>(Tabela2[Div/Ação]/Setup!$A$2*Tabela2[Unit])</f>
        <v>0.50975931659875118</v>
      </c>
      <c r="W53" s="26">
        <v>1</v>
      </c>
      <c r="X53" s="30"/>
      <c r="Y53" s="25"/>
    </row>
    <row r="54" spans="1:25" x14ac:dyDescent="0.2">
      <c r="A54" s="32" t="s">
        <v>47</v>
      </c>
      <c r="B54" s="32" t="s">
        <v>41</v>
      </c>
      <c r="C54" s="25">
        <v>2011</v>
      </c>
      <c r="D54" s="40">
        <v>1413335807</v>
      </c>
      <c r="E54" s="27">
        <v>9458027</v>
      </c>
      <c r="F54" s="27">
        <v>6772293</v>
      </c>
      <c r="G54" s="27">
        <v>934592</v>
      </c>
      <c r="H54" s="27">
        <v>4565564</v>
      </c>
      <c r="I54" s="27">
        <f>1433457+96185+3563254+41352</f>
        <v>5134248</v>
      </c>
      <c r="J54" s="27">
        <v>1158428</v>
      </c>
      <c r="K54" s="27">
        <v>9978406</v>
      </c>
      <c r="L54" s="27">
        <v>303766</v>
      </c>
      <c r="M54" s="27">
        <f>50846+29000</f>
        <v>79846</v>
      </c>
      <c r="N54" s="33">
        <f>IF(Tabela2[Ações]&lt;&gt;0,Tabela2[Dividendos]*1000/Tabela2[Ações],0)</f>
        <v>5.649471244168372E-2</v>
      </c>
      <c r="O54" s="29">
        <f>IF(Tabela2[RBV]&gt;0,Tabela2[LL]/Tabela2[RBV],0)</f>
        <v>3.0442337182912782E-2</v>
      </c>
      <c r="P54" s="29">
        <f>IF(Tabela2[PL]&lt;&gt;0,Tabela2[LL]/Tabela2[PL],0)</f>
        <v>0.26222259821067861</v>
      </c>
      <c r="Q54" s="44">
        <f>IF(Tabela2[PC]&lt;&gt;0,Tabela2[AC]/Tabela2[PC],0)</f>
        <v>1.4833420361646448</v>
      </c>
      <c r="R54" s="29">
        <f>IF(Tabela2[PL]&lt;&gt;0,Tabela2[AI]/Tabela2[PL],0)</f>
        <v>0.8067760793074753</v>
      </c>
      <c r="S54" s="29">
        <f>IF(Tabela2[AT]&lt;&gt;0,Tabela2[PO]/Tabela2[AT],0)</f>
        <v>0.54284556387923188</v>
      </c>
      <c r="T54" s="29">
        <f>IF(Tabela2[LL]&lt;&gt;0,Tabela2[Dividendos]/Tabela2[LL],0)</f>
        <v>0.26285364392328303</v>
      </c>
      <c r="U54" s="31">
        <f>(Tabela2[Div/Ação]/20%*Tabela2[Unit])</f>
        <v>0.28247356220841857</v>
      </c>
      <c r="V54" s="33">
        <f>(Tabela2[Div/Ação]/Setup!$A$2*Tabela2[Unit])</f>
        <v>0.40702242393143889</v>
      </c>
      <c r="W54" s="26">
        <v>1</v>
      </c>
      <c r="X54" s="30"/>
      <c r="Y54" s="25"/>
    </row>
    <row r="55" spans="1:25" x14ac:dyDescent="0.2">
      <c r="A55" s="32" t="s">
        <v>47</v>
      </c>
      <c r="B55" s="32" t="s">
        <v>41</v>
      </c>
      <c r="C55" s="32">
        <v>2010</v>
      </c>
      <c r="D55" s="40">
        <v>1413335807</v>
      </c>
      <c r="E55" s="27">
        <v>7996619</v>
      </c>
      <c r="F55" s="27">
        <v>5851663</v>
      </c>
      <c r="G55" s="27">
        <v>638406</v>
      </c>
      <c r="H55" s="27">
        <v>4444963</v>
      </c>
      <c r="I55" s="27">
        <f>1363508+87679+2779793+52483</f>
        <v>4283463</v>
      </c>
      <c r="J55" s="27">
        <v>550678</v>
      </c>
      <c r="K55" s="27">
        <v>9149051</v>
      </c>
      <c r="L55" s="27">
        <v>324201</v>
      </c>
      <c r="M55" s="27">
        <f>47762+23500</f>
        <v>71262</v>
      </c>
      <c r="N55" s="33">
        <f>IF(Tabela2[Ações]&lt;&gt;0,Tabela2[Dividendos]*1000/Tabela2[Ações],0)</f>
        <v>5.0421138166210772E-2</v>
      </c>
      <c r="O55" s="29">
        <f>IF(Tabela2[RBV]&gt;0,Tabela2[LL]/Tabela2[RBV],0)</f>
        <v>3.5435478499354744E-2</v>
      </c>
      <c r="P55" s="29">
        <f>IF(Tabela2[PL]&lt;&gt;0,Tabela2[LL]/Tabela2[PL],0)</f>
        <v>0.58873061934560666</v>
      </c>
      <c r="Q55" s="44">
        <f>IF(Tabela2[PC]&lt;&gt;0,Tabela2[AC]/Tabela2[PC],0)</f>
        <v>1.316470575795569</v>
      </c>
      <c r="R55" s="29">
        <f>IF(Tabela2[PL]&lt;&gt;0,Tabela2[AI]/Tabela2[PL],0)</f>
        <v>1.1593090699101833</v>
      </c>
      <c r="S55" s="29">
        <f>IF(Tabela2[AT]&lt;&gt;0,Tabela2[PO]/Tabela2[AT],0)</f>
        <v>0.53565925799390968</v>
      </c>
      <c r="T55" s="29">
        <f>IF(Tabela2[LL]&lt;&gt;0,Tabela2[Dividendos]/Tabela2[LL],0)</f>
        <v>0.21980808202318933</v>
      </c>
      <c r="U55" s="31">
        <f>(Tabela2[Div/Ação]/20%*Tabela2[Unit])</f>
        <v>0.25210569083105383</v>
      </c>
      <c r="V55" s="33">
        <f>(Tabela2[Div/Ação]/Setup!$A$2*Tabela2[Unit])</f>
        <v>0.36326468419460206</v>
      </c>
      <c r="W55" s="26">
        <v>1</v>
      </c>
      <c r="X55" s="30"/>
      <c r="Y55" s="25"/>
    </row>
    <row r="56" spans="1:25" x14ac:dyDescent="0.2">
      <c r="A56" s="32" t="s">
        <v>47</v>
      </c>
      <c r="B56" s="32" t="s">
        <v>43</v>
      </c>
      <c r="C56" s="25">
        <v>2015</v>
      </c>
      <c r="D56" s="40">
        <v>632238060</v>
      </c>
      <c r="E56" s="34">
        <v>15823430</v>
      </c>
      <c r="F56" s="34">
        <v>9771757</v>
      </c>
      <c r="G56" s="34">
        <v>740661</v>
      </c>
      <c r="H56" s="34">
        <v>3350320</v>
      </c>
      <c r="I56" s="34">
        <f>765659+1581290+4155486+30513</f>
        <v>6532948</v>
      </c>
      <c r="J56" s="34">
        <v>8030455</v>
      </c>
      <c r="K56" s="34">
        <v>2956649</v>
      </c>
      <c r="L56" s="34">
        <v>559872</v>
      </c>
      <c r="M56" s="34">
        <v>24908</v>
      </c>
      <c r="N56" s="39">
        <f>IF(Tabela2[Ações]&lt;&gt;0,Tabela2[Dividendos]*1000/Tabela2[Ações],0)</f>
        <v>3.9396552621333805E-2</v>
      </c>
      <c r="O56" s="36">
        <f>IF(Tabela2[RBV]&gt;0,Tabela2[LL]/Tabela2[RBV],0)</f>
        <v>0.18936031974035469</v>
      </c>
      <c r="P56" s="36">
        <f>IF(Tabela2[PL]&lt;&gt;0,Tabela2[LL]/Tabela2[PL],0)</f>
        <v>6.9718590042531836E-2</v>
      </c>
      <c r="Q56" s="43">
        <f>IF(Tabela2[PC]&lt;&gt;0,Tabela2[AC]/Tabela2[PC],0)</f>
        <v>2.9166637813701377</v>
      </c>
      <c r="R56" s="36">
        <f>IF(Tabela2[PL]&lt;&gt;0,Tabela2[AI]/Tabela2[PL],0)</f>
        <v>9.2231511165930202E-2</v>
      </c>
      <c r="S56" s="36">
        <f>IF(Tabela2[AT]&lt;&gt;0,Tabela2[PO]/Tabela2[AT],0)</f>
        <v>0.41286547859724471</v>
      </c>
      <c r="T56" s="36">
        <f>IF(Tabela2[LL]&lt;&gt;0,Tabela2[Dividendos]/Tabela2[LL],0)</f>
        <v>4.4488740283493367E-2</v>
      </c>
      <c r="U56" s="38">
        <f>(Tabela2[Div/Ação]/20%*Tabela2[Unit])</f>
        <v>0.19698276310666901</v>
      </c>
      <c r="V56" s="39">
        <f>(Tabela2[Div/Ação]/Setup!$A$2*Tabela2[Unit])</f>
        <v>0.2838368344476499</v>
      </c>
      <c r="W56" s="40">
        <v>1</v>
      </c>
      <c r="X56" s="30"/>
      <c r="Y56" s="25"/>
    </row>
    <row r="57" spans="1:25" x14ac:dyDescent="0.2">
      <c r="A57" s="32" t="s">
        <v>47</v>
      </c>
      <c r="B57" s="32" t="s">
        <v>43</v>
      </c>
      <c r="C57" s="25">
        <v>2014</v>
      </c>
      <c r="D57" s="40">
        <v>632238060</v>
      </c>
      <c r="E57" s="34">
        <v>13887691</v>
      </c>
      <c r="F57" s="34">
        <v>4825420</v>
      </c>
      <c r="G57" s="34">
        <v>1666691</v>
      </c>
      <c r="H57" s="34">
        <v>2989129</v>
      </c>
      <c r="I57" s="34">
        <f>1731023+767012+3073876+48107</f>
        <v>5620018</v>
      </c>
      <c r="J57" s="34">
        <v>7475963</v>
      </c>
      <c r="K57" s="34">
        <v>2768096</v>
      </c>
      <c r="L57" s="34">
        <v>402695</v>
      </c>
      <c r="M57" s="34">
        <v>0</v>
      </c>
      <c r="N57" s="39">
        <f>IF(Tabela2[Ações]&lt;&gt;0,Tabela2[Dividendos]*1000/Tabela2[Ações],0)</f>
        <v>0</v>
      </c>
      <c r="O57" s="36">
        <f>IF(Tabela2[RBV]&gt;0,Tabela2[LL]/Tabela2[RBV],0)</f>
        <v>0.14547725223402658</v>
      </c>
      <c r="P57" s="36">
        <f>IF(Tabela2[PL]&lt;&gt;0,Tabela2[LL]/Tabela2[PL],0)</f>
        <v>5.3865301366526293E-2</v>
      </c>
      <c r="Q57" s="43">
        <f>IF(Tabela2[PC]&lt;&gt;0,Tabela2[AC]/Tabela2[PC],0)</f>
        <v>1.6143231021478164</v>
      </c>
      <c r="R57" s="36">
        <f>IF(Tabela2[PL]&lt;&gt;0,Tabela2[AI]/Tabela2[PL],0)</f>
        <v>0.22293997442202429</v>
      </c>
      <c r="S57" s="36">
        <f>IF(Tabela2[AT]&lt;&gt;0,Tabela2[PO]/Tabela2[AT],0)</f>
        <v>0.40467619851276931</v>
      </c>
      <c r="T57" s="36">
        <f>IF(Tabela2[LL]&lt;&gt;0,Tabela2[Dividendos]/Tabela2[LL],0)</f>
        <v>0</v>
      </c>
      <c r="U57" s="38">
        <f>(Tabela2[Div/Ação]/20%*Tabela2[Unit])</f>
        <v>0</v>
      </c>
      <c r="V57" s="39">
        <f>(Tabela2[Div/Ação]/Setup!$A$2*Tabela2[Unit])</f>
        <v>0</v>
      </c>
      <c r="W57" s="40">
        <v>1</v>
      </c>
      <c r="X57" s="30"/>
      <c r="Y57" s="25"/>
    </row>
    <row r="58" spans="1:25" x14ac:dyDescent="0.2">
      <c r="A58" s="32" t="s">
        <v>47</v>
      </c>
      <c r="B58" s="32" t="s">
        <v>43</v>
      </c>
      <c r="C58" s="25">
        <v>2013</v>
      </c>
      <c r="D58" s="40">
        <v>632238060</v>
      </c>
      <c r="E58" s="34">
        <v>12501987</v>
      </c>
      <c r="F58" s="34">
        <v>3774193</v>
      </c>
      <c r="G58" s="34">
        <v>1521759</v>
      </c>
      <c r="H58" s="34">
        <v>1916989</v>
      </c>
      <c r="I58" s="34">
        <f>769231+434807+3139621+182787</f>
        <v>4526446</v>
      </c>
      <c r="J58" s="34">
        <v>7078577</v>
      </c>
      <c r="K58" s="34">
        <v>4258740</v>
      </c>
      <c r="L58" s="34">
        <v>256722</v>
      </c>
      <c r="M58" s="34">
        <v>0</v>
      </c>
      <c r="N58" s="39">
        <f>IF(Tabela2[Ações]&lt;&gt;0,Tabela2[Dividendos]*1000/Tabela2[Ações],0)</f>
        <v>0</v>
      </c>
      <c r="O58" s="36">
        <f>IF(Tabela2[RBV]&gt;0,Tabela2[LL]/Tabela2[RBV],0)</f>
        <v>6.0281209935332987E-2</v>
      </c>
      <c r="P58" s="36">
        <f>IF(Tabela2[PL]&lt;&gt;0,Tabela2[LL]/Tabela2[PL],0)</f>
        <v>3.6267458840950659E-2</v>
      </c>
      <c r="Q58" s="43">
        <f>IF(Tabela2[PC]&lt;&gt;0,Tabela2[AC]/Tabela2[PC],0)</f>
        <v>1.9688130709148566</v>
      </c>
      <c r="R58" s="36">
        <f>IF(Tabela2[PL]&lt;&gt;0,Tabela2[AI]/Tabela2[PL],0)</f>
        <v>0.21498092060028448</v>
      </c>
      <c r="S58" s="36">
        <f>IF(Tabela2[AT]&lt;&gt;0,Tabela2[PO]/Tabela2[AT],0)</f>
        <v>0.3620581272400939</v>
      </c>
      <c r="T58" s="36">
        <f>IF(Tabela2[LL]&lt;&gt;0,Tabela2[Dividendos]/Tabela2[LL],0)</f>
        <v>0</v>
      </c>
      <c r="U58" s="38">
        <f>(Tabela2[Div/Ação]/20%*Tabela2[Unit])</f>
        <v>0</v>
      </c>
      <c r="V58" s="39">
        <f>(Tabela2[Div/Ação]/Setup!$A$2*Tabela2[Unit])</f>
        <v>0</v>
      </c>
      <c r="W58" s="40">
        <v>1</v>
      </c>
      <c r="X58" s="30"/>
      <c r="Y58" s="25"/>
    </row>
    <row r="59" spans="1:25" x14ac:dyDescent="0.2">
      <c r="A59" s="32" t="s">
        <v>47</v>
      </c>
      <c r="B59" s="32" t="s">
        <v>43</v>
      </c>
      <c r="C59" s="25">
        <v>2012</v>
      </c>
      <c r="D59" s="40">
        <v>632238060</v>
      </c>
      <c r="E59" s="34">
        <v>12656511</v>
      </c>
      <c r="F59" s="34">
        <v>4011689</v>
      </c>
      <c r="G59" s="34">
        <v>1376971</v>
      </c>
      <c r="H59" s="34">
        <v>1658867</v>
      </c>
      <c r="I59" s="34">
        <f>346103+637839+3613847+236250</f>
        <v>4834039</v>
      </c>
      <c r="J59" s="34">
        <v>6868366</v>
      </c>
      <c r="K59" s="34">
        <v>3873683</v>
      </c>
      <c r="L59" s="34">
        <v>203913</v>
      </c>
      <c r="M59" s="34">
        <v>102112</v>
      </c>
      <c r="N59" s="39">
        <f>IF(Tabela2[Ações]&lt;&gt;0,Tabela2[Dividendos]*1000/Tabela2[Ações],0)</f>
        <v>0.16150878357433907</v>
      </c>
      <c r="O59" s="36">
        <f>IF(Tabela2[RBV]&gt;0,Tabela2[LL]/Tabela2[RBV],0)</f>
        <v>5.2640600689318147E-2</v>
      </c>
      <c r="P59" s="36">
        <f>IF(Tabela2[PL]&lt;&gt;0,Tabela2[LL]/Tabela2[PL],0)</f>
        <v>2.9688720723386026E-2</v>
      </c>
      <c r="Q59" s="43">
        <f>IF(Tabela2[PC]&lt;&gt;0,Tabela2[AC]/Tabela2[PC],0)</f>
        <v>2.4183307040287136</v>
      </c>
      <c r="R59" s="36">
        <f>IF(Tabela2[PL]&lt;&gt;0,Tabela2[AI]/Tabela2[PL],0)</f>
        <v>0.20048014331210653</v>
      </c>
      <c r="S59" s="36">
        <f>IF(Tabela2[AT]&lt;&gt;0,Tabela2[PO]/Tabela2[AT],0)</f>
        <v>0.38194088402404108</v>
      </c>
      <c r="T59" s="36">
        <f>IF(Tabela2[LL]&lt;&gt;0,Tabela2[Dividendos]/Tabela2[LL],0)</f>
        <v>0.50076258011995312</v>
      </c>
      <c r="U59" s="38">
        <f>(Tabela2[Div/Ação]/20%*Tabela2[Unit])</f>
        <v>0.80754391787169533</v>
      </c>
      <c r="V59" s="39">
        <f>(Tabela2[Div/Ação]/Setup!$A$2*Tabela2[Unit])</f>
        <v>1.1636079508237684</v>
      </c>
      <c r="W59" s="40">
        <v>1</v>
      </c>
      <c r="X59" s="30"/>
      <c r="Y59" s="25"/>
    </row>
    <row r="60" spans="1:25" x14ac:dyDescent="0.2">
      <c r="A60" s="32" t="s">
        <v>47</v>
      </c>
      <c r="B60" s="32" t="s">
        <v>43</v>
      </c>
      <c r="C60" s="25">
        <v>2011</v>
      </c>
      <c r="D60" s="40">
        <v>632238060</v>
      </c>
      <c r="E60" s="34">
        <v>13325286</v>
      </c>
      <c r="F60" s="34">
        <v>4718407</v>
      </c>
      <c r="G60" s="34">
        <v>1258664</v>
      </c>
      <c r="H60" s="34">
        <v>1599875</v>
      </c>
      <c r="I60" s="34">
        <f>532488+587771+4014204+503413</f>
        <v>5637876</v>
      </c>
      <c r="J60" s="34">
        <v>6645934</v>
      </c>
      <c r="K60" s="34">
        <v>3324630</v>
      </c>
      <c r="L60" s="34">
        <v>-54651</v>
      </c>
      <c r="M60" s="34">
        <v>0</v>
      </c>
      <c r="N60" s="39">
        <f>IF(Tabela2[Ações]&lt;&gt;0,Tabela2[Dividendos]*1000/Tabela2[Ações],0)</f>
        <v>0</v>
      </c>
      <c r="O60" s="36">
        <f>IF(Tabela2[RBV]&gt;0,Tabela2[LL]/Tabela2[RBV],0)</f>
        <v>-1.6438220192923726E-2</v>
      </c>
      <c r="P60" s="36">
        <f>IF(Tabela2[PL]&lt;&gt;0,Tabela2[LL]/Tabela2[PL],0)</f>
        <v>-8.2232234024593089E-3</v>
      </c>
      <c r="Q60" s="43">
        <f>IF(Tabela2[PC]&lt;&gt;0,Tabela2[AC]/Tabela2[PC],0)</f>
        <v>2.9492347839674973</v>
      </c>
      <c r="R60" s="36">
        <f>IF(Tabela2[PL]&lt;&gt;0,Tabela2[AI]/Tabela2[PL],0)</f>
        <v>0.1893885795435224</v>
      </c>
      <c r="S60" s="36">
        <f>IF(Tabela2[AT]&lt;&gt;0,Tabela2[PO]/Tabela2[AT],0)</f>
        <v>0.42309605962678776</v>
      </c>
      <c r="T60" s="36">
        <f>IF(Tabela2[LL]&lt;&gt;0,Tabela2[Dividendos]/Tabela2[LL],0)</f>
        <v>0</v>
      </c>
      <c r="U60" s="38">
        <f>(Tabela2[Div/Ação]/20%*Tabela2[Unit])</f>
        <v>0</v>
      </c>
      <c r="V60" s="39">
        <f>(Tabela2[Div/Ação]/Setup!$A$2*Tabela2[Unit])</f>
        <v>0</v>
      </c>
      <c r="W60" s="40">
        <v>1</v>
      </c>
      <c r="X60" s="30"/>
      <c r="Y60" s="25"/>
    </row>
    <row r="61" spans="1:25" x14ac:dyDescent="0.2">
      <c r="A61" s="32" t="s">
        <v>47</v>
      </c>
      <c r="B61" s="32" t="s">
        <v>43</v>
      </c>
      <c r="C61" s="32">
        <v>2010</v>
      </c>
      <c r="D61" s="40">
        <v>632238060</v>
      </c>
      <c r="E61" s="34">
        <v>9987182</v>
      </c>
      <c r="F61" s="34">
        <v>4487508</v>
      </c>
      <c r="G61" s="34">
        <v>739685</v>
      </c>
      <c r="H61" s="34">
        <v>1748553</v>
      </c>
      <c r="I61" s="34">
        <f>488646+939117+2461653+684432</f>
        <v>4573848</v>
      </c>
      <c r="J61" s="34">
        <v>5059091</v>
      </c>
      <c r="K61" s="34">
        <v>3159728</v>
      </c>
      <c r="L61" s="34">
        <v>261901</v>
      </c>
      <c r="M61" s="34">
        <v>0</v>
      </c>
      <c r="N61" s="39">
        <f>IF(Tabela2[Ações]&lt;&gt;0,Tabela2[Dividendos]*1000/Tabela2[Ações],0)</f>
        <v>0</v>
      </c>
      <c r="O61" s="36">
        <f>IF(Tabela2[RBV]&gt;0,Tabela2[LL]/Tabela2[RBV],0)</f>
        <v>8.2887197885387606E-2</v>
      </c>
      <c r="P61" s="36">
        <f>IF(Tabela2[PL]&lt;&gt;0,Tabela2[LL]/Tabela2[PL],0)</f>
        <v>5.1768390803802501E-2</v>
      </c>
      <c r="Q61" s="43">
        <f>IF(Tabela2[PC]&lt;&gt;0,Tabela2[AC]/Tabela2[PC],0)</f>
        <v>2.5664123420908602</v>
      </c>
      <c r="R61" s="36">
        <f>IF(Tabela2[PL]&lt;&gt;0,Tabela2[AI]/Tabela2[PL],0)</f>
        <v>0.14620907194592864</v>
      </c>
      <c r="S61" s="36">
        <f>IF(Tabela2[AT]&lt;&gt;0,Tabela2[PO]/Tabela2[AT],0)</f>
        <v>0.4579718282895015</v>
      </c>
      <c r="T61" s="36">
        <f>IF(Tabela2[LL]&lt;&gt;0,Tabela2[Dividendos]/Tabela2[LL],0)</f>
        <v>0</v>
      </c>
      <c r="U61" s="38">
        <f>(Tabela2[Div/Ação]/20%*Tabela2[Unit])</f>
        <v>0</v>
      </c>
      <c r="V61" s="39">
        <f>(Tabela2[Div/Ação]/Setup!$A$2*Tabela2[Unit])</f>
        <v>0</v>
      </c>
      <c r="W61" s="40">
        <v>1</v>
      </c>
      <c r="X61" s="30"/>
      <c r="Y61" s="25"/>
    </row>
    <row r="62" spans="1:25" x14ac:dyDescent="0.2">
      <c r="A62" s="32" t="s">
        <v>47</v>
      </c>
      <c r="B62" s="32" t="s">
        <v>44</v>
      </c>
      <c r="C62" s="25">
        <v>2015</v>
      </c>
      <c r="D62" s="40">
        <v>341794262</v>
      </c>
      <c r="E62" s="34">
        <v>9948401</v>
      </c>
      <c r="F62" s="34">
        <v>5257690</v>
      </c>
      <c r="G62" s="34">
        <v>565965</v>
      </c>
      <c r="H62" s="34">
        <v>3262136</v>
      </c>
      <c r="I62" s="34">
        <f>554553+371690+3646642+119679</f>
        <v>4692564</v>
      </c>
      <c r="J62" s="27">
        <v>2706133</v>
      </c>
      <c r="K62" s="34">
        <v>9013779</v>
      </c>
      <c r="L62" s="34">
        <v>-418437</v>
      </c>
      <c r="M62" s="34">
        <v>0</v>
      </c>
      <c r="N62" s="39">
        <f>IF(Tabela2[Ações]&lt;&gt;0,Tabela2[Dividendos]*1000/Tabela2[Ações],0)</f>
        <v>0</v>
      </c>
      <c r="O62" s="36">
        <f>IF(Tabela2[RBV]&gt;0,Tabela2[LL]/Tabela2[RBV],0)</f>
        <v>-4.6421928028188841E-2</v>
      </c>
      <c r="P62" s="36">
        <f>IF(Tabela2[PL]&lt;&gt;0,Tabela2[LL]/Tabela2[PL],0)</f>
        <v>-0.1546254378480289</v>
      </c>
      <c r="Q62" s="43">
        <f>IF(Tabela2[PC]&lt;&gt;0,Tabela2[AC]/Tabela2[PC],0)</f>
        <v>1.6117323128158973</v>
      </c>
      <c r="R62" s="36">
        <f>IF(Tabela2[PL]&lt;&gt;0,Tabela2[AI]/Tabela2[PL],0)</f>
        <v>0.20914160538303181</v>
      </c>
      <c r="S62" s="36">
        <f>IF(Tabela2[AT]&lt;&gt;0,Tabela2[PO]/Tabela2[AT],0)</f>
        <v>0.47169027464815705</v>
      </c>
      <c r="T62" s="36">
        <f>IF(Tabela2[LL]&lt;&gt;0,Tabela2[Dividendos]/Tabela2[LL],0)</f>
        <v>0</v>
      </c>
      <c r="U62" s="38">
        <f>(Tabela2[Div/Ação]/20%*Tabela2[Unit])</f>
        <v>0</v>
      </c>
      <c r="V62" s="39">
        <f>(Tabela2[Div/Ação]/Setup!$A$2*Tabela2[Unit])</f>
        <v>0</v>
      </c>
      <c r="W62" s="40">
        <v>1</v>
      </c>
      <c r="X62" s="30"/>
      <c r="Y62" s="25"/>
    </row>
    <row r="63" spans="1:25" x14ac:dyDescent="0.2">
      <c r="A63" s="32" t="s">
        <v>47</v>
      </c>
      <c r="B63" s="32" t="s">
        <v>44</v>
      </c>
      <c r="C63" s="25">
        <v>2014</v>
      </c>
      <c r="D63" s="40">
        <v>341794262</v>
      </c>
      <c r="E63" s="27">
        <v>7634965</v>
      </c>
      <c r="F63" s="27">
        <v>4027890</v>
      </c>
      <c r="G63" s="27">
        <v>474169</v>
      </c>
      <c r="H63" s="27">
        <v>3107329</v>
      </c>
      <c r="I63" s="27">
        <f>574549+287070+1335018+72786</f>
        <v>2269423</v>
      </c>
      <c r="J63" s="27">
        <v>3079457</v>
      </c>
      <c r="K63" s="27">
        <v>7963835</v>
      </c>
      <c r="L63" s="27">
        <v>-163313</v>
      </c>
      <c r="M63" s="27">
        <v>0</v>
      </c>
      <c r="N63" s="33">
        <f>IF(Tabela2[Ações]&lt;&gt;0,Tabela2[Dividendos]*1000/Tabela2[Ações],0)</f>
        <v>0</v>
      </c>
      <c r="O63" s="29">
        <f>IF(Tabela2[RBV]&gt;0,Tabela2[LL]/Tabela2[RBV],0)</f>
        <v>-2.050682868241243E-2</v>
      </c>
      <c r="P63" s="29">
        <f>IF(Tabela2[PL]&lt;&gt;0,Tabela2[LL]/Tabela2[PL],0)</f>
        <v>-5.3033050956710875E-2</v>
      </c>
      <c r="Q63" s="44">
        <f>IF(Tabela2[PC]&lt;&gt;0,Tabela2[AC]/Tabela2[PC],0)</f>
        <v>1.2962547577034811</v>
      </c>
      <c r="R63" s="29">
        <f>IF(Tabela2[PL]&lt;&gt;0,Tabela2[AI]/Tabela2[PL],0)</f>
        <v>0.15397812016858817</v>
      </c>
      <c r="S63" s="29">
        <f>IF(Tabela2[AT]&lt;&gt;0,Tabela2[PO]/Tabela2[AT],0)</f>
        <v>0.29724078630353906</v>
      </c>
      <c r="T63" s="29">
        <f>IF(Tabela2[LL]&lt;&gt;0,Tabela2[Dividendos]/Tabela2[LL],0)</f>
        <v>0</v>
      </c>
      <c r="U63" s="31">
        <f>(Tabela2[Div/Ação]/20%*Tabela2[Unit])</f>
        <v>0</v>
      </c>
      <c r="V63" s="33">
        <f>(Tabela2[Div/Ação]/Setup!$A$2*Tabela2[Unit])</f>
        <v>0</v>
      </c>
      <c r="W63" s="26">
        <v>1</v>
      </c>
      <c r="X63" s="30"/>
      <c r="Y63" s="25"/>
    </row>
    <row r="64" spans="1:25" x14ac:dyDescent="0.2">
      <c r="A64" s="32" t="s">
        <v>47</v>
      </c>
      <c r="B64" s="32" t="s">
        <v>44</v>
      </c>
      <c r="C64" s="25">
        <v>2013</v>
      </c>
      <c r="D64" s="40">
        <v>341794262</v>
      </c>
      <c r="E64" s="27">
        <v>6613476</v>
      </c>
      <c r="F64" s="27">
        <v>4142478</v>
      </c>
      <c r="G64" s="27">
        <v>319636</v>
      </c>
      <c r="H64" s="27">
        <v>2556308</v>
      </c>
      <c r="I64" s="27">
        <f>506499+107691+3074147+109995</f>
        <v>3798332</v>
      </c>
      <c r="J64" s="27">
        <v>829673</v>
      </c>
      <c r="K64" s="27">
        <v>6088500</v>
      </c>
      <c r="L64" s="27">
        <v>-159562</v>
      </c>
      <c r="M64" s="27">
        <v>0</v>
      </c>
      <c r="N64" s="33">
        <f>IF(Tabela2[Ações]&lt;&gt;0,Tabela2[Dividendos]*1000/Tabela2[Ações],0)</f>
        <v>0</v>
      </c>
      <c r="O64" s="29">
        <f>IF(Tabela2[RBV]&gt;0,Tabela2[LL]/Tabela2[RBV],0)</f>
        <v>-2.6207111768087377E-2</v>
      </c>
      <c r="P64" s="29">
        <f>IF(Tabela2[PL]&lt;&gt;0,Tabela2[LL]/Tabela2[PL],0)</f>
        <v>-0.19231914260196487</v>
      </c>
      <c r="Q64" s="44">
        <f>IF(Tabela2[PC]&lt;&gt;0,Tabela2[AC]/Tabela2[PC],0)</f>
        <v>1.6204925228102405</v>
      </c>
      <c r="R64" s="29">
        <f>IF(Tabela2[PL]&lt;&gt;0,Tabela2[AI]/Tabela2[PL],0)</f>
        <v>0.38525539580051416</v>
      </c>
      <c r="S64" s="29">
        <f>IF(Tabela2[AT]&lt;&gt;0,Tabela2[PO]/Tabela2[AT],0)</f>
        <v>0.57433216662463127</v>
      </c>
      <c r="T64" s="29">
        <f>IF(Tabela2[LL]&lt;&gt;0,Tabela2[Dividendos]/Tabela2[LL],0)</f>
        <v>0</v>
      </c>
      <c r="U64" s="31">
        <f>(Tabela2[Div/Ação]/20%*Tabela2[Unit])</f>
        <v>0</v>
      </c>
      <c r="V64" s="33">
        <f>(Tabela2[Div/Ação]/Setup!$A$2*Tabela2[Unit])</f>
        <v>0</v>
      </c>
      <c r="W64" s="26">
        <v>1</v>
      </c>
      <c r="X64" s="30"/>
      <c r="Y64" s="25"/>
    </row>
    <row r="65" spans="1:25" x14ac:dyDescent="0.2">
      <c r="A65" s="32" t="s">
        <v>47</v>
      </c>
      <c r="B65" s="32" t="s">
        <v>44</v>
      </c>
      <c r="C65" s="25">
        <v>2012</v>
      </c>
      <c r="D65" s="40">
        <v>341794262</v>
      </c>
      <c r="E65" s="27">
        <v>4786747</v>
      </c>
      <c r="F65" s="27">
        <v>3136775</v>
      </c>
      <c r="G65" s="27">
        <v>262015</v>
      </c>
      <c r="H65" s="27">
        <v>1647391</v>
      </c>
      <c r="I65" s="27">
        <f>617141+28513+2141711+9691</f>
        <v>2797056</v>
      </c>
      <c r="J65" s="27">
        <v>969013</v>
      </c>
      <c r="K65" s="27">
        <v>4812439</v>
      </c>
      <c r="L65" s="27">
        <v>-170667</v>
      </c>
      <c r="M65" s="27">
        <v>0</v>
      </c>
      <c r="N65" s="33">
        <f>IF(Tabela2[Ações]&lt;&gt;0,Tabela2[Dividendos]*1000/Tabela2[Ações],0)</f>
        <v>0</v>
      </c>
      <c r="O65" s="29">
        <f>IF(Tabela2[RBV]&gt;0,Tabela2[LL]/Tabela2[RBV],0)</f>
        <v>-3.5463722241466336E-2</v>
      </c>
      <c r="P65" s="29">
        <f>IF(Tabela2[PL]&lt;&gt;0,Tabela2[LL]/Tabela2[PL],0)</f>
        <v>-0.17612457211616356</v>
      </c>
      <c r="Q65" s="44">
        <f>IF(Tabela2[PC]&lt;&gt;0,Tabela2[AC]/Tabela2[PC],0)</f>
        <v>1.9040865222645991</v>
      </c>
      <c r="R65" s="29">
        <f>IF(Tabela2[PL]&lt;&gt;0,Tabela2[AI]/Tabela2[PL],0)</f>
        <v>0.27039368924875107</v>
      </c>
      <c r="S65" s="29">
        <f>IF(Tabela2[AT]&lt;&gt;0,Tabela2[PO]/Tabela2[AT],0)</f>
        <v>0.5843333687784209</v>
      </c>
      <c r="T65" s="29">
        <f>IF(Tabela2[LL]&lt;&gt;0,Tabela2[Dividendos]/Tabela2[LL],0)</f>
        <v>0</v>
      </c>
      <c r="U65" s="31">
        <f>(Tabela2[Div/Ação]/20%*Tabela2[Unit])</f>
        <v>0</v>
      </c>
      <c r="V65" s="33">
        <f>(Tabela2[Div/Ação]/Setup!$A$2*Tabela2[Unit])</f>
        <v>0</v>
      </c>
      <c r="W65" s="26">
        <v>1</v>
      </c>
      <c r="X65" s="30"/>
      <c r="Y65" s="25"/>
    </row>
    <row r="66" spans="1:25" x14ac:dyDescent="0.2">
      <c r="A66" s="32" t="s">
        <v>47</v>
      </c>
      <c r="B66" s="32" t="s">
        <v>44</v>
      </c>
      <c r="C66" s="25">
        <v>2011</v>
      </c>
      <c r="D66" s="40">
        <v>341794262</v>
      </c>
      <c r="E66" s="27">
        <v>4090027</v>
      </c>
      <c r="F66" s="27">
        <v>2801029</v>
      </c>
      <c r="G66" s="27">
        <v>213037</v>
      </c>
      <c r="H66" s="27">
        <v>1400221</v>
      </c>
      <c r="I66" s="27">
        <f>644557+25806+1466335+8927</f>
        <v>2145625</v>
      </c>
      <c r="J66" s="27">
        <v>1138848</v>
      </c>
      <c r="K66" s="27">
        <v>4232137</v>
      </c>
      <c r="L66" s="27">
        <v>-89168</v>
      </c>
      <c r="M66" s="27">
        <v>0</v>
      </c>
      <c r="N66" s="33">
        <f>IF(Tabela2[Ações]&lt;&gt;0,Tabela2[Dividendos]*1000/Tabela2[Ações],0)</f>
        <v>0</v>
      </c>
      <c r="O66" s="29">
        <f>IF(Tabela2[RBV]&gt;0,Tabela2[LL]/Tabela2[RBV],0)</f>
        <v>-2.1069261226656887E-2</v>
      </c>
      <c r="P66" s="29">
        <f>IF(Tabela2[PL]&lt;&gt;0,Tabela2[LL]/Tabela2[PL],0)</f>
        <v>-7.8296664699766788E-2</v>
      </c>
      <c r="Q66" s="44">
        <f>IF(Tabela2[PC]&lt;&gt;0,Tabela2[AC]/Tabela2[PC],0)</f>
        <v>2.0004192195374872</v>
      </c>
      <c r="R66" s="29">
        <f>IF(Tabela2[PL]&lt;&gt;0,Tabela2[AI]/Tabela2[PL],0)</f>
        <v>0.18706359408806092</v>
      </c>
      <c r="S66" s="29">
        <f>IF(Tabela2[AT]&lt;&gt;0,Tabela2[PO]/Tabela2[AT],0)</f>
        <v>0.52459922636207534</v>
      </c>
      <c r="T66" s="29">
        <f>IF(Tabela2[LL]&lt;&gt;0,Tabela2[Dividendos]/Tabela2[LL],0)</f>
        <v>0</v>
      </c>
      <c r="U66" s="31">
        <f>(Tabela2[Div/Ação]/20%*Tabela2[Unit])</f>
        <v>0</v>
      </c>
      <c r="V66" s="33">
        <f>(Tabela2[Div/Ação]/Setup!$A$2*Tabela2[Unit])</f>
        <v>0</v>
      </c>
      <c r="W66" s="26">
        <v>1</v>
      </c>
      <c r="X66" s="30"/>
      <c r="Y66" s="25"/>
    </row>
    <row r="67" spans="1:25" x14ac:dyDescent="0.2">
      <c r="A67" s="32" t="s">
        <v>47</v>
      </c>
      <c r="B67" s="32" t="s">
        <v>44</v>
      </c>
      <c r="C67" s="32">
        <v>2010</v>
      </c>
      <c r="D67" s="40">
        <v>341794262</v>
      </c>
      <c r="E67" s="27">
        <v>3212014</v>
      </c>
      <c r="F67" s="27">
        <v>2324298</v>
      </c>
      <c r="G67" s="27">
        <v>131949</v>
      </c>
      <c r="H67" s="27">
        <v>1400288</v>
      </c>
      <c r="I67" s="27">
        <f>543113+42668+1535216+6674</f>
        <v>2127671</v>
      </c>
      <c r="J67" s="27">
        <v>225945</v>
      </c>
      <c r="K67" s="27">
        <v>4073569</v>
      </c>
      <c r="L67" s="27">
        <v>33587</v>
      </c>
      <c r="M67" s="27">
        <f>5383+803</f>
        <v>6186</v>
      </c>
      <c r="N67" s="33">
        <f>IF(Tabela2[Ações]&lt;&gt;0,Tabela2[Dividendos]*1000/Tabela2[Ações],0)</f>
        <v>1.8098606933313586E-2</v>
      </c>
      <c r="O67" s="29">
        <f>IF(Tabela2[RBV]&gt;0,Tabela2[LL]/Tabela2[RBV],0)</f>
        <v>8.2451039862096367E-3</v>
      </c>
      <c r="P67" s="29">
        <f>IF(Tabela2[PL]&lt;&gt;0,Tabela2[LL]/Tabela2[PL],0)</f>
        <v>0.1486512204297506</v>
      </c>
      <c r="Q67" s="44">
        <f>IF(Tabela2[PC]&lt;&gt;0,Tabela2[AC]/Tabela2[PC],0)</f>
        <v>1.659871397883864</v>
      </c>
      <c r="R67" s="29">
        <f>IF(Tabela2[PL]&lt;&gt;0,Tabela2[AI]/Tabela2[PL],0)</f>
        <v>0.58398725353515235</v>
      </c>
      <c r="S67" s="29">
        <f>IF(Tabela2[AT]&lt;&gt;0,Tabela2[PO]/Tabela2[AT],0)</f>
        <v>0.66241025101384987</v>
      </c>
      <c r="T67" s="29">
        <f>IF(Tabela2[LL]&lt;&gt;0,Tabela2[Dividendos]/Tabela2[LL],0)</f>
        <v>0.18417840235805519</v>
      </c>
      <c r="U67" s="31">
        <f>(Tabela2[Div/Ação]/20%*Tabela2[Unit])</f>
        <v>9.0493034666567926E-2</v>
      </c>
      <c r="V67" s="33">
        <f>(Tabela2[Div/Ação]/Setup!$A$2*Tabela2[Unit])</f>
        <v>0.13039342170975204</v>
      </c>
      <c r="W67" s="26">
        <v>1</v>
      </c>
      <c r="X67" s="30"/>
      <c r="Y67" s="25"/>
    </row>
    <row r="68" spans="1:25" x14ac:dyDescent="0.2">
      <c r="A68" s="32" t="s">
        <v>49</v>
      </c>
      <c r="B68" s="32" t="s">
        <v>48</v>
      </c>
      <c r="C68" s="25">
        <v>2015</v>
      </c>
      <c r="D68" s="40">
        <v>273500000</v>
      </c>
      <c r="E68" s="34">
        <v>3712812</v>
      </c>
      <c r="F68" s="34">
        <v>2107312</v>
      </c>
      <c r="G68" s="34">
        <v>20266</v>
      </c>
      <c r="H68" s="34">
        <v>1258696</v>
      </c>
      <c r="I68" s="34">
        <f>787052+351142+557357+58767</f>
        <v>1754318</v>
      </c>
      <c r="J68" s="34">
        <v>1712013</v>
      </c>
      <c r="K68" s="34">
        <v>1271749</v>
      </c>
      <c r="L68" s="34">
        <v>292905</v>
      </c>
      <c r="M68" s="34">
        <v>28000</v>
      </c>
      <c r="N68" s="39">
        <f>IF(Tabela2[Ações]&lt;&gt;0,Tabela2[Dividendos]*1000/Tabela2[Ações],0)</f>
        <v>0.10237659963436929</v>
      </c>
      <c r="O68" s="36">
        <f>IF(Tabela2[RBV]&gt;0,Tabela2[LL]/Tabela2[RBV],0)</f>
        <v>0.23031667412358886</v>
      </c>
      <c r="P68" s="36">
        <f>IF(Tabela2[PL]&lt;&gt;0,Tabela2[LL]/Tabela2[PL],0)</f>
        <v>0.17108807000881418</v>
      </c>
      <c r="Q68" s="43">
        <f>IF(Tabela2[PC]&lt;&gt;0,Tabela2[AC]/Tabela2[PC],0)</f>
        <v>1.6742025079923986</v>
      </c>
      <c r="R68" s="36">
        <f>IF(Tabela2[PL]&lt;&gt;0,Tabela2[AI]/Tabela2[PL],0)</f>
        <v>1.1837526934666968E-2</v>
      </c>
      <c r="S68" s="36">
        <f>IF(Tabela2[AT]&lt;&gt;0,Tabela2[PO]/Tabela2[AT],0)</f>
        <v>0.47250385960829688</v>
      </c>
      <c r="T68" s="36">
        <f>IF(Tabela2[LL]&lt;&gt;0,Tabela2[Dividendos]/Tabela2[LL],0)</f>
        <v>9.5594134617025997E-2</v>
      </c>
      <c r="U68" s="38">
        <f>(Tabela2[Div/Ação]/20%*Tabela2[Unit])</f>
        <v>0.51188299817184646</v>
      </c>
      <c r="V68" s="39">
        <f>(Tabela2[Div/Ação]/Setup!$A$2*Tabela2[Unit])</f>
        <v>0.73758357085280468</v>
      </c>
      <c r="W68" s="40">
        <v>1</v>
      </c>
    </row>
    <row r="69" spans="1:25" x14ac:dyDescent="0.2">
      <c r="A69" s="32" t="s">
        <v>49</v>
      </c>
      <c r="B69" s="32" t="s">
        <v>48</v>
      </c>
      <c r="C69" s="25">
        <v>2014</v>
      </c>
      <c r="D69" s="40">
        <v>273500000</v>
      </c>
      <c r="E69" s="27">
        <v>4798379</v>
      </c>
      <c r="F69" s="27">
        <v>3123812</v>
      </c>
      <c r="G69" s="27">
        <v>57349</v>
      </c>
      <c r="H69" s="27">
        <v>1833577</v>
      </c>
      <c r="I69" s="27">
        <f>1257258+392111+1111674+58142</f>
        <v>2819185</v>
      </c>
      <c r="J69" s="27">
        <v>1700318</v>
      </c>
      <c r="K69" s="27">
        <v>1612505</v>
      </c>
      <c r="L69" s="27">
        <v>211790</v>
      </c>
      <c r="M69" s="27">
        <v>36896</v>
      </c>
      <c r="N69" s="33">
        <f>IF(Tabela2[Ações]&lt;&gt;0,Tabela2[Dividendos]*1000/Tabela2[Ações],0)</f>
        <v>0.13490310786106033</v>
      </c>
      <c r="O69" s="29">
        <f>IF(Tabela2[RBV]&gt;0,Tabela2[LL]/Tabela2[RBV],0)</f>
        <v>0.13134222839619103</v>
      </c>
      <c r="P69" s="29">
        <f>IF(Tabela2[PL]&lt;&gt;0,Tabela2[LL]/Tabela2[PL],0)</f>
        <v>0.12455905307124902</v>
      </c>
      <c r="Q69" s="44">
        <f>IF(Tabela2[PC]&lt;&gt;0,Tabela2[AC]/Tabela2[PC],0)</f>
        <v>1.7036710211788215</v>
      </c>
      <c r="R69" s="29">
        <f>IF(Tabela2[PL]&lt;&gt;0,Tabela2[AI]/Tabela2[PL],0)</f>
        <v>3.3728396688148921E-2</v>
      </c>
      <c r="S69" s="29">
        <f>IF(Tabela2[AT]&lt;&gt;0,Tabela2[PO]/Tabela2[AT],0)</f>
        <v>0.58752862164493469</v>
      </c>
      <c r="T69" s="29">
        <f>IF(Tabela2[LL]&lt;&gt;0,Tabela2[Dividendos]/Tabela2[LL],0)</f>
        <v>0.1742103026582936</v>
      </c>
      <c r="U69" s="31">
        <f>(Tabela2[Div/Ação]/20%*Tabela2[Unit])</f>
        <v>0.67451553930530161</v>
      </c>
      <c r="V69" s="33">
        <f>(Tabela2[Div/Ação]/Setup!$A$2*Tabela2[Unit])</f>
        <v>0.97192440822089565</v>
      </c>
      <c r="W69" s="26">
        <v>1</v>
      </c>
    </row>
    <row r="70" spans="1:25" x14ac:dyDescent="0.2">
      <c r="A70" s="32" t="s">
        <v>49</v>
      </c>
      <c r="B70" s="32" t="s">
        <v>48</v>
      </c>
      <c r="C70" s="25">
        <v>2013</v>
      </c>
      <c r="D70" s="40">
        <v>273500000</v>
      </c>
      <c r="E70" s="27">
        <v>4690095</v>
      </c>
      <c r="F70" s="27">
        <v>3288973</v>
      </c>
      <c r="G70" s="27">
        <v>66246</v>
      </c>
      <c r="H70" s="27">
        <v>1620124</v>
      </c>
      <c r="I70" s="27">
        <f>978727+443414+1294361+138680</f>
        <v>2855182</v>
      </c>
      <c r="J70" s="27">
        <v>1579047</v>
      </c>
      <c r="K70" s="27">
        <v>1832249</v>
      </c>
      <c r="L70" s="27">
        <v>285449</v>
      </c>
      <c r="M70" s="27">
        <v>84035</v>
      </c>
      <c r="N70" s="33">
        <f>IF(Tabela2[Ações]&lt;&gt;0,Tabela2[Dividendos]*1000/Tabela2[Ações],0)</f>
        <v>0.30725776965265084</v>
      </c>
      <c r="O70" s="29">
        <f>IF(Tabela2[RBV]&gt;0,Tabela2[LL]/Tabela2[RBV],0)</f>
        <v>0.15579159819435023</v>
      </c>
      <c r="P70" s="29">
        <f>IF(Tabela2[PL]&lt;&gt;0,Tabela2[LL]/Tabela2[PL],0)</f>
        <v>0.18077295989289743</v>
      </c>
      <c r="Q70" s="44">
        <f>IF(Tabela2[PC]&lt;&gt;0,Tabela2[AC]/Tabela2[PC],0)</f>
        <v>2.0300748584676236</v>
      </c>
      <c r="R70" s="29">
        <f>IF(Tabela2[PL]&lt;&gt;0,Tabela2[AI]/Tabela2[PL],0)</f>
        <v>4.1953152756061089E-2</v>
      </c>
      <c r="S70" s="29">
        <f>IF(Tabela2[AT]&lt;&gt;0,Tabela2[PO]/Tabela2[AT],0)</f>
        <v>0.60876847910330179</v>
      </c>
      <c r="T70" s="29">
        <f>IF(Tabela2[LL]&lt;&gt;0,Tabela2[Dividendos]/Tabela2[LL],0)</f>
        <v>0.29439584654351564</v>
      </c>
      <c r="U70" s="31">
        <f>(Tabela2[Div/Ação]/20%*Tabela2[Unit])</f>
        <v>1.5362888482632542</v>
      </c>
      <c r="V70" s="33">
        <f>(Tabela2[Div/Ação]/Setup!$A$2*Tabela2[Unit])</f>
        <v>2.21367269202198</v>
      </c>
      <c r="W70" s="26">
        <v>1</v>
      </c>
    </row>
    <row r="71" spans="1:25" x14ac:dyDescent="0.2">
      <c r="A71" s="32" t="s">
        <v>49</v>
      </c>
      <c r="B71" s="32" t="s">
        <v>48</v>
      </c>
      <c r="C71" s="25">
        <v>2012</v>
      </c>
      <c r="D71" s="40">
        <v>273500000</v>
      </c>
      <c r="E71" s="27">
        <v>4167991</v>
      </c>
      <c r="F71" s="27">
        <v>2710386</v>
      </c>
      <c r="G71" s="27">
        <v>71436</v>
      </c>
      <c r="H71" s="27">
        <v>1407416</v>
      </c>
      <c r="I71" s="27">
        <f>845688+378082+1073985+188023</f>
        <v>2485778</v>
      </c>
      <c r="J71" s="27">
        <v>1433298</v>
      </c>
      <c r="K71" s="27">
        <v>1355405</v>
      </c>
      <c r="L71" s="27">
        <v>-170948</v>
      </c>
      <c r="M71" s="27">
        <v>0</v>
      </c>
      <c r="N71" s="33">
        <f>IF(Tabela2[Ações]&lt;&gt;0,Tabela2[Dividendos]*1000/Tabela2[Ações],0)</f>
        <v>0</v>
      </c>
      <c r="O71" s="29">
        <f>IF(Tabela2[RBV]&gt;0,Tabela2[LL]/Tabela2[RBV],0)</f>
        <v>-0.12612318827214006</v>
      </c>
      <c r="P71" s="29">
        <f>IF(Tabela2[PL]&lt;&gt;0,Tabela2[LL]/Tabela2[PL],0)</f>
        <v>-0.11926898663083323</v>
      </c>
      <c r="Q71" s="44">
        <f>IF(Tabela2[PC]&lt;&gt;0,Tabela2[AC]/Tabela2[PC],0)</f>
        <v>1.9257888214998267</v>
      </c>
      <c r="R71" s="29">
        <f>IF(Tabela2[PL]&lt;&gt;0,Tabela2[AI]/Tabela2[PL],0)</f>
        <v>4.9840298388750981E-2</v>
      </c>
      <c r="S71" s="29">
        <f>IF(Tabela2[AT]&lt;&gt;0,Tabela2[PO]/Tabela2[AT],0)</f>
        <v>0.59639716112630758</v>
      </c>
      <c r="T71" s="29">
        <f>IF(Tabela2[LL]&lt;&gt;0,Tabela2[Dividendos]/Tabela2[LL],0)</f>
        <v>0</v>
      </c>
      <c r="U71" s="31">
        <f>(Tabela2[Div/Ação]/20%*Tabela2[Unit])</f>
        <v>0</v>
      </c>
      <c r="V71" s="33">
        <f>(Tabela2[Div/Ação]/Setup!$A$2*Tabela2[Unit])</f>
        <v>0</v>
      </c>
      <c r="W71" s="26">
        <v>1</v>
      </c>
    </row>
    <row r="72" spans="1:25" x14ac:dyDescent="0.2">
      <c r="A72" s="32" t="s">
        <v>49</v>
      </c>
      <c r="B72" s="32" t="s">
        <v>48</v>
      </c>
      <c r="C72" s="25">
        <v>2011</v>
      </c>
      <c r="D72" s="40">
        <v>273500000</v>
      </c>
      <c r="E72" s="27">
        <v>3943761</v>
      </c>
      <c r="F72" s="27">
        <v>2681117</v>
      </c>
      <c r="G72" s="27">
        <v>40171</v>
      </c>
      <c r="H72" s="27">
        <v>1066987</v>
      </c>
      <c r="I72" s="27">
        <f>583040+300897+901564+290672</f>
        <v>2076173</v>
      </c>
      <c r="J72" s="27">
        <v>1632314</v>
      </c>
      <c r="K72" s="27">
        <v>1596145</v>
      </c>
      <c r="L72" s="27">
        <v>144411</v>
      </c>
      <c r="M72" s="27">
        <v>54876</v>
      </c>
      <c r="N72" s="33">
        <f>IF(Tabela2[Ações]&lt;&gt;0,Tabela2[Dividendos]*1000/Tabela2[Ações],0)</f>
        <v>0.2006435100548446</v>
      </c>
      <c r="O72" s="29">
        <f>IF(Tabela2[RBV]&gt;0,Tabela2[LL]/Tabela2[RBV],0)</f>
        <v>9.0474862872733999E-2</v>
      </c>
      <c r="P72" s="29">
        <f>IF(Tabela2[PL]&lt;&gt;0,Tabela2[LL]/Tabela2[PL],0)</f>
        <v>8.8470110530204357E-2</v>
      </c>
      <c r="Q72" s="44">
        <f>IF(Tabela2[PC]&lt;&gt;0,Tabela2[AC]/Tabela2[PC],0)</f>
        <v>2.5127925644829787</v>
      </c>
      <c r="R72" s="29">
        <f>IF(Tabela2[PL]&lt;&gt;0,Tabela2[AI]/Tabela2[PL],0)</f>
        <v>2.460984835025614E-2</v>
      </c>
      <c r="S72" s="29">
        <f>IF(Tabela2[AT]&lt;&gt;0,Tabela2[PO]/Tabela2[AT],0)</f>
        <v>0.52644493416309968</v>
      </c>
      <c r="T72" s="29">
        <f>IF(Tabela2[LL]&lt;&gt;0,Tabela2[Dividendos]/Tabela2[LL],0)</f>
        <v>0.37999875355755447</v>
      </c>
      <c r="U72" s="31">
        <f>(Tabela2[Div/Ação]/20%*Tabela2[Unit])</f>
        <v>1.0032175502742229</v>
      </c>
      <c r="V72" s="33">
        <f>(Tabela2[Div/Ação]/Setup!$A$2*Tabela2[Unit])</f>
        <v>1.4455584297899466</v>
      </c>
      <c r="W72" s="26">
        <v>1</v>
      </c>
    </row>
    <row r="73" spans="1:25" x14ac:dyDescent="0.2">
      <c r="A73" s="32" t="s">
        <v>49</v>
      </c>
      <c r="B73" s="32" t="s">
        <v>48</v>
      </c>
      <c r="C73" s="32">
        <v>2010</v>
      </c>
      <c r="D73" s="40">
        <v>273500000</v>
      </c>
      <c r="E73" s="27">
        <v>3135070</v>
      </c>
      <c r="F73" s="27">
        <v>1901013</v>
      </c>
      <c r="G73" s="27">
        <v>36022</v>
      </c>
      <c r="H73" s="27">
        <v>856221</v>
      </c>
      <c r="I73" s="27">
        <f>497396+212590+801541+230239</f>
        <v>1741766</v>
      </c>
      <c r="J73" s="27">
        <v>1195384</v>
      </c>
      <c r="K73" s="27">
        <v>1415218</v>
      </c>
      <c r="L73" s="27">
        <v>200048</v>
      </c>
      <c r="M73" s="27">
        <v>47512</v>
      </c>
      <c r="N73" s="33">
        <f>IF(Tabela2[Ações]&lt;&gt;0,Tabela2[Dividendos]*1000/Tabela2[Ações],0)</f>
        <v>0.17371846435100549</v>
      </c>
      <c r="O73" s="29">
        <f>IF(Tabela2[RBV]&gt;0,Tabela2[LL]/Tabela2[RBV],0)</f>
        <v>0.14135490079973545</v>
      </c>
      <c r="P73" s="29">
        <f>IF(Tabela2[PL]&lt;&gt;0,Tabela2[LL]/Tabela2[PL],0)</f>
        <v>0.16735040790239789</v>
      </c>
      <c r="Q73" s="44">
        <f>IF(Tabela2[PC]&lt;&gt;0,Tabela2[AC]/Tabela2[PC],0)</f>
        <v>2.2202363642097076</v>
      </c>
      <c r="R73" s="29">
        <f>IF(Tabela2[PL]&lt;&gt;0,Tabela2[AI]/Tabela2[PL],0)</f>
        <v>3.0134249747361518E-2</v>
      </c>
      <c r="S73" s="29">
        <f>IF(Tabela2[AT]&lt;&gt;0,Tabela2[PO]/Tabela2[AT],0)</f>
        <v>0.55557483564960275</v>
      </c>
      <c r="T73" s="29">
        <f>IF(Tabela2[LL]&lt;&gt;0,Tabela2[Dividendos]/Tabela2[LL],0)</f>
        <v>0.23750299928017277</v>
      </c>
      <c r="U73" s="31">
        <f>(Tabela2[Div/Ação]/20%*Tabela2[Unit])</f>
        <v>0.86859232175502743</v>
      </c>
      <c r="V73" s="33">
        <f>(Tabela2[Div/Ação]/Setup!$A$2*Tabela2[Unit])</f>
        <v>1.2515739506556591</v>
      </c>
      <c r="W73" s="26">
        <v>1</v>
      </c>
    </row>
    <row r="74" spans="1:25" x14ac:dyDescent="0.2">
      <c r="A74" s="32" t="s">
        <v>50</v>
      </c>
      <c r="B74" s="32" t="s">
        <v>51</v>
      </c>
      <c r="C74" s="25">
        <v>2015</v>
      </c>
      <c r="D74" s="40">
        <v>2865417020</v>
      </c>
      <c r="E74" s="34">
        <v>1388864529</v>
      </c>
      <c r="F74" s="34">
        <v>1388864529</v>
      </c>
      <c r="G74" s="34">
        <v>7411947</v>
      </c>
      <c r="H74" s="34">
        <v>1388864529</v>
      </c>
      <c r="I74" s="34"/>
      <c r="J74" s="34">
        <v>86229994</v>
      </c>
      <c r="K74" s="34">
        <v>182368871</v>
      </c>
      <c r="L74" s="34">
        <v>15798039</v>
      </c>
      <c r="M74" s="34">
        <v>4484285</v>
      </c>
      <c r="N74" s="39">
        <f>IF(Tabela2[Ações]&lt;&gt;0,Tabela2[Dividendos]*1000/Tabela2[Ações],0)</f>
        <v>1.5649676709186295</v>
      </c>
      <c r="O74" s="36">
        <f>IF(Tabela2[RBV]&gt;0,Tabela2[LL]/Tabela2[RBV],0)</f>
        <v>8.6626839950114068E-2</v>
      </c>
      <c r="P74" s="36">
        <f>IF(Tabela2[PL]&lt;&gt;0,Tabela2[LL]/Tabela2[PL],0)</f>
        <v>0.18320816536297102</v>
      </c>
      <c r="Q74" s="43">
        <f>IF(Tabela2[PC]&lt;&gt;0,Tabela2[AC]/Tabela2[PC],0)</f>
        <v>1</v>
      </c>
      <c r="R74" s="36">
        <f>IF(Tabela2[PL]&lt;&gt;0,Tabela2[AI]/Tabela2[PL],0)</f>
        <v>8.5955555093741517E-2</v>
      </c>
      <c r="S74" s="36">
        <f>IF(Tabela2[AT]&lt;&gt;0,Tabela2[PO]/Tabela2[AT],0)</f>
        <v>0</v>
      </c>
      <c r="T74" s="36">
        <f>IF(Tabela2[LL]&lt;&gt;0,Tabela2[Dividendos]/Tabela2[LL],0)</f>
        <v>0.28385073615782314</v>
      </c>
      <c r="U74" s="38">
        <f>(Tabela2[Div/Ação]/20%*Tabela2[Unit])</f>
        <v>7.8248383545931475</v>
      </c>
      <c r="V74" s="39">
        <f>(Tabela2[Div/Ação]/Setup!$A$2*Tabela2[Unit])</f>
        <v>11.274983219874851</v>
      </c>
      <c r="W74" s="40">
        <v>1</v>
      </c>
    </row>
    <row r="75" spans="1:25" x14ac:dyDescent="0.2">
      <c r="A75" s="32" t="s">
        <v>50</v>
      </c>
      <c r="B75" s="32" t="s">
        <v>51</v>
      </c>
      <c r="C75" s="25">
        <v>2014</v>
      </c>
      <c r="D75" s="40">
        <v>2865417020</v>
      </c>
      <c r="E75" s="27">
        <v>1278136948</v>
      </c>
      <c r="F75" s="27">
        <v>1278136948</v>
      </c>
      <c r="G75" s="27">
        <v>7179878</v>
      </c>
      <c r="H75" s="27">
        <v>1278136948</v>
      </c>
      <c r="I75" s="27"/>
      <c r="J75" s="27">
        <v>85440036</v>
      </c>
      <c r="K75" s="27">
        <v>137778601</v>
      </c>
      <c r="L75" s="27">
        <v>13343496</v>
      </c>
      <c r="M75" s="27">
        <v>4141713</v>
      </c>
      <c r="N75" s="33">
        <f>IF(Tabela2[Ações]&lt;&gt;0,Tabela2[Dividendos]*1000/Tabela2[Ações],0)</f>
        <v>1.4454136940946907</v>
      </c>
      <c r="O75" s="29">
        <f>IF(Tabela2[RBV]&gt;0,Tabela2[LL]/Tabela2[RBV],0)</f>
        <v>9.6847376175637032E-2</v>
      </c>
      <c r="P75" s="29">
        <f>IF(Tabela2[PL]&lt;&gt;0,Tabela2[LL]/Tabela2[PL],0)</f>
        <v>0.1561738106009225</v>
      </c>
      <c r="Q75" s="44">
        <f>IF(Tabela2[PC]&lt;&gt;0,Tabela2[AC]/Tabela2[PC],0)</f>
        <v>1</v>
      </c>
      <c r="R75" s="29">
        <f>IF(Tabela2[PL]&lt;&gt;0,Tabela2[AI]/Tabela2[PL],0)</f>
        <v>8.4034117214089182E-2</v>
      </c>
      <c r="S75" s="29">
        <f>IF(Tabela2[AT]&lt;&gt;0,Tabela2[PO]/Tabela2[AT],0)</f>
        <v>0</v>
      </c>
      <c r="T75" s="29">
        <f>IF(Tabela2[LL]&lt;&gt;0,Tabela2[Dividendos]/Tabela2[LL],0)</f>
        <v>0.31039189429816594</v>
      </c>
      <c r="U75" s="31">
        <f>(Tabela2[Div/Ação]/20%*Tabela2[Unit])</f>
        <v>7.2270684704734531</v>
      </c>
      <c r="V75" s="33">
        <f>(Tabela2[Div/Ação]/Setup!$A$2*Tabela2[Unit])</f>
        <v>10.413643329212467</v>
      </c>
      <c r="W75" s="26">
        <v>1</v>
      </c>
    </row>
    <row r="76" spans="1:25" x14ac:dyDescent="0.2">
      <c r="A76" s="32" t="s">
        <v>50</v>
      </c>
      <c r="B76" s="32" t="s">
        <v>51</v>
      </c>
      <c r="C76" s="25">
        <v>2013</v>
      </c>
      <c r="D76" s="40">
        <v>2865417020</v>
      </c>
      <c r="E76" s="27">
        <v>1162167882</v>
      </c>
      <c r="F76" s="27">
        <v>1162167882</v>
      </c>
      <c r="G76" s="27">
        <v>6575390</v>
      </c>
      <c r="H76" s="27">
        <v>1162167882</v>
      </c>
      <c r="I76" s="27"/>
      <c r="J76" s="27">
        <v>76381996</v>
      </c>
      <c r="K76" s="27">
        <v>104582211</v>
      </c>
      <c r="L76" s="27">
        <v>11288834</v>
      </c>
      <c r="M76" s="27">
        <v>5856986</v>
      </c>
      <c r="N76" s="33">
        <f>IF(Tabela2[Ações]&lt;&gt;0,Tabela2[Dividendos]*1000/Tabela2[Ações],0)</f>
        <v>2.0440256894963231</v>
      </c>
      <c r="O76" s="29">
        <f>IF(Tabela2[RBV]&gt;0,Tabela2[LL]/Tabela2[RBV],0)</f>
        <v>0.10794220061000623</v>
      </c>
      <c r="P76" s="29">
        <f>IF(Tabela2[PL]&lt;&gt;0,Tabela2[LL]/Tabela2[PL],0)</f>
        <v>0.14779443574635048</v>
      </c>
      <c r="Q76" s="44">
        <f>IF(Tabela2[PC]&lt;&gt;0,Tabela2[AC]/Tabela2[PC],0)</f>
        <v>1</v>
      </c>
      <c r="R76" s="29">
        <f>IF(Tabela2[PL]&lt;&gt;0,Tabela2[AI]/Tabela2[PL],0)</f>
        <v>8.6085600591008379E-2</v>
      </c>
      <c r="S76" s="29">
        <f>IF(Tabela2[AT]&lt;&gt;0,Tabela2[PO]/Tabela2[AT],0)</f>
        <v>0</v>
      </c>
      <c r="T76" s="29">
        <f>IF(Tabela2[LL]&lt;&gt;0,Tabela2[Dividendos]/Tabela2[LL],0)</f>
        <v>0.51883002265778733</v>
      </c>
      <c r="U76" s="31">
        <f>(Tabela2[Div/Ação]/20%*Tabela2[Unit])</f>
        <v>10.220128447481615</v>
      </c>
      <c r="V76" s="33">
        <f>(Tabela2[Div/Ação]/Setup!$A$2*Tabela2[Unit])</f>
        <v>14.726409866688206</v>
      </c>
      <c r="W76" s="26">
        <v>1</v>
      </c>
    </row>
    <row r="77" spans="1:25" x14ac:dyDescent="0.2">
      <c r="A77" s="32" t="s">
        <v>50</v>
      </c>
      <c r="B77" s="32" t="s">
        <v>51</v>
      </c>
      <c r="C77" s="25">
        <v>2012</v>
      </c>
      <c r="D77" s="40">
        <v>2865417020</v>
      </c>
      <c r="E77" s="27">
        <v>1136007475</v>
      </c>
      <c r="F77" s="27">
        <v>1136007475</v>
      </c>
      <c r="G77" s="27">
        <v>7299814</v>
      </c>
      <c r="H77" s="27">
        <v>1136007475</v>
      </c>
      <c r="I77" s="27"/>
      <c r="J77" s="27">
        <v>69898229</v>
      </c>
      <c r="K77" s="27">
        <v>107931378</v>
      </c>
      <c r="L77" s="27">
        <v>11438200</v>
      </c>
      <c r="M77" s="27">
        <v>4438295</v>
      </c>
      <c r="N77" s="33">
        <f>IF(Tabela2[Ações]&lt;&gt;0,Tabela2[Dividendos]*1000/Tabela2[Ações],0)</f>
        <v>1.5489176510859142</v>
      </c>
      <c r="O77" s="29">
        <f>IF(Tabela2[RBV]&gt;0,Tabela2[LL]/Tabela2[RBV],0)</f>
        <v>0.1059765956105925</v>
      </c>
      <c r="P77" s="29">
        <f>IF(Tabela2[PL]&lt;&gt;0,Tabela2[LL]/Tabela2[PL],0)</f>
        <v>0.16364076978259348</v>
      </c>
      <c r="Q77" s="44">
        <f>IF(Tabela2[PC]&lt;&gt;0,Tabela2[AC]/Tabela2[PC],0)</f>
        <v>1</v>
      </c>
      <c r="R77" s="29">
        <f>IF(Tabela2[PL]&lt;&gt;0,Tabela2[AI]/Tabela2[PL],0)</f>
        <v>0.10443489204855247</v>
      </c>
      <c r="S77" s="29">
        <f>IF(Tabela2[AT]&lt;&gt;0,Tabela2[PO]/Tabela2[AT],0)</f>
        <v>0</v>
      </c>
      <c r="T77" s="29">
        <f>IF(Tabela2[LL]&lt;&gt;0,Tabela2[Dividendos]/Tabela2[LL],0)</f>
        <v>0.38802390236225981</v>
      </c>
      <c r="U77" s="31">
        <f>(Tabela2[Div/Ação]/20%*Tabela2[Unit])</f>
        <v>7.7445882554295702</v>
      </c>
      <c r="V77" s="33">
        <f>(Tabela2[Div/Ação]/Setup!$A$2*Tabela2[Unit])</f>
        <v>11.159349071224165</v>
      </c>
      <c r="W77" s="26">
        <v>1</v>
      </c>
    </row>
    <row r="78" spans="1:25" x14ac:dyDescent="0.2">
      <c r="A78" s="32" t="s">
        <v>50</v>
      </c>
      <c r="B78" s="32" t="s">
        <v>51</v>
      </c>
      <c r="C78" s="25">
        <v>2011</v>
      </c>
      <c r="D78" s="40">
        <v>2865417020</v>
      </c>
      <c r="E78" s="27">
        <v>966823068</v>
      </c>
      <c r="F78" s="27">
        <v>966823068</v>
      </c>
      <c r="G78" s="27">
        <v>6194386</v>
      </c>
      <c r="H78" s="27">
        <v>966823068</v>
      </c>
      <c r="I78" s="27"/>
      <c r="J78" s="27">
        <v>63269224</v>
      </c>
      <c r="K78" s="27">
        <v>106919760</v>
      </c>
      <c r="L78" s="27">
        <v>12736912</v>
      </c>
      <c r="M78" s="27">
        <v>4089194</v>
      </c>
      <c r="N78" s="33">
        <f>IF(Tabela2[Ações]&lt;&gt;0,Tabela2[Dividendos]*1000/Tabela2[Ações],0)</f>
        <v>1.4270851228488899</v>
      </c>
      <c r="O78" s="29">
        <f>IF(Tabela2[RBV]&gt;0,Tabela2[LL]/Tabela2[RBV],0)</f>
        <v>0.11912589403492863</v>
      </c>
      <c r="P78" s="29">
        <f>IF(Tabela2[PL]&lt;&gt;0,Tabela2[LL]/Tabela2[PL],0)</f>
        <v>0.20131291637147311</v>
      </c>
      <c r="Q78" s="44">
        <f>IF(Tabela2[PC]&lt;&gt;0,Tabela2[AC]/Tabela2[PC],0)</f>
        <v>1</v>
      </c>
      <c r="R78" s="29">
        <f>IF(Tabela2[PL]&lt;&gt;0,Tabela2[AI]/Tabela2[PL],0)</f>
        <v>9.7905199532714357E-2</v>
      </c>
      <c r="S78" s="29">
        <f>IF(Tabela2[AT]&lt;&gt;0,Tabela2[PO]/Tabela2[AT],0)</f>
        <v>0</v>
      </c>
      <c r="T78" s="29">
        <f>IF(Tabela2[LL]&lt;&gt;0,Tabela2[Dividendos]/Tabela2[LL],0)</f>
        <v>0.32105065968894186</v>
      </c>
      <c r="U78" s="31">
        <f>(Tabela2[Div/Ação]/20%*Tabela2[Unit])</f>
        <v>7.1354256142444488</v>
      </c>
      <c r="V78" s="33">
        <f>(Tabela2[Div/Ação]/Setup!$A$2*Tabela2[Unit])</f>
        <v>10.281593104098629</v>
      </c>
      <c r="W78" s="26">
        <v>1</v>
      </c>
    </row>
    <row r="79" spans="1:25" x14ac:dyDescent="0.2">
      <c r="A79" s="32" t="s">
        <v>50</v>
      </c>
      <c r="B79" s="32" t="s">
        <v>51</v>
      </c>
      <c r="C79" s="32">
        <v>2010</v>
      </c>
      <c r="D79" s="40">
        <v>2865417020</v>
      </c>
      <c r="E79" s="27">
        <v>802819795</v>
      </c>
      <c r="F79" s="27">
        <v>802819795</v>
      </c>
      <c r="G79" s="27">
        <v>5553136</v>
      </c>
      <c r="H79" s="27">
        <v>802819795</v>
      </c>
      <c r="I79" s="27"/>
      <c r="J79" s="27">
        <v>54418937</v>
      </c>
      <c r="K79" s="27">
        <v>85143206</v>
      </c>
      <c r="L79" s="27">
        <v>11330345</v>
      </c>
      <c r="M79" s="27">
        <v>3885445</v>
      </c>
      <c r="N79" s="33">
        <f>IF(Tabela2[Ações]&lt;&gt;0,Tabela2[Dividendos]*1000/Tabela2[Ações],0)</f>
        <v>1.3559788934317141</v>
      </c>
      <c r="O79" s="29">
        <f>IF(Tabela2[RBV]&gt;0,Tabela2[LL]/Tabela2[RBV],0)</f>
        <v>0.13307397656602218</v>
      </c>
      <c r="P79" s="29">
        <f>IF(Tabela2[PL]&lt;&gt;0,Tabela2[LL]/Tabela2[PL],0)</f>
        <v>0.20820592287570777</v>
      </c>
      <c r="Q79" s="44">
        <f>IF(Tabela2[PC]&lt;&gt;0,Tabela2[AC]/Tabela2[PC],0)</f>
        <v>1</v>
      </c>
      <c r="R79" s="29">
        <f>IF(Tabela2[PL]&lt;&gt;0,Tabela2[AI]/Tabela2[PL],0)</f>
        <v>0.10204418362674009</v>
      </c>
      <c r="S79" s="29">
        <f>IF(Tabela2[AT]&lt;&gt;0,Tabela2[PO]/Tabela2[AT],0)</f>
        <v>0</v>
      </c>
      <c r="T79" s="29">
        <f>IF(Tabela2[LL]&lt;&gt;0,Tabela2[Dividendos]/Tabela2[LL],0)</f>
        <v>0.34292380329107364</v>
      </c>
      <c r="U79" s="31">
        <f>(Tabela2[Div/Ação]/20%*Tabela2[Unit])</f>
        <v>6.7798944671585701</v>
      </c>
      <c r="V79" s="33">
        <f>(Tabela2[Div/Ação]/Setup!$A$2*Tabela2[Unit])</f>
        <v>9.7693003849547111</v>
      </c>
      <c r="W79" s="26">
        <v>1</v>
      </c>
    </row>
    <row r="80" spans="1:25" x14ac:dyDescent="0.2">
      <c r="A80" s="25" t="s">
        <v>45</v>
      </c>
      <c r="B80" s="25" t="s">
        <v>56</v>
      </c>
      <c r="C80" s="25">
        <v>2015</v>
      </c>
      <c r="D80" s="45">
        <v>345767870</v>
      </c>
      <c r="E80" s="27">
        <v>2621368</v>
      </c>
      <c r="F80" s="27">
        <v>863895</v>
      </c>
      <c r="G80" s="27">
        <v>373298</v>
      </c>
      <c r="H80" s="27">
        <v>1589799</v>
      </c>
      <c r="I80" s="27">
        <f>860078+41245+712252+6111</f>
        <v>1619686</v>
      </c>
      <c r="J80" s="27">
        <v>170694</v>
      </c>
      <c r="K80" s="27">
        <v>3209384</v>
      </c>
      <c r="L80" s="27">
        <v>-226778</v>
      </c>
      <c r="M80" s="27">
        <v>0</v>
      </c>
      <c r="N80" s="31">
        <f>IF(Tabela2[Ações]&lt;&gt;0,Tabela2[Dividendos]*1000/Tabela2[Ações],0)</f>
        <v>0</v>
      </c>
      <c r="O80" s="46">
        <f>IF(Tabela2[RBV]&gt;0,Tabela2[LL]/Tabela2[RBV],0)</f>
        <v>-7.0660911875923854E-2</v>
      </c>
      <c r="P80" s="29">
        <f>IF(Tabela2[PL]&lt;&gt;0,Tabela2[LL]/Tabela2[PL],0)</f>
        <v>-1.3285645658312535</v>
      </c>
      <c r="Q80" s="47">
        <f>IF(Tabela2[PC]&lt;&gt;0,Tabela2[AC]/Tabela2[PC],0)</f>
        <v>0.5433988825002406</v>
      </c>
      <c r="R80" s="46">
        <f>IF(Tabela2[PL]&lt;&gt;0,Tabela2[AI]/Tabela2[PL],0)</f>
        <v>2.1869427162056079</v>
      </c>
      <c r="S80" s="46">
        <f>IF(Tabela2[AT]&lt;&gt;0,Tabela2[PO]/Tabela2[AT],0)</f>
        <v>0.61787814606724423</v>
      </c>
      <c r="T80" s="29">
        <f>IF(Tabela2[LL]&lt;&gt;0,Tabela2[Dividendos]/Tabela2[LL],0)</f>
        <v>0</v>
      </c>
      <c r="U80" s="31">
        <f>(Tabela2[Div/Ação]/20%*Tabela2[Unit])</f>
        <v>0</v>
      </c>
      <c r="V80" s="31">
        <f>(Tabela2[Div/Ação]/Setup!$A$2*Tabela2[Unit])</f>
        <v>0</v>
      </c>
      <c r="W80" s="48">
        <v>1</v>
      </c>
    </row>
    <row r="81" spans="1:23" x14ac:dyDescent="0.2">
      <c r="A81" s="25" t="s">
        <v>45</v>
      </c>
      <c r="B81" s="25" t="s">
        <v>56</v>
      </c>
      <c r="C81" s="25">
        <v>2014</v>
      </c>
      <c r="D81" s="45">
        <v>345767870</v>
      </c>
      <c r="E81" s="27">
        <v>2653754</v>
      </c>
      <c r="F81" s="27">
        <v>948876</v>
      </c>
      <c r="G81" s="27">
        <v>448575</v>
      </c>
      <c r="H81" s="27">
        <v>1005819</v>
      </c>
      <c r="I81" s="27">
        <f>375337+83183+1038093+3183</f>
        <v>1499796</v>
      </c>
      <c r="J81" s="27">
        <v>395783</v>
      </c>
      <c r="K81" s="27">
        <v>3452231</v>
      </c>
      <c r="L81" s="27">
        <v>96646</v>
      </c>
      <c r="M81" s="27">
        <v>24162</v>
      </c>
      <c r="N81" s="31">
        <f>IF(Tabela2[Ações]&lt;&gt;0,Tabela2[Dividendos]*1000/Tabela2[Ações],0)</f>
        <v>6.9879251649379678E-2</v>
      </c>
      <c r="O81" s="46">
        <f>IF(Tabela2[RBV]&gt;0,Tabela2[LL]/Tabela2[RBV],0)</f>
        <v>2.799522975142741E-2</v>
      </c>
      <c r="P81" s="29">
        <f>IF(Tabela2[PL]&lt;&gt;0,Tabela2[LL]/Tabela2[PL],0)</f>
        <v>0.24418936639522162</v>
      </c>
      <c r="Q81" s="47">
        <f>IF(Tabela2[PC]&lt;&gt;0,Tabela2[AC]/Tabela2[PC],0)</f>
        <v>0.94338643433858382</v>
      </c>
      <c r="R81" s="46">
        <f>IF(Tabela2[PL]&lt;&gt;0,Tabela2[AI]/Tabela2[PL],0)</f>
        <v>1.1333862242693598</v>
      </c>
      <c r="S81" s="46">
        <f>IF(Tabela2[AT]&lt;&gt;0,Tabela2[PO]/Tabela2[AT],0)</f>
        <v>0.56516014672045711</v>
      </c>
      <c r="T81" s="29">
        <f>IF(Tabela2[LL]&lt;&gt;0,Tabela2[Dividendos]/Tabela2[LL],0)</f>
        <v>0.25000517351985596</v>
      </c>
      <c r="U81" s="31">
        <f>(Tabela2[Div/Ação]/20%*Tabela2[Unit])</f>
        <v>0.34939625824689835</v>
      </c>
      <c r="V81" s="31">
        <f>(Tabela2[Div/Ação]/Setup!$A$2*Tabela2[Unit])</f>
        <v>0.50345282168140981</v>
      </c>
      <c r="W81" s="48">
        <v>1</v>
      </c>
    </row>
    <row r="82" spans="1:23" x14ac:dyDescent="0.2">
      <c r="A82" s="25" t="s">
        <v>45</v>
      </c>
      <c r="B82" s="25" t="s">
        <v>56</v>
      </c>
      <c r="C82" s="25">
        <v>2013</v>
      </c>
      <c r="D82" s="45">
        <v>345767870</v>
      </c>
      <c r="E82" s="27">
        <v>2638616</v>
      </c>
      <c r="F82" s="27">
        <v>918194</v>
      </c>
      <c r="G82" s="27">
        <v>508411</v>
      </c>
      <c r="H82" s="27">
        <v>933277</v>
      </c>
      <c r="I82" s="27">
        <f>200290+81229+1013561+24225</f>
        <v>1319305</v>
      </c>
      <c r="J82" s="27">
        <v>438249</v>
      </c>
      <c r="K82" s="27">
        <v>3617962</v>
      </c>
      <c r="L82" s="27">
        <v>103620</v>
      </c>
      <c r="M82" s="27">
        <v>25564</v>
      </c>
      <c r="N82" s="31">
        <f>IF(Tabela2[Ações]&lt;&gt;0,Tabela2[Dividendos]*1000/Tabela2[Ações],0)</f>
        <v>7.3933995081729251E-2</v>
      </c>
      <c r="O82" s="46">
        <f>IF(Tabela2[RBV]&gt;0,Tabela2[LL]/Tabela2[RBV],0)</f>
        <v>2.8640433481612024E-2</v>
      </c>
      <c r="P82" s="29">
        <f>IF(Tabela2[PL]&lt;&gt;0,Tabela2[LL]/Tabela2[PL],0)</f>
        <v>0.23644092741797471</v>
      </c>
      <c r="Q82" s="47">
        <f>IF(Tabela2[PC]&lt;&gt;0,Tabela2[AC]/Tabela2[PC],0)</f>
        <v>0.9838386674052827</v>
      </c>
      <c r="R82" s="46">
        <f>IF(Tabela2[PL]&lt;&gt;0,Tabela2[AI]/Tabela2[PL],0)</f>
        <v>1.1600962010181426</v>
      </c>
      <c r="S82" s="46">
        <f>IF(Tabela2[AT]&lt;&gt;0,Tabela2[PO]/Tabela2[AT],0)</f>
        <v>0.49999886304032115</v>
      </c>
      <c r="T82" s="29">
        <f>IF(Tabela2[LL]&lt;&gt;0,Tabela2[Dividendos]/Tabela2[LL],0)</f>
        <v>0.24670912951167728</v>
      </c>
      <c r="U82" s="31">
        <f>(Tabela2[Div/Ação]/20%*Tabela2[Unit])</f>
        <v>0.36966997540864621</v>
      </c>
      <c r="V82" s="31">
        <f>(Tabela2[Div/Ação]/Setup!$A$2*Tabela2[Unit])</f>
        <v>0.53266567061764591</v>
      </c>
      <c r="W82" s="48">
        <v>1</v>
      </c>
    </row>
    <row r="83" spans="1:23" x14ac:dyDescent="0.2">
      <c r="A83" s="25" t="s">
        <v>45</v>
      </c>
      <c r="B83" s="25" t="s">
        <v>56</v>
      </c>
      <c r="C83" s="25">
        <v>2012</v>
      </c>
      <c r="D83" s="45">
        <v>345767870</v>
      </c>
      <c r="E83" s="27">
        <v>2479819</v>
      </c>
      <c r="F83" s="27">
        <v>867306</v>
      </c>
      <c r="G83" s="27">
        <v>542446</v>
      </c>
      <c r="H83" s="27">
        <v>823782</v>
      </c>
      <c r="I83" s="27">
        <f>185622+72853+917916+39512</f>
        <v>1215903</v>
      </c>
      <c r="J83" s="27">
        <v>504422</v>
      </c>
      <c r="K83" s="27">
        <v>3619013</v>
      </c>
      <c r="L83" s="27">
        <v>50303</v>
      </c>
      <c r="M83" s="27">
        <f>15500+29027</f>
        <v>44527</v>
      </c>
      <c r="N83" s="31">
        <f>IF(Tabela2[Ações]&lt;&gt;0,Tabela2[Dividendos]*1000/Tabela2[Ações],0)</f>
        <v>0.12877714751228911</v>
      </c>
      <c r="O83" s="46">
        <f>IF(Tabela2[RBV]&gt;0,Tabela2[LL]/Tabela2[RBV],0)</f>
        <v>1.3899646118983269E-2</v>
      </c>
      <c r="P83" s="29">
        <f>IF(Tabela2[PL]&lt;&gt;0,Tabela2[LL]/Tabela2[PL],0)</f>
        <v>9.9724040585065676E-2</v>
      </c>
      <c r="Q83" s="47">
        <f>IF(Tabela2[PC]&lt;&gt;0,Tabela2[AC]/Tabela2[PC],0)</f>
        <v>1.0528343663736279</v>
      </c>
      <c r="R83" s="46">
        <f>IF(Tabela2[PL]&lt;&gt;0,Tabela2[AI]/Tabela2[PL],0)</f>
        <v>1.075381327539243</v>
      </c>
      <c r="S83" s="46">
        <f>IF(Tabela2[AT]&lt;&gt;0,Tabela2[PO]/Tabela2[AT],0)</f>
        <v>0.49031925313903957</v>
      </c>
      <c r="T83" s="29">
        <f>IF(Tabela2[LL]&lt;&gt;0,Tabela2[Dividendos]/Tabela2[LL],0)</f>
        <v>0.88517583444327375</v>
      </c>
      <c r="U83" s="31">
        <f>(Tabela2[Div/Ação]/20%*Tabela2[Unit])</f>
        <v>0.64388573756144551</v>
      </c>
      <c r="V83" s="31">
        <f>(Tabela2[Div/Ação]/Setup!$A$2*Tabela2[Unit])</f>
        <v>0.92778924720669387</v>
      </c>
      <c r="W83" s="48">
        <v>1</v>
      </c>
    </row>
    <row r="84" spans="1:23" x14ac:dyDescent="0.2">
      <c r="A84" s="25" t="s">
        <v>45</v>
      </c>
      <c r="B84" s="25" t="s">
        <v>56</v>
      </c>
      <c r="C84" s="25">
        <v>2011</v>
      </c>
      <c r="D84" s="45">
        <v>345767870</v>
      </c>
      <c r="E84" s="27">
        <v>2647457</v>
      </c>
      <c r="F84" s="27">
        <v>1120650</v>
      </c>
      <c r="G84" s="27">
        <v>519913</v>
      </c>
      <c r="H84" s="27">
        <v>1150354</v>
      </c>
      <c r="I84" s="27">
        <f>505441+81571+762411+69697</f>
        <v>1419120</v>
      </c>
      <c r="J84" s="27">
        <v>498141</v>
      </c>
      <c r="K84" s="27">
        <v>2956199</v>
      </c>
      <c r="L84" s="27">
        <v>23285</v>
      </c>
      <c r="M84" s="27">
        <f>4374+15500</f>
        <v>19874</v>
      </c>
      <c r="N84" s="31">
        <f>IF(Tabela2[Ações]&lt;&gt;0,Tabela2[Dividendos]*1000/Tabela2[Ações],0)</f>
        <v>5.7477868027471728E-2</v>
      </c>
      <c r="O84" s="46">
        <f>IF(Tabela2[RBV]&gt;0,Tabela2[LL]/Tabela2[RBV],0)</f>
        <v>7.8766686545797496E-3</v>
      </c>
      <c r="P84" s="29">
        <f>IF(Tabela2[PL]&lt;&gt;0,Tabela2[LL]/Tabela2[PL],0)</f>
        <v>4.6743793423950249E-2</v>
      </c>
      <c r="Q84" s="47">
        <f>IF(Tabela2[PC]&lt;&gt;0,Tabela2[AC]/Tabela2[PC],0)</f>
        <v>0.97417838334982099</v>
      </c>
      <c r="R84" s="46">
        <f>IF(Tabela2[PL]&lt;&gt;0,Tabela2[AI]/Tabela2[PL],0)</f>
        <v>1.0437065007698623</v>
      </c>
      <c r="S84" s="46">
        <f>IF(Tabela2[AT]&lt;&gt;0,Tabela2[PO]/Tabela2[AT],0)</f>
        <v>0.53603136897029868</v>
      </c>
      <c r="T84" s="29">
        <f>IF(Tabela2[LL]&lt;&gt;0,Tabela2[Dividendos]/Tabela2[LL],0)</f>
        <v>0.85351084389091691</v>
      </c>
      <c r="U84" s="31">
        <f>(Tabela2[Div/Ação]/20%*Tabela2[Unit])</f>
        <v>0.28738934013735862</v>
      </c>
      <c r="V84" s="31">
        <f>(Tabela2[Div/Ação]/Setup!$A$2*Tabela2[Unit])</f>
        <v>0.41410567743135246</v>
      </c>
      <c r="W84" s="48">
        <v>1</v>
      </c>
    </row>
    <row r="85" spans="1:23" x14ac:dyDescent="0.2">
      <c r="A85" s="25" t="s">
        <v>45</v>
      </c>
      <c r="B85" s="25" t="s">
        <v>56</v>
      </c>
      <c r="C85" s="32">
        <v>2010</v>
      </c>
      <c r="D85" s="45">
        <v>345767870</v>
      </c>
      <c r="E85" s="27">
        <v>1378557</v>
      </c>
      <c r="F85" s="27">
        <v>602073</v>
      </c>
      <c r="G85" s="27">
        <v>405873</v>
      </c>
      <c r="H85" s="27">
        <v>504476</v>
      </c>
      <c r="I85" s="27">
        <f>69150+78504+317994+46850</f>
        <v>512498</v>
      </c>
      <c r="J85" s="27">
        <v>420971</v>
      </c>
      <c r="K85" s="27">
        <v>2397309</v>
      </c>
      <c r="L85" s="27">
        <v>109053</v>
      </c>
      <c r="M85" s="27">
        <v>100000</v>
      </c>
      <c r="N85" s="31">
        <f>IF(Tabela2[Ações]&lt;&gt;0,Tabela2[Dividendos]*1000/Tabela2[Ações],0)</f>
        <v>0.2892113717795699</v>
      </c>
      <c r="O85" s="46">
        <f>IF(Tabela2[RBV]&gt;0,Tabela2[LL]/Tabela2[RBV],0)</f>
        <v>4.5489755388229053E-2</v>
      </c>
      <c r="P85" s="29">
        <f>IF(Tabela2[PL]&lt;&gt;0,Tabela2[LL]/Tabela2[PL],0)</f>
        <v>0.25905109853172786</v>
      </c>
      <c r="Q85" s="47">
        <f>IF(Tabela2[PC]&lt;&gt;0,Tabela2[AC]/Tabela2[PC],0)</f>
        <v>1.1934621270387491</v>
      </c>
      <c r="R85" s="46">
        <f>IF(Tabela2[PL]&lt;&gt;0,Tabela2[AI]/Tabela2[PL],0)</f>
        <v>0.96413529673065368</v>
      </c>
      <c r="S85" s="46">
        <f>IF(Tabela2[AT]&lt;&gt;0,Tabela2[PO]/Tabela2[AT],0)</f>
        <v>0.37176409825636519</v>
      </c>
      <c r="T85" s="29">
        <f>IF(Tabela2[LL]&lt;&gt;0,Tabela2[Dividendos]/Tabela2[LL],0)</f>
        <v>0.91698531906504177</v>
      </c>
      <c r="U85" s="31">
        <f>(Tabela2[Div/Ação]/20%*Tabela2[Unit])</f>
        <v>1.4460568588978495</v>
      </c>
      <c r="V85" s="31">
        <f>(Tabela2[Div/Ação]/Setup!$A$2*Tabela2[Unit])</f>
        <v>2.0836554162793219</v>
      </c>
      <c r="W85" s="48">
        <v>1</v>
      </c>
    </row>
  </sheetData>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28"/>
  <sheetViews>
    <sheetView tabSelected="1" topLeftCell="A4" workbookViewId="0">
      <selection activeCell="F16" sqref="F16"/>
    </sheetView>
  </sheetViews>
  <sheetFormatPr defaultRowHeight="15" x14ac:dyDescent="0.25"/>
  <cols>
    <col min="1" max="1" width="46.7109375" customWidth="1"/>
    <col min="2" max="2" width="8.140625" bestFit="1" customWidth="1"/>
    <col min="3" max="3" width="14.42578125" bestFit="1" customWidth="1"/>
    <col min="4" max="4" width="13.85546875" bestFit="1" customWidth="1"/>
    <col min="5" max="6" width="7.140625" customWidth="1"/>
    <col min="7" max="7" width="4.5703125" bestFit="1" customWidth="1"/>
    <col min="8" max="8" width="8.140625" customWidth="1"/>
    <col min="9" max="9" width="7.140625" bestFit="1" customWidth="1"/>
    <col min="10" max="10" width="5.42578125" bestFit="1" customWidth="1"/>
    <col min="11" max="11" width="12.28515625" bestFit="1" customWidth="1"/>
  </cols>
  <sheetData>
    <row r="7" spans="1:10" x14ac:dyDescent="0.25">
      <c r="B7" s="4" t="s">
        <v>22</v>
      </c>
    </row>
    <row r="8" spans="1:10" x14ac:dyDescent="0.25">
      <c r="A8" s="4" t="s">
        <v>53</v>
      </c>
      <c r="B8" t="s">
        <v>30</v>
      </c>
      <c r="C8" t="s">
        <v>33</v>
      </c>
      <c r="D8" t="s">
        <v>34</v>
      </c>
      <c r="E8" t="s">
        <v>23</v>
      </c>
      <c r="F8" t="s">
        <v>24</v>
      </c>
      <c r="G8" t="s">
        <v>25</v>
      </c>
      <c r="H8" t="s">
        <v>26</v>
      </c>
      <c r="I8" t="s">
        <v>27</v>
      </c>
      <c r="J8" t="s">
        <v>42</v>
      </c>
    </row>
    <row r="9" spans="1:10" x14ac:dyDescent="0.25">
      <c r="A9" s="5" t="s">
        <v>45</v>
      </c>
      <c r="B9" s="2">
        <v>0.49968350477201778</v>
      </c>
      <c r="C9" s="3">
        <v>0.96192627567710609</v>
      </c>
      <c r="D9" s="3">
        <v>1.3860609159612478</v>
      </c>
      <c r="E9" s="2">
        <v>6.1633254544785646E-2</v>
      </c>
      <c r="F9" s="2">
        <v>0.17375327829691228</v>
      </c>
      <c r="G9" s="8">
        <v>1.3507344363971412</v>
      </c>
      <c r="H9" s="2">
        <v>1.2538952743498115</v>
      </c>
      <c r="I9" s="2">
        <v>0.40455022258431295</v>
      </c>
      <c r="J9" s="7">
        <v>18</v>
      </c>
    </row>
    <row r="10" spans="1:10" x14ac:dyDescent="0.25">
      <c r="A10" s="6" t="s">
        <v>1</v>
      </c>
      <c r="B10" s="2">
        <v>0.75640677363623343</v>
      </c>
      <c r="C10" s="3">
        <v>1.8227327746741153</v>
      </c>
      <c r="D10" s="3">
        <v>2.6264161018359009</v>
      </c>
      <c r="E10" s="2">
        <v>0.10029632077232727</v>
      </c>
      <c r="F10" s="2">
        <v>0.18854427090624257</v>
      </c>
      <c r="G10" s="8">
        <v>2.0013877464601744</v>
      </c>
      <c r="H10" s="2">
        <v>0.57902585563132924</v>
      </c>
      <c r="I10" s="2">
        <v>0.16297419756737613</v>
      </c>
      <c r="J10" s="7">
        <v>6</v>
      </c>
    </row>
    <row r="11" spans="1:10" x14ac:dyDescent="0.25">
      <c r="A11" s="11" t="s">
        <v>28</v>
      </c>
      <c r="B11" s="2">
        <v>0.21724602394135897</v>
      </c>
      <c r="C11" s="3">
        <v>0.54697969064850294</v>
      </c>
      <c r="D11" s="3">
        <v>0.78815517384510514</v>
      </c>
      <c r="E11" s="2">
        <v>7.5729972608878385E-2</v>
      </c>
      <c r="F11" s="2">
        <v>0.4064514538973798</v>
      </c>
      <c r="G11" s="8">
        <v>1.1022990858968658</v>
      </c>
      <c r="H11" s="9">
        <v>1.9220519229959612</v>
      </c>
      <c r="I11" s="9">
        <v>0.53715115748660824</v>
      </c>
      <c r="J11" s="7">
        <v>6</v>
      </c>
    </row>
    <row r="12" spans="1:10" x14ac:dyDescent="0.25">
      <c r="A12" s="11" t="s">
        <v>56</v>
      </c>
      <c r="B12" s="2">
        <v>0.52539771673846103</v>
      </c>
      <c r="C12" s="3">
        <v>0.51606636170869968</v>
      </c>
      <c r="D12" s="3">
        <v>0.74361147220273738</v>
      </c>
      <c r="E12" s="9">
        <v>8.8734702531512756E-3</v>
      </c>
      <c r="F12" s="9">
        <v>-7.373588991288553E-2</v>
      </c>
      <c r="G12" s="10">
        <v>0.94851647683438411</v>
      </c>
      <c r="H12" s="9">
        <v>1.2606080444221448</v>
      </c>
      <c r="I12" s="9">
        <v>0.51352531269895429</v>
      </c>
      <c r="J12" s="7">
        <v>6</v>
      </c>
    </row>
    <row r="13" spans="1:10" x14ac:dyDescent="0.25">
      <c r="A13" s="5" t="s">
        <v>49</v>
      </c>
      <c r="B13" s="2">
        <v>0.27659996021747624</v>
      </c>
      <c r="C13" s="3">
        <v>1.1471793820791376</v>
      </c>
      <c r="D13" s="3">
        <v>1.6529962277797372</v>
      </c>
      <c r="E13" s="2">
        <v>0.127629191522378</v>
      </c>
      <c r="F13" s="2">
        <v>0.13931711197458016</v>
      </c>
      <c r="G13" s="8">
        <v>2.2921027626900887</v>
      </c>
      <c r="H13" s="2">
        <v>2.6442919363389591E-2</v>
      </c>
      <c r="I13" s="2">
        <v>0.58014368526238891</v>
      </c>
      <c r="J13" s="7">
        <v>12</v>
      </c>
    </row>
    <row r="14" spans="1:10" x14ac:dyDescent="0.25">
      <c r="A14" s="6" t="s">
        <v>16</v>
      </c>
      <c r="B14" s="2">
        <v>0.35624958099219201</v>
      </c>
      <c r="C14" s="3">
        <v>1.5286092211966664</v>
      </c>
      <c r="D14" s="3">
        <v>2.2026069469692602</v>
      </c>
      <c r="E14" s="2">
        <v>0.1513988703590127</v>
      </c>
      <c r="F14" s="2">
        <v>0.17647228815337201</v>
      </c>
      <c r="G14" s="8">
        <v>2.5730778357416182</v>
      </c>
      <c r="H14" s="2">
        <v>2.0868593249238242E-2</v>
      </c>
      <c r="I14" s="2">
        <v>0.60241772197552068</v>
      </c>
      <c r="J14" s="7">
        <v>6</v>
      </c>
    </row>
    <row r="15" spans="1:10" x14ac:dyDescent="0.25">
      <c r="A15" s="6" t="s">
        <v>48</v>
      </c>
      <c r="B15" s="2">
        <v>0.19695033944276041</v>
      </c>
      <c r="C15" s="3">
        <v>0.76574954296160869</v>
      </c>
      <c r="D15" s="3">
        <v>1.1033855085902144</v>
      </c>
      <c r="E15" s="2">
        <v>0.10385951268574324</v>
      </c>
      <c r="F15" s="2">
        <v>0.10216193579578826</v>
      </c>
      <c r="G15" s="8">
        <v>2.0111276896385593</v>
      </c>
      <c r="H15" s="2">
        <v>3.2017245477540937E-2</v>
      </c>
      <c r="I15" s="2">
        <v>0.55786964854925725</v>
      </c>
      <c r="J15" s="7">
        <v>6</v>
      </c>
    </row>
    <row r="16" spans="1:10" x14ac:dyDescent="0.25">
      <c r="A16" s="5" t="s">
        <v>47</v>
      </c>
      <c r="B16" s="2">
        <v>0.29594863588609277</v>
      </c>
      <c r="C16" s="3">
        <v>0.99846956554140986</v>
      </c>
      <c r="D16" s="3">
        <v>1.4387169532296975</v>
      </c>
      <c r="E16" s="2">
        <v>2.9182207573513638E-2</v>
      </c>
      <c r="F16" s="2">
        <v>8.0498223562821644E-2</v>
      </c>
      <c r="G16" s="8">
        <v>1.8295366158605224</v>
      </c>
      <c r="H16" s="2">
        <v>0.43036421124801622</v>
      </c>
      <c r="I16" s="2">
        <v>0.45898671426928034</v>
      </c>
      <c r="J16" s="7">
        <v>24</v>
      </c>
    </row>
    <row r="17" spans="1:10" x14ac:dyDescent="0.25">
      <c r="A17" s="6" t="s">
        <v>36</v>
      </c>
      <c r="B17" s="2">
        <v>0.53311407519787812</v>
      </c>
      <c r="C17" s="3">
        <v>3.4590123853952863</v>
      </c>
      <c r="D17" s="3">
        <v>4.9841677022986834</v>
      </c>
      <c r="E17" s="2">
        <v>2.9248678309190271E-2</v>
      </c>
      <c r="F17" s="2">
        <v>0.10805905955334845</v>
      </c>
      <c r="G17" s="8">
        <v>1.7147720725376179</v>
      </c>
      <c r="H17" s="2">
        <v>0.24711394880602336</v>
      </c>
      <c r="I17" s="2">
        <v>0.37075711041669229</v>
      </c>
      <c r="J17" s="7">
        <v>6</v>
      </c>
    </row>
    <row r="18" spans="1:10" x14ac:dyDescent="0.25">
      <c r="A18" s="11" t="s">
        <v>41</v>
      </c>
      <c r="B18" s="2">
        <v>0.52910884788624257</v>
      </c>
      <c r="C18" s="3">
        <v>0.35236259082953142</v>
      </c>
      <c r="D18" s="3">
        <v>0.50772707612324408</v>
      </c>
      <c r="E18" s="2">
        <v>2.5349383263048596E-2</v>
      </c>
      <c r="F18" s="2">
        <v>0.25937756960096242</v>
      </c>
      <c r="G18" s="8">
        <v>1.5156019713152302</v>
      </c>
      <c r="H18" s="9">
        <v>0.99833458631705929</v>
      </c>
      <c r="I18" s="2">
        <v>0.53898730499024405</v>
      </c>
      <c r="J18" s="7">
        <v>6</v>
      </c>
    </row>
    <row r="19" spans="1:10" x14ac:dyDescent="0.25">
      <c r="A19" s="11" t="s">
        <v>43</v>
      </c>
      <c r="B19" s="2">
        <v>9.087522006724108E-2</v>
      </c>
      <c r="C19" s="3">
        <v>0.16742111349639408</v>
      </c>
      <c r="D19" s="3">
        <v>0.24124079754523639</v>
      </c>
      <c r="E19" s="2">
        <v>8.5701393381916027E-2</v>
      </c>
      <c r="F19" s="9">
        <v>3.8847539729122998E-2</v>
      </c>
      <c r="G19" s="8">
        <v>2.4056296307533138</v>
      </c>
      <c r="H19" s="2">
        <v>0.17770503349829944</v>
      </c>
      <c r="I19" s="2">
        <v>0.40710142938173971</v>
      </c>
      <c r="J19" s="7">
        <v>6</v>
      </c>
    </row>
    <row r="20" spans="1:10" x14ac:dyDescent="0.25">
      <c r="A20" s="11" t="s">
        <v>44</v>
      </c>
      <c r="B20" s="2">
        <v>3.0696400393009197E-2</v>
      </c>
      <c r="C20" s="3">
        <v>1.5082172444427987E-2</v>
      </c>
      <c r="D20" s="3">
        <v>2.173223695162534E-2</v>
      </c>
      <c r="E20" s="9">
        <v>-2.3570624660100372E-2</v>
      </c>
      <c r="F20" s="9">
        <v>-8.4291274632147403E-2</v>
      </c>
      <c r="G20" s="8">
        <v>1.6821427888359282</v>
      </c>
      <c r="H20" s="2">
        <v>0.29830327637068305</v>
      </c>
      <c r="I20" s="2">
        <v>0.51910101228844552</v>
      </c>
      <c r="J20" s="7">
        <v>6</v>
      </c>
    </row>
    <row r="21" spans="1:10" x14ac:dyDescent="0.25">
      <c r="A21" s="5" t="s">
        <v>50</v>
      </c>
      <c r="B21" s="2">
        <v>0.36084516974267528</v>
      </c>
      <c r="C21" s="3">
        <v>7.821990601563467</v>
      </c>
      <c r="D21" s="3">
        <v>11.270879829342173</v>
      </c>
      <c r="E21" s="2">
        <v>0.10826548049121677</v>
      </c>
      <c r="F21" s="2">
        <v>0.1767226701233364</v>
      </c>
      <c r="G21" s="8">
        <v>1</v>
      </c>
      <c r="H21" s="2">
        <v>9.340992468447433E-2</v>
      </c>
      <c r="I21" s="2">
        <v>0</v>
      </c>
      <c r="J21" s="7">
        <v>6</v>
      </c>
    </row>
    <row r="22" spans="1:10" x14ac:dyDescent="0.25">
      <c r="A22" s="6" t="s">
        <v>51</v>
      </c>
      <c r="B22" s="2">
        <v>0.36084516974267528</v>
      </c>
      <c r="C22" s="3">
        <v>7.821990601563467</v>
      </c>
      <c r="D22" s="3">
        <v>11.270879829342173</v>
      </c>
      <c r="E22" s="2">
        <v>0.10826548049121677</v>
      </c>
      <c r="F22" s="2">
        <v>0.1767226701233364</v>
      </c>
      <c r="G22" s="8">
        <v>1</v>
      </c>
      <c r="H22" s="2">
        <v>9.340992468447433E-2</v>
      </c>
      <c r="I22" s="2">
        <v>0</v>
      </c>
      <c r="J22" s="7">
        <v>6</v>
      </c>
    </row>
    <row r="23" spans="1:10" x14ac:dyDescent="0.25">
      <c r="A23" s="5" t="s">
        <v>46</v>
      </c>
      <c r="B23" s="2">
        <v>0.70829652343290794</v>
      </c>
      <c r="C23" s="3">
        <v>7.667369147093976</v>
      </c>
      <c r="D23" s="3">
        <v>11.048082344515814</v>
      </c>
      <c r="E23" s="2">
        <v>0.24690558480338776</v>
      </c>
      <c r="F23" s="2">
        <v>0.16609630658684885</v>
      </c>
      <c r="G23" s="8">
        <v>1.4239208537035151</v>
      </c>
      <c r="H23" s="2">
        <v>0.63197012856323365</v>
      </c>
      <c r="I23" s="2">
        <v>0.4534967368892891</v>
      </c>
      <c r="J23" s="7">
        <v>24</v>
      </c>
    </row>
    <row r="24" spans="1:10" x14ac:dyDescent="0.25">
      <c r="A24" s="11" t="s">
        <v>35</v>
      </c>
      <c r="B24" s="2">
        <v>0.51152859416695229</v>
      </c>
      <c r="C24" s="3">
        <v>6.0100840662734116</v>
      </c>
      <c r="D24" s="3">
        <v>8.6600634960711957</v>
      </c>
      <c r="E24" s="2">
        <v>0.17275568725854429</v>
      </c>
      <c r="F24" s="2">
        <v>0.24512499613431238</v>
      </c>
      <c r="G24" s="10">
        <v>0.88210781173522246</v>
      </c>
      <c r="H24" s="2">
        <v>0.57349289600619824</v>
      </c>
      <c r="I24" s="2">
        <v>0.5652915159566736</v>
      </c>
      <c r="J24" s="7">
        <v>6</v>
      </c>
    </row>
    <row r="25" spans="1:10" x14ac:dyDescent="0.25">
      <c r="A25" s="6" t="s">
        <v>37</v>
      </c>
      <c r="B25" s="2">
        <v>0.75415649121892014</v>
      </c>
      <c r="C25" s="3">
        <v>7.9613411758468446</v>
      </c>
      <c r="D25" s="3">
        <v>11.471673164044445</v>
      </c>
      <c r="E25" s="2">
        <v>0.56125604507491778</v>
      </c>
      <c r="F25" s="2">
        <v>0.19399420989897634</v>
      </c>
      <c r="G25" s="8">
        <v>2.7289513178337939</v>
      </c>
      <c r="H25" s="2">
        <v>5.2952284432084161E-3</v>
      </c>
      <c r="I25" s="2">
        <v>0.47671389164281219</v>
      </c>
      <c r="J25" s="7">
        <v>6</v>
      </c>
    </row>
    <row r="26" spans="1:10" x14ac:dyDescent="0.25">
      <c r="A26" s="11" t="s">
        <v>39</v>
      </c>
      <c r="B26" s="2">
        <v>1.1027731719178824</v>
      </c>
      <c r="C26" s="3">
        <v>10.049828916459967</v>
      </c>
      <c r="D26" s="3">
        <v>14.481021493458165</v>
      </c>
      <c r="E26" s="2">
        <v>2.6871404735511445E-2</v>
      </c>
      <c r="F26" s="2">
        <v>1.1691061268292788E-2</v>
      </c>
      <c r="G26" s="10">
        <v>0.88128410055169226</v>
      </c>
      <c r="H26" s="2">
        <v>1.3069177170755548</v>
      </c>
      <c r="I26" s="2">
        <v>0.39149971707104858</v>
      </c>
      <c r="J26" s="7">
        <v>6</v>
      </c>
    </row>
    <row r="27" spans="1:10" x14ac:dyDescent="0.25">
      <c r="A27" s="6" t="s">
        <v>40</v>
      </c>
      <c r="B27" s="2">
        <v>0.46472783642787768</v>
      </c>
      <c r="C27" s="3">
        <v>6.6482224297956796</v>
      </c>
      <c r="D27" s="3">
        <v>9.5795712244894524</v>
      </c>
      <c r="E27" s="2">
        <v>0.22673920214457743</v>
      </c>
      <c r="F27" s="2">
        <v>0.21357495904581383</v>
      </c>
      <c r="G27" s="8">
        <v>1.2033401846933505</v>
      </c>
      <c r="H27" s="2">
        <v>0.64217467272797346</v>
      </c>
      <c r="I27" s="2">
        <v>0.38048182288662208</v>
      </c>
      <c r="J27" s="7">
        <v>6</v>
      </c>
    </row>
    <row r="28" spans="1:10" x14ac:dyDescent="0.25">
      <c r="A28" s="5" t="s">
        <v>54</v>
      </c>
      <c r="B28" s="2">
        <v>0.45929116012640619</v>
      </c>
      <c r="C28" s="3">
        <v>3.4046773602353291</v>
      </c>
      <c r="D28" s="3">
        <v>4.9058751588405327</v>
      </c>
      <c r="E28" s="2">
        <v>0.11805534261985254</v>
      </c>
      <c r="F28" s="2">
        <v>0.14021391782585113</v>
      </c>
      <c r="G28" s="8">
        <v>1.6178741937734102</v>
      </c>
      <c r="H28" s="2">
        <v>0.58266563897897772</v>
      </c>
      <c r="I28" s="2">
        <v>0.43027656020799981</v>
      </c>
      <c r="J28" s="7">
        <v>84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25" sqref="C25"/>
    </sheetView>
  </sheetViews>
  <sheetFormatPr defaultRowHeight="15" x14ac:dyDescent="0.25"/>
  <sheetData>
    <row r="1" spans="1:1" x14ac:dyDescent="0.25">
      <c r="A1" s="1" t="s">
        <v>21</v>
      </c>
    </row>
    <row r="2" spans="1:1" x14ac:dyDescent="0.25">
      <c r="A2" s="2">
        <v>0.13880000000000001</v>
      </c>
    </row>
  </sheetData>
  <pageMargins left="0.511811024" right="0.511811024" top="0.78740157499999996" bottom="0.78740157499999996" header="0.31496062000000002" footer="0.31496062000000002"/>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election activeCell="F9" sqref="F9"/>
    </sheetView>
  </sheetViews>
  <sheetFormatPr defaultRowHeight="15" x14ac:dyDescent="0.25"/>
  <cols>
    <col min="1" max="1" width="40.42578125" customWidth="1"/>
    <col min="2" max="2" width="16.28515625" bestFit="1" customWidth="1"/>
    <col min="3" max="3" width="12.42578125" customWidth="1"/>
    <col min="4" max="4" width="8.85546875" bestFit="1" customWidth="1"/>
    <col min="5" max="5" width="11.28515625" bestFit="1" customWidth="1"/>
    <col min="6" max="7" width="11.28515625" customWidth="1"/>
    <col min="8" max="8" width="7.85546875" customWidth="1"/>
    <col min="9" max="9" width="14.5703125" customWidth="1"/>
    <col min="10" max="10" width="13.85546875" customWidth="1"/>
    <col min="11" max="11" width="12.42578125" customWidth="1"/>
    <col min="12" max="12" width="13.28515625" bestFit="1" customWidth="1"/>
    <col min="13" max="13" width="7.140625" customWidth="1"/>
    <col min="14" max="14" width="8.42578125" customWidth="1"/>
    <col min="15" max="15" width="11.28515625" bestFit="1" customWidth="1"/>
  </cols>
  <sheetData>
    <row r="3" spans="1:5" x14ac:dyDescent="0.25">
      <c r="A3" s="4" t="s">
        <v>52</v>
      </c>
      <c r="B3" s="4" t="s">
        <v>55</v>
      </c>
    </row>
    <row r="4" spans="1:5" x14ac:dyDescent="0.25">
      <c r="A4" s="4" t="s">
        <v>53</v>
      </c>
      <c r="B4" t="s">
        <v>1</v>
      </c>
      <c r="C4" t="s">
        <v>28</v>
      </c>
      <c r="D4" t="s">
        <v>56</v>
      </c>
      <c r="E4" t="s">
        <v>54</v>
      </c>
    </row>
    <row r="5" spans="1:5" x14ac:dyDescent="0.25">
      <c r="A5" s="5" t="s">
        <v>45</v>
      </c>
      <c r="B5" s="2">
        <v>0.18854427090624257</v>
      </c>
      <c r="C5" s="2">
        <v>0.40645145389737974</v>
      </c>
      <c r="D5" s="2">
        <v>-7.3735889912885558E-2</v>
      </c>
      <c r="E5" s="2">
        <v>0.17375327829691228</v>
      </c>
    </row>
    <row r="6" spans="1:5" x14ac:dyDescent="0.25">
      <c r="A6" s="6">
        <v>2010</v>
      </c>
      <c r="B6" s="2">
        <v>0.24748296318204849</v>
      </c>
      <c r="C6" s="2">
        <v>0.53100138076139125</v>
      </c>
      <c r="D6" s="2">
        <v>0.25905109853172786</v>
      </c>
      <c r="E6" s="2">
        <v>0.34584514749172252</v>
      </c>
    </row>
    <row r="7" spans="1:5" x14ac:dyDescent="0.25">
      <c r="A7" s="6">
        <v>2011</v>
      </c>
      <c r="B7" s="2">
        <v>0.22184813720880334</v>
      </c>
      <c r="C7" s="2">
        <v>0.29817354947553731</v>
      </c>
      <c r="D7" s="2">
        <v>4.6743793423950249E-2</v>
      </c>
      <c r="E7" s="2">
        <v>0.18892182670276367</v>
      </c>
    </row>
    <row r="8" spans="1:5" x14ac:dyDescent="0.25">
      <c r="A8" s="6">
        <v>2012</v>
      </c>
      <c r="B8" s="2">
        <v>0.23565378054527938</v>
      </c>
      <c r="C8" s="2">
        <v>0.51660937487709147</v>
      </c>
      <c r="D8" s="2">
        <v>9.9724040585065676E-2</v>
      </c>
      <c r="E8" s="2">
        <v>0.28399573200247885</v>
      </c>
    </row>
    <row r="9" spans="1:5" x14ac:dyDescent="0.25">
      <c r="A9" s="6">
        <v>2013</v>
      </c>
      <c r="B9" s="2">
        <v>0.20203149789875705</v>
      </c>
      <c r="C9" s="2">
        <v>0.47176282335280967</v>
      </c>
      <c r="D9" s="2">
        <v>0.23644092741797471</v>
      </c>
      <c r="E9" s="2">
        <v>0.30341174955651379</v>
      </c>
    </row>
    <row r="10" spans="1:5" x14ac:dyDescent="0.25">
      <c r="A10" s="6">
        <v>2014</v>
      </c>
      <c r="B10" s="2">
        <v>0.1654208947801899</v>
      </c>
      <c r="C10" s="2">
        <v>0.39398179366149699</v>
      </c>
      <c r="D10" s="2">
        <v>0.24418936639522162</v>
      </c>
      <c r="E10" s="2">
        <v>0.2678640182789695</v>
      </c>
    </row>
    <row r="11" spans="1:5" x14ac:dyDescent="0.25">
      <c r="A11" s="6">
        <v>2015</v>
      </c>
      <c r="B11" s="2">
        <v>5.8828351822377209E-2</v>
      </c>
      <c r="C11" s="2">
        <v>0.22717980125595197</v>
      </c>
      <c r="D11" s="2">
        <v>-1.3285645658312535</v>
      </c>
      <c r="E11" s="2">
        <v>-0.34751880425097476</v>
      </c>
    </row>
    <row r="12" spans="1:5" x14ac:dyDescent="0.25">
      <c r="A12" s="5" t="s">
        <v>54</v>
      </c>
      <c r="B12" s="2">
        <v>0.18854427090624257</v>
      </c>
      <c r="C12" s="2">
        <v>0.40645145389737974</v>
      </c>
      <c r="D12" s="2">
        <v>-7.3735889912885558E-2</v>
      </c>
      <c r="E12" s="2">
        <v>0.17375327829691228</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2"/>
      <c r="B3" s="13"/>
      <c r="C3" s="14"/>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Analise</vt:lpstr>
      <vt:lpstr>Resultado</vt:lpstr>
      <vt:lpstr>Setup</vt:lpstr>
      <vt:lpstr>ROE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2017-01-05T21:55:48Z</dcterms:modified>
</cp:coreProperties>
</file>