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12030" windowHeight="5355" tabRatio="648" activeTab="3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H2" i="6"/>
  <c r="M2" s="1"/>
  <c r="K2"/>
  <c r="J2" s="1"/>
  <c r="L2" s="1"/>
  <c r="K94" i="1"/>
  <c r="L94"/>
  <c r="N94"/>
  <c r="S94"/>
  <c r="AB94"/>
  <c r="AC94"/>
  <c r="AH94"/>
  <c r="AI94"/>
  <c r="AJ94"/>
  <c r="K93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K57" i="9" l="1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AK57" s="1"/>
  <c r="Y11"/>
  <c r="AK4"/>
  <c r="Z56" l="1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H58" s="1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9" i="9" l="1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F3" l="1"/>
  <c r="G3" s="1"/>
  <c r="J3" s="1"/>
  <c r="H3"/>
  <c r="I3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4" l="1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4" i="1" l="1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4" i="1" l="1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2" i="3"/>
  <c r="G2" s="1"/>
  <c r="J2" s="1"/>
  <c r="H2"/>
  <c r="I2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s="1"/>
  <c r="M92" l="1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s="1"/>
  <c r="AK94" s="1"/>
  <c r="Y92" l="1"/>
  <c r="AK92" s="1"/>
  <c r="Y93"/>
  <c r="AK93" s="1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Y2" l="1"/>
  <c r="AK2" s="1"/>
  <c r="Z93" l="1"/>
  <c r="AA93" s="1"/>
  <c r="AE93" s="1"/>
  <c r="Z94"/>
  <c r="AA94" s="1"/>
  <c r="AE94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4" l="1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3" l="1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<sst xmlns="http://schemas.openxmlformats.org/spreadsheetml/2006/main" count="676" uniqueCount="183">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</sst>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K94" headerRowDxfId="348" dataDxfId="347" totalsRowDxfId="346">
  <autoFilter ref="A1:AK94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4" totalsRowCount="1" headerRowDxfId="164" dataDxfId="163">
  <autoFilter ref="A1:K3"/>
  <tableColumns count="11">
    <tableColumn id="1" name="PAPEL" totalsRowLabel="Total" dataDxfId="162" totalsRowDxfId="10"/>
    <tableColumn id="10" name="APLICAÇÃO" dataDxfId="161" totalsRowDxfId="9"/>
    <tableColumn id="2" name="EXERCÍCIO" dataDxfId="160" totalsRowDxfId="8"/>
    <tableColumn id="3" name="PREÇO OPÇÃO" dataDxfId="159" totalsRowDxfId="7"/>
    <tableColumn id="4" name="PREÇO AÇÃO" dataDxfId="158" totalsRowDxfId="6"/>
    <tableColumn id="11" name="QTDE TMP" dataDxfId="157" totalsRowDxfId="5">
      <calculatedColumnFormula>ROUNDDOWN([APLICAÇÃO]/[PREÇO OPÇÃO], 0)</calculatedColumnFormula>
    </tableColumn>
    <tableColumn id="14" name="QTDE" dataDxfId="156" totalsRowDxfId="4">
      <calculatedColumnFormula>[QTDE TMP] - MOD([QTDE TMP], 100)</calculatedColumnFormula>
    </tableColumn>
    <tableColumn id="5" name="TARGET 100%" dataDxfId="155" totalsRowDxfId="3">
      <calculatedColumnFormula>[EXERCÍCIO] + ([PREÇO OPÇÃO] * 2)</calculatedColumnFormula>
    </tableColumn>
    <tableColumn id="6" name="ALTA 100%" dataDxfId="154" totalsRowDxfId="2">
      <calculatedColumnFormula>[TARGET 100%] / [PREÇO AÇÃO] - 1</calculatedColumnFormula>
    </tableColumn>
    <tableColumn id="12" name="LUCRO* 100%" dataDxfId="153" totalsRowDxfId="1">
      <calculatedColumnFormula>[PREÇO OPÇÃO] * [QTDE]</calculatedColumnFormula>
    </tableColumn>
    <tableColumn id="7" name="GORDURA" dataDxfId="152" totalsRowDxfId="0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51" dataDxfId="150">
  <autoFilter ref="A1:P4"/>
  <tableColumns count="16">
    <tableColumn id="1" name="PAPEL" totalsRowLabel="Total" dataDxfId="149" totalsRowDxfId="47"/>
    <tableColumn id="10" name="RISCO" dataDxfId="148" totalsRowDxfId="46"/>
    <tableColumn id="20" name="PREÇO AÇÃO" dataDxfId="147" totalsRowDxfId="45"/>
    <tableColumn id="7" name="EXERC. VENDA" dataDxfId="146" totalsRowDxfId="44"/>
    <tableColumn id="8" name="PREÇO VENDA" dataDxfId="145" totalsRowDxfId="43"/>
    <tableColumn id="2" name="EXERC. COMPRA" dataDxfId="144" totalsRowDxfId="42"/>
    <tableColumn id="3" name="PREÇO COMPRA" dataDxfId="143" totalsRowDxfId="41"/>
    <tableColumn id="4" name="VOLUME" dataDxfId="142" totalsRowDxfId="40">
      <calculatedColumnFormula>([QTDE] * [PREÇO COMPRA]) + ([QTDE] * [PREÇO VENDA])</calculatedColumnFormula>
    </tableColumn>
    <tableColumn id="18" name="LUCRO P/ OPÇÃO" dataDxfId="141" totalsRowDxfId="39">
      <calculatedColumnFormula>[PREÇO VENDA]-[PREÇO COMPRA]</calculatedColumnFormula>
    </tableColumn>
    <tableColumn id="19" name="PERDA P/ OPÇÃO" dataDxfId="140" totalsRowDxfId="38">
      <calculatedColumnFormula>(0.01 - [PREÇO COMPRA]) + ([PREÇO VENDA] - ([EXERC. COMPRA]-[EXERC. VENDA]+0.01))</calculatedColumnFormula>
    </tableColumn>
    <tableColumn id="11" name="QTDE TMP" dataDxfId="139" totalsRowDxfId="37">
      <calculatedColumnFormula>ROUNDDOWN([RISCO]/ABS([PERDA P/ OPÇÃO]), 0)</calculatedColumnFormula>
    </tableColumn>
    <tableColumn id="14" name="QTDE" dataDxfId="138" totalsRowDxfId="36">
      <calculatedColumnFormula>[QTDE TMP] - MOD([QTDE TMP], 100)</calculatedColumnFormula>
    </tableColumn>
    <tableColumn id="5" name="LUCRO*" dataDxfId="137" totalsRowDxfId="35">
      <calculatedColumnFormula>([QTDE]*[LUCRO P/ OPÇÃO])-32</calculatedColumnFormula>
    </tableColumn>
    <tableColumn id="6" name="PERDA*" dataDxfId="136" totalsRowDxfId="34">
      <calculatedColumnFormula>[QTDE]*[PERDA P/ OPÇÃO]-32</calculatedColumnFormula>
    </tableColumn>
    <tableColumn id="21" name="% QUEDA" dataDxfId="135" totalsRowDxfId="33">
      <calculatedColumnFormula>[EXERC. VENDA]/[PREÇO AÇÃO]-1</calculatedColumnFormula>
    </tableColumn>
    <tableColumn id="22" name="RISCO : 1" dataDxfId="134" totalsRowDxfId="32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133" dataDxfId="132">
  <autoFilter ref="A1:U2"/>
  <tableColumns count="21">
    <tableColumn id="1" name="PAPEL" totalsRowLabel="Total" dataDxfId="131" totalsRowDxfId="68"/>
    <tableColumn id="10" name="BASE" dataDxfId="130" totalsRowDxfId="67"/>
    <tableColumn id="20" name="PR. AÇÃO" dataDxfId="129" totalsRowDxfId="66"/>
    <tableColumn id="2" name="EX. CP 1" dataDxfId="128" totalsRowDxfId="65"/>
    <tableColumn id="3" name="PR CP 1" dataDxfId="127" totalsRowDxfId="64"/>
    <tableColumn id="12" name="EX. VD" dataDxfId="126" totalsRowDxfId="63"/>
    <tableColumn id="13" name="PR VD" dataDxfId="125" totalsRowDxfId="62"/>
    <tableColumn id="8" name="EX. CP 2" dataDxfId="124" totalsRowDxfId="61"/>
    <tableColumn id="7" name="PR CP 2" dataDxfId="123" totalsRowDxfId="60"/>
    <tableColumn id="18" name="LUCRO UNI." dataDxfId="122" totalsRowDxfId="59">
      <calculatedColumnFormula>(([PR VD] - 0.01) * 2) + (([EX. VD] - [EX. CP 1] + 0.01) - [PR CP 1]) + (0.01 - [PR CP 2])</calculatedColumnFormula>
    </tableColumn>
    <tableColumn id="19" name="PERDA 1" dataDxfId="121" totalsRowDxfId="58">
      <calculatedColumnFormula>(0.01 - [PR CP 1]) + (([PR VD] - 0.01) * 2) + (0.01 - [PR CP 2])</calculatedColumnFormula>
    </tableColumn>
    <tableColumn id="15" name="PERDA 2" dataDxfId="120" totalsRowDxfId="57">
      <calculatedColumnFormula>(([EX. CP 2] - [EX. CP 1] + 0.01) - [PR CP 1]) + (([PR VD] - ([EX. CP 2] - [EX. VD] + 0.01)) * 2) + (0.01 - [PR CP 2])</calculatedColumnFormula>
    </tableColumn>
    <tableColumn id="16" name="PERDA" dataDxfId="119" totalsRowDxfId="56">
      <calculatedColumnFormula>IF([PERDA 1] &gt; [PERDA 2], [PERDA 2], [PERDA 1])</calculatedColumnFormula>
    </tableColumn>
    <tableColumn id="11" name="QTDE TMP" dataDxfId="118" totalsRowDxfId="55">
      <calculatedColumnFormula>ROUNDDOWN([BASE]/ABS([PERDA]), 0)</calculatedColumnFormula>
    </tableColumn>
    <tableColumn id="14" name="QTDE" dataDxfId="117" totalsRowDxfId="54">
      <calculatedColumnFormula>[QTDE TMP] - MOD([QTDE TMP], 100)</calculatedColumnFormula>
    </tableColumn>
    <tableColumn id="4" name="QTDE VD" dataDxfId="116" totalsRowDxfId="53">
      <calculatedColumnFormula>Tabela245[[#This Row],[QTDE]]*2</calculatedColumnFormula>
    </tableColumn>
    <tableColumn id="17" name="VOLUME" dataDxfId="115" totalsRowDxfId="52">
      <calculatedColumnFormula>([QTDE]*[PR CP 1] + [QTDE]*[PR CP 2])+[QTDE]*[PR VD] * 2</calculatedColumnFormula>
    </tableColumn>
    <tableColumn id="5" name="LUCRO" dataDxfId="114" totalsRowDxfId="51">
      <calculatedColumnFormula>([QTDE]*[LUCRO UNI.])-48</calculatedColumnFormula>
    </tableColumn>
    <tableColumn id="6" name="PERDA2" dataDxfId="113" totalsRowDxfId="50">
      <calculatedColumnFormula>[QTDE]*[PERDA]-48</calculatedColumnFormula>
    </tableColumn>
    <tableColumn id="21" name="% VAR" dataDxfId="112" totalsRowDxfId="49">
      <calculatedColumnFormula>[EX. VD] / [PR. AÇÃO] - 1</calculatedColumnFormula>
    </tableColumn>
    <tableColumn id="22" name="RISCO : 1" dataDxfId="111" totalsRowDxfId="48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2" headerRowDxfId="110" dataDxfId="109">
  <autoFilter ref="A1:O2"/>
  <tableColumns count="15">
    <tableColumn id="1" name="PAPEL" totalsRowLabel="Total" dataDxfId="108" totalsRowDxfId="11"/>
    <tableColumn id="10" name="RISCO" dataDxfId="107" totalsRowDxfId="12"/>
    <tableColumn id="20" name="PREÇO AÇÃO" dataDxfId="106" totalsRowDxfId="13"/>
    <tableColumn id="7" name="EX. VENDA" dataDxfId="105" totalsRowDxfId="14"/>
    <tableColumn id="2" name="EX. COMPRA" dataDxfId="104" totalsRowDxfId="15"/>
    <tableColumn id="3" name="PR Venda" dataDxfId="103" totalsRowDxfId="16"/>
    <tableColumn id="16" name="QTDE" dataDxfId="102" totalsRowDxfId="17"/>
    <tableColumn id="13" name="PERDA P/ OPÇÃO" dataDxfId="27" totalsRowDxfId="18">
      <calculatedColumnFormula>([RISCO]+32)/[QTDE]</calculatedColumnFormula>
    </tableColumn>
    <tableColumn id="14" name="Volume" dataDxfId="31" totalsRowDxfId="19">
      <calculatedColumnFormula>[PR Venda] * [QTDE]+[QTDE]*[PR Compra]</calculatedColumnFormula>
    </tableColumn>
    <tableColumn id="15" name="LUCRO UNI" dataDxfId="28" totalsRowDxfId="20">
      <calculatedColumnFormula>[PR Venda]-[PR Compra]</calculatedColumnFormula>
    </tableColumn>
    <tableColumn id="8" name="PR Compra" dataDxfId="26" totalsRowDxfId="21">
      <calculatedColumnFormula>(-[PERDA P/ OPÇÃO] + ([EX. COMPRA] - [EX. VENDA] + 0.01) - 0.01 -[PR Venda])*-1</calculatedColumnFormula>
    </tableColumn>
    <tableColumn id="5" name="LUCRO" dataDxfId="30" totalsRowDxfId="22">
      <calculatedColumnFormula>([QTDE]*[LUCRO UNI])-32</calculatedColumnFormula>
    </tableColumn>
    <tableColumn id="6" name="PERDA" dataDxfId="29" totalsRowDxfId="23">
      <calculatedColumnFormula>-[PERDA P/ OPÇÃO]*[QTDE]-32</calculatedColumnFormula>
    </tableColumn>
    <tableColumn id="21" name="% QUEDA" dataDxfId="101" totalsRowDxfId="24">
      <calculatedColumnFormula>[EX. VENDA]/[PREÇO AÇÃO]-1</calculatedColumnFormula>
    </tableColumn>
    <tableColumn id="22" name="RISCO : 1" dataDxfId="100" totalsRowDxfId="25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99" dataDxfId="98">
  <autoFilter ref="A1:O5"/>
  <tableColumns count="15">
    <tableColumn id="1" name="PAPEL" totalsRowLabel="Total" dataDxfId="97" totalsRowDxfId="96"/>
    <tableColumn id="10" name="RISCO" dataDxfId="95" totalsRowDxfId="94"/>
    <tableColumn id="20" name="PREÇO AÇÃO" dataDxfId="93" totalsRowDxfId="92"/>
    <tableColumn id="7" name="EX. VENDA" dataDxfId="91" totalsRowDxfId="90"/>
    <tableColumn id="2" name="EX. COMPRA" dataDxfId="89" totalsRowDxfId="88"/>
    <tableColumn id="9" name="PR VENDA" totalsRowDxfId="87"/>
    <tableColumn id="3" name="PR COMPRA" dataDxfId="86" totalsRowDxfId="85"/>
    <tableColumn id="16" name="QTDE" dataDxfId="84" totalsRowDxfId="83"/>
    <tableColumn id="13" name="PERDA P/ OPÇÃO" dataDxfId="82" totalsRowDxfId="81">
      <calculatedColumnFormula>([PR VENDA] - ([EX. COMPRA] - [EX. VENDA] + 0.01)) + (0.01 - ([PR COMPRA]))</calculatedColumnFormula>
    </tableColumn>
    <tableColumn id="14" name="VOLUME" dataDxfId="80" totalsRowDxfId="79">
      <calculatedColumnFormula>[PR COMPRA] * [QTDE]</calculatedColumnFormula>
    </tableColumn>
    <tableColumn id="15" name="LUCRO UNI" dataDxfId="78" totalsRowDxfId="77">
      <calculatedColumnFormula>[PR VENDA]-[PR COMPRA]</calculatedColumnFormula>
    </tableColumn>
    <tableColumn id="5" name="LUCRO*" dataDxfId="76" totalsRowDxfId="75">
      <calculatedColumnFormula>([QTDE]*[LUCRO UNI])</calculatedColumnFormula>
    </tableColumn>
    <tableColumn id="6" name="PERDA*" dataDxfId="74" totalsRowDxfId="73">
      <calculatedColumnFormula>[PERDA P/ OPÇÃO]*[QTDE]</calculatedColumnFormula>
    </tableColumn>
    <tableColumn id="21" name="% QUEDA" dataDxfId="72" totalsRowDxfId="71">
      <calculatedColumnFormula>[EX. VENDA]/[PREÇO AÇÃO]-1</calculatedColumnFormula>
    </tableColumn>
    <tableColumn id="22" name="RISCO : 1" dataDxfId="70" totalsRowDxfId="69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4"/>
  <sheetViews>
    <sheetView workbookViewId="0">
      <pane xSplit="10" ySplit="1" topLeftCell="K83" activePane="bottomRight" state="frozen"/>
      <selection pane="topRight" activeCell="K1" sqref="K1"/>
      <selection pane="bottomLeft" activeCell="A2" sqref="A2"/>
      <selection pane="bottomRight" activeCell="G95" sqref="G95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1500</v>
      </c>
      <c r="G92" s="136">
        <v>0.32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480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-496.4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-496.4</v>
      </c>
      <c r="Z92" s="136">
        <f>[LÍQUIDO]-SUMPRODUCT(N([DATA]=NC[[#This Row],[DATA]]),N([ID]=(NC[[#This Row],[ID]]-1)),[LÍQUIDO])</f>
        <v>-496.4</v>
      </c>
      <c r="AA92" s="136">
        <f>IF([T] = "VC", ABS([VALOR OP]) / [QTDE], [VALOR OP]/[QTDE])</f>
        <v>-0.3309333333333333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1500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0.3309333333333333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-0.3309333333333333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800</v>
      </c>
      <c r="G93" s="136">
        <v>0.66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528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528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0.14000000000000001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511.54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511.54</v>
      </c>
      <c r="Z93" s="136">
        <f>[LÍQUIDO]-SUMPRODUCT(N([DATA]=NC[[#This Row],[DATA]]),N([ID]=(NC[[#This Row],[ID]]-1)),[LÍQUIDO])</f>
        <v>511.54</v>
      </c>
      <c r="AA93" s="136">
        <f>IF([T] = "VC", ABS([VALOR OP]) / [QTDE], [VALOR OP]/[QTDE])</f>
        <v>0.63942500000000002</v>
      </c>
      <c r="AB93" s="136">
        <f>TRUNC(IF(OR([T]="CV",[T]="VV"),     N93*SETUP!$H$3,     0),2)</f>
        <v>0.02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0.3309333333333333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0.63942500000000002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246.79333333333338</v>
      </c>
      <c r="AG93" s="136">
        <f>IF([LUCRO TMP] &lt;&gt; 0, [LUCRO TMP] - SUMPRODUCT(N([ATIVO]=NC[[#This Row],[ATIVO]]),N(['[D/N']]="N"),N([ID]&lt;NC[[#This Row],[ID]]),N([PAR]=NC[[#This Row],[PAR]]), [LUCRO TMP]), 0)</f>
        <v>246.79333333333338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0.63942500000000002</v>
      </c>
    </row>
    <row r="94" spans="1:37">
      <c r="A94" s="134">
        <v>93</v>
      </c>
      <c r="B94" s="134"/>
      <c r="C94" s="134" t="s">
        <v>177</v>
      </c>
      <c r="D94" s="134" t="s">
        <v>25</v>
      </c>
      <c r="E94" s="135">
        <v>41699</v>
      </c>
      <c r="F94" s="134">
        <v>700</v>
      </c>
      <c r="G94" s="136">
        <v>1.3</v>
      </c>
      <c r="H94" s="137"/>
      <c r="I94" s="138"/>
      <c r="J94" s="134" t="s">
        <v>6</v>
      </c>
      <c r="K94" s="135">
        <f>WORKDAY(NC[[#This Row],[DATA]],1,0)</f>
        <v>41701</v>
      </c>
      <c r="L94" s="139">
        <f>EOMONTH(NC[[#This Row],[DATA DE LIQUIDAÇÃO]],0)</f>
        <v>41729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910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910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0.33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0.63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893.02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893.02</v>
      </c>
      <c r="Z94" s="136">
        <f>[LÍQUIDO]-SUMPRODUCT(N([DATA]=NC[[#This Row],[DATA]]),N([ID]=(NC[[#This Row],[ID]]-1)),[LÍQUIDO])</f>
        <v>893.02</v>
      </c>
      <c r="AA94" s="136">
        <f>IF([T] = "VC", ABS([VALOR OP]) / [QTDE], [VALOR OP]/[QTDE])</f>
        <v>1.2757428571428571</v>
      </c>
      <c r="AB94" s="136">
        <f>TRUNC(IF(OR([T]="CV",[T]="VV"),     N94*SETUP!$H$3,     0),2)</f>
        <v>0.04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-2.162857142857149E-2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1.2757428571428571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43">
        <f>NC[[#This Row],[LÍQUIDO]]/NC[[#This Row],[QTDE]]</f>
        <v>1.2757428571428571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3" sqref="E3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</row>
    <row r="2" spans="1:11">
      <c r="A2" s="7" t="s">
        <v>179</v>
      </c>
      <c r="B2" s="25">
        <v>900</v>
      </c>
      <c r="C2" s="25">
        <v>28.42</v>
      </c>
      <c r="D2" s="25">
        <v>0.62</v>
      </c>
      <c r="E2" s="39">
        <v>28.37</v>
      </c>
      <c r="F2" s="28">
        <f>ROUNDDOWN([APLICAÇÃO]/[PREÇO OPÇÃO], 0)</f>
        <v>1451</v>
      </c>
      <c r="G2" s="28">
        <f>[QTDE TMP] - MOD([QTDE TMP], 100)</f>
        <v>1400</v>
      </c>
      <c r="H2" s="25">
        <f>[EXERCÍCIO] + ([PREÇO OPÇÃO] * 2)</f>
        <v>29.66</v>
      </c>
      <c r="I2" s="27">
        <f>[TARGET 100%] / [PREÇO AÇÃO] - 1</f>
        <v>4.5470567500881076E-2</v>
      </c>
      <c r="J2" s="25">
        <f>[PREÇO OPÇÃO] * [QTDE]</f>
        <v>868</v>
      </c>
      <c r="K2" s="25">
        <f>IF([PREÇO AÇÃO] &gt; [EXERCÍCIO], [PREÇO OPÇÃO] -([PREÇO AÇÃO] - [EXERCÍCIO]), [PREÇO OPÇÃO])</f>
        <v>0.62</v>
      </c>
    </row>
    <row r="3" spans="1:11">
      <c r="A3" s="7" t="s">
        <v>140</v>
      </c>
      <c r="B3" s="25">
        <v>900</v>
      </c>
      <c r="C3" s="25">
        <v>14</v>
      </c>
      <c r="D3" s="25">
        <v>0.22</v>
      </c>
      <c r="E3" s="39">
        <v>13.59</v>
      </c>
      <c r="F3" s="28">
        <f>ROUNDDOWN([APLICAÇÃO]/[PREÇO OPÇÃO], 0)</f>
        <v>4090</v>
      </c>
      <c r="G3" s="28">
        <f>[QTDE TMP] - MOD([QTDE TMP], 100)</f>
        <v>4000</v>
      </c>
      <c r="H3" s="25">
        <f>[EXERCÍCIO] + ([PREÇO OPÇÃO] * 2)</f>
        <v>14.44</v>
      </c>
      <c r="I3" s="27">
        <f>[TARGET 100%] / [PREÇO AÇÃO] - 1</f>
        <v>6.2545989698307602E-2</v>
      </c>
      <c r="J3" s="25">
        <f>[PREÇO OPÇÃO] * [QTDE]</f>
        <v>880</v>
      </c>
      <c r="K3" s="25">
        <f>IF([PREÇO AÇÃO] &gt; [EXERCÍCIO], [PREÇO OPÇÃO] -([PREÇO AÇÃO] - [EXERCÍCIO]), [PREÇO OPÇÃO])</f>
        <v>0.22</v>
      </c>
    </row>
    <row r="4" spans="1:11">
      <c r="A4" s="125" t="s">
        <v>15</v>
      </c>
      <c r="B4" s="126"/>
      <c r="C4" s="126"/>
      <c r="D4" s="126"/>
      <c r="E4" s="126"/>
      <c r="F4" s="126"/>
      <c r="G4" s="126"/>
      <c r="H4" s="126"/>
      <c r="I4" s="126"/>
      <c r="J4" s="126"/>
      <c r="K4" s="12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4" sqref="E4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70</v>
      </c>
      <c r="C3" s="25">
        <v>29.09</v>
      </c>
      <c r="D3" s="25">
        <v>27.18</v>
      </c>
      <c r="E3" s="25">
        <v>1.98</v>
      </c>
      <c r="F3" s="25">
        <v>28.18</v>
      </c>
      <c r="G3" s="25">
        <v>1.23</v>
      </c>
      <c r="H3" s="25">
        <f>([QTDE] * [PREÇO COMPRA]) + ([QTDE] * [PREÇO VENDA])</f>
        <v>642</v>
      </c>
      <c r="I3" s="25">
        <f>[PREÇO VENDA]-[PREÇO COMPRA]</f>
        <v>0.75</v>
      </c>
      <c r="J3" s="25">
        <f>(0.01 - [PREÇO COMPRA]) + ([PREÇO VENDA] - ([EXERC. COMPRA]-[EXERC. VENDA]+0.01))</f>
        <v>-0.25</v>
      </c>
      <c r="K3" s="28">
        <f>ROUNDDOWN([RISCO]/ABS([PERDA P/ OPÇÃO]), 0)</f>
        <v>280</v>
      </c>
      <c r="L3" s="28">
        <f>[QTDE TMP] - MOD([QTDE TMP], 100)</f>
        <v>200</v>
      </c>
      <c r="M3" s="25">
        <f>([QTDE]*[LUCRO P/ OPÇÃO])-32</f>
        <v>118</v>
      </c>
      <c r="N3" s="25">
        <f>[QTDE]*[PERDA P/ OPÇÃO]-32</f>
        <v>-82</v>
      </c>
      <c r="O3" s="27">
        <f>[EXERC. VENDA]/[PREÇO AÇÃO]-1</f>
        <v>-6.5658301821931886E-2</v>
      </c>
      <c r="P3" s="38">
        <f>[LUCRO*]/ABS([PERDA*])</f>
        <v>1.4390243902439024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28515625" style="7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9.85546875" style="7" bestFit="1" customWidth="1"/>
    <col min="13" max="13" width="8.4257812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13.49</v>
      </c>
      <c r="D2" s="51">
        <v>12</v>
      </c>
      <c r="E2" s="51">
        <v>13</v>
      </c>
      <c r="F2" s="51">
        <v>1.5</v>
      </c>
      <c r="G2" s="62">
        <v>400</v>
      </c>
      <c r="H2" s="52">
        <f>([RISCO]+32)/[QTDE]</f>
        <v>0.13</v>
      </c>
      <c r="I2" s="52">
        <f>[PR Venda] * [QTDE]+[QTDE]*[PR Compra]</f>
        <v>852</v>
      </c>
      <c r="J2" s="63">
        <f>[PR Venda]-[PR Compra]</f>
        <v>0.87</v>
      </c>
      <c r="K2" s="52">
        <f>(-[PERDA P/ OPÇÃO] + ([EX. COMPRA] - [EX. VENDA] + 0.01) - 0.01 -[PR Venda])*-1</f>
        <v>0.63</v>
      </c>
      <c r="L2" s="52">
        <f>([QTDE]*[LUCRO UNI])-32</f>
        <v>316</v>
      </c>
      <c r="M2" s="52">
        <f>-[PERDA P/ OPÇÃO]*[QTDE]-32</f>
        <v>-84</v>
      </c>
      <c r="N2" s="53">
        <f>[EX. VENDA]/[PREÇO AÇÃO]-1</f>
        <v>-0.11045218680504076</v>
      </c>
      <c r="O2" s="54">
        <f>[LUCRO]/ABS([PERDA])</f>
        <v>3.7619047619047619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47" t="s">
        <v>7</v>
      </c>
      <c r="B1" s="147"/>
      <c r="C1" s="147" t="s">
        <v>8</v>
      </c>
      <c r="D1" s="147"/>
      <c r="E1" s="146" t="s">
        <v>9</v>
      </c>
      <c r="F1" s="146" t="s">
        <v>4</v>
      </c>
      <c r="G1" s="146" t="s">
        <v>10</v>
      </c>
      <c r="H1" s="146" t="s">
        <v>11</v>
      </c>
      <c r="I1" s="146" t="s">
        <v>23</v>
      </c>
      <c r="K1" s="145" t="s">
        <v>147</v>
      </c>
      <c r="L1" s="145"/>
      <c r="M1" s="145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46"/>
      <c r="F2" s="146"/>
      <c r="G2" s="146"/>
      <c r="H2" s="146"/>
      <c r="I2" s="146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45" t="s">
        <v>26</v>
      </c>
      <c r="B4" s="145"/>
      <c r="C4" s="145"/>
      <c r="D4" s="145"/>
      <c r="E4" s="145"/>
      <c r="F4" s="145"/>
      <c r="K4" s="17">
        <v>498.62</v>
      </c>
      <c r="L4" s="17">
        <v>0</v>
      </c>
      <c r="M4" s="104">
        <v>0.02</v>
      </c>
    </row>
    <row r="5" spans="1:13">
      <c r="A5" s="145" t="s">
        <v>7</v>
      </c>
      <c r="B5" s="145"/>
      <c r="C5" s="145"/>
      <c r="D5" s="145" t="s">
        <v>8</v>
      </c>
      <c r="E5" s="145"/>
      <c r="F5" s="145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2014-03-05T17:56:34Z</dcterms:modified>
</cp:coreProperties>
</file>