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activeTab="9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  <sheet name="Plan4" sheetId="12" r:id="rId11"/>
    <sheet name="Plan6" sheetId="14" r:id="rId12"/>
  </sheets>
  <calcPr calcId="124519"/>
  <pivotCaches>
    <pivotCache cacheId="28" r:id="rId13"/>
  </pivotCaches>
  <fileRecoveryPr repairLoad="1"/>
</workbook>
</file>

<file path=xl/calcChain.xml><?xml version="1.0" encoding="utf-8"?>
<calcChain xmlns="http://schemas.openxmlformats.org/spreadsheetml/2006/main">
  <c r="O30" i="12"/>
  <c r="O29"/>
  <c r="O28"/>
  <c r="B2" i="3"/>
  <c r="B3"/>
  <c r="B4"/>
  <c r="B5"/>
  <c r="O27" i="12"/>
  <c r="O26"/>
  <c r="O25"/>
  <c r="O24"/>
  <c r="O23" l="1"/>
  <c r="O22"/>
  <c r="O21"/>
  <c r="O20"/>
  <c r="O19"/>
  <c r="O18"/>
  <c r="U62" i="10"/>
  <c r="S62"/>
  <c r="R63" s="1"/>
  <c r="T64" s="1"/>
  <c r="U64" s="1"/>
  <c r="O17" i="12"/>
  <c r="O16" l="1"/>
  <c r="O15"/>
  <c r="O14"/>
  <c r="O13"/>
  <c r="O12"/>
  <c r="O11"/>
  <c r="O10"/>
  <c r="O9"/>
  <c r="O8"/>
  <c r="T3" i="14"/>
  <c r="R4"/>
  <c r="O7" i="12"/>
  <c r="O6"/>
  <c r="O5"/>
  <c r="O4"/>
  <c r="O3"/>
  <c r="O2"/>
  <c r="B2" i="4" l="1"/>
  <c r="B3"/>
  <c r="B4"/>
  <c r="R9"/>
  <c r="R7"/>
  <c r="R6"/>
  <c r="R5"/>
  <c r="H2"/>
  <c r="L2" s="1"/>
  <c r="H3"/>
  <c r="L3" s="1"/>
  <c r="H4"/>
  <c r="L4" s="1"/>
  <c r="J8" i="14"/>
  <c r="J9"/>
  <c r="S4" s="1"/>
  <c r="T4" s="1"/>
  <c r="K8" l="1"/>
  <c r="L6"/>
  <c r="L5"/>
  <c r="L4"/>
  <c r="K6"/>
  <c r="N6" s="1"/>
  <c r="O6" s="1"/>
  <c r="K5"/>
  <c r="N5" s="1"/>
  <c r="O5" s="1"/>
  <c r="K4"/>
  <c r="J30" i="1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B25"/>
  <c r="B26"/>
  <c r="B27"/>
  <c r="B28"/>
  <c r="B29"/>
  <c r="J2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J14" s="1"/>
  <c r="B23"/>
  <c r="B24"/>
  <c r="J24" s="1"/>
  <c r="B3"/>
  <c r="B1" s="1"/>
  <c r="R55"/>
  <c r="N4" i="14" l="1"/>
  <c r="O4" s="1"/>
  <c r="O7" s="1"/>
  <c r="N7"/>
  <c r="N8" s="1"/>
  <c r="R5"/>
  <c r="S5"/>
  <c r="J13" i="10"/>
  <c r="J12"/>
  <c r="J11"/>
  <c r="J10"/>
  <c r="J9"/>
  <c r="J8"/>
  <c r="J7"/>
  <c r="J6"/>
  <c r="J5"/>
  <c r="J4"/>
  <c r="J28"/>
  <c r="J3"/>
  <c r="J27"/>
  <c r="J26"/>
  <c r="J25"/>
  <c r="J23"/>
  <c r="J22"/>
  <c r="J21"/>
  <c r="J20"/>
  <c r="J19"/>
  <c r="J18"/>
  <c r="J17"/>
  <c r="J16"/>
  <c r="J15"/>
  <c r="R57"/>
  <c r="S56" s="1"/>
  <c r="S59" s="1"/>
  <c r="C103" i="1"/>
  <c r="C104" s="1"/>
  <c r="E102"/>
  <c r="S2" i="10"/>
  <c r="T2"/>
  <c r="R3"/>
  <c r="S3" s="1"/>
  <c r="C16"/>
  <c r="R6" i="14" l="1"/>
  <c r="S6" s="1"/>
  <c r="S55" i="10"/>
  <c r="E103" i="1"/>
  <c r="E104" s="1"/>
  <c r="F104" s="1"/>
  <c r="G104" s="1"/>
  <c r="T3" i="10"/>
  <c r="R4"/>
  <c r="S4" s="1"/>
  <c r="U2"/>
  <c r="V2" s="1"/>
  <c r="C12"/>
  <c r="R7" i="14" l="1"/>
  <c r="S7" s="1"/>
  <c r="U3" i="10"/>
  <c r="V3" s="1"/>
  <c r="T4"/>
  <c r="C1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C3"/>
  <c r="C4"/>
  <c r="C5"/>
  <c r="C6"/>
  <c r="C7"/>
  <c r="C8"/>
  <c r="C9"/>
  <c r="C10"/>
  <c r="C11"/>
  <c r="C13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G2"/>
  <c r="D3"/>
  <c r="D4"/>
  <c r="D5"/>
  <c r="D6"/>
  <c r="D7"/>
  <c r="D8"/>
  <c r="D9"/>
  <c r="D10"/>
  <c r="D11"/>
  <c r="D12"/>
  <c r="D13"/>
  <c r="D14"/>
  <c r="D15"/>
  <c r="D16"/>
  <c r="E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2"/>
  <c r="E2" s="1"/>
  <c r="H80"/>
  <c r="H79"/>
  <c r="H77"/>
  <c r="H78"/>
  <c r="I78" s="1"/>
  <c r="H76"/>
  <c r="H75"/>
  <c r="H74"/>
  <c r="H73"/>
  <c r="H68"/>
  <c r="H69"/>
  <c r="I69" s="1"/>
  <c r="H70"/>
  <c r="I70" s="1"/>
  <c r="H71"/>
  <c r="I71" s="1"/>
  <c r="H72"/>
  <c r="I72" s="1"/>
  <c r="H62"/>
  <c r="H63"/>
  <c r="I63" s="1"/>
  <c r="H64"/>
  <c r="I64" s="1"/>
  <c r="H65"/>
  <c r="I65" s="1"/>
  <c r="H66"/>
  <c r="I66" s="1"/>
  <c r="H67"/>
  <c r="I67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33"/>
  <c r="H30"/>
  <c r="H31"/>
  <c r="I31" s="1"/>
  <c r="H32"/>
  <c r="I32" s="1"/>
  <c r="H27"/>
  <c r="H28"/>
  <c r="I28" s="1"/>
  <c r="H29"/>
  <c r="I29" s="1"/>
  <c r="H26"/>
  <c r="H24"/>
  <c r="H25"/>
  <c r="I25" s="1"/>
  <c r="H22"/>
  <c r="H23"/>
  <c r="I23" s="1"/>
  <c r="H19"/>
  <c r="H20"/>
  <c r="I20" s="1"/>
  <c r="H21"/>
  <c r="I21" s="1"/>
  <c r="H17"/>
  <c r="H18"/>
  <c r="I18" s="1"/>
  <c r="H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R8" i="14" l="1"/>
  <c r="S8" s="1"/>
  <c r="I17" i="10"/>
  <c r="I19"/>
  <c r="I22"/>
  <c r="I24"/>
  <c r="I26"/>
  <c r="I27"/>
  <c r="I30"/>
  <c r="I33"/>
  <c r="I34"/>
  <c r="I50"/>
  <c r="I62"/>
  <c r="I68"/>
  <c r="I73"/>
  <c r="I74"/>
  <c r="I75"/>
  <c r="I76"/>
  <c r="I77"/>
  <c r="I79"/>
  <c r="I80"/>
  <c r="U4"/>
  <c r="V4" s="1"/>
  <c r="R5"/>
  <c r="S5" s="1"/>
  <c r="F26"/>
  <c r="H2"/>
  <c r="E4"/>
  <c r="E3"/>
  <c r="F4" s="1"/>
  <c r="E15"/>
  <c r="E14"/>
  <c r="E13"/>
  <c r="E12"/>
  <c r="E11"/>
  <c r="E10"/>
  <c r="E9"/>
  <c r="E8"/>
  <c r="E7"/>
  <c r="E6"/>
  <c r="E5"/>
  <c r="F5" s="1"/>
  <c r="H15"/>
  <c r="H14"/>
  <c r="H13"/>
  <c r="H12"/>
  <c r="H11"/>
  <c r="H10"/>
  <c r="H9"/>
  <c r="H8"/>
  <c r="H7"/>
  <c r="H6"/>
  <c r="H5"/>
  <c r="H4"/>
  <c r="H3"/>
  <c r="I3" s="1"/>
  <c r="R9" i="14" l="1"/>
  <c r="S9" s="1"/>
  <c r="I5" i="10"/>
  <c r="I6"/>
  <c r="I7"/>
  <c r="I8"/>
  <c r="I9"/>
  <c r="I10"/>
  <c r="I11"/>
  <c r="I12"/>
  <c r="I13"/>
  <c r="I14"/>
  <c r="I15"/>
  <c r="I16"/>
  <c r="T5"/>
  <c r="R6"/>
  <c r="S6" s="1"/>
  <c r="I4"/>
  <c r="F6"/>
  <c r="F7"/>
  <c r="F8"/>
  <c r="F9"/>
  <c r="F10"/>
  <c r="F11"/>
  <c r="F12"/>
  <c r="F13"/>
  <c r="F14"/>
  <c r="F15"/>
  <c r="F16"/>
  <c r="F3"/>
  <c r="R10" i="14" l="1"/>
  <c r="S10" s="1"/>
  <c r="T6" i="10"/>
  <c r="R7"/>
  <c r="S7" s="1"/>
  <c r="U5"/>
  <c r="V5" s="1"/>
  <c r="N5" i="3"/>
  <c r="O5" s="1"/>
  <c r="N4"/>
  <c r="O4" s="1"/>
  <c r="R11" i="14" l="1"/>
  <c r="S11" s="1"/>
  <c r="U6" i="10"/>
  <c r="V6" s="1"/>
  <c r="T7"/>
  <c r="U7" s="1"/>
  <c r="V7" s="1"/>
  <c r="R8"/>
  <c r="S8" s="1"/>
  <c r="N1" i="3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R12" i="14" l="1"/>
  <c r="S12" s="1"/>
  <c r="T8" i="10"/>
  <c r="U8" s="1"/>
  <c r="V8" s="1"/>
  <c r="R9"/>
  <c r="S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R13" i="14" l="1"/>
  <c r="S13" s="1"/>
  <c r="T9" i="10"/>
  <c r="U9" s="1"/>
  <c r="V9" s="1"/>
  <c r="R10"/>
  <c r="S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R14" i="14" l="1"/>
  <c r="S14" s="1"/>
  <c r="R15" s="1"/>
  <c r="S15" s="1"/>
  <c r="R16" s="1"/>
  <c r="S16" s="1"/>
  <c r="R17" s="1"/>
  <c r="S17" s="1"/>
  <c r="R18" s="1"/>
  <c r="S18" s="1"/>
  <c r="R19" s="1"/>
  <c r="S19" s="1"/>
  <c r="R20" s="1"/>
  <c r="S20" s="1"/>
  <c r="R21" s="1"/>
  <c r="S21" s="1"/>
  <c r="R22" s="1"/>
  <c r="S22" s="1"/>
  <c r="R23" s="1"/>
  <c r="S23" s="1"/>
  <c r="R24" s="1"/>
  <c r="S24" s="1"/>
  <c r="R25" s="1"/>
  <c r="S25" s="1"/>
  <c r="R26" s="1"/>
  <c r="S26" s="1"/>
  <c r="R27" s="1"/>
  <c r="S27" s="1"/>
  <c r="R28" s="1"/>
  <c r="S28" s="1"/>
  <c r="R29" s="1"/>
  <c r="S29" s="1"/>
  <c r="R30" s="1"/>
  <c r="S30" s="1"/>
  <c r="R31" s="1"/>
  <c r="S31" s="1"/>
  <c r="R32" s="1"/>
  <c r="S32" s="1"/>
  <c r="R33" s="1"/>
  <c r="S33" s="1"/>
  <c r="R34" s="1"/>
  <c r="S34" s="1"/>
  <c r="R35" s="1"/>
  <c r="S35" s="1"/>
  <c r="R36" s="1"/>
  <c r="S36" s="1"/>
  <c r="R37" s="1"/>
  <c r="S37" s="1"/>
  <c r="R38" s="1"/>
  <c r="S38" s="1"/>
  <c r="R39" s="1"/>
  <c r="S39" s="1"/>
  <c r="R40" s="1"/>
  <c r="S40" s="1"/>
  <c r="R41" s="1"/>
  <c r="S41" s="1"/>
  <c r="R42" s="1"/>
  <c r="S42" s="1"/>
  <c r="R43" s="1"/>
  <c r="S43" s="1"/>
  <c r="R44" s="1"/>
  <c r="S44" s="1"/>
  <c r="R45" s="1"/>
  <c r="S45" s="1"/>
  <c r="R46" s="1"/>
  <c r="S46" s="1"/>
  <c r="R47" s="1"/>
  <c r="S47" s="1"/>
  <c r="R48" s="1"/>
  <c r="S48" s="1"/>
  <c r="R49" s="1"/>
  <c r="S49" s="1"/>
  <c r="R50" s="1"/>
  <c r="S50" s="1"/>
  <c r="R51" s="1"/>
  <c r="S51" s="1"/>
  <c r="R52" s="1"/>
  <c r="S52" s="1"/>
  <c r="R53" s="1"/>
  <c r="S53" s="1"/>
  <c r="R54" s="1"/>
  <c r="S54" s="1"/>
  <c r="R55" s="1"/>
  <c r="S55" s="1"/>
  <c r="R56" s="1"/>
  <c r="S56" s="1"/>
  <c r="R57" s="1"/>
  <c r="S57" s="1"/>
  <c r="R58" s="1"/>
  <c r="S58" s="1"/>
  <c r="R59" s="1"/>
  <c r="S59" s="1"/>
  <c r="R60" s="1"/>
  <c r="S60" s="1"/>
  <c r="R61" s="1"/>
  <c r="S61" s="1"/>
  <c r="R62" s="1"/>
  <c r="S62" s="1"/>
  <c r="R63" s="1"/>
  <c r="S63" s="1"/>
  <c r="R64" s="1"/>
  <c r="S64" s="1"/>
  <c r="R65" s="1"/>
  <c r="S65" s="1"/>
  <c r="R66" s="1"/>
  <c r="S66" s="1"/>
  <c r="R67" s="1"/>
  <c r="S67" s="1"/>
  <c r="R68" s="1"/>
  <c r="S68" s="1"/>
  <c r="R69" s="1"/>
  <c r="S69" s="1"/>
  <c r="R70" s="1"/>
  <c r="S70" s="1"/>
  <c r="R71" s="1"/>
  <c r="S71" s="1"/>
  <c r="R72" s="1"/>
  <c r="S72" s="1"/>
  <c r="R73" s="1"/>
  <c r="S73" s="1"/>
  <c r="R74" s="1"/>
  <c r="S74" s="1"/>
  <c r="R75" s="1"/>
  <c r="S75" s="1"/>
  <c r="R76" s="1"/>
  <c r="S76" s="1"/>
  <c r="R77" s="1"/>
  <c r="S77" s="1"/>
  <c r="R78" s="1"/>
  <c r="S78" s="1"/>
  <c r="R79" s="1"/>
  <c r="S79" s="1"/>
  <c r="R80" s="1"/>
  <c r="S80" s="1"/>
  <c r="R81" s="1"/>
  <c r="S81" s="1"/>
  <c r="R82" s="1"/>
  <c r="S82" s="1"/>
  <c r="R83" s="1"/>
  <c r="S83" s="1"/>
  <c r="R84" s="1"/>
  <c r="S84" s="1"/>
  <c r="R85" s="1"/>
  <c r="S85" s="1"/>
  <c r="R86" s="1"/>
  <c r="S86" s="1"/>
  <c r="R87" s="1"/>
  <c r="S87" s="1"/>
  <c r="R88" s="1"/>
  <c r="S88" s="1"/>
  <c r="R89" s="1"/>
  <c r="S89" s="1"/>
  <c r="R90" s="1"/>
  <c r="S90" s="1"/>
  <c r="R91" s="1"/>
  <c r="S91" s="1"/>
  <c r="R92" s="1"/>
  <c r="S92" s="1"/>
  <c r="R93" s="1"/>
  <c r="S93" s="1"/>
  <c r="R94" s="1"/>
  <c r="S94" s="1"/>
  <c r="T10" i="10"/>
  <c r="U10" s="1"/>
  <c r="V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R11" i="10" l="1"/>
  <c r="S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T11" i="10" l="1"/>
  <c r="U11" s="1"/>
  <c r="V11" s="1"/>
  <c r="R12"/>
  <c r="S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T12" i="10" l="1"/>
  <c r="U12" s="1"/>
  <c r="V12" s="1"/>
  <c r="R13"/>
  <c r="S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T13" i="10" l="1"/>
  <c r="U13" s="1"/>
  <c r="V13" s="1"/>
  <c r="R14"/>
  <c r="S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T14" i="10" l="1"/>
  <c r="U14" s="1"/>
  <c r="V14" s="1"/>
  <c r="R15"/>
  <c r="S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T15" i="10" l="1"/>
  <c r="U15" s="1"/>
  <c r="V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R16" i="10" l="1"/>
  <c r="S16" s="1"/>
  <c r="Y51" i="9"/>
  <c r="Y61"/>
  <c r="Y34"/>
  <c r="Y17"/>
  <c r="Y13"/>
  <c r="Y10"/>
  <c r="Y11"/>
  <c r="AK4"/>
  <c r="T16" i="10" l="1"/>
  <c r="U16" s="1"/>
  <c r="V16" s="1"/>
  <c r="R17"/>
  <c r="S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T17" i="10" l="1"/>
  <c r="U17" s="1"/>
  <c r="V17" s="1"/>
  <c r="R18"/>
  <c r="S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T18" i="10" l="1"/>
  <c r="U18" s="1"/>
  <c r="V18" s="1"/>
  <c r="R19"/>
  <c r="S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T19" i="10" l="1"/>
  <c r="U19" s="1"/>
  <c r="V19" s="1"/>
  <c r="R20"/>
  <c r="S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T20" i="10" l="1"/>
  <c r="U20" s="1"/>
  <c r="V20" s="1"/>
  <c r="R21"/>
  <c r="S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M4" s="1"/>
  <c r="J4"/>
  <c r="O4"/>
  <c r="K71" i="1"/>
  <c r="L71" s="1"/>
  <c r="N71"/>
  <c r="AB71" s="1"/>
  <c r="S71"/>
  <c r="AC71"/>
  <c r="K70"/>
  <c r="L70"/>
  <c r="N70"/>
  <c r="S70"/>
  <c r="AB70"/>
  <c r="AC70"/>
  <c r="K4" i="4" l="1"/>
  <c r="N4"/>
  <c r="T21" i="10"/>
  <c r="U21" s="1"/>
  <c r="V21" s="1"/>
  <c r="AJ57" i="9"/>
  <c r="AI57"/>
  <c r="AI5"/>
  <c r="AJ47"/>
  <c r="AI47"/>
  <c r="AJ49"/>
  <c r="AH62"/>
  <c r="AI49"/>
  <c r="AJ5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R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S22" i="10" l="1"/>
  <c r="R23"/>
  <c r="T22"/>
  <c r="U22" s="1"/>
  <c r="V22" s="1"/>
  <c r="W22" s="1"/>
  <c r="F2" i="3"/>
  <c r="G2" s="1"/>
  <c r="J2" s="1"/>
  <c r="H2"/>
  <c r="I2" s="1"/>
  <c r="S23" i="10" l="1"/>
  <c r="R24" s="1"/>
  <c r="T23"/>
  <c r="U23" s="1"/>
  <c r="V23" s="1"/>
  <c r="L2" i="8"/>
  <c r="L3"/>
  <c r="L4"/>
  <c r="L5"/>
  <c r="S24" i="10" l="1"/>
  <c r="T24"/>
  <c r="U24" s="1"/>
  <c r="V24" s="1"/>
  <c r="R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25" i="10" l="1"/>
  <c r="T25"/>
  <c r="U25" s="1"/>
  <c r="V25" s="1"/>
  <c r="R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S26" i="10" l="1"/>
  <c r="T26"/>
  <c r="U26" s="1"/>
  <c r="V26" s="1"/>
  <c r="R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S27" i="10" l="1"/>
  <c r="T27"/>
  <c r="U27" s="1"/>
  <c r="V27" s="1"/>
  <c r="R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S28" i="10" l="1"/>
  <c r="T28"/>
  <c r="U28" s="1"/>
  <c r="V28" s="1"/>
  <c r="R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S29" i="10" l="1"/>
  <c r="R30" s="1"/>
  <c r="T29"/>
  <c r="U29" s="1"/>
  <c r="V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S30" i="10" l="1"/>
  <c r="T30"/>
  <c r="U30" s="1"/>
  <c r="V30" s="1"/>
  <c r="R31"/>
  <c r="K51" i="1"/>
  <c r="L51"/>
  <c r="U51"/>
  <c r="V51"/>
  <c r="AB51"/>
  <c r="AC51"/>
  <c r="AH51"/>
  <c r="AI51"/>
  <c r="K48"/>
  <c r="L48"/>
  <c r="U48"/>
  <c r="V48"/>
  <c r="AB48"/>
  <c r="AC48"/>
  <c r="AE48"/>
  <c r="S31" i="10" l="1"/>
  <c r="T31"/>
  <c r="U31" s="1"/>
  <c r="V31" s="1"/>
  <c r="R32"/>
  <c r="I5" i="7"/>
  <c r="J5"/>
  <c r="K5"/>
  <c r="L5" s="1"/>
  <c r="M5"/>
  <c r="N5"/>
  <c r="S32" i="10" l="1"/>
  <c r="T32"/>
  <c r="U32" s="1"/>
  <c r="V32" s="1"/>
  <c r="R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S33" i="10" l="1"/>
  <c r="T33"/>
  <c r="U33" s="1"/>
  <c r="V33" s="1"/>
  <c r="R34"/>
  <c r="U50" i="1"/>
  <c r="V47"/>
  <c r="L2" i="7"/>
  <c r="O2" s="1"/>
  <c r="L3"/>
  <c r="O3" s="1"/>
  <c r="L4"/>
  <c r="O4" s="1"/>
  <c r="S34" i="10" l="1"/>
  <c r="R35" s="1"/>
  <c r="T34"/>
  <c r="U34" s="1"/>
  <c r="V34" s="1"/>
  <c r="W34" s="1"/>
  <c r="N2" i="6"/>
  <c r="S35" i="10" l="1"/>
  <c r="R36" s="1"/>
  <c r="T35"/>
  <c r="U35" s="1"/>
  <c r="V35" s="1"/>
  <c r="I2" i="6"/>
  <c r="O2"/>
  <c r="S36" i="10" l="1"/>
  <c r="T36"/>
  <c r="U36" s="1"/>
  <c r="V36" s="1"/>
  <c r="R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S37" i="10" l="1"/>
  <c r="T37"/>
  <c r="U37" s="1"/>
  <c r="V37" s="1"/>
  <c r="R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S38" i="10" l="1"/>
  <c r="T38"/>
  <c r="U38" s="1"/>
  <c r="V38" s="1"/>
  <c r="R39"/>
  <c r="V37" i="1"/>
  <c r="S39" i="10" l="1"/>
  <c r="T39"/>
  <c r="U39" s="1"/>
  <c r="V39" s="1"/>
  <c r="R40"/>
  <c r="J2" i="5"/>
  <c r="K2"/>
  <c r="L2"/>
  <c r="T2"/>
  <c r="I2" i="4"/>
  <c r="M2" s="1"/>
  <c r="I3"/>
  <c r="M3" s="1"/>
  <c r="O2"/>
  <c r="O3"/>
  <c r="J2"/>
  <c r="N2" s="1"/>
  <c r="J3"/>
  <c r="N3" s="1"/>
  <c r="S40" i="10" l="1"/>
  <c r="T40"/>
  <c r="U40" s="1"/>
  <c r="V40" s="1"/>
  <c r="R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41" i="10" l="1"/>
  <c r="T41"/>
  <c r="U41" s="1"/>
  <c r="V41" s="1"/>
  <c r="R42"/>
  <c r="Q2" i="5"/>
  <c r="S2"/>
  <c r="R2"/>
  <c r="P2"/>
  <c r="S42" i="10" l="1"/>
  <c r="T42"/>
  <c r="U42" s="1"/>
  <c r="V42" s="1"/>
  <c r="R43"/>
  <c r="U2" i="5"/>
  <c r="K3" i="4"/>
  <c r="S43" i="10" l="1"/>
  <c r="T43"/>
  <c r="U43" s="1"/>
  <c r="V43" s="1"/>
  <c r="R44"/>
  <c r="S44" l="1"/>
  <c r="T44"/>
  <c r="U44" s="1"/>
  <c r="V44" s="1"/>
  <c r="R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S45" i="10" l="1"/>
  <c r="T45"/>
  <c r="U45" s="1"/>
  <c r="V45" s="1"/>
  <c r="R46"/>
  <c r="V43" i="1"/>
  <c r="V44"/>
  <c r="V40"/>
  <c r="V34"/>
  <c r="V33"/>
  <c r="S46" i="10" l="1"/>
  <c r="T46"/>
  <c r="U46" s="1"/>
  <c r="V46" s="1"/>
  <c r="W46" s="1"/>
  <c r="R47"/>
  <c r="K32" i="1"/>
  <c r="L32" s="1"/>
  <c r="U32"/>
  <c r="AB32"/>
  <c r="AC32"/>
  <c r="K31"/>
  <c r="L31" s="1"/>
  <c r="AB31"/>
  <c r="U31"/>
  <c r="AC31"/>
  <c r="AH31"/>
  <c r="AI31"/>
  <c r="K2" i="4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S47" i="10" l="1"/>
  <c r="T47"/>
  <c r="U47" s="1"/>
  <c r="V47" s="1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<sst xmlns="http://schemas.openxmlformats.org/spreadsheetml/2006/main" count="817" uniqueCount="234">
  <si>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</si>
  <si>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</si>
  <si>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</si>
  <si>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</si>
  <si>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</si>
  <si>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</si>
  <si>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</si>
  <si>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</si>
  <si>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</si>
  <si>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</si>
  <si>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</si>
  <si>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</si>
  <si>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</si>
  <si>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</si>
  <si>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</si>
  <si>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</si>
  <si>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</si>
  <si>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</si>
  <si>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</si>
  <si>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</si>
  <si>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</si>
  <si>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</si>
  <si>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</si>
  <si>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</si>
  <si>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</si>
  <si>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</si>
  <si>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</si>
  <si>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</si>
  <si>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</si>
  <si>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</si>
  <si>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</si>
  <si>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</si>
  <si>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</si>
  <si>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</si>
  <si>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</si>
  <si>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</si>
  <si>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</si>
  <si>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</si>
  <si>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</si>
  <si>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</si>
  <si>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</si>
  <si>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</si>
  <si>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</si>
  <si>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</si>
  <si>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</si>
  <si>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</si>
  <si>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</si>
  <si>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</si>
  <si>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</si>
  <si>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</si>
  <si>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</si>
  <si>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</si>
  <si>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</si>
  <si>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</si>
  <si>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</si>
  <si>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</si>
  <si>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</si>
  <si>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</si>
  <si>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</si>
  <si>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</si>
  <si>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</si>
  <si>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</si>
  <si>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</si>
  <si>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</si>
  <si>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</si>
  <si>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</si>
  <si>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</si>
  <si>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</si>
  <si>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</si>
  <si>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</si>
  <si>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</si>
  <si>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</si>
  <si>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</si>
  <si>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</si>
  <si>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</si>
  <si>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</si>
  <si>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</si>
  <si>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</si>
  <si>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</si>
  <si>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</si>
  <si>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</si>
  <si>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</si>
  <si>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</si>
  <si>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</si>
  <si>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</si>
  <si>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</si>
  <si>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</si>
  <si>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</si>
  <si>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</si>
  <si>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</si>
  <si>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</si>
  <si>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</si>
  <si>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</si>
  <si>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</si>
  <si>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</si>
  <si>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</si>
  <si>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</si>
  <si>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</si>
  <si>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</si>
  <si>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</si>
  <si>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</si>
  <si>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</si>
  <si>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</si>
  <si>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</si>
  <si>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</si>
  <si>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</si>
  <si>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</si>
  <si>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</si>
  <si>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</si>
  <si>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</si>
  <si>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</si>
  <si>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</si>
  <si>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</si>
  <si>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</si>
  <si>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</si>
  <si>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</si>
  <si>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</si>
  <si>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</si>
  <si>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</si>
  <si>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</si>
  <si>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</si>
  <si>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</si>
  <si>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</si>
  <si>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</si>
  <si>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</si>
  <si>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</si>
  <si>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</si>
  <si>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</si>
  <si>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</si>
  <si>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</si>
  <si>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</si>
  <si>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</si>
  <si>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</si>
  <si>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</si>
  <si>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</si>
  <si>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</si>
  <si>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</si>
  <si>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</si>
  <si>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</si>
  <si>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</si>
  <si>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</si>
  <si>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</si>
  <si>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</si>
  <si>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</si>
  <si>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</si>
  <si>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</si>
  <si>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</si>
  <si>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</si>
  <si>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</si>
  <si>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</si>
  <si>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</si>
  <si>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</si>
  <si>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</si>
  <si>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</si>
  <si>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</si>
  <si>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</si>
  <si>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</si>
  <si>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</si>
  <si>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</si>
  <si>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</si>
  <si>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</si>
  <si>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</si>
  <si>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</si>
  <si>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</si>
  <si>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</si>
  <si>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</si>
  <si>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</si>
  <si>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</si>
  <si>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</si>
  <si>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</si>
  <si>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</si>
  <si>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</si>
  <si>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</si>
  <si>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</si>
  <si>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</si>
  <si>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</si>
  <si>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</si>
  <si>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</si>
  <si>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</si>
  <si>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</si>
  <si>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</si>
  <si>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</si>
  <si>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</si>
  <si>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</si>
  <si>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</si>
  <si>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</si>
  <si>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</si>
  <si>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</si>
  <si>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</si>
  <si>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</si>
  <si>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</si>
  <si>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sell</t>
  </si>
  <si>
    <t>eurgbp</t>
  </si>
  <si>
    <t>buy</t>
  </si>
  <si>
    <t>eurusd</t>
  </si>
  <si>
    <t>gbpusd</t>
  </si>
  <si>
    <t>usdchf</t>
  </si>
  <si>
    <t>audusd</t>
  </si>
  <si>
    <t>usdcad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</si>
  <si>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</si>
  <si>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</si>
  <si>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</si>
  <si>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</si>
  <si>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</si>
  <si>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</si>
  <si>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</si>
  <si>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</si>
  <si>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</si>
  <si>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</si>
  <si>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</si>
  <si>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</si>
  <si>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</si>
  <si>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</si>
  <si>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</si>
  <si>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Trades</t>
  </si>
  <si>
    <t>Total Profit</t>
  </si>
  <si>
    <t>H1</t>
  </si>
  <si>
    <t>Price2</t>
  </si>
  <si>
    <t>Moeda</t>
  </si>
  <si>
    <t>petr1d</t>
  </si>
  <si>
    <t>vale1d</t>
  </si>
  <si>
    <t>[0]</t>
  </si>
  <si>
    <t>[1]</t>
  </si>
  <si>
    <t>H4</t>
  </si>
  <si>
    <t>D1</t>
  </si>
  <si>
    <t>Total Swap</t>
  </si>
  <si>
    <t>* Total</t>
  </si>
  <si>
    <t>Média de Total</t>
  </si>
  <si>
    <t>DesvPad de Total</t>
  </si>
  <si>
    <t>Data</t>
  </si>
  <si>
    <t>Inicio</t>
  </si>
  <si>
    <t>Fim</t>
  </si>
  <si>
    <t>Rentabilidade</t>
  </si>
  <si>
    <t>QTD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</si>
</sst>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2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000000"/>
      <name val="Tahoma"/>
    </font>
    <font>
      <sz val="8"/>
      <name val="Tahoma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167" fontId="4" fillId="0" borderId="0" xfId="2" applyNumberFormat="1" applyFont="1"/>
    <xf numFmtId="0" fontId="15" fillId="3" borderId="3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 wrapText="1"/>
    </xf>
    <xf numFmtId="0" fontId="15" fillId="2" borderId="4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 wrapText="1"/>
    </xf>
    <xf numFmtId="3" fontId="15" fillId="2" borderId="4" xfId="0" applyNumberFormat="1" applyFont="1" applyFill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3" fontId="15" fillId="3" borderId="4" xfId="0" applyNumberFormat="1" applyFont="1" applyFill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43" fontId="3" fillId="0" borderId="6" xfId="0" applyNumberFormat="1" applyFont="1" applyBorder="1"/>
    <xf numFmtId="164" fontId="3" fillId="0" borderId="6" xfId="1" applyFont="1" applyBorder="1"/>
    <xf numFmtId="0" fontId="15" fillId="2" borderId="5" xfId="0" applyFont="1" applyFill="1" applyBorder="1" applyAlignment="1">
      <alignment horizontal="right" wrapText="1"/>
    </xf>
    <xf numFmtId="0" fontId="15" fillId="3" borderId="5" xfId="0" applyFont="1" applyFill="1" applyBorder="1" applyAlignment="1">
      <alignment horizontal="right" wrapText="1"/>
    </xf>
    <xf numFmtId="0" fontId="15" fillId="3" borderId="0" xfId="0" applyFont="1" applyFill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7" xfId="0" applyFont="1" applyBorder="1" applyAlignment="1">
      <alignment horizontal="right" wrapText="1"/>
    </xf>
    <xf numFmtId="0" fontId="15" fillId="2" borderId="3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 wrapText="1"/>
    </xf>
    <xf numFmtId="0" fontId="15" fillId="2" borderId="7" xfId="0" applyFont="1" applyFill="1" applyBorder="1" applyAlignment="1">
      <alignment horizontal="right" wrapText="1"/>
    </xf>
    <xf numFmtId="0" fontId="17" fillId="0" borderId="0" xfId="0" pivotButton="1" applyFont="1"/>
    <xf numFmtId="0" fontId="17" fillId="0" borderId="0" xfId="0" applyFont="1"/>
    <xf numFmtId="44" fontId="17" fillId="0" borderId="0" xfId="1" applyNumberFormat="1" applyFont="1"/>
    <xf numFmtId="10" fontId="17" fillId="0" borderId="0" xfId="2" applyNumberFormat="1" applyFont="1"/>
    <xf numFmtId="44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5" fillId="3" borderId="2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right" wrapText="1"/>
    </xf>
    <xf numFmtId="17" fontId="17" fillId="0" borderId="0" xfId="0" applyNumberFormat="1" applyFont="1"/>
    <xf numFmtId="0" fontId="18" fillId="0" borderId="6" xfId="0" applyFont="1" applyBorder="1"/>
    <xf numFmtId="0" fontId="15" fillId="3" borderId="7" xfId="0" applyFont="1" applyFill="1" applyBorder="1" applyAlignment="1">
      <alignment horizontal="right" wrapText="1"/>
    </xf>
    <xf numFmtId="0" fontId="19" fillId="0" borderId="0" xfId="0" applyNumberFormat="1" applyFont="1" applyBorder="1"/>
    <xf numFmtId="0" fontId="19" fillId="0" borderId="0" xfId="0" applyFont="1"/>
    <xf numFmtId="0" fontId="20" fillId="0" borderId="4" xfId="0" applyFont="1" applyBorder="1"/>
    <xf numFmtId="0" fontId="20" fillId="0" borderId="5" xfId="0" applyFont="1" applyBorder="1"/>
    <xf numFmtId="0" fontId="20" fillId="0" borderId="8" xfId="0" applyFont="1" applyBorder="1"/>
    <xf numFmtId="0" fontId="20" fillId="2" borderId="4" xfId="0" applyFont="1" applyFill="1" applyBorder="1"/>
    <xf numFmtId="0" fontId="20" fillId="2" borderId="5" xfId="0" applyFont="1" applyFill="1" applyBorder="1"/>
    <xf numFmtId="0" fontId="15" fillId="3" borderId="0" xfId="0" applyFont="1" applyFill="1" applyBorder="1" applyAlignment="1">
      <alignment horizontal="right"/>
    </xf>
    <xf numFmtId="3" fontId="15" fillId="3" borderId="0" xfId="0" applyNumberFormat="1" applyFont="1" applyFill="1" applyBorder="1" applyAlignment="1">
      <alignment horizontal="right" wrapText="1"/>
    </xf>
    <xf numFmtId="0" fontId="15" fillId="3" borderId="8" xfId="0" applyFont="1" applyFill="1" applyBorder="1" applyAlignment="1">
      <alignment horizontal="right" wrapText="1"/>
    </xf>
    <xf numFmtId="164" fontId="4" fillId="0" borderId="0" xfId="1" applyNumberFormat="1" applyFont="1" applyBorder="1"/>
    <xf numFmtId="164" fontId="4" fillId="0" borderId="0" xfId="0" applyNumberFormat="1" applyFont="1" applyBorder="1"/>
    <xf numFmtId="3" fontId="15" fillId="2" borderId="0" xfId="0" applyNumberFormat="1" applyFont="1" applyFill="1" applyBorder="1" applyAlignment="1">
      <alignment horizontal="right" wrapText="1"/>
    </xf>
    <xf numFmtId="0" fontId="20" fillId="0" borderId="9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right" wrapText="1"/>
    </xf>
    <xf numFmtId="0" fontId="21" fillId="3" borderId="7" xfId="0" applyFont="1" applyFill="1" applyBorder="1" applyAlignment="1">
      <alignment horizontal="right" wrapText="1"/>
    </xf>
    <xf numFmtId="0" fontId="21" fillId="3" borderId="0" xfId="0" applyFont="1" applyFill="1" applyBorder="1" applyAlignment="1">
      <alignment horizontal="right"/>
    </xf>
    <xf numFmtId="0" fontId="21" fillId="3" borderId="0" xfId="0" applyFont="1" applyFill="1" applyBorder="1" applyAlignment="1">
      <alignment horizontal="right" wrapText="1"/>
    </xf>
    <xf numFmtId="3" fontId="21" fillId="3" borderId="0" xfId="0" applyNumberFormat="1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 wrapText="1"/>
    </xf>
    <xf numFmtId="0" fontId="21" fillId="3" borderId="8" xfId="0" applyFont="1" applyFill="1" applyBorder="1" applyAlignment="1">
      <alignment horizontal="right" wrapText="1"/>
    </xf>
    <xf numFmtId="0" fontId="22" fillId="0" borderId="0" xfId="0" applyNumberFormat="1" applyFont="1" applyBorder="1"/>
    <xf numFmtId="10" fontId="3" fillId="0" borderId="0" xfId="0" applyNumberFormat="1" applyFont="1"/>
    <xf numFmtId="0" fontId="23" fillId="0" borderId="8" xfId="0" applyFont="1" applyBorder="1"/>
    <xf numFmtId="0" fontId="21" fillId="2" borderId="7" xfId="0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/>
    </xf>
    <xf numFmtId="0" fontId="21" fillId="2" borderId="8" xfId="0" applyFont="1" applyFill="1" applyBorder="1" applyAlignment="1">
      <alignment horizontal="right" wrapText="1"/>
    </xf>
    <xf numFmtId="0" fontId="21" fillId="0" borderId="7" xfId="0" applyFont="1" applyBorder="1" applyAlignment="1">
      <alignment horizontal="right" wrapText="1"/>
    </xf>
    <xf numFmtId="0" fontId="21" fillId="0" borderId="0" xfId="0" applyFont="1" applyBorder="1" applyAlignment="1">
      <alignment horizontal="right" wrapText="1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9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sz val="9"/>
      </font>
    </dxf>
    <dxf>
      <font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relativeIndent="0" justifyLastLine="0" shrinkToFit="0" mergeCell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vertical="top" textRotation="0" indent="0" relative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803.500578472223" createdVersion="3" refreshedVersion="3" minRefreshableVersion="3" recordCount="29">
  <cacheSource type="worksheet">
    <worksheetSource name="Tabela9"/>
  </cacheSource>
  <cacheFields count="15">
    <cacheField name="Ticket" numFmtId="0">
      <sharedItems containsNonDate="0" containsString="0" containsBlank="1"/>
    </cacheField>
    <cacheField name="OpenTime" numFmtId="0">
      <sharedItems containsNonDate="0" containsString="0" containsBlank="1"/>
    </cacheField>
    <cacheField name="Type" numFmtId="0">
      <sharedItems containsBlank="1" count="4">
        <s v="sell"/>
        <s v="buy"/>
        <m u="1"/>
        <s v="balance" u="1"/>
      </sharedItems>
    </cacheField>
    <cacheField name="Size" numFmtId="0">
      <sharedItems containsNonDate="0" containsString="0" containsBlank="1"/>
    </cacheField>
    <cacheField name="Item" numFmtId="0">
      <sharedItems containsBlank="1" count="7">
        <s v="audusd"/>
        <s v="eurusd"/>
        <s v="eurgbp"/>
        <s v="gbpusd"/>
        <s v="usdchf"/>
        <s v="usdcad"/>
        <m u="1"/>
      </sharedItems>
    </cacheField>
    <cacheField name="Price" numFmtId="0">
      <sharedItems containsNonDate="0" containsString="0" containsBlank="1"/>
    </cacheField>
    <cacheField name="S/L" numFmtId="0">
      <sharedItems containsNonDate="0" containsString="0" containsBlank="1"/>
    </cacheField>
    <cacheField name="T/P" numFmtId="0">
      <sharedItems containsNonDate="0" containsString="0" containsBlank="1"/>
    </cacheField>
    <cacheField name="CloseTime" numFmtId="0">
      <sharedItems containsNonDate="0" containsString="0" containsBlank="1"/>
    </cacheField>
    <cacheField name="Price2" numFmtId="0">
      <sharedItems containsNonDate="0" containsString="0" containsBlank="1"/>
    </cacheField>
    <cacheField name="Commission" numFmtId="0">
      <sharedItems containsMixedTypes="1" containsNumber="1" containsInteger="1" minValue="0" maxValue="0" count="3">
        <s v="[1]"/>
        <s v="[0]"/>
        <n v="0" u="1"/>
      </sharedItems>
    </cacheField>
    <cacheField name="Taxes" numFmtId="0">
      <sharedItems containsNonDate="0" containsString="0" containsBlank="1"/>
    </cacheField>
    <cacheField name="Swap" numFmtId="0">
      <sharedItems containsString="0" containsBlank="1" containsNumber="1" minValue="-64.61" maxValue="19.27"/>
    </cacheField>
    <cacheField name="Profit" numFmtId="0">
      <sharedItems containsSemiMixedTypes="0" containsString="0" containsNumber="1" minValue="-594.52" maxValue="1060.2"/>
    </cacheField>
    <cacheField name="Total" numFmtId="0">
      <sharedItems containsSemiMixedTypes="0" containsString="0" containsNumber="1" minValue="-608.48" maxValue="995.5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m/>
    <m/>
    <x v="0"/>
    <m/>
    <x v="0"/>
    <m/>
    <m/>
    <m/>
    <m/>
    <m/>
    <x v="0"/>
    <m/>
    <n v="-13.96"/>
    <n v="-594.52"/>
    <n v="-608.48"/>
  </r>
  <r>
    <m/>
    <m/>
    <x v="0"/>
    <m/>
    <x v="1"/>
    <m/>
    <m/>
    <m/>
    <m/>
    <m/>
    <x v="1"/>
    <m/>
    <m/>
    <n v="-299.45"/>
    <n v="-299.45"/>
  </r>
  <r>
    <m/>
    <m/>
    <x v="0"/>
    <m/>
    <x v="2"/>
    <m/>
    <m/>
    <m/>
    <m/>
    <m/>
    <x v="1"/>
    <m/>
    <m/>
    <n v="-401.33"/>
    <n v="-401.33"/>
  </r>
  <r>
    <m/>
    <m/>
    <x v="1"/>
    <m/>
    <x v="3"/>
    <m/>
    <m/>
    <m/>
    <m/>
    <m/>
    <x v="1"/>
    <m/>
    <m/>
    <n v="-194.7"/>
    <n v="-194.7"/>
  </r>
  <r>
    <m/>
    <m/>
    <x v="1"/>
    <m/>
    <x v="2"/>
    <m/>
    <m/>
    <m/>
    <m/>
    <m/>
    <x v="1"/>
    <m/>
    <m/>
    <n v="-461.63"/>
    <n v="-461.63"/>
  </r>
  <r>
    <m/>
    <m/>
    <x v="0"/>
    <m/>
    <x v="3"/>
    <m/>
    <m/>
    <m/>
    <m/>
    <m/>
    <x v="0"/>
    <m/>
    <n v="-64.61"/>
    <n v="1060.2"/>
    <n v="995.59"/>
  </r>
  <r>
    <m/>
    <m/>
    <x v="0"/>
    <m/>
    <x v="4"/>
    <m/>
    <m/>
    <m/>
    <m/>
    <m/>
    <x v="1"/>
    <m/>
    <m/>
    <n v="-284.89999999999998"/>
    <n v="-284.89999999999998"/>
  </r>
  <r>
    <m/>
    <m/>
    <x v="0"/>
    <m/>
    <x v="1"/>
    <m/>
    <m/>
    <m/>
    <m/>
    <m/>
    <x v="1"/>
    <m/>
    <m/>
    <n v="-89.1"/>
    <n v="-89.1"/>
  </r>
  <r>
    <m/>
    <m/>
    <x v="0"/>
    <m/>
    <x v="2"/>
    <m/>
    <m/>
    <m/>
    <m/>
    <m/>
    <x v="1"/>
    <m/>
    <m/>
    <n v="-178.95"/>
    <n v="-178.95"/>
  </r>
  <r>
    <m/>
    <m/>
    <x v="0"/>
    <m/>
    <x v="1"/>
    <m/>
    <m/>
    <m/>
    <m/>
    <m/>
    <x v="0"/>
    <m/>
    <m/>
    <n v="-574.20000000000005"/>
    <n v="-574.20000000000005"/>
  </r>
  <r>
    <m/>
    <m/>
    <x v="1"/>
    <m/>
    <x v="5"/>
    <m/>
    <m/>
    <m/>
    <m/>
    <m/>
    <x v="1"/>
    <m/>
    <n v="-43.56"/>
    <n v="48.38"/>
    <n v="4.82"/>
  </r>
  <r>
    <m/>
    <m/>
    <x v="0"/>
    <m/>
    <x v="5"/>
    <m/>
    <m/>
    <m/>
    <m/>
    <m/>
    <x v="1"/>
    <m/>
    <m/>
    <n v="-255.36"/>
    <n v="-255.36"/>
  </r>
  <r>
    <m/>
    <m/>
    <x v="0"/>
    <m/>
    <x v="2"/>
    <m/>
    <m/>
    <m/>
    <m/>
    <m/>
    <x v="1"/>
    <m/>
    <m/>
    <n v="-173.42"/>
    <n v="-173.42"/>
  </r>
  <r>
    <m/>
    <m/>
    <x v="1"/>
    <m/>
    <x v="3"/>
    <m/>
    <m/>
    <m/>
    <m/>
    <m/>
    <x v="1"/>
    <m/>
    <n v="-0.67"/>
    <n v="45.75"/>
    <n v="45.08"/>
  </r>
  <r>
    <m/>
    <m/>
    <x v="1"/>
    <m/>
    <x v="0"/>
    <m/>
    <m/>
    <m/>
    <m/>
    <m/>
    <x v="1"/>
    <m/>
    <n v="8.6300000000000008"/>
    <n v="622.08000000000004"/>
    <n v="630.71"/>
  </r>
  <r>
    <m/>
    <m/>
    <x v="1"/>
    <m/>
    <x v="0"/>
    <m/>
    <m/>
    <m/>
    <m/>
    <m/>
    <x v="1"/>
    <m/>
    <m/>
    <n v="-275.64999999999998"/>
    <n v="-275.64999999999998"/>
  </r>
  <r>
    <m/>
    <m/>
    <x v="0"/>
    <m/>
    <x v="2"/>
    <m/>
    <m/>
    <m/>
    <m/>
    <m/>
    <x v="1"/>
    <m/>
    <n v="-1.31"/>
    <n v="406.31"/>
    <n v="405"/>
  </r>
  <r>
    <m/>
    <m/>
    <x v="0"/>
    <m/>
    <x v="1"/>
    <m/>
    <m/>
    <m/>
    <m/>
    <m/>
    <x v="1"/>
    <m/>
    <n v="-3.91"/>
    <n v="750.48"/>
    <n v="746.57"/>
  </r>
  <r>
    <m/>
    <m/>
    <x v="0"/>
    <m/>
    <x v="2"/>
    <m/>
    <m/>
    <m/>
    <m/>
    <m/>
    <x v="1"/>
    <m/>
    <n v="-1.59"/>
    <n v="-178.27"/>
    <n v="-179.86"/>
  </r>
  <r>
    <m/>
    <m/>
    <x v="0"/>
    <m/>
    <x v="3"/>
    <m/>
    <m/>
    <m/>
    <m/>
    <m/>
    <x v="0"/>
    <m/>
    <n v="-4.63"/>
    <n v="-253.38"/>
    <n v="-258.01"/>
  </r>
  <r>
    <m/>
    <m/>
    <x v="0"/>
    <m/>
    <x v="3"/>
    <m/>
    <m/>
    <m/>
    <m/>
    <m/>
    <x v="1"/>
    <m/>
    <n v="-3.73"/>
    <n v="-280.54000000000002"/>
    <n v="-284.27000000000004"/>
  </r>
  <r>
    <m/>
    <m/>
    <x v="1"/>
    <m/>
    <x v="4"/>
    <m/>
    <m/>
    <m/>
    <m/>
    <m/>
    <x v="1"/>
    <m/>
    <n v="-2.76"/>
    <n v="141.62"/>
    <n v="138.86000000000001"/>
  </r>
  <r>
    <m/>
    <m/>
    <x v="1"/>
    <m/>
    <x v="0"/>
    <m/>
    <m/>
    <m/>
    <m/>
    <m/>
    <x v="1"/>
    <m/>
    <n v="19.27"/>
    <n v="-291.60000000000002"/>
    <n v="-272.33000000000004"/>
  </r>
  <r>
    <m/>
    <m/>
    <x v="1"/>
    <m/>
    <x v="3"/>
    <m/>
    <m/>
    <m/>
    <m/>
    <m/>
    <x v="1"/>
    <m/>
    <n v="0"/>
    <n v="-280.35000000000002"/>
    <n v="-280.35000000000002"/>
  </r>
  <r>
    <m/>
    <m/>
    <x v="0"/>
    <m/>
    <x v="2"/>
    <m/>
    <m/>
    <m/>
    <m/>
    <m/>
    <x v="1"/>
    <m/>
    <n v="-5.18"/>
    <n v="831.9"/>
    <n v="826.72"/>
  </r>
  <r>
    <m/>
    <m/>
    <x v="1"/>
    <m/>
    <x v="4"/>
    <m/>
    <m/>
    <m/>
    <m/>
    <m/>
    <x v="1"/>
    <m/>
    <m/>
    <n v="-197.33"/>
    <n v="-197.33"/>
  </r>
  <r>
    <m/>
    <m/>
    <x v="0"/>
    <m/>
    <x v="5"/>
    <m/>
    <m/>
    <m/>
    <m/>
    <m/>
    <x v="1"/>
    <m/>
    <n v="-3.56"/>
    <n v="261.35000000000002"/>
    <n v="257.79000000000002"/>
  </r>
  <r>
    <m/>
    <m/>
    <x v="0"/>
    <m/>
    <x v="4"/>
    <m/>
    <m/>
    <m/>
    <m/>
    <m/>
    <x v="1"/>
    <m/>
    <m/>
    <n v="-189.33"/>
    <n v="-189.33"/>
  </r>
  <r>
    <m/>
    <m/>
    <x v="0"/>
    <m/>
    <x v="2"/>
    <m/>
    <m/>
    <m/>
    <m/>
    <m/>
    <x v="1"/>
    <m/>
    <m/>
    <n v="71.73"/>
    <n v="71.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G11" firstHeaderRow="1" firstDataRow="2" firstDataCol="1" rowPageCount="1" colPageCount="1"/>
  <pivotFields count="15">
    <pivotField showAll="0"/>
    <pivotField showAll="0"/>
    <pivotField axis="axisRow" showAll="0">
      <items count="5">
        <item m="1" x="3"/>
        <item x="1"/>
        <item x="0"/>
        <item m="1" x="2"/>
        <item t="default"/>
      </items>
    </pivotField>
    <pivotField showAll="0"/>
    <pivotField axis="axisRow" showAll="0">
      <items count="8">
        <item sd="0" x="0"/>
        <item sd="0" x="2"/>
        <item sd="0" x="1"/>
        <item sd="0" x="3"/>
        <item sd="0" x="5"/>
        <item sd="0" x="4"/>
        <item h="1" m="1"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m="1" x="2"/>
        <item x="1"/>
        <item x="0"/>
        <item t="default"/>
      </items>
    </pivotField>
    <pivotField showAll="0"/>
    <pivotField dataField="1" showAll="0"/>
    <pivotField dataField="1" showAll="0"/>
    <pivotField dataField="1" showAll="0" defaultSubtotal="0"/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item="1" hier="-1"/>
  </pageFields>
  <dataFields count="6">
    <dataField name="Trades" fld="13" subtotal="count" baseField="0" baseItem="0"/>
    <dataField name="Total Swap" fld="12" baseField="0" baseItem="0" numFmtId="44"/>
    <dataField name="Total Profit" fld="13" baseField="0" baseItem="0" numFmtId="44"/>
    <dataField name="* Total" fld="14" baseField="0" baseItem="0" numFmtId="44"/>
    <dataField name="Média de Total" fld="14" subtotal="average" baseField="0" baseItem="0" numFmtId="44"/>
    <dataField name="DesvPad de Total" fld="14" subtotal="stdDev" baseField="0" baseItem="0" numFmtId="44"/>
  </dataFields>
  <formats count="6">
    <format dxfId="26">
      <pivotArea type="all" dataOnly="0" outline="0" fieldPosition="0"/>
    </format>
    <format dxfId="25">
      <pivotArea type="all" dataOnly="0" outline="0" fieldPosition="0"/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>
            <x v="3"/>
          </reference>
        </references>
      </pivotArea>
    </format>
    <format dxfId="22">
      <pivotArea outline="0" fieldPosition="0">
        <references count="1">
          <reference field="4294967294" count="1">
            <x v="4"/>
          </reference>
        </references>
      </pivotArea>
    </format>
    <format dxfId="21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393" dataDxfId="392" totalsRowDxfId="391">
  <autoFilter ref="A1:AK95">
    <filterColumn colId="36"/>
  </autoFilter>
  <sortState ref="A2:AJ89">
    <sortCondition ref="E1:E89"/>
  </sortState>
  <tableColumns count="37">
    <tableColumn id="19" name="ID" totalsRowFunction="max" dataDxfId="390" totalsRowDxfId="389"/>
    <tableColumn id="36" name="U" dataDxfId="388" totalsRowDxfId="387"/>
    <tableColumn id="2" name="ATIVO" dataDxfId="386" totalsRowDxfId="385"/>
    <tableColumn id="3" name="T" dataDxfId="384" totalsRowDxfId="383"/>
    <tableColumn id="4" name="DATA" dataDxfId="382" totalsRowDxfId="381"/>
    <tableColumn id="5" name="QTDE" dataDxfId="380" totalsRowDxfId="379"/>
    <tableColumn id="6" name="PREÇO" totalsRowFunction="custom" dataDxfId="378" totalsRowDxfId="377">
      <totalsRowFormula>NC[[#Totals],[ID]]*14.9</totalsRowFormula>
    </tableColumn>
    <tableColumn id="37" name="PARCIAL" dataDxfId="376" totalsRowDxfId="375"/>
    <tableColumn id="40" name="AJUSTE" dataDxfId="374" totalsRowDxfId="373"/>
    <tableColumn id="7" name="[D/N]" totalsRowFunction="custom" dataDxfId="372" totalsRowDxfId="371">
      <totalsRowFormula>NC[[#Totals],[LUCRO P/ OP]]+NC[[#Totals],[PREÇO]]</totalsRowFormula>
    </tableColumn>
    <tableColumn id="34" name="DATA DE LIQUIDAÇÃO" dataDxfId="370" totalsRowDxfId="369">
      <calculatedColumnFormula>WORKDAY(NC[[#This Row],[DATA]],1,0)</calculatedColumnFormula>
    </tableColumn>
    <tableColumn id="31" name="DATA BASE" dataDxfId="368" totalsRowDxfId="367">
      <calculatedColumnFormula>EOMONTH(NC[[#This Row],[DATA DE LIQUIDAÇÃO]],0)</calculatedColumnFormula>
    </tableColumn>
    <tableColumn id="21" name="PAR" dataDxfId="366" totalsRowDxfId="365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64" totalsRowDxfId="363">
      <calculatedColumnFormula>[QTDE]*[PREÇO]</calculatedColumnFormula>
    </tableColumn>
    <tableColumn id="9" name="VALOR LÍQUIDO DAS OPERAÇÕES" dataDxfId="362" totalsRowDxfId="361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60" totalsRowDxfId="359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58" totalsRowDxfId="357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56" totalsRowDxfId="355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54" totalsRowDxfId="353">
      <calculatedColumnFormula>SETUP!$E$3 * IF([PARCIAL] &gt; 0, [QTDE] / [PARCIAL], 1)</calculatedColumnFormula>
    </tableColumn>
    <tableColumn id="12" name="CORRETAGEM" dataDxfId="352" totalsRowDxfId="351">
      <calculatedColumnFormula>SUMPRODUCT(N([DATA]=NC[[#This Row],[DATA]]),N([ID]&lt;=NC[[#This Row],[ID]]), [CORR])</calculatedColumnFormula>
    </tableColumn>
    <tableColumn id="13" name="ISS" dataDxfId="350" totalsRowDxfId="349">
      <calculatedColumnFormula>TRUNC([CORRETAGEM]*SETUP!$F$3,2)</calculatedColumnFormula>
    </tableColumn>
    <tableColumn id="15" name="OUTRAS BOVESPA" dataDxfId="348" totalsRowDxfId="347">
      <calculatedColumnFormula>ROUND([CORRETAGEM]*SETUP!$G$3,2)</calculatedColumnFormula>
    </tableColumn>
    <tableColumn id="16" name="LÍQUIDO BASE" dataDxfId="346" totalsRowDxfId="345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44" totalsRowDxfId="343">
      <calculatedColumnFormula>IF(AND(['[D/N']]="D",    [T]="CV",    [LÍQUIDO BASE] &gt; 0),    TRUNC([LÍQUIDO BASE]*0.01, 2),    0)</calculatedColumnFormula>
    </tableColumn>
    <tableColumn id="35" name="LÍQUIDO" dataDxfId="342" totalsRowDxfId="341">
      <calculatedColumnFormula>IF([PREÇO] &gt; 0,    [LÍQUIDO BASE]-SUMPRODUCT(N([DATA]=NC[[#This Row],[DATA]]),    [IRRF FONTE]),    0)</calculatedColumnFormula>
    </tableColumn>
    <tableColumn id="17" name="VALOR OP" dataDxfId="340" totalsRowDxfId="339">
      <calculatedColumnFormula>[LÍQUIDO]-SUMPRODUCT(N([DATA]=NC[[#This Row],[DATA]]),N([ID]=(NC[[#This Row],[ID]]-1)),[LÍQUIDO])</calculatedColumnFormula>
    </tableColumn>
    <tableColumn id="18" name="MEDIO P/ OP" dataDxfId="338" totalsRowDxfId="337">
      <calculatedColumnFormula>IF([T] = "VC", ABS([VALOR OP]) / [QTDE], [VALOR OP]/[QTDE])</calculatedColumnFormula>
    </tableColumn>
    <tableColumn id="20" name="IRRF" totalsRowFunction="sum" dataDxfId="336" totalsRowDxfId="335">
      <calculatedColumnFormula>TRUNC(IF(OR([T]="CV",[T]="VV"),     N2*SETUP!$H$3,     0),2)</calculatedColumnFormula>
    </tableColumn>
    <tableColumn id="24" name="SALDO" dataDxfId="334" totalsRowDxfId="333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32" totalsRowDxfId="33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30" totalsRowDxfId="329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28" totalsRowDxfId="327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26" totalsRowDxfId="325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24" totalsRowDxfId="323">
      <calculatedColumnFormula>IF([U] = "U", SUMPRODUCT(N([ID]&lt;=NC[[#This Row],[ID]]),N([DATA BASE]=NC[[#This Row],[DATA BASE]]), N(['[D/N']] = "N"),    [LUCRO P/ OP]), 0)</calculatedColumnFormula>
    </tableColumn>
    <tableColumn id="39" name="LUCRO [D]" dataDxfId="322" totalsRowDxfId="321">
      <calculatedColumnFormula>IF([U] = "U", SUMPRODUCT(N([DATA BASE]=NC[[#This Row],[DATA BASE]]), N(['[D/N']] = "D"),    [LUCRO P/ OP]), 0)</calculatedColumnFormula>
    </tableColumn>
    <tableColumn id="30" name="IRRF DT" dataDxfId="320" totalsRowDxfId="319">
      <calculatedColumnFormula>IF([U] = "U", SUMPRODUCT(N([DATA BASE]=NC[[#This Row],[DATA BASE]]), N(['[D/N']] = "D"),    [IRRF FONTE]), 0)</calculatedColumnFormula>
    </tableColumn>
    <tableColumn id="14" name="Colunas1" dataDxfId="318" totalsRowDxfId="317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316" dataDxfId="315" totalsRowDxfId="314">
  <autoFilter ref="A1:AK61"/>
  <sortState ref="A2:AK61">
    <sortCondition ref="E1:E61"/>
  </sortState>
  <tableColumns count="37">
    <tableColumn id="19" name="ID" totalsRowFunction="max" dataDxfId="313" totalsRowDxfId="312"/>
    <tableColumn id="36" name="U" dataDxfId="311" totalsRowDxfId="310"/>
    <tableColumn id="2" name="ATIVO" dataDxfId="309" totalsRowDxfId="308"/>
    <tableColumn id="3" name="T" dataDxfId="307" totalsRowDxfId="306"/>
    <tableColumn id="4" name="DATA" dataDxfId="305" totalsRowDxfId="304"/>
    <tableColumn id="5" name="QTDE" dataDxfId="303" totalsRowDxfId="302"/>
    <tableColumn id="6" name="PREÇO" dataDxfId="301" totalsRowDxfId="300"/>
    <tableColumn id="37" name="PARCIAL" dataDxfId="299" totalsRowDxfId="298"/>
    <tableColumn id="40" name="AJUSTE" dataDxfId="297" totalsRowDxfId="296"/>
    <tableColumn id="7" name="[D/N]" dataDxfId="295" totalsRowDxfId="294"/>
    <tableColumn id="34" name="DATA DE LIQUIDAÇÃO" dataDxfId="293" totalsRowDxfId="292">
      <calculatedColumnFormula>WORKDAY(NOTAS_80[[#This Row],[DATA]],1,0)</calculatedColumnFormula>
    </tableColumn>
    <tableColumn id="31" name="DATA BASE" dataDxfId="291" totalsRowDxfId="290">
      <calculatedColumnFormula>EOMONTH(NOTAS_80[[#This Row],[DATA DE LIQUIDAÇÃO]],0)</calculatedColumnFormula>
    </tableColumn>
    <tableColumn id="21" name="PAR" dataDxfId="289" totalsRowDxfId="288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87" totalsRowDxfId="286">
      <calculatedColumnFormula>[QTDE]*[PREÇO]</calculatedColumnFormula>
    </tableColumn>
    <tableColumn id="9" name="VALOR LÍQUIDO DAS OPERAÇÕES" dataDxfId="285" totalsRowDxfId="284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83" totalsRowDxfId="282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81" totalsRowDxfId="28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79" totalsRowDxfId="278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77" totalsRowDxfId="276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75" totalsRowDxfId="274">
      <calculatedColumnFormula>TRUNC([CORR BOV] * 20% * IF([PARCIAL] &gt; 0, [QTDE] / [PARCIAL], 1),2)</calculatedColumnFormula>
    </tableColumn>
    <tableColumn id="12" name="CORRETAGEM" dataDxfId="273" totalsRowDxfId="272">
      <calculatedColumnFormula>SUMPRODUCT(N([DATA]=NOTAS_80[[#This Row],[DATA]]),N([ID]&lt;=NOTAS_80[[#This Row],[ID]]), [CORR])</calculatedColumnFormula>
    </tableColumn>
    <tableColumn id="13" name="ISS" dataDxfId="271" totalsRowDxfId="270">
      <calculatedColumnFormula>TRUNC([CORRETAGEM]*SETUP!$F$3,2)</calculatedColumnFormula>
    </tableColumn>
    <tableColumn id="15" name="OUTRAS BOVESPA" dataDxfId="269" totalsRowDxfId="268">
      <calculatedColumnFormula>ROUND([CORRETAGEM]*SETUP!$G$3,2)</calculatedColumnFormula>
    </tableColumn>
    <tableColumn id="16" name="LÍQUIDO BASE" dataDxfId="267" totalsRowDxfId="266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65" totalsRowDxfId="264">
      <calculatedColumnFormula>IF(AND(['[D/N']]="D",    [T]="CV",    [LÍQUIDO BASE] &gt; 0),    TRUNC([LÍQUIDO BASE]*0.01, 2),    0)</calculatedColumnFormula>
    </tableColumn>
    <tableColumn id="35" name="LÍQUIDO" dataDxfId="263" totalsRowDxfId="262">
      <calculatedColumnFormula>IF([PREÇO] &gt; 0,    [LÍQUIDO BASE]-SUMPRODUCT(N([DATA]=NOTAS_80[[#This Row],[DATA]]),    [IRRF FONTE]),    0)</calculatedColumnFormula>
    </tableColumn>
    <tableColumn id="17" name="VALOR OP" dataDxfId="261" totalsRowDxfId="260">
      <calculatedColumnFormula>[LÍQUIDO]-SUMPRODUCT(N([DATA]=NOTAS_80[[#This Row],[DATA]]),N([ID]=(NOTAS_80[[#This Row],[ID]]-1)),[LÍQUIDO])</calculatedColumnFormula>
    </tableColumn>
    <tableColumn id="18" name="MEDIO P/ OP" dataDxfId="259" totalsRowDxfId="258">
      <calculatedColumnFormula>IF([T] = "VC", ABS([VALOR OP]) / [QTDE], [VALOR OP]/[QTDE])</calculatedColumnFormula>
    </tableColumn>
    <tableColumn id="20" name="IRRF" totalsRowFunction="sum" dataDxfId="257" totalsRowDxfId="256">
      <calculatedColumnFormula>TRUNC(IF(OR([T]="CV",[T]="VV"),     N2*SETUP!$H$3,     0),2)</calculatedColumnFormula>
    </tableColumn>
    <tableColumn id="24" name="SALDO" dataDxfId="255" totalsRowDxfId="254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53" totalsRowDxfId="252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51" totalsRowDxfId="250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49" totalsRowDxfId="248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47" totalsRowDxfId="246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45" totalsRowDxfId="244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43" totalsRowDxfId="242">
      <calculatedColumnFormula>IF([U] = "U", SUMPRODUCT(N([DATA BASE]=NOTAS_80[[#This Row],[DATA BASE]]), N(['[D/N']] = "D"),    [LUCRO P/ OP]), 0)</calculatedColumnFormula>
    </tableColumn>
    <tableColumn id="30" name="IRRF DT" dataDxfId="241" totalsRowDxfId="24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9" dataDxfId="238">
  <autoFilter ref="A1:N5"/>
  <tableColumns count="14">
    <tableColumn id="1" name="DATA" totalsRowLabel="Total" dataDxfId="237" totalsRowDxfId="236"/>
    <tableColumn id="2" name="LUCRO [N]" dataDxfId="235" totalsRowDxfId="234"/>
    <tableColumn id="3" name="DEDUÇÃO [N]" dataDxfId="233" totalsRowDxfId="232"/>
    <tableColumn id="8" name="IRRF [N]" dataDxfId="231" totalsRowDxfId="230"/>
    <tableColumn id="4" name="LUCRO [D]" dataDxfId="229" totalsRowDxfId="228"/>
    <tableColumn id="5" name="DEDUÇÃO [D]" dataDxfId="227" totalsRowDxfId="226"/>
    <tableColumn id="9" name="IRRF [D]" dataDxfId="225" totalsRowDxfId="224"/>
    <tableColumn id="6" name="ACC [N]" dataDxfId="223" totalsRowDxfId="222">
      <calculatedColumnFormula>IF([LUCRO '[N']] + [DEDUÇÃO '[N']] &gt; 0, 0, [LUCRO '[N']] + [DEDUÇÃO '[N']])</calculatedColumnFormula>
    </tableColumn>
    <tableColumn id="12" name="ACC [D]" dataDxfId="221" totalsRowDxfId="220">
      <calculatedColumnFormula>IF([LUCRO '[D']] + [DEDUÇÃO '[D']] &gt; 0, 0, [LUCRO '[D']] + [DEDUÇÃO '[D']])</calculatedColumnFormula>
    </tableColumn>
    <tableColumn id="7" name="IR DEVIDO [N]" dataDxfId="219" totalsRowDxfId="218">
      <calculatedColumnFormula>IF([ACC '[N']] = 0, ROUND(([LUCRO '[N']] + [DEDUÇÃO '[N']]) * 15%, 2) - [IRRF '[N']], 0)</calculatedColumnFormula>
    </tableColumn>
    <tableColumn id="10" name="IR DEVIDO [D]" dataDxfId="217" totalsRowDxfId="216">
      <calculatedColumnFormula>IF([ACC '[D']] = 0, ROUND(([LUCRO '[D']] + [DEDUÇÃO '[D']]) * 20%, 2) - [IRRF '[D']], 0)</calculatedColumnFormula>
    </tableColumn>
    <tableColumn id="14" name="IRRF" dataDxfId="215" totalsRowDxfId="214">
      <calculatedColumnFormula>[IRRF '[N']] + [IRRF '[D']]</calculatedColumnFormula>
    </tableColumn>
    <tableColumn id="11" name="IR DEVIDO" dataDxfId="213" totalsRowDxfId="212">
      <calculatedColumnFormula>[IR DEVIDO '[N']] + [IR DEVIDO '[D']]</calculatedColumnFormula>
    </tableColumn>
    <tableColumn id="13" name="LUCRO TOTAL" totalsRowFunction="sum" dataDxfId="211" totalsRowDxfId="210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209" dataDxfId="208">
  <autoFilter ref="A1:K5"/>
  <sortState ref="A2:K4">
    <sortCondition ref="C1:C4"/>
  </sortState>
  <tableColumns count="11">
    <tableColumn id="1" name="PAPEL" totalsRowLabel="Total" dataDxfId="207" totalsRowDxfId="206"/>
    <tableColumn id="10" name="APLICAÇÃO" dataDxfId="8" totalsRowDxfId="205">
      <calculatedColumnFormula>1200</calculatedColumnFormula>
    </tableColumn>
    <tableColumn id="2" name="EXERCÍCIO" dataDxfId="204" totalsRowDxfId="203"/>
    <tableColumn id="3" name="PREÇO OPÇÃO" dataDxfId="202" totalsRowDxfId="201"/>
    <tableColumn id="4" name="PREÇO AÇÃO" dataDxfId="200" totalsRowDxfId="199"/>
    <tableColumn id="11" name="QTDE TMP" dataDxfId="198" totalsRowDxfId="197">
      <calculatedColumnFormula>ROUNDDOWN([APLICAÇÃO]/[PREÇO OPÇÃO], 0)</calculatedColumnFormula>
    </tableColumn>
    <tableColumn id="14" name="QTDE" dataDxfId="196" totalsRowDxfId="195">
      <calculatedColumnFormula>[QTDE TMP] - MOD([QTDE TMP], 100)</calculatedColumnFormula>
    </tableColumn>
    <tableColumn id="5" name="TARGET 100%" dataDxfId="194" totalsRowDxfId="193" dataCellStyle="Moeda">
      <calculatedColumnFormula>[EXERCÍCIO] + ([PREÇO OPÇÃO] * 2)</calculatedColumnFormula>
    </tableColumn>
    <tableColumn id="6" name="ALTA 100%" dataDxfId="192" totalsRowDxfId="191">
      <calculatedColumnFormula>[TARGET 100%] / [PREÇO AÇÃO] - 1</calculatedColumnFormula>
    </tableColumn>
    <tableColumn id="12" name="LUCRO* 100%" dataDxfId="190" totalsRowDxfId="189">
      <calculatedColumnFormula>[PREÇO OPÇÃO] * [QTDE]</calculatedColumnFormula>
    </tableColumn>
    <tableColumn id="7" name="GORDURA" dataDxfId="188" totalsRowDxfId="187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86" dataDxfId="185">
  <autoFilter ref="A1:P4"/>
  <tableColumns count="16">
    <tableColumn id="1" name="PAPEL" totalsRowLabel="Total" dataDxfId="184" totalsRowDxfId="183"/>
    <tableColumn id="10" name="VOLUME" dataDxfId="182" totalsRowDxfId="181">
      <calculatedColumnFormula>1500</calculatedColumnFormula>
    </tableColumn>
    <tableColumn id="20" name="PREÇO AÇÃO" dataDxfId="180" totalsRowDxfId="179"/>
    <tableColumn id="7" name="EXERC. VENDA" dataDxfId="178" totalsRowDxfId="177"/>
    <tableColumn id="8" name="PREÇO VENDA" dataDxfId="176" totalsRowDxfId="175"/>
    <tableColumn id="2" name="EXERC. COMPRA" dataDxfId="174" totalsRowDxfId="173"/>
    <tableColumn id="3" name="PREÇO COMPRA" dataDxfId="172" totalsRowDxfId="171"/>
    <tableColumn id="4" name="QTD" dataDxfId="170" totalsRowDxfId="169">
      <calculatedColumnFormula>[VOLUME]/([PREÇO VENDA]+[PREÇO COMPRA])</calculatedColumnFormula>
    </tableColumn>
    <tableColumn id="18" name="LUCRO P/ OPÇÃO" dataDxfId="168" totalsRowDxfId="167">
      <calculatedColumnFormula>[PREÇO VENDA]-[PREÇO COMPRA]</calculatedColumnFormula>
    </tableColumn>
    <tableColumn id="19" name="PERDA P/ OPÇÃO" dataDxfId="166" totalsRowDxfId="165">
      <calculatedColumnFormula>(0.01 - [PREÇO COMPRA]) + ([PREÇO VENDA] - ([EXERC. COMPRA]-[EXERC. VENDA]+0.01))</calculatedColumnFormula>
    </tableColumn>
    <tableColumn id="11" name="QTDE TMP" dataDxfId="164" totalsRowDxfId="163">
      <calculatedColumnFormula>ROUNDDOWN([VOLUME]/ABS([PERDA P/ OPÇÃO]), 0)</calculatedColumnFormula>
    </tableColumn>
    <tableColumn id="14" name="QTDE" dataDxfId="162" totalsRowDxfId="161">
      <calculatedColumnFormula>[QTD] - MOD([QTD], 100)</calculatedColumnFormula>
    </tableColumn>
    <tableColumn id="5" name="LUCRO*" dataDxfId="160" totalsRowDxfId="159">
      <calculatedColumnFormula>([QTDE]*[LUCRO P/ OPÇÃO])-48</calculatedColumnFormula>
    </tableColumn>
    <tableColumn id="6" name="PERDA*" dataDxfId="158" totalsRowDxfId="157">
      <calculatedColumnFormula>[QTDE]*[PERDA P/ OPÇÃO]-48</calculatedColumnFormula>
    </tableColumn>
    <tableColumn id="21" name="% QUEDA" dataDxfId="156" totalsRowDxfId="155">
      <calculatedColumnFormula>[EXERC. VENDA]/[PREÇO AÇÃO]-1</calculatedColumnFormula>
    </tableColumn>
    <tableColumn id="22" name="RISCO : 1" dataDxfId="154" totalsRowDxfId="153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52" dataDxfId="151">
  <autoFilter ref="A1:O3"/>
  <tableColumns count="15">
    <tableColumn id="1" name="PAPEL" totalsRowLabel="Total" dataDxfId="150" totalsRowDxfId="149"/>
    <tableColumn id="10" name="RISCO" dataDxfId="148" totalsRowDxfId="147"/>
    <tableColumn id="20" name="PREÇO AÇÃO" dataDxfId="146" totalsRowDxfId="145"/>
    <tableColumn id="7" name="EX. VENDA" dataDxfId="144" totalsRowDxfId="143"/>
    <tableColumn id="2" name="EX. COMPRA" dataDxfId="142" totalsRowDxfId="141" dataCellStyle="Moeda"/>
    <tableColumn id="3" name="PR Venda" dataDxfId="140" totalsRowDxfId="139" dataCellStyle="Moeda"/>
    <tableColumn id="16" name="QTDE" dataDxfId="138" totalsRowDxfId="137"/>
    <tableColumn id="13" name="PERDA P/ OPÇÃO" dataDxfId="136" totalsRowDxfId="135">
      <calculatedColumnFormula>([RISCO])/[QTDE]</calculatedColumnFormula>
    </tableColumn>
    <tableColumn id="14" name="Volume" dataDxfId="134" totalsRowDxfId="133">
      <calculatedColumnFormula>[PR Venda] * [QTDE]+[QTDE]*[PR Compra]</calculatedColumnFormula>
    </tableColumn>
    <tableColumn id="15" name="LUCRO UNI" dataDxfId="132" totalsRowDxfId="131">
      <calculatedColumnFormula>[PR Venda]-[PR Compra]</calculatedColumnFormula>
    </tableColumn>
    <tableColumn id="8" name="PR Compra" dataDxfId="130" totalsRowDxfId="129">
      <calculatedColumnFormula>(-[PERDA P/ OPÇÃO] + ([EX. COMPRA] - [EX. VENDA] + 0.01) - 0.01 -[PR Venda])*-1</calculatedColumnFormula>
    </tableColumn>
    <tableColumn id="5" name="LUCRO" dataDxfId="128" totalsRowDxfId="127">
      <calculatedColumnFormula>([QTDE]*[LUCRO UNI])-64</calculatedColumnFormula>
    </tableColumn>
    <tableColumn id="6" name="PERDA" dataDxfId="126" totalsRowDxfId="125">
      <calculatedColumnFormula>-[PERDA P/ OPÇÃO]*[QTDE]-64</calculatedColumnFormula>
    </tableColumn>
    <tableColumn id="21" name="% QUEDA" dataDxfId="124" totalsRowDxfId="123">
      <calculatedColumnFormula>[EX. VENDA]/[PREÇO AÇÃO]-1</calculatedColumnFormula>
    </tableColumn>
    <tableColumn id="22" name="RISCO : 1" dataDxfId="122" totalsRowDxfId="121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120" dataDxfId="119">
  <autoFilter ref="A1:U2"/>
  <tableColumns count="21">
    <tableColumn id="1" name="PAPEL" totalsRowLabel="Total" dataDxfId="118" totalsRowDxfId="117"/>
    <tableColumn id="10" name="BASE" dataDxfId="116" totalsRowDxfId="115"/>
    <tableColumn id="20" name="PR. AÇÃO" dataDxfId="114" totalsRowDxfId="113"/>
    <tableColumn id="2" name="EX. CP 1" dataDxfId="112" totalsRowDxfId="111"/>
    <tableColumn id="3" name="PR CP 1" dataDxfId="110" totalsRowDxfId="109"/>
    <tableColumn id="12" name="EX. VD" dataDxfId="108" totalsRowDxfId="107"/>
    <tableColumn id="13" name="PR VD" dataDxfId="106" totalsRowDxfId="105"/>
    <tableColumn id="8" name="EX. CP 2" dataDxfId="104" totalsRowDxfId="103"/>
    <tableColumn id="7" name="PR CP 2" dataDxfId="102" totalsRowDxfId="101"/>
    <tableColumn id="18" name="LUCRO UNI." dataDxfId="100" totalsRowDxfId="99">
      <calculatedColumnFormula>(([PR VD] - 0.01) * 2) + (([EX. VD] - [EX. CP 1] + 0.01) - [PR CP 1]) + (0.01 - [PR CP 2])</calculatedColumnFormula>
    </tableColumn>
    <tableColumn id="19" name="PERDA 1" dataDxfId="98" totalsRowDxfId="97">
      <calculatedColumnFormula>(0.01 - [PR CP 1]) + (([PR VD] - 0.01) * 2) + (0.01 - [PR CP 2])</calculatedColumnFormula>
    </tableColumn>
    <tableColumn id="15" name="PERDA 2" dataDxfId="96" totalsRowDxfId="95">
      <calculatedColumnFormula>(([EX. CP 2] - [EX. CP 1] + 0.01) - [PR CP 1]) + (([PR VD] - ([EX. CP 2] - [EX. VD] + 0.01)) * 2) + (0.01 - [PR CP 2])</calculatedColumnFormula>
    </tableColumn>
    <tableColumn id="16" name="PERDA" dataDxfId="94" totalsRowDxfId="93">
      <calculatedColumnFormula>IF([PERDA 1] &gt; [PERDA 2], [PERDA 2], [PERDA 1])</calculatedColumnFormula>
    </tableColumn>
    <tableColumn id="11" name="QTDE TMP" dataDxfId="92" totalsRowDxfId="91">
      <calculatedColumnFormula>ROUNDDOWN([BASE]/ABS([PERDA]), 0)</calculatedColumnFormula>
    </tableColumn>
    <tableColumn id="14" name="QTDE" dataDxfId="90" totalsRowDxfId="89">
      <calculatedColumnFormula>[QTDE TMP] - MOD([QTDE TMP], 100)</calculatedColumnFormula>
    </tableColumn>
    <tableColumn id="4" name="QTDE VD" dataDxfId="88" totalsRowDxfId="87">
      <calculatedColumnFormula>Tabela245[[#This Row],[QTDE]]*2</calculatedColumnFormula>
    </tableColumn>
    <tableColumn id="17" name="VOLUME" dataDxfId="86" totalsRowDxfId="85">
      <calculatedColumnFormula>([QTDE]*[PR CP 1] + [QTDE]*[PR CP 2])+[QTDE]*[PR VD] * 2</calculatedColumnFormula>
    </tableColumn>
    <tableColumn id="5" name="LUCRO" dataDxfId="84" totalsRowDxfId="83">
      <calculatedColumnFormula>([QTDE]*[LUCRO UNI.])-48</calculatedColumnFormula>
    </tableColumn>
    <tableColumn id="6" name="PERDA2" dataDxfId="82" totalsRowDxfId="81">
      <calculatedColumnFormula>[QTDE]*[PERDA]-48</calculatedColumnFormula>
    </tableColumn>
    <tableColumn id="21" name="% VAR" dataDxfId="80" totalsRowDxfId="79">
      <calculatedColumnFormula>[EX. VD] / [PR. AÇÃO] - 1</calculatedColumnFormula>
    </tableColumn>
    <tableColumn id="22" name="RISCO : 1" dataDxfId="78" totalsRowDxfId="77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76" dataDxfId="75">
  <autoFilter ref="A1:O5"/>
  <tableColumns count="15">
    <tableColumn id="1" name="PAPEL" totalsRowLabel="Total" dataDxfId="74" totalsRowDxfId="73"/>
    <tableColumn id="10" name="RISCO" dataDxfId="72" totalsRowDxfId="71"/>
    <tableColumn id="20" name="PREÇO AÇÃO" dataDxfId="70" totalsRowDxfId="69"/>
    <tableColumn id="7" name="EX. VENDA" dataDxfId="68" totalsRowDxfId="67"/>
    <tableColumn id="2" name="EX. COMPRA" dataDxfId="66" totalsRowDxfId="65"/>
    <tableColumn id="9" name="PR VENDA" totalsRowDxfId="64"/>
    <tableColumn id="3" name="PR COMPRA" dataDxfId="63" totalsRowDxfId="62"/>
    <tableColumn id="16" name="QTDE" dataDxfId="61" totalsRowDxfId="60"/>
    <tableColumn id="13" name="PERDA P/ OPÇÃO" dataDxfId="59" totalsRowDxfId="58">
      <calculatedColumnFormula>([PR VENDA] - ([EX. COMPRA] - [EX. VENDA] + 0.01)) + (0.01 - ([PR COMPRA]))</calculatedColumnFormula>
    </tableColumn>
    <tableColumn id="14" name="VOLUME" dataDxfId="57" totalsRowDxfId="56">
      <calculatedColumnFormula>[PR COMPRA] * [QTDE]</calculatedColumnFormula>
    </tableColumn>
    <tableColumn id="15" name="LUCRO UNI" dataDxfId="55" totalsRowDxfId="54">
      <calculatedColumnFormula>[PR VENDA]-[PR COMPRA]</calculatedColumnFormula>
    </tableColumn>
    <tableColumn id="5" name="LUCRO*" dataDxfId="53" totalsRowDxfId="52">
      <calculatedColumnFormula>([QTDE]*[LUCRO UNI])</calculatedColumnFormula>
    </tableColumn>
    <tableColumn id="6" name="PERDA*" dataDxfId="51" totalsRowDxfId="50">
      <calculatedColumnFormula>[PERDA P/ OPÇÃO]*[QTDE]</calculatedColumnFormula>
    </tableColumn>
    <tableColumn id="21" name="% QUEDA" dataDxfId="49" totalsRowDxfId="48">
      <calculatedColumnFormula>[EX. VENDA]/[PREÇO AÇÃO]-1</calculatedColumnFormula>
    </tableColumn>
    <tableColumn id="22" name="RISCO : 1" dataDxfId="47" totalsRowDxfId="46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ela9" displayName="Tabela9" ref="A1:O30" totalsRowShown="0" headerRowDxfId="45" dataDxfId="43" headerRowBorderDxfId="44" tableBorderDxfId="42">
  <autoFilter ref="A1:O30">
    <filterColumn colId="14"/>
  </autoFilter>
  <tableColumns count="15">
    <tableColumn id="1" name="Ticket" dataDxfId="41"/>
    <tableColumn id="2" name="OpenTime" dataDxfId="40"/>
    <tableColumn id="3" name="Type" dataDxfId="39"/>
    <tableColumn id="4" name="Size" dataDxfId="38"/>
    <tableColumn id="5" name="Item" dataDxfId="37"/>
    <tableColumn id="6" name="Price" dataDxfId="36"/>
    <tableColumn id="7" name="S/L" dataDxfId="35"/>
    <tableColumn id="8" name="T/P" dataDxfId="34"/>
    <tableColumn id="9" name="CloseTime" dataDxfId="33"/>
    <tableColumn id="10" name="Price2" dataDxfId="32"/>
    <tableColumn id="11" name="Commission" dataDxfId="31"/>
    <tableColumn id="12" name="Taxes" dataDxfId="30"/>
    <tableColumn id="13" name="Swap" dataDxfId="29"/>
    <tableColumn id="14" name="Profit" dataDxfId="28"/>
    <tableColumn id="15" name="Total" dataDxfId="27">
      <calculatedColumnFormula>Tabela9[[#This Row],[Swap]]+Tabela9[[#This Row],[Profit]]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4"/>
  <sheetViews>
    <sheetView workbookViewId="0">
      <pane xSplit="10" ySplit="1" topLeftCell="K78" activePane="bottomRight" state="frozen"/>
      <selection pane="topRight" activeCell="K1" sqref="K1"/>
      <selection pane="bottomLeft" activeCell="A2" sqref="A2"/>
      <selection pane="bottomRight" activeCell="X100" sqref="X10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42578125" style="7" bestFit="1" customWidth="1"/>
    <col min="25" max="25" width="12.85546875" style="7" bestFit="1" customWidth="1"/>
    <col min="26" max="26" width="11.570312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1500</v>
      </c>
      <c r="G94" s="136">
        <v>0.46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690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0.47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-706.67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-706.67</v>
      </c>
      <c r="Z94" s="136">
        <f>[LÍQUIDO]-SUMPRODUCT(N([DATA]=NC[[#This Row],[DATA]]),N([ID]=(NC[[#This Row],[ID]]-1)),[LÍQUIDO])</f>
        <v>-706.67</v>
      </c>
      <c r="AA94" s="136">
        <f>IF([T] = "VC", ABS([VALOR OP]) / [QTDE], [VALOR OP]/[QTDE])</f>
        <v>-0.47111333333333333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1500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0.47111333333333333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-0.47111333333333333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1700</v>
      </c>
      <c r="G95" s="136">
        <v>1.45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2465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2465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0.67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1.71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2445.94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2445.94</v>
      </c>
      <c r="Z95" s="136">
        <f>[LÍQUIDO]-SUMPRODUCT(N([DATA]=NC[[#This Row],[DATA]]),N([ID]=(NC[[#This Row],[ID]]-1)),[LÍQUIDO])</f>
        <v>2445.94</v>
      </c>
      <c r="AA95" s="136">
        <f>IF([T] = "VC", ABS([VALOR OP]) / [QTDE], [VALOR OP]/[QTDE])</f>
        <v>1.4387882352941177</v>
      </c>
      <c r="AB95" s="136">
        <f>TRUNC(IF(OR([T]="CV",[T]="VV"),     N95*SETUP!$H$3,     0),2)</f>
        <v>0.12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0.47111333333333333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1.4387882352941177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1645.0473333333334</v>
      </c>
      <c r="AG95" s="136">
        <f>IF([LUCRO TMP] &lt;&gt; 0, [LUCRO TMP] - SUMPRODUCT(N([ATIVO]=NC[[#This Row],[ATIVO]]),N(['[D/N']]="N"),N([ID]&lt;NC[[#This Row],[ID]]),N([PAR]=NC[[#This Row],[PAR]]), [LUCRO TMP]), 0)</f>
        <v>1645.0473333333334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1.4387882352941177</v>
      </c>
    </row>
    <row r="96" spans="1:37">
      <c r="Y96" s="27"/>
      <c r="AG96" s="27"/>
    </row>
    <row r="99" spans="2:25">
      <c r="Y99" s="7">
        <v>-760</v>
      </c>
    </row>
    <row r="102" spans="2:25">
      <c r="C102" s="7">
        <v>1900</v>
      </c>
      <c r="D102" s="25">
        <v>0.48</v>
      </c>
      <c r="E102" s="25">
        <f>C102*D102</f>
        <v>912</v>
      </c>
    </row>
    <row r="103" spans="2:25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</row>
    <row r="104" spans="2:25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0"/>
  <dimension ref="A1:W80"/>
  <sheetViews>
    <sheetView tabSelected="1" workbookViewId="0">
      <selection activeCell="M23" sqref="M23"/>
    </sheetView>
  </sheetViews>
  <sheetFormatPr defaultRowHeight="11.25"/>
  <cols>
    <col min="1" max="1" width="8.5703125" style="25" bestFit="1" customWidth="1"/>
    <col min="2" max="2" width="10" style="25" customWidth="1"/>
    <col min="3" max="3" width="7.7109375" style="25" bestFit="1" customWidth="1"/>
    <col min="4" max="4" width="7.42578125" style="152" bestFit="1" customWidth="1"/>
    <col min="5" max="5" width="7.7109375" style="27" bestFit="1" customWidth="1"/>
    <col min="6" max="6" width="6.5703125" style="159" bestFit="1" customWidth="1"/>
    <col min="7" max="7" width="8" style="152" bestFit="1" customWidth="1"/>
    <col min="8" max="8" width="8.28515625" style="155" bestFit="1" customWidth="1"/>
    <col min="9" max="9" width="6.5703125" style="159" bestFit="1" customWidth="1"/>
    <col min="10" max="10" width="6.5703125" style="7" bestFit="1" customWidth="1"/>
    <col min="11" max="11" width="9.140625" style="25" customWidth="1"/>
    <col min="12" max="12" width="8.5703125" style="25" bestFit="1" customWidth="1"/>
    <col min="13" max="13" width="8.42578125" style="25" bestFit="1" customWidth="1"/>
    <col min="14" max="14" width="9.140625" style="7"/>
    <col min="15" max="16" width="7.7109375" style="25" bestFit="1" customWidth="1"/>
    <col min="17" max="17" width="9.140625" style="7"/>
    <col min="18" max="18" width="13.85546875" style="25" bestFit="1" customWidth="1"/>
    <col min="19" max="20" width="10.85546875" style="7" bestFit="1" customWidth="1"/>
    <col min="21" max="23" width="11.7109375" style="7" bestFit="1" customWidth="1"/>
    <col min="24" max="16384" width="9.140625" style="7"/>
  </cols>
  <sheetData>
    <row r="1" spans="1:22" s="24" customFormat="1">
      <c r="A1" s="26" t="s">
        <v>189</v>
      </c>
      <c r="B1" s="156">
        <f>SUM(B2:B29)/COUNTA(B2:B29)</f>
        <v>5.7012331423073751E-3</v>
      </c>
      <c r="C1" s="26" t="s">
        <v>184</v>
      </c>
      <c r="D1" s="157" t="s">
        <v>185</v>
      </c>
      <c r="E1" s="156" t="s">
        <v>186</v>
      </c>
      <c r="F1" s="158"/>
      <c r="G1" s="157" t="s">
        <v>187</v>
      </c>
      <c r="H1" s="160" t="s">
        <v>188</v>
      </c>
      <c r="I1" s="158"/>
      <c r="K1" s="26"/>
      <c r="L1" s="26" t="s">
        <v>189</v>
      </c>
      <c r="M1" s="26" t="s">
        <v>190</v>
      </c>
      <c r="O1" s="26" t="s">
        <v>219</v>
      </c>
      <c r="P1" s="26" t="s">
        <v>220</v>
      </c>
      <c r="R1" s="26"/>
    </row>
    <row r="2" spans="1:22">
      <c r="A2" s="25">
        <v>16.32</v>
      </c>
      <c r="C2" s="25">
        <f>IF(COUNTBLANK(A2:A10)&gt;0,"",AVERAGE(A2:A10))</f>
        <v>17.554444444444442</v>
      </c>
      <c r="D2" s="152">
        <f t="shared" ref="D2:D9" si="0">IF(C2="","",STDEV(A2:A10))</f>
        <v>0.54877388583812226</v>
      </c>
      <c r="E2" s="27">
        <f>D2/C2</f>
        <v>3.1261250538281542E-2</v>
      </c>
      <c r="G2" s="152">
        <f>VAR(A2:A10)</f>
        <v>0.30115277777787242</v>
      </c>
      <c r="H2" s="155">
        <f t="shared" ref="H2:H33" si="1">G2/C2</f>
        <v>1.7155357934051853E-2</v>
      </c>
      <c r="L2" s="25">
        <v>16.32</v>
      </c>
      <c r="M2" s="25">
        <v>25.72</v>
      </c>
      <c r="O2" s="25">
        <v>18.03</v>
      </c>
      <c r="P2" s="25">
        <v>28.17</v>
      </c>
      <c r="R2" s="25">
        <v>600</v>
      </c>
      <c r="S2" s="80">
        <f>R2*85%*20%</f>
        <v>102</v>
      </c>
      <c r="T2" s="80">
        <f>R2-S2</f>
        <v>498</v>
      </c>
      <c r="U2" s="80">
        <f>SUM($T$2:T2)</f>
        <v>498</v>
      </c>
      <c r="V2" s="80">
        <f>U2+S2+R2</f>
        <v>1200</v>
      </c>
    </row>
    <row r="3" spans="1:22">
      <c r="A3" s="25">
        <v>17.329999999999998</v>
      </c>
      <c r="B3" s="27">
        <f>IF(A3&gt;0,A3/A2-1,"")</f>
        <v>6.1887254901960675E-2</v>
      </c>
      <c r="C3" s="25">
        <f t="shared" ref="C3:C66" si="2">IF(COUNTBLANK(A3:A11)&gt;0,"",AVERAGE(A3:A11))</f>
        <v>17.738888888888887</v>
      </c>
      <c r="D3" s="152">
        <f t="shared" si="0"/>
        <v>0.30827927454047055</v>
      </c>
      <c r="E3" s="27">
        <f t="shared" ref="E3:E15" si="3">D3/C3</f>
        <v>1.7378725154176232E-2</v>
      </c>
      <c r="F3" s="159">
        <f>E3/E2</f>
        <v>0.55591906449471029</v>
      </c>
      <c r="G3" s="152">
        <f t="shared" ref="G3:G66" si="4">VAR(A3:A11)</f>
        <v>9.5036111111198807E-2</v>
      </c>
      <c r="H3" s="155">
        <f t="shared" si="1"/>
        <v>5.3575007829676754E-3</v>
      </c>
      <c r="I3" s="159">
        <f>ROUND(H3/H2,2)</f>
        <v>0.31</v>
      </c>
      <c r="J3" s="27">
        <f>IF(COUNTBLANK(B3:B11)&gt;0,"",AVERAGE(B3:B11))</f>
        <v>1.0993277229031638E-2</v>
      </c>
      <c r="L3" s="25">
        <v>17.329999999999998</v>
      </c>
      <c r="M3" s="25">
        <v>26.04</v>
      </c>
      <c r="N3" s="80"/>
      <c r="O3" s="25">
        <v>18.05</v>
      </c>
      <c r="P3" s="25">
        <v>27.55</v>
      </c>
      <c r="R3" s="25">
        <f t="shared" ref="R3:R15" si="5">R2+S2+600</f>
        <v>1302</v>
      </c>
      <c r="S3" s="80">
        <f t="shared" ref="S3:S47" si="6">R3*85%*20%</f>
        <v>221.34000000000003</v>
      </c>
      <c r="T3" s="80">
        <f t="shared" ref="T3:T22" si="7">R3-S3</f>
        <v>1080.6599999999999</v>
      </c>
      <c r="U3" s="80">
        <f>SUM($T$2:T3)</f>
        <v>1578.6599999999999</v>
      </c>
      <c r="V3" s="80">
        <f t="shared" ref="V3:V22" si="8">U3+S3+R3</f>
        <v>3102</v>
      </c>
    </row>
    <row r="4" spans="1:22">
      <c r="A4" s="25">
        <v>17.32</v>
      </c>
      <c r="B4" s="27">
        <f t="shared" ref="B4:B29" si="9">IF(A4&gt;0,A4/A3-1,"")</f>
        <v>-5.7703404500852873E-4</v>
      </c>
      <c r="C4" s="25">
        <f t="shared" si="2"/>
        <v>17.832222222222217</v>
      </c>
      <c r="D4" s="152">
        <f t="shared" si="0"/>
        <v>0.29592134840981343</v>
      </c>
      <c r="E4" s="27">
        <f t="shared" si="3"/>
        <v>1.659475441266323E-2</v>
      </c>
      <c r="F4" s="159">
        <f t="shared" ref="F4:F67" si="10">E4/E3</f>
        <v>0.95488905345139152</v>
      </c>
      <c r="G4" s="152">
        <f t="shared" si="4"/>
        <v>8.7569444444682176E-2</v>
      </c>
      <c r="H4" s="155">
        <f t="shared" si="1"/>
        <v>4.9107421023250036E-3</v>
      </c>
      <c r="I4" s="159">
        <f>ROUND(H4/H3,2)</f>
        <v>0.92</v>
      </c>
      <c r="J4" s="27">
        <f t="shared" ref="J4:J67" si="11">IF(COUNTBLANK(B4:B12)&gt;0,"",AVERAGE(B4:B12))</f>
        <v>5.2910596839985669E-3</v>
      </c>
      <c r="L4" s="25">
        <v>17.32</v>
      </c>
      <c r="M4" s="25">
        <v>26.17</v>
      </c>
      <c r="N4" s="80"/>
      <c r="O4" s="25">
        <v>17.940000000000001</v>
      </c>
      <c r="P4" s="25">
        <v>26.64</v>
      </c>
      <c r="R4" s="25">
        <f t="shared" si="5"/>
        <v>2123.34</v>
      </c>
      <c r="S4" s="80">
        <f t="shared" si="6"/>
        <v>360.96780000000007</v>
      </c>
      <c r="T4" s="80">
        <f t="shared" si="7"/>
        <v>1762.3722</v>
      </c>
      <c r="U4" s="80">
        <f>SUM($T$2:T4)</f>
        <v>3341.0321999999996</v>
      </c>
      <c r="V4" s="80">
        <f t="shared" si="8"/>
        <v>5825.34</v>
      </c>
    </row>
    <row r="5" spans="1:22">
      <c r="A5" s="25">
        <v>17.45</v>
      </c>
      <c r="B5" s="27">
        <f t="shared" si="9"/>
        <v>7.5057736720554047E-3</v>
      </c>
      <c r="C5" s="25">
        <f t="shared" si="2"/>
        <v>17.927777777777777</v>
      </c>
      <c r="D5" s="152">
        <f t="shared" si="0"/>
        <v>0.24417093284118799</v>
      </c>
      <c r="E5" s="27">
        <f t="shared" si="3"/>
        <v>1.3619698763995611E-2</v>
      </c>
      <c r="F5" s="159">
        <f t="shared" si="10"/>
        <v>0.82072312884622178</v>
      </c>
      <c r="G5" s="152">
        <f t="shared" si="4"/>
        <v>5.961944444453593E-2</v>
      </c>
      <c r="H5" s="155">
        <f t="shared" si="1"/>
        <v>3.3255345522207832E-3</v>
      </c>
      <c r="I5" s="159">
        <f t="shared" ref="I5:I68" si="12">ROUND(H5/H4,2)</f>
        <v>0.68</v>
      </c>
      <c r="J5" s="27">
        <f t="shared" si="11"/>
        <v>5.4163254370579693E-3</v>
      </c>
      <c r="L5" s="25">
        <v>17.45</v>
      </c>
      <c r="M5" s="25">
        <v>26.17</v>
      </c>
      <c r="N5" s="80"/>
      <c r="O5" s="25">
        <v>17.3</v>
      </c>
      <c r="P5" s="25">
        <v>26.03</v>
      </c>
      <c r="R5" s="25">
        <f t="shared" si="5"/>
        <v>3084.3078</v>
      </c>
      <c r="S5" s="80">
        <f t="shared" si="6"/>
        <v>524.33232600000008</v>
      </c>
      <c r="T5" s="80">
        <f t="shared" si="7"/>
        <v>2559.9754739999998</v>
      </c>
      <c r="U5" s="80">
        <f>SUM($T$2:T5)</f>
        <v>5901.0076739999995</v>
      </c>
      <c r="V5" s="80">
        <f t="shared" si="8"/>
        <v>9509.6477999999988</v>
      </c>
    </row>
    <row r="6" spans="1:22">
      <c r="A6" s="25">
        <v>17.68</v>
      </c>
      <c r="B6" s="27">
        <f t="shared" si="9"/>
        <v>1.3180515759312339E-2</v>
      </c>
      <c r="C6" s="25">
        <f t="shared" si="2"/>
        <v>18.026666666666667</v>
      </c>
      <c r="D6" s="152">
        <f t="shared" si="0"/>
        <v>0.20328551350263235</v>
      </c>
      <c r="E6" s="27">
        <f t="shared" si="3"/>
        <v>1.1276933071521765E-2</v>
      </c>
      <c r="F6" s="159">
        <f t="shared" si="10"/>
        <v>0.82798696703431729</v>
      </c>
      <c r="G6" s="152">
        <f t="shared" si="4"/>
        <v>4.1325000000028922E-2</v>
      </c>
      <c r="H6" s="155">
        <f t="shared" si="1"/>
        <v>2.2924371301791193E-3</v>
      </c>
      <c r="I6" s="159">
        <f t="shared" si="12"/>
        <v>0.69</v>
      </c>
      <c r="J6" s="27">
        <f t="shared" si="11"/>
        <v>5.5602261499416838E-3</v>
      </c>
      <c r="L6" s="25">
        <v>17.68</v>
      </c>
      <c r="M6" s="25">
        <v>26.13</v>
      </c>
      <c r="N6" s="80"/>
      <c r="O6" s="25">
        <v>17.46</v>
      </c>
      <c r="P6" s="25">
        <v>26.18</v>
      </c>
      <c r="R6" s="25">
        <f t="shared" si="5"/>
        <v>4208.6401260000002</v>
      </c>
      <c r="S6" s="80">
        <f t="shared" si="6"/>
        <v>715.46882142000004</v>
      </c>
      <c r="T6" s="80">
        <f t="shared" si="7"/>
        <v>3493.1713045800002</v>
      </c>
      <c r="U6" s="80">
        <f>SUM($T$2:T6)</f>
        <v>9394.1789785799992</v>
      </c>
      <c r="V6" s="80">
        <f t="shared" si="8"/>
        <v>14318.287925999999</v>
      </c>
    </row>
    <row r="7" spans="1:22">
      <c r="A7" s="25">
        <v>17.82</v>
      </c>
      <c r="B7" s="27">
        <f t="shared" si="9"/>
        <v>7.9185520361990669E-3</v>
      </c>
      <c r="C7" s="25">
        <f t="shared" si="2"/>
        <v>18.137777777777778</v>
      </c>
      <c r="D7" s="152">
        <f t="shared" si="0"/>
        <v>0.25645554087290301</v>
      </c>
      <c r="E7" s="27">
        <f t="shared" si="3"/>
        <v>1.4139303282627585E-2</v>
      </c>
      <c r="F7" s="159">
        <f t="shared" si="10"/>
        <v>1.2538252371413212</v>
      </c>
      <c r="G7" s="152">
        <f t="shared" si="4"/>
        <v>6.5769444444413239E-2</v>
      </c>
      <c r="H7" s="155">
        <f t="shared" si="1"/>
        <v>3.626102670912271E-3</v>
      </c>
      <c r="I7" s="159">
        <f t="shared" si="12"/>
        <v>1.58</v>
      </c>
      <c r="J7" s="27">
        <f t="shared" si="11"/>
        <v>6.1555814205960608E-3</v>
      </c>
      <c r="L7" s="25">
        <v>17.82</v>
      </c>
      <c r="M7" s="25">
        <v>26.45</v>
      </c>
      <c r="N7" s="80"/>
      <c r="O7" s="25">
        <v>17.649999999999999</v>
      </c>
      <c r="P7" s="25">
        <v>26.62</v>
      </c>
      <c r="R7" s="25">
        <f t="shared" si="5"/>
        <v>5524.1089474199998</v>
      </c>
      <c r="S7" s="80">
        <f t="shared" si="6"/>
        <v>939.09852106139988</v>
      </c>
      <c r="T7" s="80">
        <f t="shared" si="7"/>
        <v>4585.0104263585999</v>
      </c>
      <c r="U7" s="80">
        <f>SUM($T$2:T7)</f>
        <v>13979.189404938599</v>
      </c>
      <c r="V7" s="80">
        <f t="shared" si="8"/>
        <v>20442.396873419999</v>
      </c>
    </row>
    <row r="8" spans="1:22">
      <c r="A8" s="25">
        <v>17.899999999999999</v>
      </c>
      <c r="B8" s="27">
        <f t="shared" si="9"/>
        <v>4.4893378226711356E-3</v>
      </c>
      <c r="C8" s="25">
        <f t="shared" si="2"/>
        <v>18.238888888888891</v>
      </c>
      <c r="D8" s="152">
        <f t="shared" si="0"/>
        <v>0.29238007988068904</v>
      </c>
      <c r="E8" s="27">
        <f t="shared" si="3"/>
        <v>1.6030586164643319E-2</v>
      </c>
      <c r="F8" s="159">
        <f t="shared" si="10"/>
        <v>1.1337606842580059</v>
      </c>
      <c r="G8" s="152">
        <f t="shared" si="4"/>
        <v>8.5486111111038099E-2</v>
      </c>
      <c r="H8" s="155">
        <f t="shared" si="1"/>
        <v>4.6870240633526822E-3</v>
      </c>
      <c r="I8" s="159">
        <f t="shared" si="12"/>
        <v>1.29</v>
      </c>
      <c r="J8" s="27">
        <f t="shared" si="11"/>
        <v>5.5731489197859479E-3</v>
      </c>
      <c r="L8" s="25">
        <v>17.899999999999999</v>
      </c>
      <c r="M8" s="25">
        <v>26.45</v>
      </c>
      <c r="N8" s="80"/>
      <c r="O8" s="25">
        <v>17.7</v>
      </c>
      <c r="P8" s="25">
        <v>26.77</v>
      </c>
      <c r="R8" s="25">
        <f t="shared" si="5"/>
        <v>7063.2074684813997</v>
      </c>
      <c r="S8" s="80">
        <f t="shared" si="6"/>
        <v>1200.7452696418379</v>
      </c>
      <c r="T8" s="80">
        <f t="shared" si="7"/>
        <v>5862.462198839562</v>
      </c>
      <c r="U8" s="80">
        <f>SUM($T$2:T8)</f>
        <v>19841.651603778162</v>
      </c>
      <c r="V8" s="80">
        <f t="shared" si="8"/>
        <v>28105.604341901399</v>
      </c>
    </row>
    <row r="9" spans="1:22">
      <c r="A9" s="25">
        <v>18.100000000000001</v>
      </c>
      <c r="B9" s="27">
        <f t="shared" si="9"/>
        <v>1.1173184357541999E-2</v>
      </c>
      <c r="C9" s="25">
        <f t="shared" si="2"/>
        <v>18.326666666666668</v>
      </c>
      <c r="D9" s="152">
        <f t="shared" si="0"/>
        <v>0.29647934160745593</v>
      </c>
      <c r="E9" s="27">
        <f t="shared" si="3"/>
        <v>1.6177483172469403E-2</v>
      </c>
      <c r="F9" s="159">
        <f t="shared" si="10"/>
        <v>1.0091635456319168</v>
      </c>
      <c r="G9" s="152">
        <f t="shared" si="4"/>
        <v>8.7899999999990541E-2</v>
      </c>
      <c r="H9" s="155">
        <f t="shared" si="1"/>
        <v>4.7962895598394253E-3</v>
      </c>
      <c r="I9" s="159">
        <f t="shared" si="12"/>
        <v>1.02</v>
      </c>
      <c r="J9" s="27">
        <f t="shared" si="11"/>
        <v>4.8370434596291595E-3</v>
      </c>
      <c r="L9" s="25">
        <v>18.100000000000001</v>
      </c>
      <c r="M9" s="25">
        <v>26.48</v>
      </c>
      <c r="N9" s="80"/>
      <c r="O9" s="25">
        <v>17.86</v>
      </c>
      <c r="P9" s="25">
        <v>26.89</v>
      </c>
      <c r="R9" s="25">
        <f t="shared" si="5"/>
        <v>8863.9527381232383</v>
      </c>
      <c r="S9" s="80">
        <f t="shared" si="6"/>
        <v>1506.8719654809506</v>
      </c>
      <c r="T9" s="80">
        <f t="shared" si="7"/>
        <v>7357.0807726422881</v>
      </c>
      <c r="U9" s="80">
        <f>SUM($T$2:T9)</f>
        <v>27198.732376420448</v>
      </c>
      <c r="V9" s="80">
        <f t="shared" si="8"/>
        <v>37569.557080024635</v>
      </c>
    </row>
    <row r="10" spans="1:22">
      <c r="A10" s="25">
        <v>18.07</v>
      </c>
      <c r="B10" s="27">
        <f t="shared" si="9"/>
        <v>-1.6574585635359407E-3</v>
      </c>
      <c r="C10" s="25">
        <f t="shared" si="2"/>
        <v>18.413333333333334</v>
      </c>
      <c r="D10" s="152">
        <f>IF(C10="","",STDEV(A10:A17))</f>
        <v>0.30364452901375166</v>
      </c>
      <c r="E10" s="27">
        <f t="shared" si="3"/>
        <v>1.6490470438835173E-2</v>
      </c>
      <c r="F10" s="159">
        <f t="shared" si="10"/>
        <v>1.0193470926861112</v>
      </c>
      <c r="G10" s="152">
        <f t="shared" si="4"/>
        <v>0.11130000000002838</v>
      </c>
      <c r="H10" s="155">
        <f t="shared" si="1"/>
        <v>6.0445329471412942E-3</v>
      </c>
      <c r="I10" s="159">
        <f t="shared" si="12"/>
        <v>1.26</v>
      </c>
      <c r="J10" s="27">
        <f t="shared" si="11"/>
        <v>4.7251189863965299E-3</v>
      </c>
      <c r="L10" s="25">
        <v>18.07</v>
      </c>
      <c r="M10" s="25">
        <v>26.61</v>
      </c>
      <c r="N10" s="80"/>
      <c r="O10" s="25">
        <v>17.489999999999998</v>
      </c>
      <c r="P10" s="25">
        <v>26.66</v>
      </c>
      <c r="R10" s="173">
        <f t="shared" si="5"/>
        <v>10970.824703604188</v>
      </c>
      <c r="S10" s="80">
        <f t="shared" si="6"/>
        <v>1865.0401996127121</v>
      </c>
      <c r="T10" s="172">
        <f t="shared" si="7"/>
        <v>9105.7845039914755</v>
      </c>
      <c r="U10" s="172">
        <f>SUM($T$2:T10)</f>
        <v>36304.516880411924</v>
      </c>
      <c r="V10" s="172">
        <f t="shared" si="8"/>
        <v>49140.381783628822</v>
      </c>
    </row>
    <row r="11" spans="1:22">
      <c r="A11" s="25">
        <v>17.98</v>
      </c>
      <c r="B11" s="27">
        <f t="shared" si="9"/>
        <v>-4.9806308799114074E-3</v>
      </c>
      <c r="C11" s="25">
        <f t="shared" si="2"/>
        <v>18.503333333333334</v>
      </c>
      <c r="D11" s="152">
        <f t="shared" ref="D11:D17" si="13">IF(C11="","",STDEV(A11:A19))</f>
        <v>0.33863697376399088</v>
      </c>
      <c r="E11" s="27">
        <f t="shared" si="3"/>
        <v>1.8301403734317646E-2</v>
      </c>
      <c r="F11" s="159">
        <f t="shared" si="10"/>
        <v>1.1098169577514121</v>
      </c>
      <c r="G11" s="152">
        <f t="shared" si="4"/>
        <v>0.11467500000003383</v>
      </c>
      <c r="H11" s="155">
        <f t="shared" si="1"/>
        <v>6.1975319762223287E-3</v>
      </c>
      <c r="I11" s="159">
        <f t="shared" si="12"/>
        <v>1.03</v>
      </c>
      <c r="J11" s="27">
        <f t="shared" si="11"/>
        <v>4.9092810490116339E-3</v>
      </c>
      <c r="L11" s="25">
        <v>17.98</v>
      </c>
      <c r="M11" s="25">
        <v>26.18</v>
      </c>
      <c r="O11" s="25">
        <v>17.7</v>
      </c>
      <c r="P11" s="25">
        <v>26.55</v>
      </c>
      <c r="R11" s="25">
        <f t="shared" si="5"/>
        <v>13435.864903216901</v>
      </c>
      <c r="S11" s="80">
        <f t="shared" si="6"/>
        <v>2284.0970335468733</v>
      </c>
      <c r="T11" s="80">
        <f t="shared" si="7"/>
        <v>11151.767869670028</v>
      </c>
      <c r="U11" s="80">
        <f>SUM($T$2:T11)</f>
        <v>47456.284750081948</v>
      </c>
      <c r="V11" s="80">
        <f t="shared" si="8"/>
        <v>63176.246686845727</v>
      </c>
    </row>
    <row r="12" spans="1:22">
      <c r="A12" s="25">
        <v>18.170000000000002</v>
      </c>
      <c r="B12" s="27">
        <f t="shared" si="9"/>
        <v>1.0567296996663034E-2</v>
      </c>
      <c r="C12" s="25">
        <f>IF(COUNTBLANK(A12:A20)&gt;0,"",AVERAGE(A12:A20))</f>
        <v>18.602222222222224</v>
      </c>
      <c r="D12" s="152">
        <f t="shared" si="13"/>
        <v>0.29367404455346324</v>
      </c>
      <c r="E12" s="27">
        <f t="shared" si="3"/>
        <v>1.5787040980654456E-2</v>
      </c>
      <c r="F12" s="159">
        <f t="shared" si="10"/>
        <v>0.86261366668020034</v>
      </c>
      <c r="G12" s="152">
        <f t="shared" si="4"/>
        <v>8.6244444444389501E-2</v>
      </c>
      <c r="H12" s="155">
        <f t="shared" si="1"/>
        <v>4.6362441763200656E-3</v>
      </c>
      <c r="I12" s="159">
        <f t="shared" si="12"/>
        <v>0.75</v>
      </c>
      <c r="J12" s="27">
        <f t="shared" si="11"/>
        <v>5.4038332560074499E-3</v>
      </c>
      <c r="L12" s="25">
        <v>18.170000000000002</v>
      </c>
      <c r="M12" s="25">
        <v>26.36</v>
      </c>
      <c r="O12" s="25">
        <v>17.3</v>
      </c>
      <c r="P12" s="25">
        <v>26.64</v>
      </c>
      <c r="R12" s="25">
        <f t="shared" si="5"/>
        <v>16319.961936763775</v>
      </c>
      <c r="S12" s="80">
        <f t="shared" si="6"/>
        <v>2774.3935292498418</v>
      </c>
      <c r="T12" s="80">
        <f t="shared" si="7"/>
        <v>13545.568407513932</v>
      </c>
      <c r="U12" s="80">
        <f>SUM($T$2:T12)</f>
        <v>61001.853157595877</v>
      </c>
      <c r="V12" s="80">
        <f t="shared" si="8"/>
        <v>80096.208623609491</v>
      </c>
    </row>
    <row r="13" spans="1:22">
      <c r="A13" s="25">
        <v>18.18</v>
      </c>
      <c r="B13" s="27">
        <f t="shared" si="9"/>
        <v>5.5035773252609665E-4</v>
      </c>
      <c r="C13" s="25">
        <f t="shared" si="2"/>
        <v>18.693333333333335</v>
      </c>
      <c r="D13" s="152">
        <f t="shared" si="13"/>
        <v>0.26897955312620275</v>
      </c>
      <c r="E13" s="27">
        <f t="shared" si="3"/>
        <v>1.4389063113027963E-2</v>
      </c>
      <c r="F13" s="159">
        <f t="shared" si="10"/>
        <v>0.91144775836462422</v>
      </c>
      <c r="G13" s="152">
        <f t="shared" si="4"/>
        <v>7.2349999999971715E-2</v>
      </c>
      <c r="H13" s="155">
        <f t="shared" si="1"/>
        <v>3.8703637660469888E-3</v>
      </c>
      <c r="I13" s="159">
        <f t="shared" si="12"/>
        <v>0.83</v>
      </c>
      <c r="J13" s="27">
        <f t="shared" si="11"/>
        <v>4.9362780871501487E-3</v>
      </c>
      <c r="L13" s="25">
        <v>18.18</v>
      </c>
      <c r="M13" s="25">
        <v>26.22</v>
      </c>
      <c r="O13" s="25">
        <v>16.690000000000001</v>
      </c>
      <c r="P13" s="25">
        <v>25.64</v>
      </c>
      <c r="R13" s="25">
        <f t="shared" si="5"/>
        <v>19694.355466013618</v>
      </c>
      <c r="S13" s="80">
        <f t="shared" si="6"/>
        <v>3348.0404292223157</v>
      </c>
      <c r="T13" s="80">
        <f t="shared" si="7"/>
        <v>16346.315036791302</v>
      </c>
      <c r="U13" s="80">
        <f>SUM($T$2:T13)</f>
        <v>77348.168194387181</v>
      </c>
      <c r="V13" s="80">
        <f t="shared" si="8"/>
        <v>100390.56408962311</v>
      </c>
    </row>
    <row r="14" spans="1:22">
      <c r="A14" s="25">
        <v>18.34</v>
      </c>
      <c r="B14" s="27">
        <f t="shared" si="9"/>
        <v>8.8008800880088334E-3</v>
      </c>
      <c r="C14" s="25" t="str">
        <f t="shared" si="2"/>
        <v/>
      </c>
      <c r="D14" s="152" t="str">
        <f t="shared" si="13"/>
        <v/>
      </c>
      <c r="E14" s="27" t="e">
        <f t="shared" si="3"/>
        <v>#VALUE!</v>
      </c>
      <c r="F14" s="159" t="e">
        <f t="shared" si="10"/>
        <v>#VALUE!</v>
      </c>
      <c r="G14" s="152">
        <f t="shared" si="4"/>
        <v>4.0335714285772283E-2</v>
      </c>
      <c r="H14" s="155" t="e">
        <f t="shared" si="1"/>
        <v>#VALUE!</v>
      </c>
      <c r="I14" s="159" t="e">
        <f t="shared" si="12"/>
        <v>#VALUE!</v>
      </c>
      <c r="J14" s="27" t="str">
        <f t="shared" si="11"/>
        <v/>
      </c>
      <c r="L14" s="25">
        <v>18.34</v>
      </c>
      <c r="M14" s="25">
        <v>26.4</v>
      </c>
      <c r="O14" s="25">
        <v>16.600000000000001</v>
      </c>
      <c r="P14" s="25">
        <v>26.18</v>
      </c>
      <c r="R14" s="25">
        <f t="shared" si="5"/>
        <v>23642.395895235932</v>
      </c>
      <c r="S14" s="80">
        <f t="shared" si="6"/>
        <v>4019.2073021901083</v>
      </c>
      <c r="T14" s="80">
        <f t="shared" si="7"/>
        <v>19623.188593045823</v>
      </c>
      <c r="U14" s="80">
        <f>SUM($T$2:T14)</f>
        <v>96971.356787433004</v>
      </c>
      <c r="V14" s="80">
        <f t="shared" si="8"/>
        <v>124632.95998485904</v>
      </c>
    </row>
    <row r="15" spans="1:22">
      <c r="A15" s="25">
        <v>18.68</v>
      </c>
      <c r="B15" s="27">
        <f t="shared" si="9"/>
        <v>1.8538713195201728E-2</v>
      </c>
      <c r="C15" s="25" t="str">
        <f>IF(COUNTBLANK(A15:A23)&gt;0,"",AVERAGE(A15:A23))</f>
        <v/>
      </c>
      <c r="D15" s="152" t="str">
        <f t="shared" si="13"/>
        <v/>
      </c>
      <c r="E15" s="27" t="e">
        <f t="shared" si="3"/>
        <v>#VALUE!</v>
      </c>
      <c r="F15" s="159" t="e">
        <f t="shared" si="10"/>
        <v>#VALUE!</v>
      </c>
      <c r="G15" s="152">
        <f t="shared" si="4"/>
        <v>1.3857142857142688E-2</v>
      </c>
      <c r="H15" s="155" t="e">
        <f t="shared" si="1"/>
        <v>#VALUE!</v>
      </c>
      <c r="I15" s="159" t="e">
        <f t="shared" si="12"/>
        <v>#VALUE!</v>
      </c>
      <c r="J15" s="27" t="str">
        <f t="shared" si="11"/>
        <v/>
      </c>
      <c r="L15" s="25">
        <v>18.68</v>
      </c>
      <c r="M15" s="25">
        <v>26.56</v>
      </c>
      <c r="O15" s="25">
        <v>16.899999999999999</v>
      </c>
      <c r="P15" s="25">
        <v>25.9</v>
      </c>
      <c r="R15" s="25">
        <f t="shared" si="5"/>
        <v>28261.60319742604</v>
      </c>
      <c r="S15" s="80">
        <f t="shared" si="6"/>
        <v>4804.4725435624268</v>
      </c>
      <c r="T15" s="80">
        <f t="shared" si="7"/>
        <v>23457.130653863613</v>
      </c>
      <c r="U15" s="80">
        <f>SUM($T$2:T15)</f>
        <v>120428.48744129662</v>
      </c>
      <c r="V15" s="80">
        <f t="shared" si="8"/>
        <v>153494.56318228508</v>
      </c>
    </row>
    <row r="16" spans="1:22">
      <c r="A16" s="25">
        <v>18.73</v>
      </c>
      <c r="B16" s="27">
        <f t="shared" si="9"/>
        <v>2.6766595289080541E-3</v>
      </c>
      <c r="C16" s="25" t="str">
        <f>IF(COUNTBLANK(A16:A24)&gt;0,"",AVERAGE(A16:A24))</f>
        <v/>
      </c>
      <c r="D16" s="152" t="str">
        <f t="shared" si="13"/>
        <v/>
      </c>
      <c r="E16" s="27" t="e">
        <f t="shared" ref="E16:E33" si="14">D16/C16</f>
        <v>#VALUE!</v>
      </c>
      <c r="F16" s="159" t="e">
        <f t="shared" si="10"/>
        <v>#VALUE!</v>
      </c>
      <c r="G16" s="152">
        <f t="shared" si="4"/>
        <v>1.2239999999999793E-2</v>
      </c>
      <c r="H16" s="155" t="e">
        <f t="shared" si="1"/>
        <v>#VALUE!</v>
      </c>
      <c r="I16" s="159" t="e">
        <f t="shared" si="12"/>
        <v>#VALUE!</v>
      </c>
      <c r="J16" s="27" t="str">
        <f t="shared" si="11"/>
        <v/>
      </c>
      <c r="L16" s="25">
        <v>18.73</v>
      </c>
      <c r="M16" s="25">
        <v>26.47</v>
      </c>
      <c r="O16" s="25">
        <v>16.600000000000001</v>
      </c>
      <c r="P16" s="25">
        <v>25.8</v>
      </c>
      <c r="R16" s="25">
        <f t="shared" ref="R16:R22" si="15">R15+S15+600</f>
        <v>33666.075740988468</v>
      </c>
      <c r="S16" s="80">
        <f t="shared" si="6"/>
        <v>5723.2328759680395</v>
      </c>
      <c r="T16" s="80">
        <f t="shared" si="7"/>
        <v>27942.84286502043</v>
      </c>
      <c r="U16" s="80">
        <f>SUM($T$2:T16)</f>
        <v>148371.33030631705</v>
      </c>
      <c r="V16" s="80">
        <f t="shared" si="8"/>
        <v>187760.63892327354</v>
      </c>
    </row>
    <row r="17" spans="1:23">
      <c r="A17" s="25">
        <v>18.690000000000001</v>
      </c>
      <c r="B17" s="27">
        <f t="shared" si="9"/>
        <v>-2.1356113187399606E-3</v>
      </c>
      <c r="C17" s="25" t="str">
        <f t="shared" si="2"/>
        <v/>
      </c>
      <c r="D17" s="152" t="str">
        <f t="shared" si="13"/>
        <v/>
      </c>
      <c r="E17" s="27" t="e">
        <f t="shared" si="14"/>
        <v>#VALUE!</v>
      </c>
      <c r="F17" s="159" t="e">
        <f t="shared" si="10"/>
        <v>#VALUE!</v>
      </c>
      <c r="G17" s="152">
        <f t="shared" si="4"/>
        <v>1.1669999999999774E-2</v>
      </c>
      <c r="H17" s="155" t="e">
        <f t="shared" si="1"/>
        <v>#VALUE!</v>
      </c>
      <c r="I17" s="159" t="e">
        <f t="shared" si="12"/>
        <v>#VALUE!</v>
      </c>
      <c r="J17" s="27" t="str">
        <f t="shared" si="11"/>
        <v/>
      </c>
      <c r="L17" s="25">
        <v>18.690000000000001</v>
      </c>
      <c r="M17" s="25">
        <v>26.32</v>
      </c>
      <c r="O17" s="25">
        <v>16.32</v>
      </c>
      <c r="P17" s="25">
        <v>25.72</v>
      </c>
      <c r="R17" s="25">
        <f t="shared" si="15"/>
        <v>39989.308616956507</v>
      </c>
      <c r="S17" s="80">
        <f t="shared" si="6"/>
        <v>6798.1824648826068</v>
      </c>
      <c r="T17" s="80">
        <f t="shared" si="7"/>
        <v>33191.126152073899</v>
      </c>
      <c r="U17" s="80">
        <f>SUM($T$2:T17)</f>
        <v>181562.45645839095</v>
      </c>
      <c r="V17" s="80">
        <f t="shared" si="8"/>
        <v>228349.94754023006</v>
      </c>
    </row>
    <row r="18" spans="1:23">
      <c r="A18" s="25">
        <v>18.88</v>
      </c>
      <c r="B18" s="27">
        <f t="shared" si="9"/>
        <v>1.016586409844833E-2</v>
      </c>
      <c r="C18" s="25" t="str">
        <f t="shared" si="2"/>
        <v/>
      </c>
      <c r="D18" s="152" t="str">
        <f>IF(C18="","",STDEV(A17:A26))</f>
        <v/>
      </c>
      <c r="E18" s="27" t="e">
        <f t="shared" si="14"/>
        <v>#VALUE!</v>
      </c>
      <c r="F18" s="159" t="e">
        <f t="shared" si="10"/>
        <v>#VALUE!</v>
      </c>
      <c r="G18" s="152">
        <f t="shared" si="4"/>
        <v>3.2333333333332548E-3</v>
      </c>
      <c r="H18" s="155" t="e">
        <f t="shared" si="1"/>
        <v>#VALUE!</v>
      </c>
      <c r="I18" s="159" t="e">
        <f t="shared" si="12"/>
        <v>#VALUE!</v>
      </c>
      <c r="J18" s="27" t="str">
        <f t="shared" si="11"/>
        <v/>
      </c>
      <c r="L18" s="25">
        <v>18.88</v>
      </c>
      <c r="M18" s="25">
        <v>26.4</v>
      </c>
      <c r="O18" s="25">
        <v>17.68</v>
      </c>
      <c r="P18" s="25">
        <v>26.13</v>
      </c>
      <c r="R18" s="25">
        <f t="shared" si="15"/>
        <v>47387.491081839114</v>
      </c>
      <c r="S18" s="80">
        <f t="shared" si="6"/>
        <v>8055.87348391265</v>
      </c>
      <c r="T18" s="80">
        <f t="shared" si="7"/>
        <v>39331.617597926466</v>
      </c>
      <c r="U18" s="80">
        <f>SUM($T$2:T18)</f>
        <v>220894.07405631742</v>
      </c>
      <c r="V18" s="80">
        <f t="shared" si="8"/>
        <v>276337.4386220692</v>
      </c>
    </row>
    <row r="19" spans="1:23">
      <c r="A19" s="25">
        <v>18.88</v>
      </c>
      <c r="B19" s="27">
        <f t="shared" si="9"/>
        <v>0</v>
      </c>
      <c r="C19" s="25" t="str">
        <f t="shared" si="2"/>
        <v/>
      </c>
      <c r="D19" s="152" t="str">
        <f t="shared" ref="D19:D50" si="16">IF(C19="","",STDEV(A19:A27))</f>
        <v/>
      </c>
      <c r="E19" s="27" t="e">
        <f t="shared" si="14"/>
        <v>#VALUE!</v>
      </c>
      <c r="F19" s="159" t="e">
        <f t="shared" si="10"/>
        <v>#VALUE!</v>
      </c>
      <c r="G19" s="152">
        <f t="shared" si="4"/>
        <v>4.4333333333332033E-3</v>
      </c>
      <c r="H19" s="155" t="e">
        <f t="shared" si="1"/>
        <v>#VALUE!</v>
      </c>
      <c r="I19" s="159" t="e">
        <f t="shared" si="12"/>
        <v>#VALUE!</v>
      </c>
      <c r="J19" s="27" t="str">
        <f t="shared" si="11"/>
        <v/>
      </c>
      <c r="L19" s="25">
        <v>18.88</v>
      </c>
      <c r="M19" s="25">
        <v>25.62</v>
      </c>
      <c r="O19" s="25">
        <v>18.07</v>
      </c>
      <c r="P19" s="25">
        <v>26.61</v>
      </c>
      <c r="R19" s="25">
        <f t="shared" si="15"/>
        <v>56043.364565751763</v>
      </c>
      <c r="S19" s="80">
        <f t="shared" si="6"/>
        <v>9527.3719761777993</v>
      </c>
      <c r="T19" s="80">
        <f t="shared" si="7"/>
        <v>46515.992589573965</v>
      </c>
      <c r="U19" s="80">
        <f>SUM($T$2:T19)</f>
        <v>267410.06664589141</v>
      </c>
      <c r="V19" s="80">
        <f t="shared" si="8"/>
        <v>332980.80318782094</v>
      </c>
    </row>
    <row r="20" spans="1:23">
      <c r="A20" s="25">
        <v>18.87</v>
      </c>
      <c r="B20" s="27">
        <f t="shared" si="9"/>
        <v>-5.2966101694906786E-4</v>
      </c>
      <c r="C20" s="25" t="str">
        <f t="shared" si="2"/>
        <v/>
      </c>
      <c r="D20" s="152" t="str">
        <f t="shared" si="16"/>
        <v/>
      </c>
      <c r="E20" s="27" t="e">
        <f t="shared" si="14"/>
        <v>#VALUE!</v>
      </c>
      <c r="F20" s="159" t="e">
        <f t="shared" si="10"/>
        <v>#VALUE!</v>
      </c>
      <c r="G20" s="152">
        <f t="shared" si="4"/>
        <v>7.1999999999996928E-3</v>
      </c>
      <c r="H20" s="155" t="e">
        <f t="shared" si="1"/>
        <v>#VALUE!</v>
      </c>
      <c r="I20" s="159" t="e">
        <f t="shared" si="12"/>
        <v>#VALUE!</v>
      </c>
      <c r="J20" s="27" t="str">
        <f t="shared" si="11"/>
        <v/>
      </c>
      <c r="L20" s="25">
        <v>18.87</v>
      </c>
      <c r="M20" s="25">
        <v>25.61</v>
      </c>
      <c r="O20" s="25">
        <v>18.34</v>
      </c>
      <c r="P20" s="25">
        <v>26.4</v>
      </c>
      <c r="R20" s="25">
        <f t="shared" si="15"/>
        <v>66170.736541929567</v>
      </c>
      <c r="S20" s="80">
        <f t="shared" si="6"/>
        <v>11249.025212128028</v>
      </c>
      <c r="T20" s="80">
        <f t="shared" si="7"/>
        <v>54921.711329801539</v>
      </c>
      <c r="U20" s="80">
        <f>SUM($T$2:T20)</f>
        <v>322331.77797569294</v>
      </c>
      <c r="V20" s="80">
        <f t="shared" si="8"/>
        <v>399751.53972975048</v>
      </c>
    </row>
    <row r="21" spans="1:23">
      <c r="A21" s="25">
        <v>18.989999999999998</v>
      </c>
      <c r="B21" s="27">
        <f t="shared" si="9"/>
        <v>6.3593004769473271E-3</v>
      </c>
      <c r="C21" s="25" t="str">
        <f t="shared" si="2"/>
        <v/>
      </c>
      <c r="D21" s="152" t="str">
        <f t="shared" si="16"/>
        <v/>
      </c>
      <c r="E21" s="27" t="e">
        <f t="shared" si="14"/>
        <v>#VALUE!</v>
      </c>
      <c r="F21" s="159" t="e">
        <f t="shared" si="10"/>
        <v>#VALUE!</v>
      </c>
      <c r="G21" s="152" t="e">
        <f t="shared" si="4"/>
        <v>#DIV/0!</v>
      </c>
      <c r="H21" s="155" t="e">
        <f t="shared" si="1"/>
        <v>#DIV/0!</v>
      </c>
      <c r="I21" s="159" t="e">
        <f t="shared" si="12"/>
        <v>#DIV/0!</v>
      </c>
      <c r="J21" s="27" t="str">
        <f t="shared" si="11"/>
        <v/>
      </c>
      <c r="L21" s="25">
        <v>18.989999999999998</v>
      </c>
      <c r="M21" s="25">
        <v>25.64</v>
      </c>
      <c r="O21" s="25">
        <v>18.88</v>
      </c>
      <c r="P21" s="25">
        <v>26.4</v>
      </c>
      <c r="R21" s="25">
        <f t="shared" si="15"/>
        <v>78019.761754057603</v>
      </c>
      <c r="S21" s="80">
        <f t="shared" si="6"/>
        <v>13263.359498189791</v>
      </c>
      <c r="T21" s="80">
        <f t="shared" si="7"/>
        <v>64756.402255867812</v>
      </c>
      <c r="U21" s="80">
        <f>SUM($T$2:T21)</f>
        <v>387088.18023156072</v>
      </c>
      <c r="V21" s="80">
        <f t="shared" si="8"/>
        <v>478371.30148380809</v>
      </c>
    </row>
    <row r="22" spans="1:23">
      <c r="B22" s="27" t="str">
        <f t="shared" si="9"/>
        <v/>
      </c>
      <c r="C22" s="25" t="str">
        <f t="shared" si="2"/>
        <v/>
      </c>
      <c r="D22" s="152" t="str">
        <f t="shared" si="16"/>
        <v/>
      </c>
      <c r="E22" s="27" t="e">
        <f t="shared" si="14"/>
        <v>#VALUE!</v>
      </c>
      <c r="F22" s="159" t="e">
        <f t="shared" si="10"/>
        <v>#VALUE!</v>
      </c>
      <c r="G22" s="152" t="e">
        <f t="shared" si="4"/>
        <v>#DIV/0!</v>
      </c>
      <c r="H22" s="155" t="e">
        <f t="shared" si="1"/>
        <v>#DIV/0!</v>
      </c>
      <c r="I22" s="159" t="e">
        <f t="shared" si="12"/>
        <v>#DIV/0!</v>
      </c>
      <c r="J22" s="27" t="str">
        <f t="shared" si="11"/>
        <v/>
      </c>
      <c r="L22" s="25">
        <v>18.96</v>
      </c>
      <c r="M22" s="25">
        <v>25.75</v>
      </c>
      <c r="R22" s="173">
        <f t="shared" si="15"/>
        <v>91883.121252247394</v>
      </c>
      <c r="S22" s="172">
        <f t="shared" si="6"/>
        <v>15620.130612882058</v>
      </c>
      <c r="T22" s="172">
        <f t="shared" si="7"/>
        <v>76262.990639365336</v>
      </c>
      <c r="U22" s="172">
        <f>SUM($T$2:T22)</f>
        <v>463351.17087092606</v>
      </c>
      <c r="V22" s="172">
        <f t="shared" si="8"/>
        <v>570854.42273605545</v>
      </c>
      <c r="W22" s="80">
        <f>V22-V10</f>
        <v>521714.04095242661</v>
      </c>
    </row>
    <row r="23" spans="1:23">
      <c r="B23" s="27" t="str">
        <f t="shared" si="9"/>
        <v/>
      </c>
      <c r="C23" s="25" t="str">
        <f t="shared" si="2"/>
        <v/>
      </c>
      <c r="D23" s="152" t="str">
        <f t="shared" si="16"/>
        <v/>
      </c>
      <c r="E23" s="27" t="e">
        <f t="shared" si="14"/>
        <v>#VALUE!</v>
      </c>
      <c r="F23" s="159" t="e">
        <f t="shared" si="10"/>
        <v>#VALUE!</v>
      </c>
      <c r="G23" s="152" t="e">
        <f t="shared" si="4"/>
        <v>#DIV/0!</v>
      </c>
      <c r="H23" s="155" t="e">
        <f t="shared" si="1"/>
        <v>#DIV/0!</v>
      </c>
      <c r="I23" s="159" t="e">
        <f t="shared" si="12"/>
        <v>#DIV/0!</v>
      </c>
      <c r="J23" s="27" t="str">
        <f t="shared" si="11"/>
        <v/>
      </c>
      <c r="R23" s="25">
        <f>R22+S22+600</f>
        <v>108103.25186512945</v>
      </c>
      <c r="S23" s="80">
        <f t="shared" si="6"/>
        <v>18377.552817072006</v>
      </c>
      <c r="T23" s="80">
        <f>R23-S23</f>
        <v>89725.699048057446</v>
      </c>
      <c r="U23" s="80">
        <f>SUM($T$2:T23)</f>
        <v>553076.86991898355</v>
      </c>
      <c r="V23" s="80">
        <f>U23+S23+R23</f>
        <v>679557.67460118502</v>
      </c>
    </row>
    <row r="24" spans="1:23">
      <c r="B24" s="27" t="str">
        <f t="shared" si="9"/>
        <v/>
      </c>
      <c r="C24" s="25" t="str">
        <f t="shared" si="2"/>
        <v/>
      </c>
      <c r="D24" s="152" t="str">
        <f t="shared" si="16"/>
        <v/>
      </c>
      <c r="E24" s="27" t="e">
        <f t="shared" si="14"/>
        <v>#VALUE!</v>
      </c>
      <c r="F24" s="159" t="e">
        <f t="shared" si="10"/>
        <v>#VALUE!</v>
      </c>
      <c r="G24" s="152" t="e">
        <f t="shared" si="4"/>
        <v>#DIV/0!</v>
      </c>
      <c r="H24" s="155" t="e">
        <f t="shared" si="1"/>
        <v>#DIV/0!</v>
      </c>
      <c r="I24" s="159" t="e">
        <f t="shared" si="12"/>
        <v>#DIV/0!</v>
      </c>
      <c r="J24" s="27" t="str">
        <f t="shared" si="11"/>
        <v/>
      </c>
      <c r="R24" s="25">
        <f t="shared" ref="R24:R29" si="17">R23+S23+600</f>
        <v>127080.80468220146</v>
      </c>
      <c r="S24" s="80">
        <f t="shared" si="6"/>
        <v>21603.736795974248</v>
      </c>
      <c r="T24" s="80">
        <f t="shared" ref="T24:T29" si="18">R24-S24</f>
        <v>105477.06788622722</v>
      </c>
      <c r="U24" s="80">
        <f>SUM($T$2:T24)</f>
        <v>658553.93780521071</v>
      </c>
      <c r="V24" s="80">
        <f t="shared" ref="V24:V29" si="19">U24+S24+R24</f>
        <v>807238.47928338638</v>
      </c>
    </row>
    <row r="25" spans="1:23">
      <c r="B25" s="27" t="str">
        <f>IF(A25&gt;0,A25/A24-1,"")</f>
        <v/>
      </c>
      <c r="C25" s="25" t="str">
        <f t="shared" si="2"/>
        <v/>
      </c>
      <c r="D25" s="152" t="str">
        <f t="shared" si="16"/>
        <v/>
      </c>
      <c r="E25" s="27" t="e">
        <f t="shared" si="14"/>
        <v>#VALUE!</v>
      </c>
      <c r="F25" s="159" t="e">
        <f t="shared" si="10"/>
        <v>#VALUE!</v>
      </c>
      <c r="G25" s="152" t="e">
        <f t="shared" si="4"/>
        <v>#DIV/0!</v>
      </c>
      <c r="H25" s="155" t="e">
        <f t="shared" si="1"/>
        <v>#DIV/0!</v>
      </c>
      <c r="I25" s="159" t="e">
        <f t="shared" si="12"/>
        <v>#DIV/0!</v>
      </c>
      <c r="J25" s="27" t="str">
        <f t="shared" si="11"/>
        <v/>
      </c>
      <c r="R25" s="25">
        <f t="shared" si="17"/>
        <v>149284.5414781757</v>
      </c>
      <c r="S25" s="80">
        <f t="shared" si="6"/>
        <v>25378.372051289869</v>
      </c>
      <c r="T25" s="80">
        <f t="shared" si="18"/>
        <v>123906.16942688583</v>
      </c>
      <c r="U25" s="80">
        <f>SUM($T$2:T25)</f>
        <v>782460.10723209649</v>
      </c>
      <c r="V25" s="80">
        <f t="shared" si="19"/>
        <v>957123.02076156205</v>
      </c>
    </row>
    <row r="26" spans="1:23">
      <c r="B26" s="27" t="str">
        <f t="shared" si="9"/>
        <v/>
      </c>
      <c r="C26" s="25" t="str">
        <f t="shared" si="2"/>
        <v/>
      </c>
      <c r="D26" s="152" t="str">
        <f t="shared" si="16"/>
        <v/>
      </c>
      <c r="E26" s="27" t="e">
        <f t="shared" si="14"/>
        <v>#VALUE!</v>
      </c>
      <c r="F26" s="159" t="e">
        <f t="shared" si="10"/>
        <v>#VALUE!</v>
      </c>
      <c r="G26" s="152" t="e">
        <f t="shared" si="4"/>
        <v>#DIV/0!</v>
      </c>
      <c r="H26" s="155" t="e">
        <f t="shared" si="1"/>
        <v>#DIV/0!</v>
      </c>
      <c r="I26" s="159" t="e">
        <f t="shared" si="12"/>
        <v>#DIV/0!</v>
      </c>
      <c r="J26" s="27" t="str">
        <f t="shared" si="11"/>
        <v/>
      </c>
      <c r="R26" s="25">
        <f t="shared" si="17"/>
        <v>175262.91352946556</v>
      </c>
      <c r="S26" s="80">
        <f t="shared" si="6"/>
        <v>29794.695300009145</v>
      </c>
      <c r="T26" s="80">
        <f t="shared" si="18"/>
        <v>145468.2182294564</v>
      </c>
      <c r="U26" s="80">
        <f>SUM($T$2:T26)</f>
        <v>927928.32546155294</v>
      </c>
      <c r="V26" s="80">
        <f t="shared" si="19"/>
        <v>1132985.9342910275</v>
      </c>
    </row>
    <row r="27" spans="1:23">
      <c r="B27" s="27" t="str">
        <f t="shared" si="9"/>
        <v/>
      </c>
      <c r="C27" s="25" t="str">
        <f t="shared" si="2"/>
        <v/>
      </c>
      <c r="D27" s="152" t="str">
        <f t="shared" si="16"/>
        <v/>
      </c>
      <c r="E27" s="27" t="e">
        <f t="shared" si="14"/>
        <v>#VALUE!</v>
      </c>
      <c r="F27" s="159" t="e">
        <f t="shared" si="10"/>
        <v>#VALUE!</v>
      </c>
      <c r="G27" s="152" t="e">
        <f t="shared" si="4"/>
        <v>#DIV/0!</v>
      </c>
      <c r="H27" s="155" t="e">
        <f t="shared" si="1"/>
        <v>#DIV/0!</v>
      </c>
      <c r="I27" s="159" t="e">
        <f t="shared" si="12"/>
        <v>#DIV/0!</v>
      </c>
      <c r="J27" s="27" t="str">
        <f t="shared" si="11"/>
        <v/>
      </c>
      <c r="K27" s="27"/>
      <c r="R27" s="25">
        <f t="shared" si="17"/>
        <v>205657.60882947472</v>
      </c>
      <c r="S27" s="80">
        <f t="shared" si="6"/>
        <v>34961.793501010703</v>
      </c>
      <c r="T27" s="80">
        <f t="shared" si="18"/>
        <v>170695.81532846403</v>
      </c>
      <c r="U27" s="80">
        <f>SUM($T$2:T27)</f>
        <v>1098624.1407900169</v>
      </c>
      <c r="V27" s="80">
        <f t="shared" si="19"/>
        <v>1339243.5431205023</v>
      </c>
    </row>
    <row r="28" spans="1:23">
      <c r="B28" s="27" t="str">
        <f t="shared" si="9"/>
        <v/>
      </c>
      <c r="C28" s="25" t="str">
        <f t="shared" si="2"/>
        <v/>
      </c>
      <c r="D28" s="152" t="str">
        <f t="shared" si="16"/>
        <v/>
      </c>
      <c r="E28" s="27" t="e">
        <f t="shared" si="14"/>
        <v>#VALUE!</v>
      </c>
      <c r="F28" s="159" t="e">
        <f t="shared" si="10"/>
        <v>#VALUE!</v>
      </c>
      <c r="G28" s="152" t="e">
        <f t="shared" si="4"/>
        <v>#DIV/0!</v>
      </c>
      <c r="H28" s="155" t="e">
        <f t="shared" si="1"/>
        <v>#DIV/0!</v>
      </c>
      <c r="I28" s="159" t="e">
        <f t="shared" si="12"/>
        <v>#DIV/0!</v>
      </c>
      <c r="J28" s="27" t="str">
        <f t="shared" si="11"/>
        <v/>
      </c>
      <c r="R28" s="25">
        <f t="shared" si="17"/>
        <v>241219.40233048541</v>
      </c>
      <c r="S28" s="80">
        <f t="shared" si="6"/>
        <v>41007.298396182523</v>
      </c>
      <c r="T28" s="80">
        <f t="shared" si="18"/>
        <v>200212.10393430287</v>
      </c>
      <c r="U28" s="80">
        <f>SUM($T$2:T28)</f>
        <v>1298836.2447243198</v>
      </c>
      <c r="V28" s="80">
        <f t="shared" si="19"/>
        <v>1581062.9454509877</v>
      </c>
    </row>
    <row r="29" spans="1:23">
      <c r="B29" s="27" t="str">
        <f t="shared" si="9"/>
        <v/>
      </c>
      <c r="C29" s="25" t="str">
        <f t="shared" si="2"/>
        <v/>
      </c>
      <c r="D29" s="152" t="str">
        <f t="shared" si="16"/>
        <v/>
      </c>
      <c r="E29" s="27" t="e">
        <f t="shared" si="14"/>
        <v>#VALUE!</v>
      </c>
      <c r="F29" s="159" t="e">
        <f t="shared" si="10"/>
        <v>#VALUE!</v>
      </c>
      <c r="G29" s="152" t="e">
        <f t="shared" si="4"/>
        <v>#DIV/0!</v>
      </c>
      <c r="H29" s="155" t="e">
        <f t="shared" si="1"/>
        <v>#DIV/0!</v>
      </c>
      <c r="I29" s="159" t="e">
        <f t="shared" si="12"/>
        <v>#DIV/0!</v>
      </c>
      <c r="J29" s="27" t="str">
        <f t="shared" si="11"/>
        <v/>
      </c>
      <c r="R29" s="25">
        <f t="shared" si="17"/>
        <v>282826.70072666794</v>
      </c>
      <c r="S29" s="80">
        <f t="shared" si="6"/>
        <v>48080.539123533556</v>
      </c>
      <c r="T29" s="80">
        <f t="shared" si="18"/>
        <v>234746.16160313439</v>
      </c>
      <c r="U29" s="80">
        <f>SUM($T$2:T29)</f>
        <v>1533582.4063274541</v>
      </c>
      <c r="V29" s="80">
        <f t="shared" si="19"/>
        <v>1864489.6461776556</v>
      </c>
    </row>
    <row r="30" spans="1:23">
      <c r="C30" s="25" t="str">
        <f t="shared" si="2"/>
        <v/>
      </c>
      <c r="D30" s="152" t="str">
        <f t="shared" si="16"/>
        <v/>
      </c>
      <c r="E30" s="27" t="e">
        <f t="shared" si="14"/>
        <v>#VALUE!</v>
      </c>
      <c r="F30" s="159" t="e">
        <f t="shared" si="10"/>
        <v>#VALUE!</v>
      </c>
      <c r="G30" s="152" t="e">
        <f t="shared" si="4"/>
        <v>#DIV/0!</v>
      </c>
      <c r="H30" s="155" t="e">
        <f t="shared" si="1"/>
        <v>#DIV/0!</v>
      </c>
      <c r="I30" s="159" t="e">
        <f t="shared" si="12"/>
        <v>#DIV/0!</v>
      </c>
      <c r="J30" s="27" t="str">
        <f t="shared" si="11"/>
        <v/>
      </c>
      <c r="R30" s="25">
        <f t="shared" ref="R30:R35" si="20">R29+S29+600</f>
        <v>331507.23985020153</v>
      </c>
      <c r="S30" s="80">
        <f t="shared" si="6"/>
        <v>56356.230774534262</v>
      </c>
      <c r="T30" s="80">
        <f t="shared" ref="T30:T35" si="21">R30-S30</f>
        <v>275151.00907566724</v>
      </c>
      <c r="U30" s="80">
        <f>SUM($T$2:T30)</f>
        <v>1808733.4154031214</v>
      </c>
      <c r="V30" s="80">
        <f t="shared" ref="V30:V35" si="22">U30+S30+R30</f>
        <v>2196596.8860278572</v>
      </c>
    </row>
    <row r="31" spans="1:23">
      <c r="C31" s="25" t="str">
        <f t="shared" si="2"/>
        <v/>
      </c>
      <c r="D31" s="152" t="str">
        <f t="shared" si="16"/>
        <v/>
      </c>
      <c r="E31" s="27" t="e">
        <f t="shared" si="14"/>
        <v>#VALUE!</v>
      </c>
      <c r="F31" s="159" t="e">
        <f t="shared" si="10"/>
        <v>#VALUE!</v>
      </c>
      <c r="G31" s="152" t="e">
        <f t="shared" si="4"/>
        <v>#DIV/0!</v>
      </c>
      <c r="H31" s="155" t="e">
        <f t="shared" si="1"/>
        <v>#DIV/0!</v>
      </c>
      <c r="I31" s="159" t="e">
        <f t="shared" si="12"/>
        <v>#DIV/0!</v>
      </c>
      <c r="J31" s="27" t="str">
        <f t="shared" si="11"/>
        <v/>
      </c>
      <c r="R31" s="25">
        <f t="shared" si="20"/>
        <v>388463.47062473581</v>
      </c>
      <c r="S31" s="80">
        <f t="shared" si="6"/>
        <v>66038.79000620509</v>
      </c>
      <c r="T31" s="80">
        <f t="shared" si="21"/>
        <v>322424.68061853072</v>
      </c>
      <c r="U31" s="80">
        <f>SUM($T$2:T31)</f>
        <v>2131158.0960216522</v>
      </c>
      <c r="V31" s="80">
        <f t="shared" si="22"/>
        <v>2585660.3566525932</v>
      </c>
    </row>
    <row r="32" spans="1:23">
      <c r="C32" s="25" t="str">
        <f t="shared" si="2"/>
        <v/>
      </c>
      <c r="D32" s="152" t="str">
        <f t="shared" si="16"/>
        <v/>
      </c>
      <c r="E32" s="27" t="e">
        <f t="shared" si="14"/>
        <v>#VALUE!</v>
      </c>
      <c r="F32" s="159" t="e">
        <f t="shared" si="10"/>
        <v>#VALUE!</v>
      </c>
      <c r="G32" s="152" t="e">
        <f t="shared" si="4"/>
        <v>#DIV/0!</v>
      </c>
      <c r="H32" s="155" t="e">
        <f t="shared" si="1"/>
        <v>#DIV/0!</v>
      </c>
      <c r="I32" s="159" t="e">
        <f t="shared" si="12"/>
        <v>#DIV/0!</v>
      </c>
      <c r="J32" s="27" t="str">
        <f t="shared" si="11"/>
        <v/>
      </c>
      <c r="R32" s="25">
        <f t="shared" si="20"/>
        <v>455102.2606309409</v>
      </c>
      <c r="S32" s="80">
        <f t="shared" si="6"/>
        <v>77367.384307259956</v>
      </c>
      <c r="T32" s="80">
        <f t="shared" si="21"/>
        <v>377734.87632368098</v>
      </c>
      <c r="U32" s="80">
        <f>SUM($T$2:T32)</f>
        <v>2508892.9723453331</v>
      </c>
      <c r="V32" s="80">
        <f t="shared" si="22"/>
        <v>3041362.6172835343</v>
      </c>
    </row>
    <row r="33" spans="3:23">
      <c r="C33" s="25" t="str">
        <f t="shared" si="2"/>
        <v/>
      </c>
      <c r="D33" s="152" t="str">
        <f t="shared" si="16"/>
        <v/>
      </c>
      <c r="E33" s="27" t="e">
        <f t="shared" si="14"/>
        <v>#VALUE!</v>
      </c>
      <c r="F33" s="159" t="e">
        <f t="shared" si="10"/>
        <v>#VALUE!</v>
      </c>
      <c r="G33" s="152" t="e">
        <f t="shared" si="4"/>
        <v>#DIV/0!</v>
      </c>
      <c r="H33" s="155" t="e">
        <f t="shared" si="1"/>
        <v>#DIV/0!</v>
      </c>
      <c r="I33" s="159" t="e">
        <f t="shared" si="12"/>
        <v>#DIV/0!</v>
      </c>
      <c r="J33" s="27" t="str">
        <f t="shared" si="11"/>
        <v/>
      </c>
      <c r="R33" s="25">
        <f t="shared" si="20"/>
        <v>533069.64493820083</v>
      </c>
      <c r="S33" s="80">
        <f t="shared" si="6"/>
        <v>90621.839639494137</v>
      </c>
      <c r="T33" s="80">
        <f t="shared" si="21"/>
        <v>442447.80529870669</v>
      </c>
      <c r="U33" s="80">
        <f>SUM($T$2:T33)</f>
        <v>2951340.7776440396</v>
      </c>
      <c r="V33" s="80">
        <f t="shared" si="22"/>
        <v>3575032.2622217345</v>
      </c>
    </row>
    <row r="34" spans="3:23">
      <c r="C34" s="25" t="str">
        <f t="shared" si="2"/>
        <v/>
      </c>
      <c r="D34" s="152" t="str">
        <f t="shared" si="16"/>
        <v/>
      </c>
      <c r="E34" s="27" t="e">
        <f t="shared" ref="E34:E49" si="23">D34/C34</f>
        <v>#VALUE!</v>
      </c>
      <c r="F34" s="159" t="e">
        <f t="shared" si="10"/>
        <v>#VALUE!</v>
      </c>
      <c r="G34" s="152" t="e">
        <f t="shared" si="4"/>
        <v>#DIV/0!</v>
      </c>
      <c r="H34" s="155" t="e">
        <f t="shared" ref="H34:H65" si="24">G34/C34</f>
        <v>#DIV/0!</v>
      </c>
      <c r="I34" s="159" t="e">
        <f t="shared" si="12"/>
        <v>#DIV/0!</v>
      </c>
      <c r="J34" s="27" t="str">
        <f t="shared" si="11"/>
        <v/>
      </c>
      <c r="R34" s="173">
        <f t="shared" si="20"/>
        <v>624291.48457769491</v>
      </c>
      <c r="S34" s="172">
        <f t="shared" si="6"/>
        <v>106129.55237820813</v>
      </c>
      <c r="T34" s="172">
        <f t="shared" si="21"/>
        <v>518161.93219948676</v>
      </c>
      <c r="U34" s="172">
        <f>SUM($T$2:T34)</f>
        <v>3469502.7098435266</v>
      </c>
      <c r="V34" s="172">
        <f t="shared" si="22"/>
        <v>4199923.7467994299</v>
      </c>
      <c r="W34" s="80">
        <f>V34-V22</f>
        <v>3629069.3240633747</v>
      </c>
    </row>
    <row r="35" spans="3:23">
      <c r="C35" s="25" t="str">
        <f t="shared" si="2"/>
        <v/>
      </c>
      <c r="D35" s="152" t="str">
        <f t="shared" si="16"/>
        <v/>
      </c>
      <c r="E35" s="27" t="e">
        <f t="shared" si="23"/>
        <v>#VALUE!</v>
      </c>
      <c r="F35" s="159" t="e">
        <f t="shared" si="10"/>
        <v>#VALUE!</v>
      </c>
      <c r="G35" s="152" t="e">
        <f t="shared" si="4"/>
        <v>#DIV/0!</v>
      </c>
      <c r="H35" s="155" t="e">
        <f t="shared" si="24"/>
        <v>#DIV/0!</v>
      </c>
      <c r="I35" s="159" t="e">
        <f t="shared" si="12"/>
        <v>#DIV/0!</v>
      </c>
      <c r="J35" s="27" t="str">
        <f t="shared" si="11"/>
        <v/>
      </c>
      <c r="R35" s="25">
        <f t="shared" si="20"/>
        <v>731021.03695590305</v>
      </c>
      <c r="S35" s="80">
        <f t="shared" si="6"/>
        <v>124273.57628250353</v>
      </c>
      <c r="T35" s="80">
        <f t="shared" si="21"/>
        <v>606747.4606733995</v>
      </c>
      <c r="U35" s="80">
        <f>SUM($T$2:T35)</f>
        <v>4076250.1705169259</v>
      </c>
      <c r="V35" s="80">
        <f t="shared" si="22"/>
        <v>4931544.7837553322</v>
      </c>
    </row>
    <row r="36" spans="3:23">
      <c r="C36" s="25" t="str">
        <f t="shared" si="2"/>
        <v/>
      </c>
      <c r="D36" s="152" t="str">
        <f t="shared" si="16"/>
        <v/>
      </c>
      <c r="E36" s="27" t="e">
        <f t="shared" si="23"/>
        <v>#VALUE!</v>
      </c>
      <c r="F36" s="159" t="e">
        <f t="shared" si="10"/>
        <v>#VALUE!</v>
      </c>
      <c r="G36" s="152" t="e">
        <f t="shared" si="4"/>
        <v>#DIV/0!</v>
      </c>
      <c r="H36" s="155" t="e">
        <f t="shared" si="24"/>
        <v>#DIV/0!</v>
      </c>
      <c r="I36" s="159" t="e">
        <f t="shared" si="12"/>
        <v>#DIV/0!</v>
      </c>
      <c r="J36" s="27" t="str">
        <f t="shared" si="11"/>
        <v/>
      </c>
      <c r="R36" s="25">
        <f t="shared" ref="R36:R47" si="25">R35+S35+600</f>
        <v>855894.6132384066</v>
      </c>
      <c r="S36" s="80">
        <f t="shared" si="6"/>
        <v>145502.08425052912</v>
      </c>
      <c r="T36" s="80">
        <f t="shared" ref="T36:T47" si="26">R36-S36</f>
        <v>710392.52898787754</v>
      </c>
      <c r="U36" s="80">
        <f>SUM($T$2:T36)</f>
        <v>4786642.6995048039</v>
      </c>
      <c r="V36" s="80">
        <f t="shared" ref="V36:V47" si="27">U36+S36+R36</f>
        <v>5788039.3969937395</v>
      </c>
    </row>
    <row r="37" spans="3:23">
      <c r="C37" s="25" t="str">
        <f t="shared" si="2"/>
        <v/>
      </c>
      <c r="D37" s="152" t="str">
        <f t="shared" si="16"/>
        <v/>
      </c>
      <c r="E37" s="27" t="e">
        <f t="shared" si="23"/>
        <v>#VALUE!</v>
      </c>
      <c r="F37" s="159" t="e">
        <f t="shared" si="10"/>
        <v>#VALUE!</v>
      </c>
      <c r="G37" s="152" t="e">
        <f t="shared" si="4"/>
        <v>#DIV/0!</v>
      </c>
      <c r="H37" s="155" t="e">
        <f t="shared" si="24"/>
        <v>#DIV/0!</v>
      </c>
      <c r="I37" s="159" t="e">
        <f t="shared" si="12"/>
        <v>#DIV/0!</v>
      </c>
      <c r="J37" s="27" t="str">
        <f t="shared" si="11"/>
        <v/>
      </c>
      <c r="R37" s="25">
        <f t="shared" si="25"/>
        <v>1001996.6974889357</v>
      </c>
      <c r="S37" s="80">
        <f t="shared" si="6"/>
        <v>170339.43857311909</v>
      </c>
      <c r="T37" s="80">
        <f t="shared" si="26"/>
        <v>831657.25891581655</v>
      </c>
      <c r="U37" s="80">
        <f>SUM($T$2:T37)</f>
        <v>5618299.9584206203</v>
      </c>
      <c r="V37" s="80">
        <f t="shared" si="27"/>
        <v>6790636.0944826752</v>
      </c>
    </row>
    <row r="38" spans="3:23">
      <c r="C38" s="25" t="str">
        <f t="shared" si="2"/>
        <v/>
      </c>
      <c r="D38" s="152" t="str">
        <f t="shared" si="16"/>
        <v/>
      </c>
      <c r="E38" s="27" t="e">
        <f t="shared" si="23"/>
        <v>#VALUE!</v>
      </c>
      <c r="F38" s="159" t="e">
        <f t="shared" si="10"/>
        <v>#VALUE!</v>
      </c>
      <c r="G38" s="152" t="e">
        <f t="shared" si="4"/>
        <v>#DIV/0!</v>
      </c>
      <c r="H38" s="155" t="e">
        <f t="shared" si="24"/>
        <v>#DIV/0!</v>
      </c>
      <c r="I38" s="159" t="e">
        <f t="shared" si="12"/>
        <v>#DIV/0!</v>
      </c>
      <c r="J38" s="27" t="str">
        <f t="shared" si="11"/>
        <v/>
      </c>
      <c r="R38" s="25">
        <f t="shared" si="25"/>
        <v>1172936.1360620547</v>
      </c>
      <c r="S38" s="80">
        <f t="shared" si="6"/>
        <v>199399.14313054929</v>
      </c>
      <c r="T38" s="80">
        <f t="shared" si="26"/>
        <v>973536.99293150543</v>
      </c>
      <c r="U38" s="80">
        <f>SUM($T$2:T38)</f>
        <v>6591836.951352126</v>
      </c>
      <c r="V38" s="80">
        <f t="shared" si="27"/>
        <v>7964172.2305447301</v>
      </c>
    </row>
    <row r="39" spans="3:23">
      <c r="C39" s="25" t="str">
        <f t="shared" si="2"/>
        <v/>
      </c>
      <c r="D39" s="152" t="str">
        <f t="shared" si="16"/>
        <v/>
      </c>
      <c r="E39" s="27" t="e">
        <f t="shared" si="23"/>
        <v>#VALUE!</v>
      </c>
      <c r="F39" s="159" t="e">
        <f t="shared" si="10"/>
        <v>#VALUE!</v>
      </c>
      <c r="G39" s="152" t="e">
        <f t="shared" si="4"/>
        <v>#DIV/0!</v>
      </c>
      <c r="H39" s="155" t="e">
        <f t="shared" si="24"/>
        <v>#DIV/0!</v>
      </c>
      <c r="I39" s="159" t="e">
        <f t="shared" si="12"/>
        <v>#DIV/0!</v>
      </c>
      <c r="J39" s="27" t="str">
        <f t="shared" si="11"/>
        <v/>
      </c>
      <c r="R39" s="25">
        <f t="shared" si="25"/>
        <v>1372935.2791926039</v>
      </c>
      <c r="S39" s="80">
        <f t="shared" si="6"/>
        <v>233398.99746274264</v>
      </c>
      <c r="T39" s="80">
        <f t="shared" si="26"/>
        <v>1139536.2817298612</v>
      </c>
      <c r="U39" s="80">
        <f>SUM($T$2:T39)</f>
        <v>7731373.2330819871</v>
      </c>
      <c r="V39" s="80">
        <f t="shared" si="27"/>
        <v>9337707.5097373333</v>
      </c>
    </row>
    <row r="40" spans="3:23">
      <c r="C40" s="25" t="str">
        <f t="shared" si="2"/>
        <v/>
      </c>
      <c r="D40" s="152" t="str">
        <f t="shared" si="16"/>
        <v/>
      </c>
      <c r="E40" s="27" t="e">
        <f t="shared" si="23"/>
        <v>#VALUE!</v>
      </c>
      <c r="F40" s="159" t="e">
        <f t="shared" si="10"/>
        <v>#VALUE!</v>
      </c>
      <c r="G40" s="152" t="e">
        <f t="shared" si="4"/>
        <v>#DIV/0!</v>
      </c>
      <c r="H40" s="155" t="e">
        <f t="shared" si="24"/>
        <v>#DIV/0!</v>
      </c>
      <c r="I40" s="159" t="e">
        <f t="shared" si="12"/>
        <v>#DIV/0!</v>
      </c>
      <c r="J40" s="27" t="str">
        <f t="shared" si="11"/>
        <v/>
      </c>
      <c r="R40" s="25">
        <f t="shared" si="25"/>
        <v>1606934.2766553466</v>
      </c>
      <c r="S40" s="80">
        <f t="shared" si="6"/>
        <v>273178.8270314089</v>
      </c>
      <c r="T40" s="80">
        <f t="shared" si="26"/>
        <v>1333755.4496239377</v>
      </c>
      <c r="U40" s="80">
        <f>SUM($T$2:T40)</f>
        <v>9065128.6827059239</v>
      </c>
      <c r="V40" s="80">
        <f t="shared" si="27"/>
        <v>10945241.786392679</v>
      </c>
    </row>
    <row r="41" spans="3:23">
      <c r="C41" s="25" t="str">
        <f t="shared" si="2"/>
        <v/>
      </c>
      <c r="D41" s="152" t="str">
        <f t="shared" si="16"/>
        <v/>
      </c>
      <c r="E41" s="27" t="e">
        <f t="shared" si="23"/>
        <v>#VALUE!</v>
      </c>
      <c r="F41" s="159" t="e">
        <f t="shared" si="10"/>
        <v>#VALUE!</v>
      </c>
      <c r="G41" s="152" t="e">
        <f t="shared" si="4"/>
        <v>#DIV/0!</v>
      </c>
      <c r="H41" s="155" t="e">
        <f t="shared" si="24"/>
        <v>#DIV/0!</v>
      </c>
      <c r="I41" s="159" t="e">
        <f t="shared" si="12"/>
        <v>#DIV/0!</v>
      </c>
      <c r="J41" s="27" t="str">
        <f t="shared" si="11"/>
        <v/>
      </c>
      <c r="R41" s="25">
        <f t="shared" si="25"/>
        <v>1880713.1036867555</v>
      </c>
      <c r="S41" s="80">
        <f t="shared" si="6"/>
        <v>319721.22762674844</v>
      </c>
      <c r="T41" s="80">
        <f t="shared" si="26"/>
        <v>1560991.8760600071</v>
      </c>
      <c r="U41" s="80">
        <f>SUM($T$2:T41)</f>
        <v>10626120.558765931</v>
      </c>
      <c r="V41" s="80">
        <f t="shared" si="27"/>
        <v>12826554.890079435</v>
      </c>
    </row>
    <row r="42" spans="3:23">
      <c r="C42" s="25" t="str">
        <f t="shared" si="2"/>
        <v/>
      </c>
      <c r="D42" s="152" t="str">
        <f t="shared" si="16"/>
        <v/>
      </c>
      <c r="E42" s="27" t="e">
        <f t="shared" si="23"/>
        <v>#VALUE!</v>
      </c>
      <c r="F42" s="159" t="e">
        <f t="shared" si="10"/>
        <v>#VALUE!</v>
      </c>
      <c r="G42" s="152" t="e">
        <f t="shared" si="4"/>
        <v>#DIV/0!</v>
      </c>
      <c r="H42" s="155" t="e">
        <f t="shared" si="24"/>
        <v>#DIV/0!</v>
      </c>
      <c r="I42" s="159" t="e">
        <f t="shared" si="12"/>
        <v>#DIV/0!</v>
      </c>
      <c r="J42" s="27" t="str">
        <f t="shared" si="11"/>
        <v/>
      </c>
      <c r="R42" s="25">
        <f t="shared" si="25"/>
        <v>2201034.3313135039</v>
      </c>
      <c r="S42" s="80">
        <f t="shared" si="6"/>
        <v>374175.83632329572</v>
      </c>
      <c r="T42" s="80">
        <f t="shared" si="26"/>
        <v>1826858.4949902082</v>
      </c>
      <c r="U42" s="80">
        <f>SUM($T$2:T42)</f>
        <v>12452979.05375614</v>
      </c>
      <c r="V42" s="80">
        <f t="shared" si="27"/>
        <v>15028189.221392939</v>
      </c>
    </row>
    <row r="43" spans="3:23">
      <c r="C43" s="25" t="str">
        <f t="shared" si="2"/>
        <v/>
      </c>
      <c r="D43" s="152" t="str">
        <f t="shared" si="16"/>
        <v/>
      </c>
      <c r="E43" s="27" t="e">
        <f t="shared" si="23"/>
        <v>#VALUE!</v>
      </c>
      <c r="F43" s="159" t="e">
        <f t="shared" si="10"/>
        <v>#VALUE!</v>
      </c>
      <c r="G43" s="152" t="e">
        <f t="shared" si="4"/>
        <v>#DIV/0!</v>
      </c>
      <c r="H43" s="155" t="e">
        <f t="shared" si="24"/>
        <v>#DIV/0!</v>
      </c>
      <c r="I43" s="159" t="e">
        <f t="shared" si="12"/>
        <v>#DIV/0!</v>
      </c>
      <c r="J43" s="27" t="str">
        <f t="shared" si="11"/>
        <v/>
      </c>
      <c r="R43" s="25">
        <f t="shared" si="25"/>
        <v>2575810.1676367996</v>
      </c>
      <c r="S43" s="80">
        <f t="shared" si="6"/>
        <v>437887.72849825595</v>
      </c>
      <c r="T43" s="80">
        <f t="shared" si="26"/>
        <v>2137922.4391385438</v>
      </c>
      <c r="U43" s="80">
        <f>SUM($T$2:T43)</f>
        <v>14590901.492894683</v>
      </c>
      <c r="V43" s="80">
        <f t="shared" si="27"/>
        <v>17604599.389029738</v>
      </c>
    </row>
    <row r="44" spans="3:23">
      <c r="C44" s="25" t="str">
        <f t="shared" si="2"/>
        <v/>
      </c>
      <c r="D44" s="152" t="str">
        <f t="shared" si="16"/>
        <v/>
      </c>
      <c r="E44" s="27" t="e">
        <f t="shared" si="23"/>
        <v>#VALUE!</v>
      </c>
      <c r="F44" s="159" t="e">
        <f t="shared" si="10"/>
        <v>#VALUE!</v>
      </c>
      <c r="G44" s="152" t="e">
        <f t="shared" si="4"/>
        <v>#DIV/0!</v>
      </c>
      <c r="H44" s="155" t="e">
        <f t="shared" si="24"/>
        <v>#DIV/0!</v>
      </c>
      <c r="I44" s="159" t="e">
        <f t="shared" si="12"/>
        <v>#DIV/0!</v>
      </c>
      <c r="J44" s="27" t="str">
        <f t="shared" si="11"/>
        <v/>
      </c>
      <c r="R44" s="25">
        <f t="shared" si="25"/>
        <v>3014297.8961350555</v>
      </c>
      <c r="S44" s="80">
        <f t="shared" si="6"/>
        <v>512430.64234295947</v>
      </c>
      <c r="T44" s="80">
        <f t="shared" si="26"/>
        <v>2501867.2537920959</v>
      </c>
      <c r="U44" s="80">
        <f>SUM($T$2:T44)</f>
        <v>17092768.746686779</v>
      </c>
      <c r="V44" s="80">
        <f t="shared" si="27"/>
        <v>20619497.285164792</v>
      </c>
    </row>
    <row r="45" spans="3:23">
      <c r="C45" s="25" t="str">
        <f t="shared" si="2"/>
        <v/>
      </c>
      <c r="D45" s="152" t="str">
        <f t="shared" si="16"/>
        <v/>
      </c>
      <c r="E45" s="27" t="e">
        <f t="shared" si="23"/>
        <v>#VALUE!</v>
      </c>
      <c r="F45" s="159" t="e">
        <f t="shared" si="10"/>
        <v>#VALUE!</v>
      </c>
      <c r="G45" s="152" t="e">
        <f t="shared" si="4"/>
        <v>#DIV/0!</v>
      </c>
      <c r="H45" s="155" t="e">
        <f t="shared" si="24"/>
        <v>#DIV/0!</v>
      </c>
      <c r="I45" s="159" t="e">
        <f t="shared" si="12"/>
        <v>#DIV/0!</v>
      </c>
      <c r="J45" s="27" t="str">
        <f t="shared" si="11"/>
        <v/>
      </c>
      <c r="R45" s="25">
        <f t="shared" si="25"/>
        <v>3527328.538478015</v>
      </c>
      <c r="S45" s="80">
        <f t="shared" si="6"/>
        <v>599645.85154126247</v>
      </c>
      <c r="T45" s="80">
        <f t="shared" si="26"/>
        <v>2927682.6869367524</v>
      </c>
      <c r="U45" s="80">
        <f>SUM($T$2:T45)</f>
        <v>20020451.43362353</v>
      </c>
      <c r="V45" s="80">
        <f t="shared" si="27"/>
        <v>24147425.823642805</v>
      </c>
    </row>
    <row r="46" spans="3:23">
      <c r="C46" s="25" t="str">
        <f t="shared" si="2"/>
        <v/>
      </c>
      <c r="D46" s="152" t="str">
        <f t="shared" si="16"/>
        <v/>
      </c>
      <c r="E46" s="27" t="e">
        <f t="shared" si="23"/>
        <v>#VALUE!</v>
      </c>
      <c r="F46" s="159" t="e">
        <f t="shared" si="10"/>
        <v>#VALUE!</v>
      </c>
      <c r="G46" s="152" t="e">
        <f t="shared" si="4"/>
        <v>#DIV/0!</v>
      </c>
      <c r="H46" s="155" t="e">
        <f t="shared" si="24"/>
        <v>#DIV/0!</v>
      </c>
      <c r="I46" s="159" t="e">
        <f t="shared" si="12"/>
        <v>#DIV/0!</v>
      </c>
      <c r="J46" s="27" t="str">
        <f t="shared" si="11"/>
        <v/>
      </c>
      <c r="R46" s="25">
        <f t="shared" si="25"/>
        <v>4127574.3900192776</v>
      </c>
      <c r="S46" s="80">
        <f t="shared" si="6"/>
        <v>701687.64630327723</v>
      </c>
      <c r="T46" s="80">
        <f t="shared" si="26"/>
        <v>3425886.7437160006</v>
      </c>
      <c r="U46" s="80">
        <f>SUM($T$2:T46)</f>
        <v>23446338.177339531</v>
      </c>
      <c r="V46" s="80">
        <f t="shared" si="27"/>
        <v>28275600.213662088</v>
      </c>
      <c r="W46" s="80">
        <f>V46-V34</f>
        <v>24075676.466862656</v>
      </c>
    </row>
    <row r="47" spans="3:23">
      <c r="C47" s="25" t="str">
        <f t="shared" si="2"/>
        <v/>
      </c>
      <c r="D47" s="152" t="str">
        <f t="shared" si="16"/>
        <v/>
      </c>
      <c r="E47" s="27" t="e">
        <f t="shared" si="23"/>
        <v>#VALUE!</v>
      </c>
      <c r="F47" s="159" t="e">
        <f t="shared" si="10"/>
        <v>#VALUE!</v>
      </c>
      <c r="G47" s="152" t="e">
        <f t="shared" si="4"/>
        <v>#DIV/0!</v>
      </c>
      <c r="H47" s="155" t="e">
        <f t="shared" si="24"/>
        <v>#DIV/0!</v>
      </c>
      <c r="I47" s="159" t="e">
        <f t="shared" si="12"/>
        <v>#DIV/0!</v>
      </c>
      <c r="J47" s="27" t="str">
        <f t="shared" si="11"/>
        <v/>
      </c>
      <c r="R47" s="25">
        <f t="shared" si="25"/>
        <v>4829862.0363225546</v>
      </c>
      <c r="S47" s="80">
        <f t="shared" si="6"/>
        <v>821076.54617483437</v>
      </c>
      <c r="T47" s="80">
        <f t="shared" si="26"/>
        <v>4008785.4901477201</v>
      </c>
      <c r="U47" s="80">
        <f>SUM($T$2:T47)</f>
        <v>27455123.667487253</v>
      </c>
      <c r="V47" s="80">
        <f t="shared" si="27"/>
        <v>33106062.249984644</v>
      </c>
      <c r="W47" s="80"/>
    </row>
    <row r="48" spans="3:23">
      <c r="C48" s="25" t="str">
        <f t="shared" si="2"/>
        <v/>
      </c>
      <c r="D48" s="152" t="str">
        <f t="shared" si="16"/>
        <v/>
      </c>
      <c r="E48" s="27" t="e">
        <f t="shared" si="23"/>
        <v>#VALUE!</v>
      </c>
      <c r="F48" s="159" t="e">
        <f t="shared" si="10"/>
        <v>#VALUE!</v>
      </c>
      <c r="G48" s="152" t="e">
        <f t="shared" si="4"/>
        <v>#DIV/0!</v>
      </c>
      <c r="H48" s="155" t="e">
        <f t="shared" si="24"/>
        <v>#DIV/0!</v>
      </c>
      <c r="I48" s="159" t="e">
        <f t="shared" si="12"/>
        <v>#DIV/0!</v>
      </c>
      <c r="J48" s="27" t="str">
        <f t="shared" si="11"/>
        <v/>
      </c>
    </row>
    <row r="49" spans="3:22">
      <c r="C49" s="25" t="str">
        <f t="shared" si="2"/>
        <v/>
      </c>
      <c r="D49" s="152" t="str">
        <f t="shared" si="16"/>
        <v/>
      </c>
      <c r="E49" s="27" t="e">
        <f t="shared" si="23"/>
        <v>#VALUE!</v>
      </c>
      <c r="F49" s="159" t="e">
        <f t="shared" si="10"/>
        <v>#VALUE!</v>
      </c>
      <c r="G49" s="152" t="e">
        <f t="shared" si="4"/>
        <v>#DIV/0!</v>
      </c>
      <c r="H49" s="155" t="e">
        <f t="shared" si="24"/>
        <v>#DIV/0!</v>
      </c>
      <c r="I49" s="159" t="e">
        <f t="shared" si="12"/>
        <v>#DIV/0!</v>
      </c>
      <c r="J49" s="27" t="str">
        <f t="shared" si="11"/>
        <v/>
      </c>
    </row>
    <row r="50" spans="3:22">
      <c r="C50" s="25" t="str">
        <f t="shared" si="2"/>
        <v/>
      </c>
      <c r="D50" s="152" t="str">
        <f t="shared" si="16"/>
        <v/>
      </c>
      <c r="E50" s="27" t="e">
        <f t="shared" ref="E50:E61" si="28">D50/C50</f>
        <v>#VALUE!</v>
      </c>
      <c r="F50" s="159" t="e">
        <f t="shared" si="10"/>
        <v>#VALUE!</v>
      </c>
      <c r="G50" s="152" t="e">
        <f t="shared" si="4"/>
        <v>#DIV/0!</v>
      </c>
      <c r="H50" s="155" t="e">
        <f t="shared" si="24"/>
        <v>#DIV/0!</v>
      </c>
      <c r="I50" s="159" t="e">
        <f t="shared" si="12"/>
        <v>#DIV/0!</v>
      </c>
      <c r="J50" s="27" t="str">
        <f t="shared" si="11"/>
        <v/>
      </c>
    </row>
    <row r="51" spans="3:22">
      <c r="C51" s="25" t="str">
        <f t="shared" si="2"/>
        <v/>
      </c>
      <c r="D51" s="152" t="str">
        <f t="shared" ref="D51:D80" si="29">IF(C51="","",STDEV(A51:A59))</f>
        <v/>
      </c>
      <c r="E51" s="27" t="e">
        <f t="shared" si="28"/>
        <v>#VALUE!</v>
      </c>
      <c r="F51" s="159" t="e">
        <f t="shared" si="10"/>
        <v>#VALUE!</v>
      </c>
      <c r="G51" s="152" t="e">
        <f t="shared" si="4"/>
        <v>#DIV/0!</v>
      </c>
      <c r="H51" s="155" t="e">
        <f t="shared" si="24"/>
        <v>#DIV/0!</v>
      </c>
      <c r="I51" s="159" t="e">
        <f t="shared" si="12"/>
        <v>#DIV/0!</v>
      </c>
      <c r="J51" s="27" t="str">
        <f t="shared" si="11"/>
        <v/>
      </c>
      <c r="R51" s="25">
        <v>1000</v>
      </c>
    </row>
    <row r="52" spans="3:22">
      <c r="C52" s="25" t="str">
        <f t="shared" si="2"/>
        <v/>
      </c>
      <c r="D52" s="152" t="str">
        <f t="shared" si="29"/>
        <v/>
      </c>
      <c r="E52" s="27" t="e">
        <f t="shared" si="28"/>
        <v>#VALUE!</v>
      </c>
      <c r="F52" s="159" t="e">
        <f t="shared" si="10"/>
        <v>#VALUE!</v>
      </c>
      <c r="G52" s="152" t="e">
        <f t="shared" si="4"/>
        <v>#DIV/0!</v>
      </c>
      <c r="H52" s="155" t="e">
        <f t="shared" si="24"/>
        <v>#DIV/0!</v>
      </c>
      <c r="I52" s="159" t="e">
        <f t="shared" si="12"/>
        <v>#DIV/0!</v>
      </c>
      <c r="J52" s="27" t="str">
        <f t="shared" si="11"/>
        <v/>
      </c>
      <c r="R52" s="25">
        <v>900</v>
      </c>
    </row>
    <row r="53" spans="3:22">
      <c r="C53" s="25" t="str">
        <f t="shared" si="2"/>
        <v/>
      </c>
      <c r="D53" s="152" t="str">
        <f t="shared" si="29"/>
        <v/>
      </c>
      <c r="E53" s="27" t="e">
        <f t="shared" si="28"/>
        <v>#VALUE!</v>
      </c>
      <c r="F53" s="159" t="e">
        <f t="shared" si="10"/>
        <v>#VALUE!</v>
      </c>
      <c r="G53" s="152" t="e">
        <f t="shared" si="4"/>
        <v>#DIV/0!</v>
      </c>
      <c r="H53" s="155" t="e">
        <f t="shared" si="24"/>
        <v>#DIV/0!</v>
      </c>
      <c r="I53" s="159" t="e">
        <f t="shared" si="12"/>
        <v>#DIV/0!</v>
      </c>
      <c r="J53" s="27" t="str">
        <f t="shared" si="11"/>
        <v/>
      </c>
      <c r="R53" s="25">
        <v>600</v>
      </c>
    </row>
    <row r="54" spans="3:22">
      <c r="C54" s="25" t="str">
        <f t="shared" si="2"/>
        <v/>
      </c>
      <c r="D54" s="152" t="str">
        <f t="shared" si="29"/>
        <v/>
      </c>
      <c r="E54" s="27" t="e">
        <f t="shared" si="28"/>
        <v>#VALUE!</v>
      </c>
      <c r="F54" s="159" t="e">
        <f t="shared" si="10"/>
        <v>#VALUE!</v>
      </c>
      <c r="G54" s="152" t="e">
        <f t="shared" si="4"/>
        <v>#DIV/0!</v>
      </c>
      <c r="H54" s="155" t="e">
        <f t="shared" si="24"/>
        <v>#DIV/0!</v>
      </c>
      <c r="I54" s="159" t="e">
        <f t="shared" si="12"/>
        <v>#DIV/0!</v>
      </c>
      <c r="J54" s="27" t="str">
        <f t="shared" si="11"/>
        <v/>
      </c>
      <c r="R54" s="25">
        <v>4000</v>
      </c>
    </row>
    <row r="55" spans="3:22">
      <c r="C55" s="25" t="str">
        <f t="shared" si="2"/>
        <v/>
      </c>
      <c r="D55" s="152" t="str">
        <f t="shared" si="29"/>
        <v/>
      </c>
      <c r="E55" s="27" t="e">
        <f t="shared" si="28"/>
        <v>#VALUE!</v>
      </c>
      <c r="F55" s="159" t="e">
        <f t="shared" si="10"/>
        <v>#VALUE!</v>
      </c>
      <c r="G55" s="152" t="e">
        <f t="shared" si="4"/>
        <v>#DIV/0!</v>
      </c>
      <c r="H55" s="155" t="e">
        <f t="shared" si="24"/>
        <v>#DIV/0!</v>
      </c>
      <c r="I55" s="159" t="e">
        <f t="shared" si="12"/>
        <v>#DIV/0!</v>
      </c>
      <c r="J55" s="27" t="str">
        <f t="shared" si="11"/>
        <v/>
      </c>
      <c r="R55" s="25">
        <f>SUM(R51:R54)</f>
        <v>6500</v>
      </c>
      <c r="S55" s="27">
        <f>R55/R57</f>
        <v>0.95588235294117652</v>
      </c>
    </row>
    <row r="56" spans="3:22">
      <c r="C56" s="25" t="str">
        <f t="shared" si="2"/>
        <v/>
      </c>
      <c r="D56" s="152" t="str">
        <f t="shared" si="29"/>
        <v/>
      </c>
      <c r="E56" s="27" t="e">
        <f t="shared" si="28"/>
        <v>#VALUE!</v>
      </c>
      <c r="F56" s="159" t="e">
        <f t="shared" si="10"/>
        <v>#VALUE!</v>
      </c>
      <c r="G56" s="152" t="e">
        <f t="shared" si="4"/>
        <v>#DIV/0!</v>
      </c>
      <c r="H56" s="155" t="e">
        <f t="shared" si="24"/>
        <v>#DIV/0!</v>
      </c>
      <c r="I56" s="159" t="e">
        <f t="shared" si="12"/>
        <v>#DIV/0!</v>
      </c>
      <c r="J56" s="27" t="str">
        <f t="shared" si="11"/>
        <v/>
      </c>
      <c r="R56" s="25">
        <v>300</v>
      </c>
      <c r="S56" s="27">
        <f>R56/R57</f>
        <v>4.4117647058823532E-2</v>
      </c>
    </row>
    <row r="57" spans="3:22">
      <c r="C57" s="25" t="str">
        <f t="shared" si="2"/>
        <v/>
      </c>
      <c r="D57" s="152" t="str">
        <f t="shared" si="29"/>
        <v/>
      </c>
      <c r="E57" s="27" t="e">
        <f t="shared" si="28"/>
        <v>#VALUE!</v>
      </c>
      <c r="F57" s="159" t="e">
        <f t="shared" si="10"/>
        <v>#VALUE!</v>
      </c>
      <c r="G57" s="152" t="e">
        <f t="shared" si="4"/>
        <v>#DIV/0!</v>
      </c>
      <c r="H57" s="155" t="e">
        <f t="shared" si="24"/>
        <v>#DIV/0!</v>
      </c>
      <c r="I57" s="159" t="e">
        <f t="shared" si="12"/>
        <v>#DIV/0!</v>
      </c>
      <c r="J57" s="27" t="str">
        <f t="shared" si="11"/>
        <v/>
      </c>
      <c r="R57" s="25">
        <f>R56+R55</f>
        <v>6800</v>
      </c>
    </row>
    <row r="58" spans="3:22">
      <c r="C58" s="25" t="str">
        <f t="shared" si="2"/>
        <v/>
      </c>
      <c r="D58" s="152" t="str">
        <f t="shared" si="29"/>
        <v/>
      </c>
      <c r="E58" s="27" t="e">
        <f t="shared" si="28"/>
        <v>#VALUE!</v>
      </c>
      <c r="F58" s="159" t="e">
        <f t="shared" si="10"/>
        <v>#VALUE!</v>
      </c>
      <c r="G58" s="152" t="e">
        <f t="shared" si="4"/>
        <v>#DIV/0!</v>
      </c>
      <c r="H58" s="155" t="e">
        <f t="shared" si="24"/>
        <v>#DIV/0!</v>
      </c>
      <c r="I58" s="159" t="e">
        <f t="shared" si="12"/>
        <v>#DIV/0!</v>
      </c>
      <c r="J58" s="27" t="str">
        <f t="shared" si="11"/>
        <v/>
      </c>
    </row>
    <row r="59" spans="3:22">
      <c r="C59" s="25" t="str">
        <f t="shared" si="2"/>
        <v/>
      </c>
      <c r="D59" s="152" t="str">
        <f t="shared" si="29"/>
        <v/>
      </c>
      <c r="E59" s="27" t="e">
        <f t="shared" si="28"/>
        <v>#VALUE!</v>
      </c>
      <c r="F59" s="159" t="e">
        <f t="shared" si="10"/>
        <v>#VALUE!</v>
      </c>
      <c r="G59" s="152" t="e">
        <f t="shared" si="4"/>
        <v>#DIV/0!</v>
      </c>
      <c r="H59" s="155" t="e">
        <f t="shared" si="24"/>
        <v>#DIV/0!</v>
      </c>
      <c r="I59" s="159" t="e">
        <f t="shared" si="12"/>
        <v>#DIV/0!</v>
      </c>
      <c r="J59" s="27" t="str">
        <f t="shared" si="11"/>
        <v/>
      </c>
      <c r="R59" s="25">
        <v>24075676</v>
      </c>
      <c r="S59" s="80">
        <f>R59*S56</f>
        <v>1062162.1764705882</v>
      </c>
    </row>
    <row r="60" spans="3:22">
      <c r="C60" s="25" t="str">
        <f t="shared" si="2"/>
        <v/>
      </c>
      <c r="D60" s="152" t="str">
        <f t="shared" si="29"/>
        <v/>
      </c>
      <c r="E60" s="27" t="e">
        <f t="shared" si="28"/>
        <v>#VALUE!</v>
      </c>
      <c r="F60" s="159" t="e">
        <f t="shared" si="10"/>
        <v>#VALUE!</v>
      </c>
      <c r="G60" s="152" t="e">
        <f t="shared" si="4"/>
        <v>#DIV/0!</v>
      </c>
      <c r="H60" s="155" t="e">
        <f t="shared" si="24"/>
        <v>#DIV/0!</v>
      </c>
      <c r="I60" s="159" t="e">
        <f t="shared" si="12"/>
        <v>#DIV/0!</v>
      </c>
      <c r="J60" s="27" t="str">
        <f t="shared" si="11"/>
        <v/>
      </c>
    </row>
    <row r="61" spans="3:22">
      <c r="C61" s="25" t="str">
        <f t="shared" si="2"/>
        <v/>
      </c>
      <c r="D61" s="152" t="str">
        <f t="shared" si="29"/>
        <v/>
      </c>
      <c r="E61" s="27" t="e">
        <f t="shared" si="28"/>
        <v>#VALUE!</v>
      </c>
      <c r="F61" s="159" t="e">
        <f t="shared" si="10"/>
        <v>#VALUE!</v>
      </c>
      <c r="G61" s="152" t="e">
        <f t="shared" si="4"/>
        <v>#DIV/0!</v>
      </c>
      <c r="H61" s="155" t="e">
        <f t="shared" si="24"/>
        <v>#DIV/0!</v>
      </c>
      <c r="I61" s="159" t="e">
        <f t="shared" si="12"/>
        <v>#DIV/0!</v>
      </c>
      <c r="J61" s="27" t="str">
        <f t="shared" si="11"/>
        <v/>
      </c>
    </row>
    <row r="62" spans="3:22">
      <c r="C62" s="25" t="str">
        <f t="shared" si="2"/>
        <v/>
      </c>
      <c r="D62" s="152" t="str">
        <f t="shared" si="29"/>
        <v/>
      </c>
      <c r="E62" s="27" t="e">
        <f t="shared" ref="E62:E67" si="30">D62/C62</f>
        <v>#VALUE!</v>
      </c>
      <c r="F62" s="159" t="e">
        <f t="shared" si="10"/>
        <v>#VALUE!</v>
      </c>
      <c r="G62" s="152" t="e">
        <f t="shared" si="4"/>
        <v>#DIV/0!</v>
      </c>
      <c r="H62" s="155" t="e">
        <f t="shared" si="24"/>
        <v>#DIV/0!</v>
      </c>
      <c r="I62" s="159" t="e">
        <f t="shared" si="12"/>
        <v>#DIV/0!</v>
      </c>
      <c r="J62" s="27" t="str">
        <f t="shared" si="11"/>
        <v/>
      </c>
      <c r="R62" s="25">
        <v>4100</v>
      </c>
      <c r="S62" s="80">
        <f>R62*20%</f>
        <v>820</v>
      </c>
      <c r="T62" s="220">
        <v>8.5000000000000006E-3</v>
      </c>
      <c r="U62" s="7">
        <f>V62*12</f>
        <v>288</v>
      </c>
      <c r="V62" s="7">
        <v>24</v>
      </c>
    </row>
    <row r="63" spans="3:22">
      <c r="C63" s="25" t="str">
        <f t="shared" si="2"/>
        <v/>
      </c>
      <c r="D63" s="152" t="str">
        <f t="shared" si="29"/>
        <v/>
      </c>
      <c r="E63" s="27" t="e">
        <f t="shared" si="30"/>
        <v>#VALUE!</v>
      </c>
      <c r="F63" s="159" t="e">
        <f t="shared" si="10"/>
        <v>#VALUE!</v>
      </c>
      <c r="G63" s="152" t="e">
        <f t="shared" si="4"/>
        <v>#DIV/0!</v>
      </c>
      <c r="H63" s="155" t="e">
        <f t="shared" si="24"/>
        <v>#DIV/0!</v>
      </c>
      <c r="I63" s="159" t="e">
        <f t="shared" si="12"/>
        <v>#DIV/0!</v>
      </c>
      <c r="J63" s="27" t="str">
        <f t="shared" si="11"/>
        <v/>
      </c>
      <c r="R63" s="25">
        <f>FV(T62,U62,-S62)</f>
        <v>1007747.5093152359</v>
      </c>
    </row>
    <row r="64" spans="3:22">
      <c r="C64" s="25" t="str">
        <f t="shared" si="2"/>
        <v/>
      </c>
      <c r="D64" s="152" t="str">
        <f t="shared" si="29"/>
        <v/>
      </c>
      <c r="E64" s="27" t="e">
        <f t="shared" si="30"/>
        <v>#VALUE!</v>
      </c>
      <c r="F64" s="159" t="e">
        <f t="shared" si="10"/>
        <v>#VALUE!</v>
      </c>
      <c r="G64" s="152" t="e">
        <f t="shared" si="4"/>
        <v>#DIV/0!</v>
      </c>
      <c r="H64" s="155" t="e">
        <f t="shared" si="24"/>
        <v>#DIV/0!</v>
      </c>
      <c r="I64" s="159" t="e">
        <f t="shared" si="12"/>
        <v>#DIV/0!</v>
      </c>
      <c r="J64" s="27" t="str">
        <f t="shared" si="11"/>
        <v/>
      </c>
      <c r="T64" s="80">
        <f>R63*T62*85%</f>
        <v>7280.9757548025791</v>
      </c>
      <c r="U64" s="80">
        <f>T64*60%</f>
        <v>4368.5854528815471</v>
      </c>
    </row>
    <row r="65" spans="3:10">
      <c r="C65" s="25" t="str">
        <f t="shared" si="2"/>
        <v/>
      </c>
      <c r="D65" s="152" t="str">
        <f t="shared" si="29"/>
        <v/>
      </c>
      <c r="E65" s="27" t="e">
        <f t="shared" si="30"/>
        <v>#VALUE!</v>
      </c>
      <c r="F65" s="159" t="e">
        <f t="shared" si="10"/>
        <v>#VALUE!</v>
      </c>
      <c r="G65" s="152" t="e">
        <f t="shared" si="4"/>
        <v>#DIV/0!</v>
      </c>
      <c r="H65" s="155" t="e">
        <f t="shared" si="24"/>
        <v>#DIV/0!</v>
      </c>
      <c r="I65" s="159" t="e">
        <f t="shared" si="12"/>
        <v>#DIV/0!</v>
      </c>
      <c r="J65" s="27" t="str">
        <f t="shared" si="11"/>
        <v/>
      </c>
    </row>
    <row r="66" spans="3:10">
      <c r="C66" s="25" t="str">
        <f t="shared" si="2"/>
        <v/>
      </c>
      <c r="D66" s="152" t="str">
        <f t="shared" si="29"/>
        <v/>
      </c>
      <c r="E66" s="27" t="e">
        <f t="shared" si="30"/>
        <v>#VALUE!</v>
      </c>
      <c r="F66" s="159" t="e">
        <f t="shared" si="10"/>
        <v>#VALUE!</v>
      </c>
      <c r="G66" s="152" t="e">
        <f t="shared" si="4"/>
        <v>#DIV/0!</v>
      </c>
      <c r="H66" s="155" t="e">
        <f t="shared" ref="H66:H80" si="31">G66/C66</f>
        <v>#DIV/0!</v>
      </c>
      <c r="I66" s="159" t="e">
        <f t="shared" si="12"/>
        <v>#DIV/0!</v>
      </c>
      <c r="J66" s="27" t="str">
        <f t="shared" si="11"/>
        <v/>
      </c>
    </row>
    <row r="67" spans="3:10">
      <c r="C67" s="25" t="str">
        <f t="shared" ref="C67:C80" si="32">IF(COUNTBLANK(A67:A75)&gt;0,"",AVERAGE(A67:A75))</f>
        <v/>
      </c>
      <c r="D67" s="152" t="str">
        <f t="shared" si="29"/>
        <v/>
      </c>
      <c r="E67" s="27" t="e">
        <f t="shared" si="30"/>
        <v>#VALUE!</v>
      </c>
      <c r="F67" s="159" t="e">
        <f t="shared" si="10"/>
        <v>#VALUE!</v>
      </c>
      <c r="G67" s="152" t="e">
        <f t="shared" ref="G67:G80" si="33">VAR(A67:A75)</f>
        <v>#DIV/0!</v>
      </c>
      <c r="H67" s="155" t="e">
        <f t="shared" si="31"/>
        <v>#DIV/0!</v>
      </c>
      <c r="I67" s="159" t="e">
        <f t="shared" si="12"/>
        <v>#DIV/0!</v>
      </c>
      <c r="J67" s="27" t="str">
        <f t="shared" si="11"/>
        <v/>
      </c>
    </row>
    <row r="68" spans="3:10">
      <c r="C68" s="25" t="str">
        <f t="shared" si="32"/>
        <v/>
      </c>
      <c r="D68" s="152" t="str">
        <f t="shared" si="29"/>
        <v/>
      </c>
      <c r="E68" s="27" t="e">
        <f t="shared" ref="E68:E80" si="34">D68/C68</f>
        <v>#VALUE!</v>
      </c>
      <c r="F68" s="159" t="e">
        <f t="shared" ref="F68:F80" si="35">E68/E67</f>
        <v>#VALUE!</v>
      </c>
      <c r="G68" s="152" t="e">
        <f t="shared" si="33"/>
        <v>#DIV/0!</v>
      </c>
      <c r="H68" s="155" t="e">
        <f t="shared" si="31"/>
        <v>#DIV/0!</v>
      </c>
      <c r="I68" s="159" t="e">
        <f t="shared" si="12"/>
        <v>#DIV/0!</v>
      </c>
      <c r="J68" s="27" t="str">
        <f t="shared" ref="J68:J80" si="36">IF(COUNTBLANK(B68:B76)&gt;0,"",AVERAGE(B68:B76))</f>
        <v/>
      </c>
    </row>
    <row r="69" spans="3:10">
      <c r="C69" s="25" t="str">
        <f t="shared" si="32"/>
        <v/>
      </c>
      <c r="D69" s="152" t="str">
        <f t="shared" si="29"/>
        <v/>
      </c>
      <c r="E69" s="27" t="e">
        <f t="shared" si="34"/>
        <v>#VALUE!</v>
      </c>
      <c r="F69" s="159" t="e">
        <f t="shared" si="35"/>
        <v>#VALUE!</v>
      </c>
      <c r="G69" s="152" t="e">
        <f t="shared" si="33"/>
        <v>#DIV/0!</v>
      </c>
      <c r="H69" s="155" t="e">
        <f t="shared" si="31"/>
        <v>#DIV/0!</v>
      </c>
      <c r="I69" s="159" t="e">
        <f t="shared" ref="I69:I80" si="37">ROUND(H69/H68,2)</f>
        <v>#DIV/0!</v>
      </c>
      <c r="J69" s="27" t="str">
        <f t="shared" si="36"/>
        <v/>
      </c>
    </row>
    <row r="70" spans="3:10">
      <c r="C70" s="25" t="str">
        <f t="shared" si="32"/>
        <v/>
      </c>
      <c r="D70" s="152" t="str">
        <f t="shared" si="29"/>
        <v/>
      </c>
      <c r="E70" s="27" t="e">
        <f t="shared" si="34"/>
        <v>#VALUE!</v>
      </c>
      <c r="F70" s="159" t="e">
        <f t="shared" si="35"/>
        <v>#VALUE!</v>
      </c>
      <c r="G70" s="152" t="e">
        <f t="shared" si="33"/>
        <v>#DIV/0!</v>
      </c>
      <c r="H70" s="155" t="e">
        <f t="shared" si="31"/>
        <v>#DIV/0!</v>
      </c>
      <c r="I70" s="159" t="e">
        <f t="shared" si="37"/>
        <v>#DIV/0!</v>
      </c>
      <c r="J70" s="27" t="str">
        <f t="shared" si="36"/>
        <v/>
      </c>
    </row>
    <row r="71" spans="3:10">
      <c r="C71" s="25" t="str">
        <f t="shared" si="32"/>
        <v/>
      </c>
      <c r="D71" s="152" t="str">
        <f t="shared" si="29"/>
        <v/>
      </c>
      <c r="E71" s="27" t="e">
        <f t="shared" si="34"/>
        <v>#VALUE!</v>
      </c>
      <c r="F71" s="159" t="e">
        <f t="shared" si="35"/>
        <v>#VALUE!</v>
      </c>
      <c r="G71" s="152" t="e">
        <f t="shared" si="33"/>
        <v>#DIV/0!</v>
      </c>
      <c r="H71" s="155" t="e">
        <f t="shared" si="31"/>
        <v>#DIV/0!</v>
      </c>
      <c r="I71" s="159" t="e">
        <f t="shared" si="37"/>
        <v>#DIV/0!</v>
      </c>
      <c r="J71" s="27" t="str">
        <f t="shared" si="36"/>
        <v/>
      </c>
    </row>
    <row r="72" spans="3:10">
      <c r="C72" s="25" t="str">
        <f t="shared" si="32"/>
        <v/>
      </c>
      <c r="D72" s="152" t="str">
        <f t="shared" si="29"/>
        <v/>
      </c>
      <c r="E72" s="27" t="e">
        <f t="shared" si="34"/>
        <v>#VALUE!</v>
      </c>
      <c r="F72" s="159" t="e">
        <f t="shared" si="35"/>
        <v>#VALUE!</v>
      </c>
      <c r="G72" s="152" t="e">
        <f t="shared" si="33"/>
        <v>#DIV/0!</v>
      </c>
      <c r="H72" s="155" t="e">
        <f t="shared" si="31"/>
        <v>#DIV/0!</v>
      </c>
      <c r="I72" s="159" t="e">
        <f t="shared" si="37"/>
        <v>#DIV/0!</v>
      </c>
      <c r="J72" s="27" t="str">
        <f t="shared" si="36"/>
        <v/>
      </c>
    </row>
    <row r="73" spans="3:10">
      <c r="C73" s="25" t="str">
        <f t="shared" si="32"/>
        <v/>
      </c>
      <c r="D73" s="152" t="str">
        <f t="shared" si="29"/>
        <v/>
      </c>
      <c r="E73" s="27" t="e">
        <f t="shared" si="34"/>
        <v>#VALUE!</v>
      </c>
      <c r="F73" s="159" t="e">
        <f t="shared" si="35"/>
        <v>#VALUE!</v>
      </c>
      <c r="G73" s="152" t="e">
        <f t="shared" si="33"/>
        <v>#DIV/0!</v>
      </c>
      <c r="H73" s="155" t="e">
        <f t="shared" si="31"/>
        <v>#DIV/0!</v>
      </c>
      <c r="I73" s="159" t="e">
        <f t="shared" si="37"/>
        <v>#DIV/0!</v>
      </c>
      <c r="J73" s="27" t="str">
        <f t="shared" si="36"/>
        <v/>
      </c>
    </row>
    <row r="74" spans="3:10">
      <c r="C74" s="25" t="str">
        <f t="shared" si="32"/>
        <v/>
      </c>
      <c r="D74" s="152" t="str">
        <f t="shared" si="29"/>
        <v/>
      </c>
      <c r="E74" s="27" t="e">
        <f t="shared" si="34"/>
        <v>#VALUE!</v>
      </c>
      <c r="F74" s="159" t="e">
        <f t="shared" si="35"/>
        <v>#VALUE!</v>
      </c>
      <c r="G74" s="152" t="e">
        <f t="shared" si="33"/>
        <v>#DIV/0!</v>
      </c>
      <c r="H74" s="155" t="e">
        <f t="shared" si="31"/>
        <v>#DIV/0!</v>
      </c>
      <c r="I74" s="159" t="e">
        <f t="shared" si="37"/>
        <v>#DIV/0!</v>
      </c>
      <c r="J74" s="27" t="str">
        <f t="shared" si="36"/>
        <v/>
      </c>
    </row>
    <row r="75" spans="3:10">
      <c r="C75" s="25" t="str">
        <f t="shared" si="32"/>
        <v/>
      </c>
      <c r="D75" s="152" t="str">
        <f t="shared" si="29"/>
        <v/>
      </c>
      <c r="E75" s="27" t="e">
        <f t="shared" si="34"/>
        <v>#VALUE!</v>
      </c>
      <c r="F75" s="159" t="e">
        <f t="shared" si="35"/>
        <v>#VALUE!</v>
      </c>
      <c r="G75" s="152" t="e">
        <f t="shared" si="33"/>
        <v>#DIV/0!</v>
      </c>
      <c r="H75" s="155" t="e">
        <f t="shared" si="31"/>
        <v>#DIV/0!</v>
      </c>
      <c r="I75" s="159" t="e">
        <f t="shared" si="37"/>
        <v>#DIV/0!</v>
      </c>
      <c r="J75" s="27" t="str">
        <f t="shared" si="36"/>
        <v/>
      </c>
    </row>
    <row r="76" spans="3:10">
      <c r="C76" s="25" t="str">
        <f t="shared" si="32"/>
        <v/>
      </c>
      <c r="D76" s="152" t="str">
        <f t="shared" si="29"/>
        <v/>
      </c>
      <c r="E76" s="27" t="e">
        <f t="shared" si="34"/>
        <v>#VALUE!</v>
      </c>
      <c r="F76" s="159" t="e">
        <f t="shared" si="35"/>
        <v>#VALUE!</v>
      </c>
      <c r="G76" s="152" t="e">
        <f t="shared" si="33"/>
        <v>#DIV/0!</v>
      </c>
      <c r="H76" s="155" t="e">
        <f t="shared" si="31"/>
        <v>#DIV/0!</v>
      </c>
      <c r="I76" s="159" t="e">
        <f t="shared" si="37"/>
        <v>#DIV/0!</v>
      </c>
      <c r="J76" s="27" t="str">
        <f t="shared" si="36"/>
        <v/>
      </c>
    </row>
    <row r="77" spans="3:10">
      <c r="C77" s="25" t="str">
        <f t="shared" si="32"/>
        <v/>
      </c>
      <c r="D77" s="152" t="str">
        <f t="shared" si="29"/>
        <v/>
      </c>
      <c r="E77" s="27" t="e">
        <f t="shared" si="34"/>
        <v>#VALUE!</v>
      </c>
      <c r="F77" s="159" t="e">
        <f t="shared" si="35"/>
        <v>#VALUE!</v>
      </c>
      <c r="G77" s="152" t="e">
        <f t="shared" si="33"/>
        <v>#DIV/0!</v>
      </c>
      <c r="H77" s="155" t="e">
        <f t="shared" si="31"/>
        <v>#DIV/0!</v>
      </c>
      <c r="I77" s="159" t="e">
        <f t="shared" si="37"/>
        <v>#DIV/0!</v>
      </c>
      <c r="J77" s="27" t="str">
        <f t="shared" si="36"/>
        <v/>
      </c>
    </row>
    <row r="78" spans="3:10">
      <c r="C78" s="25" t="str">
        <f t="shared" si="32"/>
        <v/>
      </c>
      <c r="D78" s="152" t="str">
        <f t="shared" si="29"/>
        <v/>
      </c>
      <c r="E78" s="27" t="e">
        <f t="shared" si="34"/>
        <v>#VALUE!</v>
      </c>
      <c r="F78" s="159" t="e">
        <f t="shared" si="35"/>
        <v>#VALUE!</v>
      </c>
      <c r="G78" s="152" t="e">
        <f t="shared" si="33"/>
        <v>#DIV/0!</v>
      </c>
      <c r="H78" s="155" t="e">
        <f t="shared" si="31"/>
        <v>#DIV/0!</v>
      </c>
      <c r="I78" s="159" t="e">
        <f t="shared" si="37"/>
        <v>#DIV/0!</v>
      </c>
      <c r="J78" s="27" t="str">
        <f t="shared" si="36"/>
        <v/>
      </c>
    </row>
    <row r="79" spans="3:10">
      <c r="C79" s="25" t="str">
        <f t="shared" si="32"/>
        <v/>
      </c>
      <c r="D79" s="152" t="str">
        <f t="shared" si="29"/>
        <v/>
      </c>
      <c r="E79" s="27" t="e">
        <f t="shared" si="34"/>
        <v>#VALUE!</v>
      </c>
      <c r="F79" s="159" t="e">
        <f t="shared" si="35"/>
        <v>#VALUE!</v>
      </c>
      <c r="G79" s="152" t="e">
        <f t="shared" si="33"/>
        <v>#DIV/0!</v>
      </c>
      <c r="H79" s="155" t="e">
        <f t="shared" si="31"/>
        <v>#DIV/0!</v>
      </c>
      <c r="I79" s="159" t="e">
        <f t="shared" si="37"/>
        <v>#DIV/0!</v>
      </c>
      <c r="J79" s="27" t="str">
        <f t="shared" si="36"/>
        <v/>
      </c>
    </row>
    <row r="80" spans="3:10">
      <c r="C80" s="25" t="str">
        <f t="shared" si="32"/>
        <v/>
      </c>
      <c r="D80" s="152" t="str">
        <f t="shared" si="29"/>
        <v/>
      </c>
      <c r="E80" s="27" t="e">
        <f t="shared" si="34"/>
        <v>#VALUE!</v>
      </c>
      <c r="F80" s="159" t="e">
        <f t="shared" si="35"/>
        <v>#VALUE!</v>
      </c>
      <c r="G80" s="152" t="e">
        <f t="shared" si="33"/>
        <v>#DIV/0!</v>
      </c>
      <c r="H80" s="155" t="e">
        <f t="shared" si="31"/>
        <v>#DIV/0!</v>
      </c>
      <c r="I80" s="159" t="e">
        <f t="shared" si="37"/>
        <v>#DIV/0!</v>
      </c>
      <c r="J80" s="27" t="str">
        <f t="shared" si="36"/>
        <v/>
      </c>
    </row>
  </sheetData>
  <conditionalFormatting sqref="I4:I80">
    <cfRule type="cellIs" dxfId="1" priority="1" operator="lessThanOrEqual">
      <formula>0.5</formula>
    </cfRule>
    <cfRule type="cellIs" dxfId="0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1"/>
  <dimension ref="A1:R90"/>
  <sheetViews>
    <sheetView topLeftCell="A7" workbookViewId="0">
      <selection activeCell="E31" sqref="E31"/>
    </sheetView>
  </sheetViews>
  <sheetFormatPr defaultRowHeight="10.5"/>
  <cols>
    <col min="1" max="1" width="9.140625" style="196"/>
    <col min="2" max="2" width="11.140625" style="196" customWidth="1"/>
    <col min="3" max="8" width="9.140625" style="196"/>
    <col min="9" max="9" width="11.28515625" style="196" customWidth="1"/>
    <col min="10" max="10" width="9.140625" style="196"/>
    <col min="11" max="11" width="12.7109375" style="196" customWidth="1"/>
    <col min="12" max="16384" width="9.140625" style="196"/>
  </cols>
  <sheetData>
    <row r="1" spans="1:16">
      <c r="A1" s="170" t="s">
        <v>199</v>
      </c>
      <c r="B1" s="171" t="s">
        <v>210</v>
      </c>
      <c r="C1" s="170" t="s">
        <v>200</v>
      </c>
      <c r="D1" s="170" t="s">
        <v>201</v>
      </c>
      <c r="E1" s="170" t="s">
        <v>202</v>
      </c>
      <c r="F1" s="170" t="s">
        <v>203</v>
      </c>
      <c r="G1" s="170" t="s">
        <v>211</v>
      </c>
      <c r="H1" s="170" t="s">
        <v>212</v>
      </c>
      <c r="I1" s="171" t="s">
        <v>213</v>
      </c>
      <c r="J1" s="170" t="s">
        <v>217</v>
      </c>
      <c r="K1" s="170" t="s">
        <v>204</v>
      </c>
      <c r="L1" s="170" t="s">
        <v>205</v>
      </c>
      <c r="M1" s="170" t="s">
        <v>206</v>
      </c>
      <c r="N1" s="170" t="s">
        <v>207</v>
      </c>
      <c r="O1" s="170" t="s">
        <v>15</v>
      </c>
    </row>
    <row r="2" spans="1:16">
      <c r="A2" s="194"/>
      <c r="B2" s="194"/>
      <c r="C2" s="194" t="s">
        <v>191</v>
      </c>
      <c r="D2" s="194"/>
      <c r="E2" s="194" t="s">
        <v>197</v>
      </c>
      <c r="F2" s="194"/>
      <c r="G2" s="194"/>
      <c r="H2" s="194"/>
      <c r="I2" s="194"/>
      <c r="J2" s="176"/>
      <c r="K2" s="180" t="s">
        <v>222</v>
      </c>
      <c r="L2" s="176"/>
      <c r="M2" s="189">
        <v>-13.96</v>
      </c>
      <c r="N2" s="208">
        <v>-594.52</v>
      </c>
      <c r="O2" s="195">
        <f>Tabela9[[#This Row],[Swap]]+Tabela9[[#This Row],[Profit]]</f>
        <v>-608.48</v>
      </c>
      <c r="P2" s="196">
        <v>-27.81</v>
      </c>
    </row>
    <row r="3" spans="1:16">
      <c r="A3" s="181"/>
      <c r="B3" s="190"/>
      <c r="C3" s="180" t="s">
        <v>191</v>
      </c>
      <c r="D3" s="180"/>
      <c r="E3" s="180" t="s">
        <v>194</v>
      </c>
      <c r="F3" s="180"/>
      <c r="G3" s="180"/>
      <c r="H3" s="180"/>
      <c r="I3" s="190"/>
      <c r="J3" s="180"/>
      <c r="K3" s="180" t="s">
        <v>221</v>
      </c>
      <c r="L3" s="180"/>
      <c r="M3" s="165"/>
      <c r="N3" s="174">
        <v>-299.45</v>
      </c>
      <c r="O3" s="195">
        <f>Tabela9[[#This Row],[Swap]]+Tabela9[[#This Row],[Profit]]</f>
        <v>-299.45</v>
      </c>
    </row>
    <row r="4" spans="1:16">
      <c r="A4" s="178"/>
      <c r="B4" s="178"/>
      <c r="C4" s="178" t="s">
        <v>191</v>
      </c>
      <c r="D4" s="178"/>
      <c r="E4" s="178" t="s">
        <v>192</v>
      </c>
      <c r="F4" s="178"/>
      <c r="G4" s="178"/>
      <c r="H4" s="178"/>
      <c r="I4" s="178"/>
      <c r="J4" s="177"/>
      <c r="K4" s="180" t="s">
        <v>221</v>
      </c>
      <c r="L4" s="180"/>
      <c r="M4" s="165"/>
      <c r="N4" s="198">
        <v>-401.33</v>
      </c>
      <c r="O4" s="195">
        <f>Tabela9[[#This Row],[Swap]]+Tabela9[[#This Row],[Profit]]</f>
        <v>-401.33</v>
      </c>
    </row>
    <row r="5" spans="1:16">
      <c r="A5" s="194"/>
      <c r="B5" s="202"/>
      <c r="C5" s="176" t="s">
        <v>193</v>
      </c>
      <c r="D5" s="176"/>
      <c r="E5" s="176" t="s">
        <v>195</v>
      </c>
      <c r="F5" s="176"/>
      <c r="G5" s="176"/>
      <c r="H5" s="176"/>
      <c r="I5" s="202"/>
      <c r="J5" s="176"/>
      <c r="K5" s="180" t="s">
        <v>221</v>
      </c>
      <c r="L5" s="176"/>
      <c r="M5" s="163"/>
      <c r="N5" s="175">
        <v>-194.7</v>
      </c>
      <c r="O5" s="195">
        <f>Tabela9[[#This Row],[Swap]]+Tabela9[[#This Row],[Profit]]</f>
        <v>-194.7</v>
      </c>
    </row>
    <row r="6" spans="1:16">
      <c r="A6" s="194"/>
      <c r="B6" s="194"/>
      <c r="C6" s="194" t="s">
        <v>193</v>
      </c>
      <c r="D6" s="194"/>
      <c r="E6" s="194" t="s">
        <v>192</v>
      </c>
      <c r="F6" s="194"/>
      <c r="G6" s="194"/>
      <c r="H6" s="194"/>
      <c r="I6" s="194"/>
      <c r="J6" s="176"/>
      <c r="K6" s="180" t="s">
        <v>221</v>
      </c>
      <c r="L6" s="176"/>
      <c r="M6" s="163"/>
      <c r="N6" s="198">
        <v>-461.63</v>
      </c>
      <c r="O6" s="195">
        <f>Tabela9[[#This Row],[Swap]]+Tabela9[[#This Row],[Profit]]</f>
        <v>-461.63</v>
      </c>
    </row>
    <row r="7" spans="1:16">
      <c r="A7" s="181"/>
      <c r="B7" s="190"/>
      <c r="C7" s="180" t="s">
        <v>191</v>
      </c>
      <c r="D7" s="180"/>
      <c r="E7" s="180" t="s">
        <v>195</v>
      </c>
      <c r="F7" s="180"/>
      <c r="G7" s="180"/>
      <c r="H7" s="180"/>
      <c r="I7" s="190"/>
      <c r="J7" s="180"/>
      <c r="K7" s="180" t="s">
        <v>222</v>
      </c>
      <c r="L7" s="180"/>
      <c r="M7" s="165">
        <v>-64.61</v>
      </c>
      <c r="N7" s="174">
        <v>1060.2</v>
      </c>
      <c r="O7" s="195">
        <f>Tabela9[[#This Row],[Swap]]+Tabela9[[#This Row],[Profit]]</f>
        <v>995.59</v>
      </c>
    </row>
    <row r="8" spans="1:16">
      <c r="A8" s="178"/>
      <c r="B8" s="178"/>
      <c r="C8" s="178" t="s">
        <v>191</v>
      </c>
      <c r="D8" s="178"/>
      <c r="E8" s="178" t="s">
        <v>196</v>
      </c>
      <c r="F8" s="178"/>
      <c r="G8" s="178"/>
      <c r="H8" s="178"/>
      <c r="I8" s="178"/>
      <c r="J8" s="177"/>
      <c r="K8" s="180" t="s">
        <v>221</v>
      </c>
      <c r="L8" s="180"/>
      <c r="M8" s="180"/>
      <c r="N8" s="199">
        <v>-284.89999999999998</v>
      </c>
      <c r="O8" s="195">
        <f>Tabela9[[#This Row],[Swap]]+Tabela9[[#This Row],[Profit]]</f>
        <v>-284.89999999999998</v>
      </c>
    </row>
    <row r="9" spans="1:16">
      <c r="A9" s="194"/>
      <c r="B9" s="202"/>
      <c r="C9" s="176" t="s">
        <v>191</v>
      </c>
      <c r="D9" s="176"/>
      <c r="E9" s="176" t="s">
        <v>194</v>
      </c>
      <c r="F9" s="176"/>
      <c r="G9" s="176"/>
      <c r="H9" s="176"/>
      <c r="I9" s="202"/>
      <c r="J9" s="176"/>
      <c r="K9" s="180" t="s">
        <v>221</v>
      </c>
      <c r="L9" s="176"/>
      <c r="M9" s="176"/>
      <c r="N9" s="204">
        <v>-89.1</v>
      </c>
      <c r="O9" s="195">
        <f>Tabela9[[#This Row],[Swap]]+Tabela9[[#This Row],[Profit]]</f>
        <v>-89.1</v>
      </c>
    </row>
    <row r="10" spans="1:16">
      <c r="A10" s="194"/>
      <c r="B10" s="194"/>
      <c r="C10" s="194" t="s">
        <v>191</v>
      </c>
      <c r="D10" s="194"/>
      <c r="E10" s="194" t="s">
        <v>192</v>
      </c>
      <c r="F10" s="194"/>
      <c r="G10" s="194"/>
      <c r="H10" s="194"/>
      <c r="I10" s="194"/>
      <c r="J10" s="176"/>
      <c r="K10" s="180" t="s">
        <v>221</v>
      </c>
      <c r="L10" s="176"/>
      <c r="M10" s="176"/>
      <c r="N10" s="199">
        <v>-178.95</v>
      </c>
      <c r="O10" s="195">
        <f>Tabela9[[#This Row],[Swap]]+Tabela9[[#This Row],[Profit]]</f>
        <v>-178.95</v>
      </c>
    </row>
    <row r="11" spans="1:16">
      <c r="A11" s="181"/>
      <c r="B11" s="190"/>
      <c r="C11" s="180" t="s">
        <v>191</v>
      </c>
      <c r="D11" s="180"/>
      <c r="E11" s="180" t="s">
        <v>194</v>
      </c>
      <c r="F11" s="207"/>
      <c r="G11" s="207"/>
      <c r="H11" s="180"/>
      <c r="I11" s="190"/>
      <c r="J11" s="207"/>
      <c r="K11" s="180" t="s">
        <v>222</v>
      </c>
      <c r="L11" s="180"/>
      <c r="M11" s="180"/>
      <c r="N11" s="191">
        <v>-574.20000000000005</v>
      </c>
      <c r="O11" s="195">
        <f>Tabela9[[#This Row],[Swap]]+Tabela9[[#This Row],[Profit]]</f>
        <v>-574.20000000000005</v>
      </c>
    </row>
    <row r="12" spans="1:16">
      <c r="A12" s="178"/>
      <c r="B12" s="178"/>
      <c r="C12" s="178" t="s">
        <v>193</v>
      </c>
      <c r="D12" s="178"/>
      <c r="E12" s="178" t="s">
        <v>198</v>
      </c>
      <c r="F12" s="178"/>
      <c r="G12" s="178"/>
      <c r="H12" s="178"/>
      <c r="I12" s="178"/>
      <c r="J12" s="177"/>
      <c r="K12" s="180" t="s">
        <v>221</v>
      </c>
      <c r="L12" s="180"/>
      <c r="M12" s="180">
        <v>-43.56</v>
      </c>
      <c r="N12" s="199">
        <v>48.38</v>
      </c>
      <c r="O12" s="195">
        <f>Tabela9[[#This Row],[Swap]]+Tabela9[[#This Row],[Profit]]</f>
        <v>4.82</v>
      </c>
    </row>
    <row r="13" spans="1:16">
      <c r="A13" s="194"/>
      <c r="B13" s="202"/>
      <c r="C13" s="176" t="s">
        <v>191</v>
      </c>
      <c r="D13" s="176"/>
      <c r="E13" s="178" t="s">
        <v>198</v>
      </c>
      <c r="F13" s="203"/>
      <c r="G13" s="203"/>
      <c r="H13" s="176"/>
      <c r="I13" s="202"/>
      <c r="J13" s="203"/>
      <c r="K13" s="180" t="s">
        <v>221</v>
      </c>
      <c r="L13" s="176"/>
      <c r="M13" s="176"/>
      <c r="N13" s="204">
        <v>-255.36</v>
      </c>
      <c r="O13" s="195">
        <f>Tabela9[[#This Row],[Swap]]+Tabela9[[#This Row],[Profit]]</f>
        <v>-255.36</v>
      </c>
    </row>
    <row r="14" spans="1:16">
      <c r="A14" s="194"/>
      <c r="B14" s="194"/>
      <c r="C14" s="194" t="s">
        <v>191</v>
      </c>
      <c r="D14" s="194"/>
      <c r="E14" s="194" t="s">
        <v>192</v>
      </c>
      <c r="F14" s="194"/>
      <c r="G14" s="194"/>
      <c r="H14" s="194"/>
      <c r="I14" s="194"/>
      <c r="J14" s="176"/>
      <c r="K14" s="180" t="s">
        <v>221</v>
      </c>
      <c r="L14" s="176"/>
      <c r="M14" s="176"/>
      <c r="N14" s="199">
        <v>-173.42</v>
      </c>
      <c r="O14" s="195">
        <f>Tabela9[[#This Row],[Swap]]+Tabela9[[#This Row],[Profit]]</f>
        <v>-173.42</v>
      </c>
    </row>
    <row r="15" spans="1:16">
      <c r="A15" s="181"/>
      <c r="B15" s="190"/>
      <c r="C15" s="180" t="s">
        <v>193</v>
      </c>
      <c r="D15" s="180"/>
      <c r="E15" s="180" t="s">
        <v>195</v>
      </c>
      <c r="F15" s="207"/>
      <c r="G15" s="207"/>
      <c r="H15" s="180"/>
      <c r="I15" s="190"/>
      <c r="J15" s="207"/>
      <c r="K15" s="180" t="s">
        <v>221</v>
      </c>
      <c r="L15" s="180"/>
      <c r="M15" s="180">
        <v>-0.67</v>
      </c>
      <c r="N15" s="191">
        <v>45.75</v>
      </c>
      <c r="O15" s="195">
        <f>Tabela9[[#This Row],[Swap]]+Tabela9[[#This Row],[Profit]]</f>
        <v>45.08</v>
      </c>
    </row>
    <row r="16" spans="1:16">
      <c r="A16" s="178"/>
      <c r="B16" s="178"/>
      <c r="C16" s="178" t="s">
        <v>193</v>
      </c>
      <c r="D16" s="178"/>
      <c r="E16" s="178" t="s">
        <v>197</v>
      </c>
      <c r="F16" s="178"/>
      <c r="G16" s="178"/>
      <c r="H16" s="178"/>
      <c r="I16" s="178"/>
      <c r="J16" s="177"/>
      <c r="K16" s="180" t="s">
        <v>221</v>
      </c>
      <c r="L16" s="180"/>
      <c r="M16" s="180">
        <v>8.6300000000000008</v>
      </c>
      <c r="N16" s="199">
        <v>622.08000000000004</v>
      </c>
      <c r="O16" s="195">
        <f>Tabela9[[#This Row],[Swap]]+Tabela9[[#This Row],[Profit]]</f>
        <v>630.71</v>
      </c>
    </row>
    <row r="17" spans="1:15">
      <c r="A17" s="213"/>
      <c r="B17" s="214"/>
      <c r="C17" s="215" t="s">
        <v>193</v>
      </c>
      <c r="D17" s="215"/>
      <c r="E17" s="215" t="s">
        <v>197</v>
      </c>
      <c r="F17" s="216"/>
      <c r="G17" s="216"/>
      <c r="H17" s="215"/>
      <c r="I17" s="214"/>
      <c r="J17" s="216"/>
      <c r="K17" s="180" t="s">
        <v>221</v>
      </c>
      <c r="L17" s="215"/>
      <c r="M17" s="215"/>
      <c r="N17" s="218">
        <v>-275.64999999999998</v>
      </c>
      <c r="O17" s="219">
        <f>Tabela9[[#This Row],[Swap]]+Tabela9[[#This Row],[Profit]]</f>
        <v>-275.64999999999998</v>
      </c>
    </row>
    <row r="18" spans="1:15">
      <c r="A18" s="213"/>
      <c r="B18" s="213"/>
      <c r="C18" s="213" t="s">
        <v>191</v>
      </c>
      <c r="D18" s="213"/>
      <c r="E18" s="213" t="s">
        <v>192</v>
      </c>
      <c r="F18" s="213"/>
      <c r="G18" s="213"/>
      <c r="H18" s="213"/>
      <c r="I18" s="213"/>
      <c r="J18" s="215"/>
      <c r="K18" s="180" t="s">
        <v>221</v>
      </c>
      <c r="L18" s="215"/>
      <c r="M18" s="215">
        <v>-1.31</v>
      </c>
      <c r="N18" s="221">
        <v>406.31</v>
      </c>
      <c r="O18" s="219">
        <f>Tabela9[[#This Row],[Swap]]+Tabela9[[#This Row],[Profit]]</f>
        <v>405</v>
      </c>
    </row>
    <row r="19" spans="1:15">
      <c r="A19" s="222"/>
      <c r="B19" s="223"/>
      <c r="C19" s="217" t="s">
        <v>191</v>
      </c>
      <c r="D19" s="217"/>
      <c r="E19" s="217" t="s">
        <v>194</v>
      </c>
      <c r="F19" s="217"/>
      <c r="G19" s="217"/>
      <c r="H19" s="217"/>
      <c r="I19" s="223"/>
      <c r="J19" s="217"/>
      <c r="K19" s="180" t="s">
        <v>221</v>
      </c>
      <c r="L19" s="217"/>
      <c r="M19" s="217">
        <v>-3.91</v>
      </c>
      <c r="N19" s="224">
        <v>750.48</v>
      </c>
      <c r="O19" s="219">
        <f>Tabela9[[#This Row],[Swap]]+Tabela9[[#This Row],[Profit]]</f>
        <v>746.57</v>
      </c>
    </row>
    <row r="20" spans="1:15">
      <c r="A20" s="225"/>
      <c r="B20" s="225"/>
      <c r="C20" s="225" t="s">
        <v>191</v>
      </c>
      <c r="D20" s="225"/>
      <c r="E20" s="225" t="s">
        <v>192</v>
      </c>
      <c r="F20" s="225"/>
      <c r="G20" s="225"/>
      <c r="H20" s="225"/>
      <c r="I20" s="225"/>
      <c r="J20" s="226"/>
      <c r="K20" s="180" t="s">
        <v>221</v>
      </c>
      <c r="L20" s="217"/>
      <c r="M20" s="217">
        <v>-1.59</v>
      </c>
      <c r="N20" s="221">
        <v>-178.27</v>
      </c>
      <c r="O20" s="219">
        <f>Tabela9[[#This Row],[Swap]]+Tabela9[[#This Row],[Profit]]</f>
        <v>-179.86</v>
      </c>
    </row>
    <row r="21" spans="1:15">
      <c r="A21" s="213"/>
      <c r="B21" s="214"/>
      <c r="C21" s="215" t="s">
        <v>191</v>
      </c>
      <c r="D21" s="215"/>
      <c r="E21" s="215" t="s">
        <v>195</v>
      </c>
      <c r="F21" s="215"/>
      <c r="G21" s="215"/>
      <c r="H21" s="215"/>
      <c r="I21" s="214"/>
      <c r="J21" s="215"/>
      <c r="K21" s="217" t="s">
        <v>222</v>
      </c>
      <c r="L21" s="215"/>
      <c r="M21" s="215">
        <v>-4.63</v>
      </c>
      <c r="N21" s="218">
        <v>-253.38</v>
      </c>
      <c r="O21" s="219">
        <f>Tabela9[[#This Row],[Swap]]+Tabela9[[#This Row],[Profit]]</f>
        <v>-258.01</v>
      </c>
    </row>
    <row r="22" spans="1:15">
      <c r="A22" s="213"/>
      <c r="B22" s="213"/>
      <c r="C22" s="213" t="s">
        <v>191</v>
      </c>
      <c r="D22" s="213"/>
      <c r="E22" s="213" t="s">
        <v>195</v>
      </c>
      <c r="F22" s="213"/>
      <c r="G22" s="213"/>
      <c r="H22" s="213"/>
      <c r="I22" s="213"/>
      <c r="J22" s="215"/>
      <c r="K22" s="180" t="s">
        <v>221</v>
      </c>
      <c r="L22" s="215"/>
      <c r="M22" s="215">
        <v>-3.73</v>
      </c>
      <c r="N22" s="221">
        <v>-280.54000000000002</v>
      </c>
      <c r="O22" s="219">
        <f>Tabela9[[#This Row],[Swap]]+Tabela9[[#This Row],[Profit]]</f>
        <v>-284.27000000000004</v>
      </c>
    </row>
    <row r="23" spans="1:15">
      <c r="A23" s="222"/>
      <c r="B23" s="223"/>
      <c r="C23" s="217" t="s">
        <v>193</v>
      </c>
      <c r="D23" s="217"/>
      <c r="E23" s="217" t="s">
        <v>196</v>
      </c>
      <c r="F23" s="217"/>
      <c r="G23" s="217"/>
      <c r="H23" s="217"/>
      <c r="I23" s="223"/>
      <c r="J23" s="217"/>
      <c r="K23" s="180" t="s">
        <v>221</v>
      </c>
      <c r="L23" s="217"/>
      <c r="M23" s="217">
        <v>-2.76</v>
      </c>
      <c r="N23" s="224">
        <v>141.62</v>
      </c>
      <c r="O23" s="219">
        <f>Tabela9[[#This Row],[Swap]]+Tabela9[[#This Row],[Profit]]</f>
        <v>138.86000000000001</v>
      </c>
    </row>
    <row r="24" spans="1:15">
      <c r="A24" s="178"/>
      <c r="B24" s="178"/>
      <c r="C24" s="178" t="s">
        <v>193</v>
      </c>
      <c r="D24" s="178"/>
      <c r="E24" s="178" t="s">
        <v>197</v>
      </c>
      <c r="F24" s="178"/>
      <c r="G24" s="178"/>
      <c r="H24" s="178"/>
      <c r="I24" s="178"/>
      <c r="J24" s="177"/>
      <c r="K24" s="180" t="s">
        <v>221</v>
      </c>
      <c r="L24" s="180"/>
      <c r="M24" s="180">
        <v>19.27</v>
      </c>
      <c r="N24" s="199">
        <v>-291.60000000000002</v>
      </c>
      <c r="O24" s="195">
        <f>Tabela9[[#This Row],[Swap]]+Tabela9[[#This Row],[Profit]]</f>
        <v>-272.33000000000004</v>
      </c>
    </row>
    <row r="25" spans="1:15">
      <c r="A25" s="194"/>
      <c r="B25" s="202"/>
      <c r="C25" s="176" t="s">
        <v>193</v>
      </c>
      <c r="D25" s="176"/>
      <c r="E25" s="176" t="s">
        <v>195</v>
      </c>
      <c r="F25" s="203"/>
      <c r="G25" s="203"/>
      <c r="H25" s="176"/>
      <c r="I25" s="202"/>
      <c r="J25" s="203"/>
      <c r="K25" s="180" t="s">
        <v>221</v>
      </c>
      <c r="L25" s="176"/>
      <c r="M25" s="176">
        <v>0</v>
      </c>
      <c r="N25" s="204">
        <v>-280.35000000000002</v>
      </c>
      <c r="O25" s="195">
        <f>Tabela9[[#This Row],[Swap]]+Tabela9[[#This Row],[Profit]]</f>
        <v>-280.35000000000002</v>
      </c>
    </row>
    <row r="26" spans="1:15">
      <c r="A26" s="194"/>
      <c r="B26" s="194"/>
      <c r="C26" s="194" t="s">
        <v>191</v>
      </c>
      <c r="D26" s="194"/>
      <c r="E26" s="194" t="s">
        <v>192</v>
      </c>
      <c r="F26" s="194"/>
      <c r="G26" s="194"/>
      <c r="H26" s="194"/>
      <c r="I26" s="194"/>
      <c r="J26" s="176"/>
      <c r="K26" s="180" t="s">
        <v>221</v>
      </c>
      <c r="L26" s="176"/>
      <c r="M26" s="176">
        <v>-5.18</v>
      </c>
      <c r="N26" s="199">
        <v>831.9</v>
      </c>
      <c r="O26" s="195">
        <f>Tabela9[[#This Row],[Swap]]+Tabela9[[#This Row],[Profit]]</f>
        <v>826.72</v>
      </c>
    </row>
    <row r="27" spans="1:15">
      <c r="A27" s="181"/>
      <c r="B27" s="190"/>
      <c r="C27" s="180" t="s">
        <v>193</v>
      </c>
      <c r="D27" s="180"/>
      <c r="E27" s="180" t="s">
        <v>196</v>
      </c>
      <c r="F27" s="180"/>
      <c r="G27" s="180"/>
      <c r="H27" s="180"/>
      <c r="I27" s="190"/>
      <c r="J27" s="180"/>
      <c r="K27" s="180" t="s">
        <v>221</v>
      </c>
      <c r="L27" s="180"/>
      <c r="M27" s="180"/>
      <c r="N27" s="191">
        <v>-197.33</v>
      </c>
      <c r="O27" s="195">
        <f>Tabela9[[#This Row],[Swap]]+Tabela9[[#This Row],[Profit]]</f>
        <v>-197.33</v>
      </c>
    </row>
    <row r="28" spans="1:15">
      <c r="A28" s="178"/>
      <c r="B28" s="178"/>
      <c r="C28" s="178" t="s">
        <v>191</v>
      </c>
      <c r="D28" s="178"/>
      <c r="E28" s="178" t="s">
        <v>198</v>
      </c>
      <c r="F28" s="178"/>
      <c r="G28" s="178"/>
      <c r="H28" s="178"/>
      <c r="I28" s="178"/>
      <c r="J28" s="177"/>
      <c r="K28" s="180" t="s">
        <v>221</v>
      </c>
      <c r="L28" s="180"/>
      <c r="M28" s="180">
        <v>-3.56</v>
      </c>
      <c r="N28" s="199">
        <v>261.35000000000002</v>
      </c>
      <c r="O28" s="195">
        <f>Tabela9[[#This Row],[Swap]]+Tabela9[[#This Row],[Profit]]</f>
        <v>257.79000000000002</v>
      </c>
    </row>
    <row r="29" spans="1:15">
      <c r="A29" s="194"/>
      <c r="B29" s="202"/>
      <c r="C29" s="176" t="s">
        <v>191</v>
      </c>
      <c r="D29" s="176"/>
      <c r="E29" s="176" t="s">
        <v>196</v>
      </c>
      <c r="F29" s="203"/>
      <c r="G29" s="203"/>
      <c r="H29" s="176"/>
      <c r="I29" s="202"/>
      <c r="J29" s="203"/>
      <c r="K29" s="180" t="s">
        <v>221</v>
      </c>
      <c r="L29" s="176"/>
      <c r="M29" s="176"/>
      <c r="N29" s="204">
        <v>-189.33</v>
      </c>
      <c r="O29" s="195">
        <f>Tabela9[[#This Row],[Swap]]+Tabela9[[#This Row],[Profit]]</f>
        <v>-189.33</v>
      </c>
    </row>
    <row r="30" spans="1:15">
      <c r="A30" s="194"/>
      <c r="B30" s="194"/>
      <c r="C30" s="194" t="s">
        <v>191</v>
      </c>
      <c r="D30" s="194"/>
      <c r="E30" s="194" t="s">
        <v>192</v>
      </c>
      <c r="F30" s="194"/>
      <c r="G30" s="194"/>
      <c r="H30" s="194"/>
      <c r="I30" s="194"/>
      <c r="J30" s="176"/>
      <c r="K30" s="180" t="s">
        <v>221</v>
      </c>
      <c r="L30" s="176"/>
      <c r="M30" s="176"/>
      <c r="N30" s="199">
        <v>71.73</v>
      </c>
      <c r="O30" s="195">
        <f>Tabela9[[#This Row],[Swap]]+Tabela9[[#This Row],[Profit]]</f>
        <v>71.73</v>
      </c>
    </row>
    <row r="31" spans="1:15">
      <c r="A31" s="179"/>
      <c r="B31" s="164"/>
      <c r="C31" s="165"/>
      <c r="D31" s="165"/>
      <c r="E31" s="165"/>
      <c r="F31" s="165"/>
      <c r="G31" s="165"/>
      <c r="H31" s="165"/>
      <c r="I31" s="164"/>
      <c r="J31" s="165"/>
      <c r="K31" s="165"/>
      <c r="L31" s="165"/>
      <c r="M31" s="165"/>
      <c r="N31" s="174"/>
    </row>
    <row r="32" spans="1:15">
      <c r="A32" s="169"/>
      <c r="B32" s="169"/>
      <c r="C32" s="169"/>
      <c r="D32" s="169"/>
      <c r="E32" s="169"/>
      <c r="F32" s="169"/>
      <c r="G32" s="169"/>
      <c r="H32" s="169"/>
      <c r="I32" s="169"/>
      <c r="J32" s="167"/>
      <c r="K32" s="163"/>
      <c r="L32" s="165"/>
      <c r="M32" s="165"/>
      <c r="N32" s="198"/>
    </row>
    <row r="33" spans="1:14">
      <c r="A33" s="161"/>
      <c r="B33" s="162"/>
      <c r="C33" s="163"/>
      <c r="D33" s="163"/>
      <c r="E33" s="163"/>
      <c r="F33" s="168"/>
      <c r="G33" s="168"/>
      <c r="H33" s="163"/>
      <c r="I33" s="162"/>
      <c r="J33" s="168"/>
      <c r="K33" s="163"/>
      <c r="L33" s="163"/>
      <c r="M33" s="163"/>
      <c r="N33" s="175"/>
    </row>
    <row r="34" spans="1:14">
      <c r="A34" s="161"/>
      <c r="B34" s="161"/>
      <c r="C34" s="161"/>
      <c r="D34" s="161"/>
      <c r="E34" s="161"/>
      <c r="F34" s="161"/>
      <c r="G34" s="161"/>
      <c r="H34" s="161"/>
      <c r="I34" s="161"/>
      <c r="J34" s="163"/>
      <c r="K34" s="165"/>
      <c r="L34" s="163"/>
      <c r="M34" s="163"/>
      <c r="N34" s="198"/>
    </row>
    <row r="35" spans="1:14">
      <c r="A35" s="179"/>
      <c r="B35" s="164"/>
      <c r="C35" s="165"/>
      <c r="D35" s="165"/>
      <c r="E35" s="165"/>
      <c r="F35" s="165"/>
      <c r="G35" s="165"/>
      <c r="H35" s="165"/>
      <c r="I35" s="164"/>
      <c r="J35" s="165"/>
      <c r="K35" s="165"/>
      <c r="L35" s="165"/>
      <c r="M35" s="165"/>
      <c r="N35" s="174"/>
    </row>
    <row r="36" spans="1:14">
      <c r="A36" s="169"/>
      <c r="B36" s="169"/>
      <c r="C36" s="169"/>
      <c r="D36" s="169"/>
      <c r="E36" s="169"/>
      <c r="F36" s="169"/>
      <c r="G36" s="169"/>
      <c r="H36" s="169"/>
      <c r="I36" s="169"/>
      <c r="J36" s="167"/>
      <c r="K36" s="163"/>
      <c r="L36" s="165"/>
      <c r="M36" s="165"/>
      <c r="N36" s="198"/>
    </row>
    <row r="37" spans="1:14">
      <c r="A37" s="161"/>
      <c r="B37" s="162"/>
      <c r="C37" s="163"/>
      <c r="D37" s="163"/>
      <c r="E37" s="163"/>
      <c r="F37" s="163"/>
      <c r="G37" s="163"/>
      <c r="H37" s="163"/>
      <c r="I37" s="162"/>
      <c r="J37" s="163"/>
      <c r="K37" s="163"/>
      <c r="L37" s="163"/>
      <c r="M37" s="163"/>
      <c r="N37" s="175"/>
    </row>
    <row r="38" spans="1:14">
      <c r="A38" s="161"/>
      <c r="B38" s="161"/>
      <c r="C38" s="161"/>
      <c r="D38" s="161"/>
      <c r="E38" s="161"/>
      <c r="F38" s="161"/>
      <c r="G38" s="161"/>
      <c r="H38" s="161"/>
      <c r="I38" s="161"/>
      <c r="J38" s="163"/>
      <c r="K38" s="165"/>
      <c r="L38" s="163"/>
      <c r="M38" s="163"/>
      <c r="N38" s="198"/>
    </row>
    <row r="39" spans="1:14">
      <c r="A39" s="179"/>
      <c r="B39" s="164"/>
      <c r="C39" s="165"/>
      <c r="D39" s="165"/>
      <c r="E39" s="165"/>
      <c r="F39" s="166"/>
      <c r="G39" s="166"/>
      <c r="H39" s="165"/>
      <c r="I39" s="164"/>
      <c r="J39" s="166"/>
      <c r="K39" s="165"/>
      <c r="L39" s="165"/>
      <c r="M39" s="165"/>
      <c r="N39" s="174"/>
    </row>
    <row r="40" spans="1:14">
      <c r="A40" s="169"/>
      <c r="B40" s="169"/>
      <c r="C40" s="169"/>
      <c r="D40" s="169"/>
      <c r="E40" s="169"/>
      <c r="F40" s="169"/>
      <c r="G40" s="169"/>
      <c r="H40" s="169"/>
      <c r="I40" s="169"/>
      <c r="J40" s="167"/>
      <c r="K40" s="163"/>
      <c r="L40" s="165"/>
      <c r="M40" s="165"/>
      <c r="N40" s="198"/>
    </row>
    <row r="41" spans="1:14">
      <c r="A41" s="161"/>
      <c r="B41" s="162"/>
      <c r="C41" s="163"/>
      <c r="D41" s="163"/>
      <c r="E41" s="163"/>
      <c r="F41" s="163"/>
      <c r="G41" s="163"/>
      <c r="H41" s="163"/>
      <c r="I41" s="162"/>
      <c r="J41" s="163"/>
      <c r="K41" s="163"/>
      <c r="L41" s="163"/>
      <c r="M41" s="163"/>
      <c r="N41" s="175"/>
    </row>
    <row r="42" spans="1:14">
      <c r="A42" s="161"/>
      <c r="B42" s="161"/>
      <c r="C42" s="161"/>
      <c r="D42" s="161"/>
      <c r="E42" s="161"/>
      <c r="F42" s="161"/>
      <c r="G42" s="161"/>
      <c r="H42" s="161"/>
      <c r="I42" s="161"/>
      <c r="J42" s="163"/>
      <c r="K42" s="165"/>
      <c r="L42" s="163"/>
      <c r="M42" s="163"/>
      <c r="N42" s="198"/>
    </row>
    <row r="43" spans="1:14">
      <c r="A43" s="179"/>
      <c r="B43" s="164"/>
      <c r="C43" s="165"/>
      <c r="D43" s="165"/>
      <c r="E43" s="165"/>
      <c r="F43" s="165"/>
      <c r="G43" s="165"/>
      <c r="H43" s="165"/>
      <c r="I43" s="164"/>
      <c r="J43" s="165"/>
      <c r="K43" s="165"/>
      <c r="L43" s="165"/>
      <c r="M43" s="165"/>
      <c r="N43" s="174"/>
    </row>
    <row r="44" spans="1:14">
      <c r="A44" s="169"/>
      <c r="B44" s="169"/>
      <c r="C44" s="169"/>
      <c r="D44" s="169"/>
      <c r="E44" s="169"/>
      <c r="F44" s="169"/>
      <c r="G44" s="169"/>
      <c r="H44" s="169"/>
      <c r="I44" s="169"/>
      <c r="J44" s="167"/>
      <c r="K44" s="163"/>
      <c r="L44" s="165"/>
      <c r="M44" s="165"/>
      <c r="N44" s="198"/>
    </row>
    <row r="45" spans="1:14">
      <c r="A45" s="161"/>
      <c r="B45" s="162"/>
      <c r="C45" s="163"/>
      <c r="D45" s="163"/>
      <c r="E45" s="163"/>
      <c r="F45" s="168"/>
      <c r="G45" s="168"/>
      <c r="H45" s="163"/>
      <c r="I45" s="162"/>
      <c r="J45" s="168"/>
      <c r="K45" s="163"/>
      <c r="L45" s="163"/>
      <c r="M45" s="163"/>
      <c r="N45" s="175"/>
    </row>
    <row r="46" spans="1:14">
      <c r="A46" s="161"/>
      <c r="B46" s="161"/>
      <c r="C46" s="161"/>
      <c r="D46" s="161"/>
      <c r="E46" s="161"/>
      <c r="F46" s="161"/>
      <c r="G46" s="161"/>
      <c r="H46" s="161"/>
      <c r="I46" s="161"/>
      <c r="J46" s="163"/>
      <c r="K46" s="165"/>
      <c r="L46" s="163"/>
      <c r="M46" s="163"/>
      <c r="N46" s="198"/>
    </row>
    <row r="47" spans="1:14">
      <c r="A47" s="179"/>
      <c r="B47" s="164"/>
      <c r="C47" s="165"/>
      <c r="D47" s="165"/>
      <c r="E47" s="165"/>
      <c r="F47" s="165"/>
      <c r="G47" s="165"/>
      <c r="H47" s="165"/>
      <c r="I47" s="164"/>
      <c r="J47" s="165"/>
      <c r="K47" s="165"/>
      <c r="L47" s="165"/>
      <c r="M47" s="165"/>
      <c r="N47" s="174"/>
    </row>
    <row r="48" spans="1:14">
      <c r="A48" s="169"/>
      <c r="B48" s="169"/>
      <c r="C48" s="169"/>
      <c r="D48" s="169"/>
      <c r="E48" s="169"/>
      <c r="F48" s="169"/>
      <c r="G48" s="169"/>
      <c r="H48" s="169"/>
      <c r="I48" s="169"/>
      <c r="J48" s="167"/>
      <c r="K48" s="163"/>
      <c r="L48" s="165"/>
      <c r="M48" s="165"/>
      <c r="N48" s="198"/>
    </row>
    <row r="49" spans="1:14">
      <c r="A49" s="161"/>
      <c r="B49" s="162"/>
      <c r="C49" s="163"/>
      <c r="D49" s="163"/>
      <c r="E49" s="163"/>
      <c r="F49" s="168"/>
      <c r="G49" s="168"/>
      <c r="H49" s="163"/>
      <c r="I49" s="162"/>
      <c r="J49" s="168"/>
      <c r="K49" s="163"/>
      <c r="L49" s="163"/>
      <c r="M49" s="163"/>
      <c r="N49" s="175"/>
    </row>
    <row r="50" spans="1:14">
      <c r="A50" s="161"/>
      <c r="B50" s="161"/>
      <c r="C50" s="161"/>
      <c r="D50" s="161"/>
      <c r="E50" s="161"/>
      <c r="F50" s="161"/>
      <c r="G50" s="161"/>
      <c r="H50" s="161"/>
      <c r="I50" s="161"/>
      <c r="J50" s="163"/>
      <c r="K50" s="165"/>
      <c r="L50" s="163"/>
      <c r="M50" s="163"/>
      <c r="N50" s="198"/>
    </row>
    <row r="51" spans="1:14">
      <c r="A51" s="179"/>
      <c r="B51" s="164"/>
      <c r="C51" s="165"/>
      <c r="D51" s="165"/>
      <c r="E51" s="165"/>
      <c r="F51" s="165"/>
      <c r="G51" s="165"/>
      <c r="H51" s="165"/>
      <c r="I51" s="164"/>
      <c r="J51" s="165"/>
      <c r="K51" s="165"/>
      <c r="L51" s="165"/>
      <c r="M51" s="165"/>
      <c r="N51" s="174"/>
    </row>
    <row r="52" spans="1:14">
      <c r="A52" s="169"/>
      <c r="B52" s="169"/>
      <c r="C52" s="169"/>
      <c r="D52" s="169"/>
      <c r="E52" s="169"/>
      <c r="F52" s="169"/>
      <c r="G52" s="169"/>
      <c r="H52" s="169"/>
      <c r="I52" s="169"/>
      <c r="J52" s="167"/>
      <c r="K52" s="163"/>
      <c r="L52" s="165"/>
      <c r="M52" s="165"/>
      <c r="N52" s="198"/>
    </row>
    <row r="53" spans="1:14">
      <c r="A53" s="161"/>
      <c r="B53" s="162"/>
      <c r="C53" s="163"/>
      <c r="D53" s="163"/>
      <c r="E53" s="163"/>
      <c r="F53" s="163"/>
      <c r="G53" s="163"/>
      <c r="H53" s="163"/>
      <c r="I53" s="162"/>
      <c r="J53" s="163"/>
      <c r="K53" s="163"/>
      <c r="L53" s="163"/>
      <c r="M53" s="163"/>
      <c r="N53" s="175"/>
    </row>
    <row r="54" spans="1:14">
      <c r="A54" s="161"/>
      <c r="B54" s="161"/>
      <c r="C54" s="161"/>
      <c r="D54" s="161"/>
      <c r="E54" s="161"/>
      <c r="F54" s="161"/>
      <c r="G54" s="161"/>
      <c r="H54" s="161"/>
      <c r="I54" s="161"/>
      <c r="J54" s="163"/>
      <c r="K54" s="165"/>
      <c r="L54" s="163"/>
      <c r="M54" s="163"/>
      <c r="N54" s="198"/>
    </row>
    <row r="55" spans="1:14">
      <c r="A55" s="179"/>
      <c r="B55" s="164"/>
      <c r="C55" s="165"/>
      <c r="D55" s="165"/>
      <c r="E55" s="165"/>
      <c r="F55" s="166"/>
      <c r="G55" s="166"/>
      <c r="H55" s="165"/>
      <c r="I55" s="164"/>
      <c r="J55" s="166"/>
      <c r="K55" s="165"/>
      <c r="L55" s="165"/>
      <c r="M55" s="165"/>
      <c r="N55" s="174"/>
    </row>
    <row r="56" spans="1:14">
      <c r="A56" s="169"/>
      <c r="B56" s="169"/>
      <c r="C56" s="169"/>
      <c r="D56" s="169"/>
      <c r="E56" s="169"/>
      <c r="F56" s="169"/>
      <c r="G56" s="169"/>
      <c r="H56" s="169"/>
      <c r="I56" s="169"/>
      <c r="J56" s="167"/>
      <c r="K56" s="163"/>
      <c r="L56" s="165"/>
      <c r="M56" s="165"/>
      <c r="N56" s="198"/>
    </row>
    <row r="57" spans="1:14">
      <c r="A57" s="161"/>
      <c r="B57" s="162"/>
      <c r="C57" s="163"/>
      <c r="D57" s="163"/>
      <c r="E57" s="163"/>
      <c r="F57" s="168"/>
      <c r="G57" s="168"/>
      <c r="H57" s="163"/>
      <c r="I57" s="162"/>
      <c r="J57" s="168"/>
      <c r="K57" s="163"/>
      <c r="L57" s="163"/>
      <c r="M57" s="163"/>
      <c r="N57" s="175"/>
    </row>
    <row r="58" spans="1:14">
      <c r="A58" s="161"/>
      <c r="B58" s="161"/>
      <c r="C58" s="161"/>
      <c r="D58" s="161"/>
      <c r="E58" s="161"/>
      <c r="F58" s="161"/>
      <c r="G58" s="161"/>
      <c r="H58" s="161"/>
      <c r="I58" s="161"/>
      <c r="J58" s="163"/>
      <c r="K58" s="165"/>
      <c r="L58" s="163"/>
      <c r="M58" s="163"/>
      <c r="N58" s="198"/>
    </row>
    <row r="59" spans="1:14">
      <c r="A59" s="179"/>
      <c r="B59" s="164"/>
      <c r="C59" s="165"/>
      <c r="D59" s="165"/>
      <c r="E59" s="165"/>
      <c r="F59" s="166"/>
      <c r="G59" s="166"/>
      <c r="H59" s="165"/>
      <c r="I59" s="164"/>
      <c r="J59" s="166"/>
      <c r="K59" s="165"/>
      <c r="L59" s="165"/>
      <c r="M59" s="165"/>
      <c r="N59" s="174"/>
    </row>
    <row r="60" spans="1:14">
      <c r="A60" s="169"/>
      <c r="B60" s="169"/>
      <c r="C60" s="169"/>
      <c r="D60" s="169"/>
      <c r="E60" s="169"/>
      <c r="F60" s="169"/>
      <c r="G60" s="169"/>
      <c r="H60" s="169"/>
      <c r="I60" s="169"/>
      <c r="J60" s="167"/>
      <c r="K60" s="163"/>
      <c r="L60" s="165"/>
      <c r="M60" s="165"/>
      <c r="N60" s="198"/>
    </row>
    <row r="61" spans="1:14">
      <c r="A61" s="161"/>
      <c r="B61" s="162"/>
      <c r="C61" s="163"/>
      <c r="D61" s="163"/>
      <c r="E61" s="163"/>
      <c r="F61" s="168"/>
      <c r="G61" s="168"/>
      <c r="H61" s="163"/>
      <c r="I61" s="162"/>
      <c r="J61" s="168"/>
      <c r="K61" s="163"/>
      <c r="L61" s="163"/>
      <c r="M61" s="163"/>
      <c r="N61" s="175"/>
    </row>
    <row r="62" spans="1:14">
      <c r="A62" s="161"/>
      <c r="B62" s="161"/>
      <c r="C62" s="161"/>
      <c r="D62" s="161"/>
      <c r="E62" s="161"/>
      <c r="F62" s="161"/>
      <c r="G62" s="161"/>
      <c r="H62" s="161"/>
      <c r="I62" s="161"/>
      <c r="J62" s="163"/>
      <c r="K62" s="165"/>
      <c r="L62" s="163"/>
      <c r="M62" s="163"/>
      <c r="N62" s="198"/>
    </row>
    <row r="63" spans="1:14">
      <c r="A63" s="179"/>
      <c r="B63" s="164"/>
      <c r="C63" s="165"/>
      <c r="D63" s="165"/>
      <c r="E63" s="165"/>
      <c r="F63" s="165"/>
      <c r="G63" s="165"/>
      <c r="H63" s="165"/>
      <c r="I63" s="164"/>
      <c r="J63" s="165"/>
      <c r="K63" s="165"/>
      <c r="L63" s="165"/>
      <c r="M63" s="165"/>
      <c r="N63" s="174"/>
    </row>
    <row r="64" spans="1:14">
      <c r="A64" s="169"/>
      <c r="B64" s="169"/>
      <c r="C64" s="169"/>
      <c r="D64" s="169"/>
      <c r="E64" s="169"/>
      <c r="F64" s="169"/>
      <c r="G64" s="169"/>
      <c r="H64" s="169"/>
      <c r="I64" s="169"/>
      <c r="J64" s="167"/>
      <c r="K64" s="163"/>
      <c r="L64" s="165"/>
      <c r="M64" s="165"/>
      <c r="N64" s="198"/>
    </row>
    <row r="65" spans="1:14">
      <c r="A65" s="161"/>
      <c r="B65" s="162"/>
      <c r="C65" s="163"/>
      <c r="D65" s="163"/>
      <c r="E65" s="163"/>
      <c r="F65" s="168"/>
      <c r="G65" s="168"/>
      <c r="H65" s="163"/>
      <c r="I65" s="162"/>
      <c r="J65" s="168"/>
      <c r="K65" s="163"/>
      <c r="L65" s="163"/>
      <c r="M65" s="163"/>
      <c r="N65" s="175"/>
    </row>
    <row r="66" spans="1:14">
      <c r="A66" s="161"/>
      <c r="B66" s="161"/>
      <c r="C66" s="161"/>
      <c r="D66" s="161"/>
      <c r="E66" s="161"/>
      <c r="F66" s="161"/>
      <c r="G66" s="161"/>
      <c r="H66" s="161"/>
      <c r="I66" s="161"/>
      <c r="J66" s="163"/>
      <c r="K66" s="165"/>
      <c r="L66" s="163"/>
      <c r="M66" s="163"/>
      <c r="N66" s="198"/>
    </row>
    <row r="67" spans="1:14">
      <c r="A67" s="179"/>
      <c r="B67" s="164"/>
      <c r="C67" s="165"/>
      <c r="D67" s="165"/>
      <c r="E67" s="165"/>
      <c r="F67" s="165"/>
      <c r="G67" s="165"/>
      <c r="H67" s="165"/>
      <c r="I67" s="164"/>
      <c r="J67" s="165"/>
      <c r="K67" s="165"/>
      <c r="L67" s="165"/>
      <c r="M67" s="165"/>
      <c r="N67" s="174"/>
    </row>
    <row r="68" spans="1:14">
      <c r="A68" s="169"/>
      <c r="B68" s="169"/>
      <c r="C68" s="169"/>
      <c r="D68" s="169"/>
      <c r="E68" s="169"/>
      <c r="F68" s="169"/>
      <c r="G68" s="169"/>
      <c r="H68" s="169"/>
      <c r="I68" s="169"/>
      <c r="J68" s="167"/>
      <c r="K68" s="163"/>
      <c r="L68" s="165"/>
      <c r="M68" s="165"/>
      <c r="N68" s="198"/>
    </row>
    <row r="69" spans="1:14">
      <c r="A69" s="161"/>
      <c r="B69" s="162"/>
      <c r="C69" s="163"/>
      <c r="D69" s="163"/>
      <c r="E69" s="163"/>
      <c r="F69" s="168"/>
      <c r="G69" s="168"/>
      <c r="H69" s="163"/>
      <c r="I69" s="162"/>
      <c r="J69" s="168"/>
      <c r="K69" s="163"/>
      <c r="L69" s="163"/>
      <c r="M69" s="163"/>
      <c r="N69" s="175"/>
    </row>
    <row r="70" spans="1:14">
      <c r="A70" s="161"/>
      <c r="B70" s="161"/>
      <c r="C70" s="161"/>
      <c r="D70" s="161"/>
      <c r="E70" s="161"/>
      <c r="F70" s="161"/>
      <c r="G70" s="161"/>
      <c r="H70" s="161"/>
      <c r="I70" s="161"/>
      <c r="J70" s="163"/>
      <c r="K70" s="165"/>
      <c r="L70" s="163"/>
      <c r="M70" s="163"/>
      <c r="N70" s="198"/>
    </row>
    <row r="71" spans="1:14">
      <c r="A71" s="179"/>
      <c r="B71" s="164"/>
      <c r="C71" s="165"/>
      <c r="D71" s="165"/>
      <c r="E71" s="165"/>
      <c r="F71" s="166"/>
      <c r="G71" s="166"/>
      <c r="H71" s="165"/>
      <c r="I71" s="164"/>
      <c r="J71" s="166"/>
      <c r="K71" s="165"/>
      <c r="L71" s="165"/>
      <c r="M71" s="165"/>
      <c r="N71" s="174"/>
    </row>
    <row r="72" spans="1:14">
      <c r="A72" s="169"/>
      <c r="B72" s="169"/>
      <c r="C72" s="169"/>
      <c r="D72" s="169"/>
      <c r="E72" s="169"/>
      <c r="F72" s="169"/>
      <c r="G72" s="169"/>
      <c r="H72" s="169"/>
      <c r="I72" s="169"/>
      <c r="J72" s="167"/>
      <c r="K72" s="163"/>
      <c r="L72" s="165"/>
      <c r="M72" s="165"/>
      <c r="N72" s="198"/>
    </row>
    <row r="73" spans="1:14">
      <c r="A73" s="161"/>
      <c r="B73" s="162"/>
      <c r="C73" s="163"/>
      <c r="D73" s="163"/>
      <c r="E73" s="163"/>
      <c r="F73" s="168"/>
      <c r="G73" s="168"/>
      <c r="H73" s="163"/>
      <c r="I73" s="162"/>
      <c r="J73" s="168"/>
      <c r="K73" s="163"/>
      <c r="L73" s="163"/>
      <c r="M73" s="163"/>
      <c r="N73" s="175"/>
    </row>
    <row r="74" spans="1:14">
      <c r="A74" s="161"/>
      <c r="B74" s="161"/>
      <c r="C74" s="161"/>
      <c r="D74" s="161"/>
      <c r="E74" s="161"/>
      <c r="F74" s="161"/>
      <c r="G74" s="161"/>
      <c r="H74" s="161"/>
      <c r="I74" s="161"/>
      <c r="J74" s="163"/>
      <c r="K74" s="165"/>
      <c r="L74" s="163"/>
      <c r="M74" s="163"/>
      <c r="N74" s="198"/>
    </row>
    <row r="75" spans="1:14">
      <c r="A75" s="179"/>
      <c r="B75" s="164"/>
      <c r="C75" s="165"/>
      <c r="D75" s="165"/>
      <c r="E75" s="165"/>
      <c r="F75" s="166"/>
      <c r="G75" s="166"/>
      <c r="H75" s="165"/>
      <c r="I75" s="164"/>
      <c r="J75" s="166"/>
      <c r="K75" s="165"/>
      <c r="L75" s="165"/>
      <c r="M75" s="165"/>
      <c r="N75" s="174"/>
    </row>
    <row r="76" spans="1:14">
      <c r="A76" s="169"/>
      <c r="B76" s="169"/>
      <c r="C76" s="169"/>
      <c r="D76" s="169"/>
      <c r="E76" s="169"/>
      <c r="F76" s="169"/>
      <c r="G76" s="169"/>
      <c r="H76" s="169"/>
      <c r="I76" s="169"/>
      <c r="J76" s="167"/>
      <c r="K76" s="163"/>
      <c r="L76" s="165"/>
      <c r="M76" s="165"/>
      <c r="N76" s="198"/>
    </row>
    <row r="77" spans="1:14">
      <c r="A77" s="161"/>
      <c r="B77" s="162"/>
      <c r="C77" s="163"/>
      <c r="D77" s="163"/>
      <c r="E77" s="163"/>
      <c r="F77" s="168"/>
      <c r="G77" s="168"/>
      <c r="H77" s="163"/>
      <c r="I77" s="162"/>
      <c r="J77" s="168"/>
      <c r="K77" s="163"/>
      <c r="L77" s="163"/>
      <c r="M77" s="163"/>
      <c r="N77" s="175"/>
    </row>
    <row r="78" spans="1:14">
      <c r="A78" s="161"/>
      <c r="B78" s="161"/>
      <c r="C78" s="161"/>
      <c r="D78" s="161"/>
      <c r="E78" s="161"/>
      <c r="F78" s="161"/>
      <c r="G78" s="161"/>
      <c r="H78" s="161"/>
      <c r="I78" s="161"/>
      <c r="J78" s="163"/>
      <c r="K78" s="165"/>
      <c r="L78" s="163"/>
      <c r="M78" s="163"/>
      <c r="N78" s="198"/>
    </row>
    <row r="79" spans="1:14">
      <c r="A79" s="179"/>
      <c r="B79" s="164"/>
      <c r="C79" s="165"/>
      <c r="D79" s="165"/>
      <c r="E79" s="165"/>
      <c r="F79" s="166"/>
      <c r="G79" s="166"/>
      <c r="H79" s="165"/>
      <c r="I79" s="164"/>
      <c r="J79" s="166"/>
      <c r="K79" s="165"/>
      <c r="L79" s="165"/>
      <c r="M79" s="165"/>
      <c r="N79" s="174"/>
    </row>
    <row r="80" spans="1:14">
      <c r="A80" s="169"/>
      <c r="B80" s="169"/>
      <c r="C80" s="169"/>
      <c r="D80" s="169"/>
      <c r="E80" s="169"/>
      <c r="F80" s="169"/>
      <c r="G80" s="169"/>
      <c r="H80" s="169"/>
      <c r="I80" s="169"/>
      <c r="J80" s="167"/>
      <c r="K80" s="163"/>
      <c r="L80" s="165"/>
      <c r="M80" s="165"/>
      <c r="N80" s="198"/>
    </row>
    <row r="81" spans="1:18">
      <c r="A81" s="161"/>
      <c r="B81" s="162"/>
      <c r="C81" s="163"/>
      <c r="D81" s="163"/>
      <c r="E81" s="163"/>
      <c r="F81" s="168"/>
      <c r="G81" s="168"/>
      <c r="H81" s="163"/>
      <c r="I81" s="162"/>
      <c r="J81" s="168"/>
      <c r="K81" s="200"/>
      <c r="L81" s="163"/>
      <c r="M81" s="163"/>
      <c r="N81" s="175"/>
    </row>
    <row r="82" spans="1:18">
      <c r="A82" s="161"/>
      <c r="B82" s="161"/>
      <c r="C82" s="161"/>
      <c r="D82" s="161"/>
      <c r="E82" s="161"/>
      <c r="F82" s="161"/>
      <c r="G82" s="161"/>
      <c r="H82" s="161"/>
      <c r="I82" s="161"/>
      <c r="J82" s="163"/>
      <c r="K82" s="197"/>
      <c r="L82" s="200"/>
      <c r="M82" s="200"/>
      <c r="N82" s="198"/>
    </row>
    <row r="83" spans="1:18">
      <c r="A83" s="179"/>
      <c r="B83" s="164"/>
      <c r="C83" s="165"/>
      <c r="D83" s="165"/>
      <c r="E83" s="165"/>
      <c r="F83" s="166"/>
      <c r="G83" s="166"/>
      <c r="H83" s="165"/>
      <c r="I83" s="164"/>
      <c r="J83" s="166"/>
      <c r="L83" s="197"/>
      <c r="M83" s="197"/>
      <c r="N83" s="174"/>
    </row>
    <row r="84" spans="1:18">
      <c r="A84" s="169"/>
      <c r="B84" s="169"/>
      <c r="C84" s="169"/>
      <c r="D84" s="169"/>
      <c r="E84" s="169"/>
      <c r="F84" s="169"/>
      <c r="G84" s="169"/>
      <c r="H84" s="169"/>
      <c r="I84" s="169"/>
      <c r="J84" s="167"/>
      <c r="N84" s="198"/>
    </row>
    <row r="85" spans="1:18">
      <c r="A85" s="161"/>
      <c r="B85" s="162"/>
      <c r="C85" s="163"/>
      <c r="D85" s="163"/>
      <c r="E85" s="163"/>
      <c r="F85" s="163"/>
      <c r="G85" s="163"/>
      <c r="H85" s="163"/>
      <c r="I85" s="162"/>
      <c r="J85" s="163"/>
      <c r="N85" s="175"/>
      <c r="Q85" s="189">
        <v>-13.96</v>
      </c>
      <c r="R85" s="208">
        <v>-594.52</v>
      </c>
    </row>
    <row r="86" spans="1:18">
      <c r="A86" s="161"/>
      <c r="B86" s="161"/>
      <c r="C86" s="161"/>
      <c r="D86" s="161"/>
      <c r="E86" s="161"/>
      <c r="F86" s="161"/>
      <c r="G86" s="161"/>
      <c r="H86" s="161"/>
      <c r="I86" s="161"/>
      <c r="J86" s="163"/>
      <c r="N86" s="198"/>
      <c r="Q86" s="165"/>
      <c r="R86" s="174">
        <v>-299.45</v>
      </c>
    </row>
    <row r="87" spans="1:18">
      <c r="A87" s="212"/>
      <c r="B87" s="212"/>
      <c r="C87" s="212"/>
      <c r="D87" s="212"/>
      <c r="E87" s="212"/>
      <c r="F87" s="212"/>
      <c r="G87" s="212"/>
      <c r="H87" s="212"/>
      <c r="I87" s="212"/>
      <c r="J87" s="212"/>
      <c r="N87" s="201"/>
      <c r="Q87" s="165"/>
      <c r="R87" s="198">
        <v>-401.33</v>
      </c>
    </row>
    <row r="88" spans="1:18">
      <c r="Q88" s="163"/>
      <c r="R88" s="175">
        <v>-194.7</v>
      </c>
    </row>
    <row r="89" spans="1:18">
      <c r="Q89" s="163"/>
      <c r="R89" s="198">
        <v>-461.63</v>
      </c>
    </row>
    <row r="90" spans="1:18">
      <c r="Q90" s="165">
        <v>-64.61</v>
      </c>
      <c r="R90" s="174">
        <v>1060.2</v>
      </c>
    </row>
  </sheetData>
  <mergeCells count="1">
    <mergeCell ref="A87:J8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2"/>
  <dimension ref="A1:U94"/>
  <sheetViews>
    <sheetView workbookViewId="0">
      <selection activeCell="J5" sqref="J5"/>
    </sheetView>
  </sheetViews>
  <sheetFormatPr defaultRowHeight="12"/>
  <cols>
    <col min="1" max="1" width="10.5703125" style="183" bestFit="1" customWidth="1"/>
    <col min="2" max="2" width="8.42578125" style="183" customWidth="1"/>
    <col min="3" max="3" width="8.85546875" style="183" customWidth="1"/>
    <col min="4" max="5" width="9.7109375" style="183" customWidth="1"/>
    <col min="6" max="6" width="11.5703125" style="183" customWidth="1"/>
    <col min="7" max="7" width="13.42578125" style="183" customWidth="1"/>
    <col min="8" max="8" width="13.7109375" style="183" customWidth="1"/>
    <col min="9" max="9" width="3" style="183" bestFit="1" customWidth="1"/>
    <col min="10" max="10" width="11.28515625" style="184" bestFit="1" customWidth="1"/>
    <col min="11" max="11" width="6.7109375" style="185" bestFit="1" customWidth="1"/>
    <col min="12" max="12" width="11" style="186" bestFit="1" customWidth="1"/>
    <col min="13" max="13" width="2.85546875" style="183" customWidth="1"/>
    <col min="14" max="14" width="9.140625" style="186" bestFit="1" customWidth="1"/>
    <col min="15" max="15" width="8" style="183" bestFit="1" customWidth="1"/>
    <col min="16" max="16" width="9.140625" style="183"/>
    <col min="17" max="17" width="6.42578125" style="183" bestFit="1" customWidth="1"/>
    <col min="18" max="19" width="16.5703125" style="183" bestFit="1" customWidth="1"/>
    <col min="20" max="20" width="12.28515625" style="183" bestFit="1" customWidth="1"/>
    <col min="21" max="21" width="11.28515625" style="183" bestFit="1" customWidth="1"/>
    <col min="22" max="16384" width="9.140625" style="183"/>
  </cols>
  <sheetData>
    <row r="1" spans="1:21">
      <c r="A1" s="182" t="s">
        <v>204</v>
      </c>
      <c r="B1" s="183" t="s">
        <v>221</v>
      </c>
    </row>
    <row r="2" spans="1:21">
      <c r="Q2" s="193" t="s">
        <v>229</v>
      </c>
      <c r="R2" s="193" t="s">
        <v>230</v>
      </c>
      <c r="S2" s="193" t="s">
        <v>231</v>
      </c>
      <c r="T2" s="193" t="s">
        <v>232</v>
      </c>
    </row>
    <row r="3" spans="1:21" ht="12.75">
      <c r="B3" s="182" t="s">
        <v>209</v>
      </c>
      <c r="H3"/>
      <c r="J3" s="184">
        <v>29986.69</v>
      </c>
      <c r="N3" s="184">
        <v>100</v>
      </c>
      <c r="O3" s="185"/>
      <c r="P3" s="186"/>
      <c r="Q3" s="192">
        <v>41760</v>
      </c>
      <c r="R3" s="184">
        <v>30023.86</v>
      </c>
      <c r="S3" s="184">
        <v>29986.69</v>
      </c>
      <c r="T3" s="185">
        <f>(S3-R3)/R3</f>
        <v>-1.2380153651130098E-3</v>
      </c>
      <c r="U3" s="186"/>
    </row>
    <row r="4" spans="1:21" ht="12.75">
      <c r="A4" s="182" t="s">
        <v>218</v>
      </c>
      <c r="B4" s="183" t="s">
        <v>214</v>
      </c>
      <c r="C4" s="183" t="s">
        <v>225</v>
      </c>
      <c r="D4" s="183" t="s">
        <v>215</v>
      </c>
      <c r="E4" s="183" t="s">
        <v>226</v>
      </c>
      <c r="F4" s="183" t="s">
        <v>227</v>
      </c>
      <c r="G4" s="183" t="s">
        <v>228</v>
      </c>
      <c r="H4"/>
      <c r="I4" s="183" t="s">
        <v>216</v>
      </c>
      <c r="J4" s="184">
        <v>-890.68</v>
      </c>
      <c r="K4" s="185">
        <f>J4/$J$3</f>
        <v>-2.9702511347534523E-2</v>
      </c>
      <c r="L4" s="186">
        <f>J4*40%</f>
        <v>-356.27199999999999</v>
      </c>
      <c r="N4" s="184">
        <f>$N$3*K4</f>
        <v>-2.9702511347534521</v>
      </c>
      <c r="O4" s="186">
        <f>N4*40%</f>
        <v>-1.1881004539013809</v>
      </c>
      <c r="Q4" s="192">
        <v>41791</v>
      </c>
      <c r="R4" s="186">
        <f>S3</f>
        <v>29986.69</v>
      </c>
      <c r="S4" s="186">
        <f>J9</f>
        <v>28650.91</v>
      </c>
      <c r="T4" s="185">
        <f>(S4-R4)/R4</f>
        <v>-4.4545763470392997E-2</v>
      </c>
      <c r="U4" s="186"/>
    </row>
    <row r="5" spans="1:21" ht="12.75">
      <c r="A5" s="187" t="s">
        <v>197</v>
      </c>
      <c r="B5" s="188">
        <v>3</v>
      </c>
      <c r="C5" s="186">
        <v>27.9</v>
      </c>
      <c r="D5" s="186">
        <v>54.830000000000041</v>
      </c>
      <c r="E5" s="186">
        <v>82.730000000000018</v>
      </c>
      <c r="F5" s="186">
        <v>27.576666666666672</v>
      </c>
      <c r="G5" s="186">
        <v>522.33142633134128</v>
      </c>
      <c r="H5"/>
      <c r="I5" s="183" t="s">
        <v>223</v>
      </c>
      <c r="J5" s="184">
        <v>-445.1</v>
      </c>
      <c r="K5" s="185">
        <f>J5/$J$3</f>
        <v>-1.4843252122858509E-2</v>
      </c>
      <c r="L5" s="186">
        <f>J5*40%</f>
        <v>-178.04000000000002</v>
      </c>
      <c r="N5" s="184">
        <f>$N$3*K5</f>
        <v>-1.484325212285851</v>
      </c>
      <c r="O5" s="186">
        <f>N5*40%</f>
        <v>-0.59373008491434043</v>
      </c>
      <c r="Q5" s="192">
        <v>41821</v>
      </c>
      <c r="R5" s="186">
        <f t="shared" ref="R5:R14" si="0">S4+100</f>
        <v>28750.91</v>
      </c>
      <c r="S5" s="186">
        <f t="shared" ref="S5:S68" si="1">(1+$T$3)*R5</f>
        <v>28715.315931659017</v>
      </c>
      <c r="U5" s="186"/>
    </row>
    <row r="6" spans="1:21" ht="12.75">
      <c r="A6" s="187" t="s">
        <v>192</v>
      </c>
      <c r="B6" s="188">
        <v>8</v>
      </c>
      <c r="C6" s="186">
        <v>-8.08</v>
      </c>
      <c r="D6" s="186">
        <v>-83.660000000000196</v>
      </c>
      <c r="E6" s="186">
        <v>-91.740000000000123</v>
      </c>
      <c r="F6" s="186">
        <v>-11.467500000000015</v>
      </c>
      <c r="G6" s="186">
        <v>434.28091092385944</v>
      </c>
      <c r="H6"/>
      <c r="I6" s="183" t="s">
        <v>224</v>
      </c>
      <c r="J6" s="184">
        <v>0</v>
      </c>
      <c r="K6" s="185">
        <f>J6/$J$3</f>
        <v>0</v>
      </c>
      <c r="L6" s="186">
        <f>J6*40%</f>
        <v>0</v>
      </c>
      <c r="N6" s="184">
        <f>$N$3*K6</f>
        <v>0</v>
      </c>
      <c r="O6" s="186">
        <f>N6*40%</f>
        <v>0</v>
      </c>
      <c r="Q6" s="192">
        <v>41852</v>
      </c>
      <c r="R6" s="186">
        <f t="shared" si="0"/>
        <v>28815.315931659017</v>
      </c>
      <c r="S6" s="186">
        <f t="shared" si="1"/>
        <v>28779.642127785039</v>
      </c>
      <c r="U6" s="186"/>
    </row>
    <row r="7" spans="1:21" ht="12.75">
      <c r="A7" s="187" t="s">
        <v>194</v>
      </c>
      <c r="B7" s="188">
        <v>3</v>
      </c>
      <c r="C7" s="186">
        <v>-3.91</v>
      </c>
      <c r="D7" s="186">
        <v>361.93000000000006</v>
      </c>
      <c r="E7" s="186">
        <v>358.0200000000001</v>
      </c>
      <c r="F7" s="186">
        <v>119.34000000000003</v>
      </c>
      <c r="G7" s="186">
        <v>553.2855368613931</v>
      </c>
      <c r="H7"/>
      <c r="N7" s="184">
        <f>$N$3*K8</f>
        <v>-4.4545763470393034</v>
      </c>
      <c r="O7" s="184">
        <f>O4+O5+O6</f>
        <v>-1.7818305388157212</v>
      </c>
      <c r="P7" s="186"/>
      <c r="Q7" s="192">
        <v>41883</v>
      </c>
      <c r="R7" s="186">
        <f t="shared" si="0"/>
        <v>28879.642127785039</v>
      </c>
      <c r="S7" s="186">
        <f t="shared" si="1"/>
        <v>28843.888687091876</v>
      </c>
      <c r="U7" s="186"/>
    </row>
    <row r="8" spans="1:21" ht="12.75">
      <c r="A8" s="187" t="s">
        <v>195</v>
      </c>
      <c r="B8" s="188">
        <v>4</v>
      </c>
      <c r="C8" s="186">
        <v>-4.4000000000000004</v>
      </c>
      <c r="D8" s="186">
        <v>-709.84</v>
      </c>
      <c r="E8" s="186">
        <v>-714.24</v>
      </c>
      <c r="F8" s="186">
        <v>-178.56</v>
      </c>
      <c r="G8" s="186">
        <v>154.71603816885528</v>
      </c>
      <c r="H8"/>
      <c r="J8" s="184">
        <f>J4+J5+J6+J7</f>
        <v>-1335.78</v>
      </c>
      <c r="K8" s="185">
        <f>J8/$J$3</f>
        <v>-4.4545763470393032E-2</v>
      </c>
      <c r="N8" s="184">
        <f>N3+N7</f>
        <v>95.545423652960693</v>
      </c>
      <c r="Q8" s="192">
        <v>41913</v>
      </c>
      <c r="R8" s="186">
        <f t="shared" si="0"/>
        <v>28943.888687091876</v>
      </c>
      <c r="S8" s="186">
        <f t="shared" si="1"/>
        <v>28908.055708171134</v>
      </c>
      <c r="U8" s="186"/>
    </row>
    <row r="9" spans="1:21" ht="12.75">
      <c r="A9" s="187" t="s">
        <v>198</v>
      </c>
      <c r="B9" s="188">
        <v>3</v>
      </c>
      <c r="C9" s="186">
        <v>-47.120000000000005</v>
      </c>
      <c r="D9" s="186">
        <v>54.370000000000005</v>
      </c>
      <c r="E9" s="186">
        <v>7.25</v>
      </c>
      <c r="F9" s="186">
        <v>2.4166666666666665</v>
      </c>
      <c r="G9" s="186">
        <v>256.58344185339269</v>
      </c>
      <c r="H9"/>
      <c r="J9" s="184">
        <f>J3+J8</f>
        <v>28650.91</v>
      </c>
      <c r="Q9" s="192">
        <v>41944</v>
      </c>
      <c r="R9" s="186">
        <f t="shared" si="0"/>
        <v>29008.055708171134</v>
      </c>
      <c r="S9" s="186">
        <f t="shared" si="1"/>
        <v>28972.143289492364</v>
      </c>
      <c r="U9" s="186"/>
    </row>
    <row r="10" spans="1:21" ht="12.75">
      <c r="A10" s="187" t="s">
        <v>196</v>
      </c>
      <c r="B10" s="188">
        <v>4</v>
      </c>
      <c r="C10" s="186">
        <v>-2.76</v>
      </c>
      <c r="D10" s="186">
        <v>-529.94000000000005</v>
      </c>
      <c r="E10" s="186">
        <v>-532.70000000000005</v>
      </c>
      <c r="F10" s="186">
        <v>-133.17500000000001</v>
      </c>
      <c r="G10" s="186">
        <v>186.45174970127437</v>
      </c>
      <c r="H10"/>
      <c r="Q10" s="192">
        <v>41974</v>
      </c>
      <c r="R10" s="186">
        <f t="shared" si="0"/>
        <v>29072.143289492364</v>
      </c>
      <c r="S10" s="186">
        <f t="shared" si="1"/>
        <v>29036.151529403203</v>
      </c>
      <c r="U10" s="186"/>
    </row>
    <row r="11" spans="1:21" ht="12.75">
      <c r="A11" s="187" t="s">
        <v>208</v>
      </c>
      <c r="B11" s="188">
        <v>25</v>
      </c>
      <c r="C11" s="186">
        <v>-38.369999999999997</v>
      </c>
      <c r="D11" s="186">
        <v>-852.31000000000006</v>
      </c>
      <c r="E11" s="186">
        <v>-890.68</v>
      </c>
      <c r="F11" s="186">
        <v>-35.627199999999995</v>
      </c>
      <c r="G11" s="186">
        <v>353.47707842376428</v>
      </c>
      <c r="H11"/>
      <c r="Q11" s="192">
        <v>42005</v>
      </c>
      <c r="R11" s="186">
        <f t="shared" si="0"/>
        <v>29136.151529403203</v>
      </c>
      <c r="S11" s="186">
        <f t="shared" si="1"/>
        <v>29100.080526129539</v>
      </c>
      <c r="U11" s="186"/>
    </row>
    <row r="12" spans="1:21" ht="12.75">
      <c r="A12"/>
      <c r="B12"/>
      <c r="C12"/>
      <c r="D12"/>
      <c r="E12"/>
      <c r="F12"/>
      <c r="G12"/>
      <c r="Q12" s="192">
        <v>42036</v>
      </c>
      <c r="R12" s="186">
        <f t="shared" si="0"/>
        <v>29200.080526129539</v>
      </c>
      <c r="S12" s="186">
        <f t="shared" si="1"/>
        <v>29163.930377775654</v>
      </c>
      <c r="U12" s="186"/>
    </row>
    <row r="13" spans="1:21" ht="12.75">
      <c r="A13"/>
      <c r="B13"/>
      <c r="C13"/>
      <c r="D13"/>
      <c r="E13"/>
      <c r="F13"/>
      <c r="G13"/>
      <c r="Q13" s="192">
        <v>42064</v>
      </c>
      <c r="R13" s="186">
        <f t="shared" si="0"/>
        <v>29263.930377775654</v>
      </c>
      <c r="S13" s="186">
        <f t="shared" si="1"/>
        <v>29227.70118232437</v>
      </c>
      <c r="U13" s="186"/>
    </row>
    <row r="14" spans="1:21">
      <c r="Q14" s="192">
        <v>42095</v>
      </c>
      <c r="R14" s="186">
        <f t="shared" si="0"/>
        <v>29327.70118232437</v>
      </c>
      <c r="S14" s="186">
        <f t="shared" si="1"/>
        <v>29291.393037637208</v>
      </c>
      <c r="U14" s="186"/>
    </row>
    <row r="15" spans="1:21">
      <c r="Q15" s="192">
        <v>42125</v>
      </c>
      <c r="R15" s="186">
        <f t="shared" ref="R15:R68" si="2">S14</f>
        <v>29291.393037637208</v>
      </c>
      <c r="S15" s="186">
        <f t="shared" si="1"/>
        <v>29255.129842991049</v>
      </c>
      <c r="U15" s="186"/>
    </row>
    <row r="16" spans="1:21">
      <c r="Q16" s="192">
        <v>42156</v>
      </c>
      <c r="R16" s="186">
        <f t="shared" si="2"/>
        <v>29255.129842991049</v>
      </c>
      <c r="S16" s="186">
        <f t="shared" si="1"/>
        <v>29218.911542737049</v>
      </c>
      <c r="U16" s="186"/>
    </row>
    <row r="17" spans="17:21">
      <c r="Q17" s="192">
        <v>42186</v>
      </c>
      <c r="R17" s="186">
        <f t="shared" si="2"/>
        <v>29218.911542737049</v>
      </c>
      <c r="S17" s="186">
        <f t="shared" si="1"/>
        <v>29182.738081295262</v>
      </c>
      <c r="U17" s="186"/>
    </row>
    <row r="18" spans="17:21">
      <c r="Q18" s="192">
        <v>42217</v>
      </c>
      <c r="R18" s="186">
        <f t="shared" si="2"/>
        <v>29182.738081295262</v>
      </c>
      <c r="S18" s="186">
        <f t="shared" si="1"/>
        <v>29146.609403154547</v>
      </c>
      <c r="U18" s="186"/>
    </row>
    <row r="19" spans="17:21">
      <c r="Q19" s="192">
        <v>42248</v>
      </c>
      <c r="R19" s="186">
        <f t="shared" si="2"/>
        <v>29146.609403154547</v>
      </c>
      <c r="S19" s="186">
        <f t="shared" si="1"/>
        <v>29110.525452872494</v>
      </c>
      <c r="U19" s="186"/>
    </row>
    <row r="20" spans="17:21">
      <c r="Q20" s="192">
        <v>42278</v>
      </c>
      <c r="R20" s="186">
        <f t="shared" si="2"/>
        <v>29110.525452872494</v>
      </c>
      <c r="S20" s="186">
        <f t="shared" si="1"/>
        <v>29074.486175075323</v>
      </c>
      <c r="U20" s="186"/>
    </row>
    <row r="21" spans="17:21">
      <c r="Q21" s="192">
        <v>42309</v>
      </c>
      <c r="R21" s="186">
        <f t="shared" si="2"/>
        <v>29074.486175075323</v>
      </c>
      <c r="S21" s="186">
        <f t="shared" si="1"/>
        <v>29038.491514457812</v>
      </c>
      <c r="U21" s="186"/>
    </row>
    <row r="22" spans="17:21">
      <c r="Q22" s="192">
        <v>42339</v>
      </c>
      <c r="R22" s="186">
        <f t="shared" si="2"/>
        <v>29038.491514457812</v>
      </c>
      <c r="S22" s="186">
        <f t="shared" si="1"/>
        <v>29002.541415783209</v>
      </c>
      <c r="U22" s="186"/>
    </row>
    <row r="23" spans="17:21">
      <c r="Q23" s="192">
        <v>42370</v>
      </c>
      <c r="R23" s="186">
        <f t="shared" si="2"/>
        <v>29002.541415783209</v>
      </c>
      <c r="S23" s="186">
        <f t="shared" si="1"/>
        <v>28966.635823883142</v>
      </c>
      <c r="U23" s="186"/>
    </row>
    <row r="24" spans="17:21">
      <c r="Q24" s="192">
        <v>42401</v>
      </c>
      <c r="R24" s="186">
        <f t="shared" si="2"/>
        <v>28966.635823883142</v>
      </c>
      <c r="S24" s="186">
        <f t="shared" si="1"/>
        <v>28930.774683657542</v>
      </c>
      <c r="U24" s="186"/>
    </row>
    <row r="25" spans="17:21">
      <c r="Q25" s="192">
        <v>42430</v>
      </c>
      <c r="R25" s="186">
        <f t="shared" si="2"/>
        <v>28930.774683657542</v>
      </c>
      <c r="S25" s="186">
        <f t="shared" si="1"/>
        <v>28894.95794007455</v>
      </c>
      <c r="U25" s="186"/>
    </row>
    <row r="26" spans="17:21">
      <c r="Q26" s="192">
        <v>42461</v>
      </c>
      <c r="R26" s="186">
        <f t="shared" si="2"/>
        <v>28894.95794007455</v>
      </c>
      <c r="S26" s="186">
        <f t="shared" si="1"/>
        <v>28859.185538170441</v>
      </c>
      <c r="U26" s="186"/>
    </row>
    <row r="27" spans="17:21">
      <c r="Q27" s="192">
        <v>42491</v>
      </c>
      <c r="R27" s="186">
        <f t="shared" si="2"/>
        <v>28859.185538170441</v>
      </c>
      <c r="S27" s="186">
        <f t="shared" si="1"/>
        <v>28823.457423049538</v>
      </c>
      <c r="U27" s="186"/>
    </row>
    <row r="28" spans="17:21">
      <c r="Q28" s="192">
        <v>42522</v>
      </c>
      <c r="R28" s="186">
        <f t="shared" si="2"/>
        <v>28823.457423049538</v>
      </c>
      <c r="S28" s="186">
        <f t="shared" si="1"/>
        <v>28787.773539884121</v>
      </c>
      <c r="U28" s="186"/>
    </row>
    <row r="29" spans="17:21">
      <c r="Q29" s="192">
        <v>42552</v>
      </c>
      <c r="R29" s="186">
        <f t="shared" si="2"/>
        <v>28787.773539884121</v>
      </c>
      <c r="S29" s="186">
        <f t="shared" si="1"/>
        <v>28752.133833914351</v>
      </c>
      <c r="U29" s="186"/>
    </row>
    <row r="30" spans="17:21">
      <c r="Q30" s="192">
        <v>42583</v>
      </c>
      <c r="R30" s="186">
        <f t="shared" si="2"/>
        <v>28752.133833914351</v>
      </c>
      <c r="S30" s="186">
        <f t="shared" si="1"/>
        <v>28716.538250448179</v>
      </c>
      <c r="U30" s="186"/>
    </row>
    <row r="31" spans="17:21">
      <c r="Q31" s="192">
        <v>42614</v>
      </c>
      <c r="R31" s="186">
        <f t="shared" si="2"/>
        <v>28716.538250448179</v>
      </c>
      <c r="S31" s="186">
        <f t="shared" si="1"/>
        <v>28680.986734861268</v>
      </c>
      <c r="U31" s="186"/>
    </row>
    <row r="32" spans="17:21">
      <c r="Q32" s="192">
        <v>42644</v>
      </c>
      <c r="R32" s="186">
        <f t="shared" si="2"/>
        <v>28680.986734861268</v>
      </c>
      <c r="S32" s="186">
        <f t="shared" si="1"/>
        <v>28645.479232596907</v>
      </c>
      <c r="U32" s="186"/>
    </row>
    <row r="33" spans="17:21">
      <c r="Q33" s="192">
        <v>42675</v>
      </c>
      <c r="R33" s="186">
        <f t="shared" si="2"/>
        <v>28645.479232596907</v>
      </c>
      <c r="S33" s="186">
        <f t="shared" si="1"/>
        <v>28610.015689165924</v>
      </c>
      <c r="U33" s="186"/>
    </row>
    <row r="34" spans="17:21">
      <c r="Q34" s="192">
        <v>42705</v>
      </c>
      <c r="R34" s="186">
        <f t="shared" si="2"/>
        <v>28610.015689165924</v>
      </c>
      <c r="S34" s="186">
        <f t="shared" si="1"/>
        <v>28574.596050146611</v>
      </c>
      <c r="U34" s="186"/>
    </row>
    <row r="35" spans="17:21">
      <c r="Q35" s="192">
        <v>42736</v>
      </c>
      <c r="R35" s="186">
        <f t="shared" si="2"/>
        <v>28574.596050146611</v>
      </c>
      <c r="S35" s="186">
        <f t="shared" si="1"/>
        <v>28539.22026118463</v>
      </c>
      <c r="U35" s="186"/>
    </row>
    <row r="36" spans="17:21">
      <c r="Q36" s="192">
        <v>42767</v>
      </c>
      <c r="R36" s="186">
        <f t="shared" si="2"/>
        <v>28539.22026118463</v>
      </c>
      <c r="S36" s="186">
        <f t="shared" si="1"/>
        <v>28503.888267992937</v>
      </c>
      <c r="U36" s="186"/>
    </row>
    <row r="37" spans="17:21">
      <c r="Q37" s="192">
        <v>42795</v>
      </c>
      <c r="R37" s="186">
        <f t="shared" si="2"/>
        <v>28503.888267992937</v>
      </c>
      <c r="S37" s="186">
        <f t="shared" si="1"/>
        <v>28468.600016351698</v>
      </c>
      <c r="U37" s="186"/>
    </row>
    <row r="38" spans="17:21">
      <c r="Q38" s="192">
        <v>42826</v>
      </c>
      <c r="R38" s="186">
        <f t="shared" si="2"/>
        <v>28468.600016351698</v>
      </c>
      <c r="S38" s="186">
        <f t="shared" si="1"/>
        <v>28433.355452108197</v>
      </c>
      <c r="U38" s="186"/>
    </row>
    <row r="39" spans="17:21">
      <c r="Q39" s="192">
        <v>42856</v>
      </c>
      <c r="R39" s="186">
        <f t="shared" si="2"/>
        <v>28433.355452108197</v>
      </c>
      <c r="S39" s="186">
        <f t="shared" si="1"/>
        <v>28398.154521176766</v>
      </c>
      <c r="U39" s="186"/>
    </row>
    <row r="40" spans="17:21">
      <c r="Q40" s="192">
        <v>42887</v>
      </c>
      <c r="R40" s="186">
        <f t="shared" si="2"/>
        <v>28398.154521176766</v>
      </c>
      <c r="S40" s="186">
        <f t="shared" si="1"/>
        <v>28362.997169538696</v>
      </c>
    </row>
    <row r="41" spans="17:21">
      <c r="Q41" s="192">
        <v>42917</v>
      </c>
      <c r="R41" s="186">
        <f t="shared" si="2"/>
        <v>28362.997169538696</v>
      </c>
      <c r="S41" s="186">
        <f t="shared" si="1"/>
        <v>28327.883343242149</v>
      </c>
    </row>
    <row r="42" spans="17:21">
      <c r="Q42" s="192">
        <v>42948</v>
      </c>
      <c r="R42" s="186">
        <f t="shared" si="2"/>
        <v>28327.883343242149</v>
      </c>
      <c r="S42" s="186">
        <f t="shared" si="1"/>
        <v>28292.812988402085</v>
      </c>
    </row>
    <row r="43" spans="17:21">
      <c r="Q43" s="192">
        <v>42979</v>
      </c>
      <c r="R43" s="186">
        <f t="shared" si="2"/>
        <v>28292.812988402085</v>
      </c>
      <c r="S43" s="186">
        <f t="shared" si="1"/>
        <v>28257.786051200175</v>
      </c>
    </row>
    <row r="44" spans="17:21">
      <c r="Q44" s="192">
        <v>43009</v>
      </c>
      <c r="R44" s="186">
        <f t="shared" si="2"/>
        <v>28257.786051200175</v>
      </c>
      <c r="S44" s="186">
        <f t="shared" si="1"/>
        <v>28222.802477884714</v>
      </c>
    </row>
    <row r="45" spans="17:21">
      <c r="Q45" s="192">
        <v>43040</v>
      </c>
      <c r="R45" s="186">
        <f t="shared" si="2"/>
        <v>28222.802477884714</v>
      </c>
      <c r="S45" s="186">
        <f t="shared" si="1"/>
        <v>28187.862214770543</v>
      </c>
    </row>
    <row r="46" spans="17:21">
      <c r="Q46" s="192">
        <v>43070</v>
      </c>
      <c r="R46" s="186">
        <f t="shared" si="2"/>
        <v>28187.862214770543</v>
      </c>
      <c r="S46" s="186">
        <f t="shared" si="1"/>
        <v>28152.965208238969</v>
      </c>
    </row>
    <row r="47" spans="17:21">
      <c r="Q47" s="192">
        <v>43101</v>
      </c>
      <c r="R47" s="186">
        <f t="shared" si="2"/>
        <v>28152.965208238969</v>
      </c>
      <c r="S47" s="186">
        <f t="shared" si="1"/>
        <v>28118.111404737676</v>
      </c>
    </row>
    <row r="48" spans="17:21">
      <c r="Q48" s="192">
        <v>43132</v>
      </c>
      <c r="R48" s="186">
        <f t="shared" si="2"/>
        <v>28118.111404737676</v>
      </c>
      <c r="S48" s="186">
        <f t="shared" si="1"/>
        <v>28083.300750780651</v>
      </c>
    </row>
    <row r="49" spans="17:19">
      <c r="Q49" s="192">
        <v>43160</v>
      </c>
      <c r="R49" s="186">
        <f t="shared" si="2"/>
        <v>28083.300750780651</v>
      </c>
      <c r="S49" s="186">
        <f t="shared" si="1"/>
        <v>28048.533192948093</v>
      </c>
    </row>
    <row r="50" spans="17:19">
      <c r="Q50" s="192">
        <v>43191</v>
      </c>
      <c r="R50" s="186">
        <f t="shared" si="2"/>
        <v>28048.533192948093</v>
      </c>
      <c r="S50" s="186">
        <f t="shared" si="1"/>
        <v>28013.80867788634</v>
      </c>
    </row>
    <row r="51" spans="17:19">
      <c r="Q51" s="192">
        <v>43221</v>
      </c>
      <c r="R51" s="186">
        <f t="shared" si="2"/>
        <v>28013.80867788634</v>
      </c>
      <c r="S51" s="186">
        <f t="shared" si="1"/>
        <v>27979.127152307781</v>
      </c>
    </row>
    <row r="52" spans="17:19">
      <c r="Q52" s="192">
        <v>43252</v>
      </c>
      <c r="R52" s="186">
        <f t="shared" si="2"/>
        <v>27979.127152307781</v>
      </c>
      <c r="S52" s="186">
        <f t="shared" si="1"/>
        <v>27944.488562990773</v>
      </c>
    </row>
    <row r="53" spans="17:19">
      <c r="Q53" s="192">
        <v>43282</v>
      </c>
      <c r="R53" s="186">
        <f t="shared" si="2"/>
        <v>27944.488562990773</v>
      </c>
      <c r="S53" s="186">
        <f t="shared" si="1"/>
        <v>27909.892856779567</v>
      </c>
    </row>
    <row r="54" spans="17:19">
      <c r="Q54" s="192">
        <v>43313</v>
      </c>
      <c r="R54" s="186">
        <f t="shared" si="2"/>
        <v>27909.892856779567</v>
      </c>
      <c r="S54" s="186">
        <f t="shared" si="1"/>
        <v>27875.339980584216</v>
      </c>
    </row>
    <row r="55" spans="17:19">
      <c r="Q55" s="192">
        <v>43344</v>
      </c>
      <c r="R55" s="186">
        <f t="shared" si="2"/>
        <v>27875.339980584216</v>
      </c>
      <c r="S55" s="186">
        <f t="shared" si="1"/>
        <v>27840.829881380505</v>
      </c>
    </row>
    <row r="56" spans="17:19">
      <c r="Q56" s="192">
        <v>43374</v>
      </c>
      <c r="R56" s="186">
        <f t="shared" si="2"/>
        <v>27840.829881380505</v>
      </c>
      <c r="S56" s="186">
        <f t="shared" si="1"/>
        <v>27806.362506209858</v>
      </c>
    </row>
    <row r="57" spans="17:19">
      <c r="Q57" s="192">
        <v>43405</v>
      </c>
      <c r="R57" s="186">
        <f t="shared" si="2"/>
        <v>27806.362506209858</v>
      </c>
      <c r="S57" s="186">
        <f t="shared" si="1"/>
        <v>27771.937802179269</v>
      </c>
    </row>
    <row r="58" spans="17:19">
      <c r="Q58" s="192">
        <v>43435</v>
      </c>
      <c r="R58" s="186">
        <f t="shared" si="2"/>
        <v>27771.937802179269</v>
      </c>
      <c r="S58" s="186">
        <f t="shared" si="1"/>
        <v>27737.555716461207</v>
      </c>
    </row>
    <row r="59" spans="17:19">
      <c r="Q59" s="192">
        <v>43466</v>
      </c>
      <c r="R59" s="186">
        <f t="shared" si="2"/>
        <v>27737.555716461207</v>
      </c>
      <c r="S59" s="186">
        <f t="shared" si="1"/>
        <v>27703.21619629355</v>
      </c>
    </row>
    <row r="60" spans="17:19">
      <c r="Q60" s="192">
        <v>43497</v>
      </c>
      <c r="R60" s="186">
        <f t="shared" si="2"/>
        <v>27703.21619629355</v>
      </c>
      <c r="S60" s="186">
        <f t="shared" si="1"/>
        <v>27668.919188979489</v>
      </c>
    </row>
    <row r="61" spans="17:19">
      <c r="Q61" s="192">
        <v>43525</v>
      </c>
      <c r="R61" s="186">
        <f t="shared" si="2"/>
        <v>27668.919188979489</v>
      </c>
      <c r="S61" s="186">
        <f t="shared" si="1"/>
        <v>27634.664641887462</v>
      </c>
    </row>
    <row r="62" spans="17:19">
      <c r="Q62" s="192">
        <v>43556</v>
      </c>
      <c r="R62" s="186">
        <f t="shared" si="2"/>
        <v>27634.664641887462</v>
      </c>
      <c r="S62" s="186">
        <f t="shared" si="1"/>
        <v>27600.452502451059</v>
      </c>
    </row>
    <row r="63" spans="17:19">
      <c r="Q63" s="192">
        <v>43586</v>
      </c>
      <c r="R63" s="186">
        <f t="shared" si="2"/>
        <v>27600.452502451059</v>
      </c>
      <c r="S63" s="186">
        <f t="shared" si="1"/>
        <v>27566.28271816895</v>
      </c>
    </row>
    <row r="64" spans="17:19">
      <c r="Q64" s="192">
        <v>43617</v>
      </c>
      <c r="R64" s="186">
        <f t="shared" si="2"/>
        <v>27566.28271816895</v>
      </c>
      <c r="S64" s="186">
        <f t="shared" si="1"/>
        <v>27532.155236604805</v>
      </c>
    </row>
    <row r="65" spans="17:19">
      <c r="Q65" s="192">
        <v>43647</v>
      </c>
      <c r="R65" s="186">
        <f t="shared" si="2"/>
        <v>27532.155236604805</v>
      </c>
      <c r="S65" s="186">
        <f t="shared" si="1"/>
        <v>27498.07000538721</v>
      </c>
    </row>
    <row r="66" spans="17:19">
      <c r="Q66" s="192">
        <v>43678</v>
      </c>
      <c r="R66" s="186">
        <f t="shared" si="2"/>
        <v>27498.07000538721</v>
      </c>
      <c r="S66" s="186">
        <f t="shared" si="1"/>
        <v>27464.026972209587</v>
      </c>
    </row>
    <row r="67" spans="17:19">
      <c r="Q67" s="192">
        <v>43709</v>
      </c>
      <c r="R67" s="186">
        <f t="shared" si="2"/>
        <v>27464.026972209587</v>
      </c>
      <c r="S67" s="186">
        <f t="shared" si="1"/>
        <v>27430.026084830111</v>
      </c>
    </row>
    <row r="68" spans="17:19">
      <c r="Q68" s="192">
        <v>43739</v>
      </c>
      <c r="R68" s="186">
        <f t="shared" si="2"/>
        <v>27430.026084830111</v>
      </c>
      <c r="S68" s="186">
        <f t="shared" si="1"/>
        <v>27396.067291071642</v>
      </c>
    </row>
    <row r="69" spans="17:19">
      <c r="Q69" s="192">
        <v>43770</v>
      </c>
      <c r="R69" s="186">
        <f t="shared" ref="R69:R94" si="3">S68</f>
        <v>27396.067291071642</v>
      </c>
      <c r="S69" s="186">
        <f t="shared" ref="S69:S94" si="4">(1+$T$3)*R69</f>
        <v>27362.150538821625</v>
      </c>
    </row>
    <row r="70" spans="17:19">
      <c r="Q70" s="192">
        <v>43800</v>
      </c>
      <c r="R70" s="186">
        <f t="shared" si="3"/>
        <v>27362.150538821625</v>
      </c>
      <c r="S70" s="186">
        <f t="shared" si="4"/>
        <v>27328.275776032027</v>
      </c>
    </row>
    <row r="71" spans="17:19">
      <c r="Q71" s="192">
        <v>43831</v>
      </c>
      <c r="R71" s="186">
        <f t="shared" si="3"/>
        <v>27328.275776032027</v>
      </c>
      <c r="S71" s="186">
        <f t="shared" si="4"/>
        <v>27294.442950719254</v>
      </c>
    </row>
    <row r="72" spans="17:19">
      <c r="Q72" s="192">
        <v>43862</v>
      </c>
      <c r="R72" s="186">
        <f t="shared" si="3"/>
        <v>27294.442950719254</v>
      </c>
      <c r="S72" s="186">
        <f t="shared" si="4"/>
        <v>27260.652010964062</v>
      </c>
    </row>
    <row r="73" spans="17:19">
      <c r="Q73" s="192">
        <v>43891</v>
      </c>
      <c r="R73" s="186">
        <f t="shared" si="3"/>
        <v>27260.652010964062</v>
      </c>
      <c r="S73" s="186">
        <f t="shared" si="4"/>
        <v>27226.902904911491</v>
      </c>
    </row>
    <row r="74" spans="17:19">
      <c r="Q74" s="192">
        <v>43922</v>
      </c>
      <c r="R74" s="186">
        <f t="shared" si="3"/>
        <v>27226.902904911491</v>
      </c>
      <c r="S74" s="186">
        <f t="shared" si="4"/>
        <v>27193.195580770771</v>
      </c>
    </row>
    <row r="75" spans="17:19">
      <c r="Q75" s="192">
        <v>43952</v>
      </c>
      <c r="R75" s="186">
        <f t="shared" si="3"/>
        <v>27193.195580770771</v>
      </c>
      <c r="S75" s="186">
        <f t="shared" si="4"/>
        <v>27159.529986815254</v>
      </c>
    </row>
    <row r="76" spans="17:19">
      <c r="Q76" s="192">
        <v>43983</v>
      </c>
      <c r="R76" s="186">
        <f t="shared" si="3"/>
        <v>27159.529986815254</v>
      </c>
      <c r="S76" s="186">
        <f t="shared" si="4"/>
        <v>27125.906071382327</v>
      </c>
    </row>
    <row r="77" spans="17:19">
      <c r="Q77" s="192">
        <v>44013</v>
      </c>
      <c r="R77" s="186">
        <f t="shared" si="3"/>
        <v>27125.906071382327</v>
      </c>
      <c r="S77" s="186">
        <f t="shared" si="4"/>
        <v>27092.323782873344</v>
      </c>
    </row>
    <row r="78" spans="17:19">
      <c r="Q78" s="192">
        <v>44044</v>
      </c>
      <c r="R78" s="186">
        <f t="shared" si="3"/>
        <v>27092.323782873344</v>
      </c>
      <c r="S78" s="186">
        <f t="shared" si="4"/>
        <v>27058.783069753528</v>
      </c>
    </row>
    <row r="79" spans="17:19">
      <c r="Q79" s="192">
        <v>44075</v>
      </c>
      <c r="R79" s="186">
        <f t="shared" si="3"/>
        <v>27058.783069753528</v>
      </c>
      <c r="S79" s="186">
        <f t="shared" si="4"/>
        <v>27025.283880551913</v>
      </c>
    </row>
    <row r="80" spans="17:19">
      <c r="Q80" s="192">
        <v>44105</v>
      </c>
      <c r="R80" s="186">
        <f t="shared" si="3"/>
        <v>27025.283880551913</v>
      </c>
      <c r="S80" s="186">
        <f t="shared" si="4"/>
        <v>26991.826163861249</v>
      </c>
    </row>
    <row r="81" spans="17:19">
      <c r="Q81" s="192">
        <v>44136</v>
      </c>
      <c r="R81" s="186">
        <f t="shared" si="3"/>
        <v>26991.826163861249</v>
      </c>
      <c r="S81" s="186">
        <f t="shared" si="4"/>
        <v>26958.409868337931</v>
      </c>
    </row>
    <row r="82" spans="17:19">
      <c r="Q82" s="192">
        <v>44166</v>
      </c>
      <c r="R82" s="186">
        <f t="shared" si="3"/>
        <v>26958.409868337931</v>
      </c>
      <c r="S82" s="186">
        <f t="shared" si="4"/>
        <v>26925.034942701914</v>
      </c>
    </row>
    <row r="83" spans="17:19">
      <c r="Q83" s="192">
        <v>44197</v>
      </c>
      <c r="R83" s="186">
        <f t="shared" si="3"/>
        <v>26925.034942701914</v>
      </c>
      <c r="S83" s="186">
        <f t="shared" si="4"/>
        <v>26891.701335736645</v>
      </c>
    </row>
    <row r="84" spans="17:19">
      <c r="Q84" s="192">
        <v>44228</v>
      </c>
      <c r="R84" s="186">
        <f t="shared" si="3"/>
        <v>26891.701335736645</v>
      </c>
      <c r="S84" s="186">
        <f t="shared" si="4"/>
        <v>26858.408996288974</v>
      </c>
    </row>
    <row r="85" spans="17:19">
      <c r="Q85" s="192">
        <v>44256</v>
      </c>
      <c r="R85" s="186">
        <f t="shared" si="3"/>
        <v>26858.408996288974</v>
      </c>
      <c r="S85" s="186">
        <f t="shared" si="4"/>
        <v>26825.15787326908</v>
      </c>
    </row>
    <row r="86" spans="17:19">
      <c r="Q86" s="192">
        <v>44287</v>
      </c>
      <c r="R86" s="186">
        <f t="shared" si="3"/>
        <v>26825.15787326908</v>
      </c>
      <c r="S86" s="186">
        <f t="shared" si="4"/>
        <v>26791.947915650391</v>
      </c>
    </row>
    <row r="87" spans="17:19">
      <c r="Q87" s="192">
        <v>44317</v>
      </c>
      <c r="R87" s="186">
        <f t="shared" si="3"/>
        <v>26791.947915650391</v>
      </c>
      <c r="S87" s="186">
        <f t="shared" si="4"/>
        <v>26758.779072469508</v>
      </c>
    </row>
    <row r="88" spans="17:19">
      <c r="Q88" s="192">
        <v>44348</v>
      </c>
      <c r="R88" s="186">
        <f t="shared" si="3"/>
        <v>26758.779072469508</v>
      </c>
      <c r="S88" s="186">
        <f t="shared" si="4"/>
        <v>26725.651292826125</v>
      </c>
    </row>
    <row r="89" spans="17:19">
      <c r="Q89" s="192">
        <v>44378</v>
      </c>
      <c r="R89" s="186">
        <f t="shared" si="3"/>
        <v>26725.651292826125</v>
      </c>
      <c r="S89" s="186">
        <f t="shared" si="4"/>
        <v>26692.564525882954</v>
      </c>
    </row>
    <row r="90" spans="17:19">
      <c r="Q90" s="192">
        <v>44409</v>
      </c>
      <c r="R90" s="186">
        <f t="shared" si="3"/>
        <v>26692.564525882954</v>
      </c>
      <c r="S90" s="186">
        <f t="shared" si="4"/>
        <v>26659.518720865639</v>
      </c>
    </row>
    <row r="91" spans="17:19">
      <c r="Q91" s="192">
        <v>44440</v>
      </c>
      <c r="R91" s="186">
        <f t="shared" si="3"/>
        <v>26659.518720865639</v>
      </c>
      <c r="S91" s="186">
        <f t="shared" si="4"/>
        <v>26626.513827062689</v>
      </c>
    </row>
    <row r="92" spans="17:19">
      <c r="Q92" s="192">
        <v>44470</v>
      </c>
      <c r="R92" s="186">
        <f t="shared" si="3"/>
        <v>26626.513827062689</v>
      </c>
      <c r="S92" s="186">
        <f t="shared" si="4"/>
        <v>26593.54979382539</v>
      </c>
    </row>
    <row r="93" spans="17:19">
      <c r="Q93" s="192">
        <v>44501</v>
      </c>
      <c r="R93" s="186">
        <f t="shared" si="3"/>
        <v>26593.54979382539</v>
      </c>
      <c r="S93" s="186">
        <f t="shared" si="4"/>
        <v>26560.626570567736</v>
      </c>
    </row>
    <row r="94" spans="17:19">
      <c r="Q94" s="192">
        <v>44531</v>
      </c>
      <c r="R94" s="186">
        <f t="shared" si="3"/>
        <v>26560.626570567736</v>
      </c>
      <c r="S94" s="186">
        <f t="shared" si="4"/>
        <v>26527.744106766342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4" sqref="E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f>1200</f>
        <v>1200</v>
      </c>
      <c r="C2" s="25">
        <v>18.55</v>
      </c>
      <c r="D2" s="25">
        <v>0.46</v>
      </c>
      <c r="E2" s="39">
        <v>18.010000000000002</v>
      </c>
      <c r="F2" s="28">
        <f>ROUNDDOWN([APLICAÇÃO]/[PREÇO OPÇÃO], 0)</f>
        <v>2608</v>
      </c>
      <c r="G2" s="28">
        <f>[QTDE TMP] - MOD([QTDE TMP], 100)</f>
        <v>2600</v>
      </c>
      <c r="H2" s="25">
        <f>[EXERCÍCIO] + ([PREÇO OPÇÃO] * 2)</f>
        <v>19.470000000000002</v>
      </c>
      <c r="I2" s="27">
        <f>[TARGET 100%] / [PREÇO AÇÃO] - 1</f>
        <v>8.1066074403109534E-2</v>
      </c>
      <c r="J2" s="25">
        <f>[PREÇO OPÇÃO] * [QTDE]</f>
        <v>1196</v>
      </c>
      <c r="K2" s="25">
        <f>IF([PREÇO AÇÃO] &gt; [EXERCÍCIO], [PREÇO OPÇÃO] -([PREÇO AÇÃO] - [EXERCÍCIO]), [PREÇO OPÇÃO])</f>
        <v>0.46</v>
      </c>
    </row>
    <row r="3" spans="1:15">
      <c r="A3" s="7" t="s">
        <v>179</v>
      </c>
      <c r="B3" s="25">
        <f>1200</f>
        <v>1200</v>
      </c>
      <c r="C3" s="25">
        <v>19.16</v>
      </c>
      <c r="D3" s="25">
        <v>0.18</v>
      </c>
      <c r="E3" s="39">
        <v>19.079999999999998</v>
      </c>
      <c r="F3" s="28">
        <f>ROUNDDOWN([APLICAÇÃO]/[PREÇO OPÇÃO], 0)</f>
        <v>6666</v>
      </c>
      <c r="G3" s="28">
        <f>[QTDE TMP] - MOD([QTDE TMP], 100)</f>
        <v>6600</v>
      </c>
      <c r="H3" s="25">
        <f>[EXERCÍCIO] + ([PREÇO OPÇÃO] * 2)</f>
        <v>19.52</v>
      </c>
      <c r="I3" s="27">
        <f>[TARGET 100%] / [PREÇO AÇÃO] - 1</f>
        <v>2.3060796645702375E-2</v>
      </c>
      <c r="J3" s="25">
        <f>[PREÇO OPÇÃO] * [QTDE]</f>
        <v>1188</v>
      </c>
      <c r="K3" s="25">
        <f>IF([PREÇO AÇÃO] &gt; [EXERCÍCIO], [PREÇO OPÇÃO] -([PREÇO AÇÃO] - [EXERCÍCIO]), [PREÇO OPÇÃO])</f>
        <v>0.18</v>
      </c>
    </row>
    <row r="4" spans="1:15">
      <c r="A4" s="7" t="s">
        <v>179</v>
      </c>
      <c r="B4" s="146">
        <f>1200</f>
        <v>1200</v>
      </c>
      <c r="C4" s="25">
        <v>27.17</v>
      </c>
      <c r="D4" s="25">
        <v>0.59</v>
      </c>
      <c r="E4" s="39">
        <v>27.09</v>
      </c>
      <c r="F4" s="147">
        <f>ROUNDDOWN([APLICAÇÃO]/[PREÇO OPÇÃO], 0)</f>
        <v>2033</v>
      </c>
      <c r="G4" s="147">
        <f>[QTDE TMP] - MOD([QTDE TMP], 100)</f>
        <v>2000</v>
      </c>
      <c r="H4" s="146">
        <f>[EXERCÍCIO] + ([PREÇO OPÇÃO] * 2)</f>
        <v>28.35</v>
      </c>
      <c r="I4" s="148">
        <f>[TARGET 100%] / [PREÇO AÇÃO] - 1</f>
        <v>4.6511627906976827E-2</v>
      </c>
      <c r="J4" s="149">
        <f>[PREÇO OPÇÃO] * [QTDE]</f>
        <v>1180</v>
      </c>
      <c r="K4" s="149">
        <f>IF([PREÇO AÇÃO] &gt; [EXERCÍCIO], [PREÇO OPÇÃO] -([PREÇO AÇÃO] - [EXERCÍCIO]), [PREÇO OPÇÃO])</f>
        <v>0.59</v>
      </c>
      <c r="M4" s="7">
        <v>33.15</v>
      </c>
      <c r="N4" s="152">
        <f>M4*N7/M7</f>
        <v>4.9732104586369479</v>
      </c>
      <c r="O4" s="153">
        <f>N4/5*M1</f>
        <v>2.9839262751821689</v>
      </c>
    </row>
    <row r="5" spans="1:15">
      <c r="A5" s="145" t="s">
        <v>179</v>
      </c>
      <c r="B5" s="146">
        <f>1200</f>
        <v>1200</v>
      </c>
      <c r="C5" s="146">
        <v>11.87</v>
      </c>
      <c r="D5" s="146">
        <v>0.26</v>
      </c>
      <c r="E5" s="39">
        <v>11.84</v>
      </c>
      <c r="F5" s="147">
        <f>ROUNDDOWN([APLICAÇÃO]/[PREÇO OPÇÃO], 0)</f>
        <v>4615</v>
      </c>
      <c r="G5" s="147">
        <f>[QTDE TMP] - MOD([QTDE TMP], 100)</f>
        <v>4600</v>
      </c>
      <c r="H5" s="146">
        <f>[EXERCÍCIO] + ([PREÇO OPÇÃO] * 2)</f>
        <v>12.389999999999999</v>
      </c>
      <c r="I5" s="148">
        <f>[TARGET 100%] / [PREÇO AÇÃO] - 1</f>
        <v>4.6452702702702631E-2</v>
      </c>
      <c r="J5" s="149">
        <f>[PREÇO OPÇÃO] * [QTDE]</f>
        <v>1196</v>
      </c>
      <c r="K5" s="149">
        <f>IF([PREÇO AÇÃO] &gt; [EXERCÍCIO], [PREÇO OPÇÃO] -([PREÇO AÇÃO] - [EXERCÍCIO]), [PREÇO OPÇÃO])</f>
        <v>0.26</v>
      </c>
      <c r="M5" s="7">
        <v>23.84</v>
      </c>
      <c r="N5" s="152">
        <f>M5*N7/M7</f>
        <v>3.5765109301328764</v>
      </c>
      <c r="O5" s="153">
        <f>N5/5*M1</f>
        <v>2.1459065580797256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R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6" sqref="G16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hidden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8">
      <c r="A1" s="24" t="s">
        <v>55</v>
      </c>
      <c r="B1" s="24" t="s">
        <v>112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233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8">
      <c r="A2" s="7" t="s">
        <v>83</v>
      </c>
      <c r="B2" s="25">
        <f>1500</f>
        <v>1500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[VOLUME]/([PREÇO VENDA]+[PREÇO COMPRA])</f>
        <v>559.70149253731347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ROUNDDOWN([VOLUME]/ABS([PERDA P/ OPÇÃO]), 0)</f>
        <v>1829</v>
      </c>
      <c r="L2" s="28">
        <f>[QTD] - MOD([QTD], 100)</f>
        <v>500</v>
      </c>
      <c r="M2" s="25">
        <f>([QTDE]*[LUCRO P/ OPÇÃO])-48</f>
        <v>542</v>
      </c>
      <c r="N2" s="25">
        <f>[QTDE]*[PERDA P/ OPÇÃO]-48</f>
        <v>-457.99999999999994</v>
      </c>
      <c r="O2" s="27">
        <f>[EXERC. VENDA]/[PREÇO AÇÃO]-1</f>
        <v>2.3226135783563029E-2</v>
      </c>
      <c r="P2" s="38">
        <f>[LUCRO*]/ABS([PERDA*])</f>
        <v>1.1834061135371181</v>
      </c>
    </row>
    <row r="3" spans="1:18">
      <c r="A3" s="7" t="s">
        <v>83</v>
      </c>
      <c r="B3" s="25">
        <f>1500</f>
        <v>1500</v>
      </c>
      <c r="C3" s="25">
        <v>16.79</v>
      </c>
      <c r="D3" s="25">
        <v>15.16</v>
      </c>
      <c r="E3" s="25">
        <v>1.72</v>
      </c>
      <c r="F3" s="25">
        <v>17.16</v>
      </c>
      <c r="G3" s="25">
        <v>0.28999999999999998</v>
      </c>
      <c r="H3" s="25">
        <f>[VOLUME]/([PREÇO VENDA]+[PREÇO COMPRA])</f>
        <v>746.26865671641804</v>
      </c>
      <c r="I3" s="25">
        <f>[PREÇO VENDA]-[PREÇO COMPRA]</f>
        <v>1.43</v>
      </c>
      <c r="J3" s="25">
        <f>(0.01 - [PREÇO COMPRA]) + ([PREÇO VENDA] - ([EXERC. COMPRA]-[EXERC. VENDA]+0.01))</f>
        <v>-0.56999999999999984</v>
      </c>
      <c r="K3" s="28">
        <f>ROUNDDOWN([VOLUME]/ABS([PERDA P/ OPÇÃO]), 0)</f>
        <v>2631</v>
      </c>
      <c r="L3" s="28">
        <f>[QTD] - MOD([QTD], 100)</f>
        <v>700</v>
      </c>
      <c r="M3" s="25">
        <f>([QTDE]*[LUCRO P/ OPÇÃO])-48</f>
        <v>953</v>
      </c>
      <c r="N3" s="25">
        <f>[QTDE]*[PERDA P/ OPÇÃO]-48</f>
        <v>-446.99999999999989</v>
      </c>
      <c r="O3" s="27">
        <f>[EXERC. VENDA]/[PREÇO AÇÃO]-1</f>
        <v>-9.708159618820722E-2</v>
      </c>
      <c r="P3" s="38">
        <f>[LUCRO*]/ABS([PERDA*])</f>
        <v>2.1319910514541394</v>
      </c>
    </row>
    <row r="4" spans="1:18">
      <c r="A4" s="102" t="s">
        <v>69</v>
      </c>
      <c r="B4" s="25">
        <f>1500</f>
        <v>1500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[VOLUME]/([PREÇO VENDA]+[PREÇO COMPRA])</f>
        <v>714.28571428571422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ROUNDDOWN([VOLUME]/ABS([PERDA P/ OPÇÃO]), 0)</f>
        <v>15000</v>
      </c>
      <c r="L4" s="103">
        <f>[QTD] - MOD([QTD], 100)</f>
        <v>700</v>
      </c>
      <c r="M4" s="81">
        <f>([QTDE]*[LUCRO P/ OPÇÃO])-48</f>
        <v>582</v>
      </c>
      <c r="N4" s="81">
        <f>[QTDE]*[PERDA P/ OPÇÃO]-48</f>
        <v>-117.99999999999999</v>
      </c>
      <c r="O4" s="82">
        <f>[EXERC. VENDA]/[PREÇO AÇÃO]-1</f>
        <v>-0.12280701754385959</v>
      </c>
      <c r="P4" s="83">
        <f>[LUCRO*]/ABS([PERDA*])</f>
        <v>4.9322033898305087</v>
      </c>
      <c r="R4" s="7">
        <v>36.979999999999997</v>
      </c>
    </row>
    <row r="5" spans="1:18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  <c r="R5" s="7">
        <f>R4/10*1.5</f>
        <v>5.5469999999999988</v>
      </c>
    </row>
    <row r="6" spans="1:18">
      <c r="R6" s="7">
        <f>R5/10*1.5</f>
        <v>0.83204999999999973</v>
      </c>
    </row>
    <row r="7" spans="1:18">
      <c r="R7" s="27">
        <f>R6/100</f>
        <v>8.320499999999998E-3</v>
      </c>
    </row>
    <row r="9" spans="1:18">
      <c r="R9" s="7">
        <f>17.14*(1-R7)</f>
        <v>16.997386630000001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0" width="11.140625" style="7" bestFit="1" customWidth="1"/>
    <col min="11" max="11" width="11.140625" style="24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160</v>
      </c>
      <c r="C2" s="51">
        <v>17.29</v>
      </c>
      <c r="D2" s="51">
        <v>15.16</v>
      </c>
      <c r="E2" s="51">
        <v>17.16</v>
      </c>
      <c r="F2" s="51">
        <v>2.2599999999999998</v>
      </c>
      <c r="G2" s="62">
        <v>500</v>
      </c>
      <c r="H2" s="52">
        <f>([RISCO])/[QTDE]</f>
        <v>0.32</v>
      </c>
      <c r="I2" s="52">
        <f>[PR Venda] * [QTDE]+[QTDE]*[PR Compra]</f>
        <v>1420</v>
      </c>
      <c r="J2" s="63">
        <f>[PR Venda]-[PR Compra]</f>
        <v>1.6799999999999997</v>
      </c>
      <c r="K2" s="205">
        <f>(-[PERDA P/ OPÇÃO] + ([EX. COMPRA] - [EX. VENDA] + 0.01) - 0.01 -[PR Venda])*-1</f>
        <v>0.58000000000000007</v>
      </c>
      <c r="L2" s="52">
        <f>([QTDE]*[LUCRO UNI])-64</f>
        <v>775.99999999999989</v>
      </c>
      <c r="M2" s="52">
        <f>-[PERDA P/ OPÇÃO]*[QTDE]-64</f>
        <v>-224</v>
      </c>
      <c r="N2" s="53">
        <f>[EX. VENDA]/[PREÇO AÇÃO]-1</f>
        <v>-0.12319259687680739</v>
      </c>
      <c r="O2" s="54">
        <f>[LUCRO]/ABS([PERDA])</f>
        <v>3.464285714285714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206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E18" sqref="E1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211" t="s">
        <v>7</v>
      </c>
      <c r="B1" s="211"/>
      <c r="C1" s="211" t="s">
        <v>8</v>
      </c>
      <c r="D1" s="211"/>
      <c r="E1" s="210" t="s">
        <v>9</v>
      </c>
      <c r="F1" s="210" t="s">
        <v>4</v>
      </c>
      <c r="G1" s="210" t="s">
        <v>10</v>
      </c>
      <c r="H1" s="210" t="s">
        <v>11</v>
      </c>
      <c r="I1" s="210" t="s">
        <v>23</v>
      </c>
      <c r="K1" s="209" t="s">
        <v>147</v>
      </c>
      <c r="L1" s="209"/>
      <c r="M1" s="209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210"/>
      <c r="F2" s="210"/>
      <c r="G2" s="210"/>
      <c r="H2" s="210"/>
      <c r="I2" s="210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209" t="s">
        <v>26</v>
      </c>
      <c r="B4" s="209"/>
      <c r="C4" s="209"/>
      <c r="D4" s="209"/>
      <c r="E4" s="209"/>
      <c r="F4" s="209"/>
      <c r="K4" s="17">
        <v>498.62</v>
      </c>
      <c r="L4" s="17">
        <v>0</v>
      </c>
      <c r="M4" s="104">
        <v>0.02</v>
      </c>
    </row>
    <row r="5" spans="1:13">
      <c r="A5" s="209" t="s">
        <v>7</v>
      </c>
      <c r="B5" s="209"/>
      <c r="C5" s="209"/>
      <c r="D5" s="209" t="s">
        <v>8</v>
      </c>
      <c r="E5" s="209"/>
      <c r="F5" s="209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2014-06-13T20:59:44Z</dcterms:modified>
</cp:coreProperties>
</file>