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9630" windowHeight="3555" tabRatio="648" activeTab="4"/>
  </bookViews>
  <sheets>
    <sheet name="NOTAS" sheetId="1" r:id="rId1"/>
    <sheet name="NOTAS 80%" sheetId="9" r:id="rId2"/>
    <sheet name="IR" sheetId="8" r:id="rId3"/>
    <sheet name="VOLAT-TENDENCIA" sheetId="3" r:id="rId4"/>
    <sheet name="TRAVA BAIXA NEW" sheetId="6" r:id="rId5"/>
    <sheet name="TRAVA BAIXA" sheetId="4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5" i="3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AK57" s="1"/>
  <c r="Y11"/>
  <c r="AK4"/>
  <c r="Z56" l="1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H58" s="1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9" i="9" l="1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3" l="1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3" i="1" l="1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3" i="1" l="1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2" l="1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95"/>
  <c r="Y2"/>
  <c r="AK2" s="1"/>
  <c r="Z93" l="1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3" l="1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3" l="1"/>
  <c r="AG95" s="1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<sst xmlns="http://schemas.openxmlformats.org/spreadsheetml/2006/main" count="675" uniqueCount="183">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</sst>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3" headerRowDxfId="348" dataDxfId="347" totalsRowDxfId="346">
  <autoFilter ref="A1:AK93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160" totalsRowDxfId="159"/>
    <tableColumn id="2" name="EXERCÍCIO" dataDxfId="158" totalsRowDxfId="157"/>
    <tableColumn id="3" name="PREÇO OPÇÃO" dataDxfId="156" totalsRowDxfId="155"/>
    <tableColumn id="4" name="PREÇO AÇÃO" dataDxfId="154" totalsRowDxfId="153"/>
    <tableColumn id="11" name="QTDE TMP" dataDxfId="152" totalsRowDxfId="151">
      <calculatedColumnFormula>ROUNDDOWN([APLICAÇÃO]/[PREÇO OPÇÃO], 0)</calculatedColumnFormula>
    </tableColumn>
    <tableColumn id="14" name="QTDE" dataDxfId="150" totalsRowDxfId="149">
      <calculatedColumnFormula>[QTDE TMP] - MOD([QTDE TMP], 100)</calculatedColumnFormula>
    </tableColumn>
    <tableColumn id="5" name="TARGET 100%" dataDxfId="148" totalsRowDxfId="147" dataCellStyle="Moeda">
      <calculatedColumnFormula>[EXERCÍCIO] + ([PREÇO OPÇÃO] * 2)</calculatedColumnFormula>
    </tableColumn>
    <tableColumn id="6" name="ALTA 100%" dataDxfId="146" totalsRowDxfId="145">
      <calculatedColumnFormula>[TARGET 100%] / [PREÇO AÇÃO] - 1</calculatedColumnFormula>
    </tableColumn>
    <tableColumn id="12" name="LUCRO* 100%" dataDxfId="144" totalsRowDxfId="143">
      <calculatedColumnFormula>[PREÇO OPÇÃO] * [QTDE]</calculatedColumnFormula>
    </tableColumn>
    <tableColumn id="7" name="GORDURA" dataDxfId="142" totalsRowDxfId="14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3" headerRowDxfId="140" dataDxfId="139">
  <autoFilter ref="A1:O3"/>
  <tableColumns count="15">
    <tableColumn id="1" name="PAPEL" totalsRowLabel="Total" dataDxfId="138" totalsRowDxfId="137"/>
    <tableColumn id="10" name="RISCO" dataDxfId="136" totalsRowDxfId="135"/>
    <tableColumn id="20" name="PREÇO AÇÃO" dataDxfId="134" totalsRowDxfId="133"/>
    <tableColumn id="7" name="EX. VENDA" dataDxfId="132" totalsRowDxfId="131"/>
    <tableColumn id="2" name="EX. COMPRA" dataDxfId="130" totalsRowDxfId="129" dataCellStyle="Moeda"/>
    <tableColumn id="3" name="PR Venda" dataDxfId="128" totalsRowDxfId="127" dataCellStyle="Moeda"/>
    <tableColumn id="16" name="QTDE" dataDxfId="126" totalsRowDxfId="125"/>
    <tableColumn id="13" name="PERDA P/ OPÇÃO" dataDxfId="124" totalsRowDxfId="123">
      <calculatedColumnFormula>([RISCO])/[QTDE]</calculatedColumnFormula>
    </tableColumn>
    <tableColumn id="14" name="Volume" dataDxfId="122" totalsRowDxfId="121">
      <calculatedColumnFormula>[PR Venda] * [QTDE]+[QTDE]*[PR Compra]</calculatedColumnFormula>
    </tableColumn>
    <tableColumn id="15" name="LUCRO UNI" dataDxfId="120" totalsRowDxfId="119">
      <calculatedColumnFormula>[PR Venda]-[PR Compra]</calculatedColumnFormula>
    </tableColumn>
    <tableColumn id="8" name="PR Compra" dataDxfId="118" totalsRowDxfId="117">
      <calculatedColumnFormula>(-[PERDA P/ OPÇÃO] + ([EX. COMPRA] - [EX. VENDA] + 0.01) - 0.01 -[PR Venda])*-1</calculatedColumnFormula>
    </tableColumn>
    <tableColumn id="5" name="LUCRO" dataDxfId="116" totalsRowDxfId="115">
      <calculatedColumnFormula>([QTDE]*[LUCRO UNI])-64</calculatedColumnFormula>
    </tableColumn>
    <tableColumn id="6" name="PERDA" dataDxfId="114" totalsRowDxfId="113">
      <calculatedColumnFormula>-[PERDA P/ OPÇÃO]*[QTDE]-64</calculatedColumnFormula>
    </tableColumn>
    <tableColumn id="21" name="% QUEDA" dataDxfId="112" totalsRowDxfId="111">
      <calculatedColumnFormula>[EX. VENDA]/[PREÇO AÇÃO]-1</calculatedColumnFormula>
    </tableColumn>
    <tableColumn id="22" name="RISCO : 1" dataDxfId="110" totalsRowDxfId="10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ela24" displayName="Tabela24" ref="A1:P5" totalsRowCount="1" headerRowDxfId="108" dataDxfId="107">
  <autoFilter ref="A1:P4"/>
  <tableColumns count="16">
    <tableColumn id="1" name="PAPEL" totalsRowLabel="Total" dataDxfId="106" totalsRowDxfId="105"/>
    <tableColumn id="10" name="RISCO" dataDxfId="104" totalsRowDxfId="103"/>
    <tableColumn id="20" name="PREÇO AÇÃO" dataDxfId="102" totalsRowDxfId="101"/>
    <tableColumn id="7" name="EXERC. VENDA" dataDxfId="100" totalsRowDxfId="99"/>
    <tableColumn id="8" name="PREÇO VENDA" dataDxfId="98" totalsRowDxfId="97"/>
    <tableColumn id="2" name="EXERC. COMPRA" dataDxfId="96" totalsRowDxfId="95"/>
    <tableColumn id="3" name="PREÇO COMPRA" dataDxfId="94" totalsRowDxfId="93"/>
    <tableColumn id="4" name="VOLUME" dataDxfId="92" totalsRowDxfId="91">
      <calculatedColumnFormula>([QTDE] * [PREÇO COMPRA]) + ([QTDE] * [PREÇO VENDA])</calculatedColumnFormula>
    </tableColumn>
    <tableColumn id="18" name="LUCRO P/ OPÇÃO" dataDxfId="90" totalsRowDxfId="89">
      <calculatedColumnFormula>[PREÇO VENDA]-[PREÇO COMPRA]</calculatedColumnFormula>
    </tableColumn>
    <tableColumn id="19" name="PERDA P/ OPÇÃO" dataDxfId="88" totalsRowDxfId="87">
      <calculatedColumnFormula>(0.01 - [PREÇO COMPRA]) + ([PREÇO VENDA] - ([EXERC. COMPRA]-[EXERC. VENDA]+0.01))</calculatedColumnFormula>
    </tableColumn>
    <tableColumn id="11" name="QTDE TMP" dataDxfId="86" totalsRowDxfId="85">
      <calculatedColumnFormula>ROUNDDOWN([RISCO]/ABS([PERDA P/ OPÇÃO]), 0)</calculatedColumnFormula>
    </tableColumn>
    <tableColumn id="14" name="QTDE" dataDxfId="84" totalsRowDxfId="83">
      <calculatedColumnFormula>[QTDE TMP] - MOD([QTDE TMP], 100)</calculatedColumnFormula>
    </tableColumn>
    <tableColumn id="5" name="LUCRO*" dataDxfId="82" totalsRowDxfId="81">
      <calculatedColumnFormula>([QTDE]*[LUCRO P/ OPÇÃO])-32</calculatedColumnFormula>
    </tableColumn>
    <tableColumn id="6" name="PERDA*" dataDxfId="80" totalsRowDxfId="79">
      <calculatedColumnFormula>[QTDE]*[PERDA P/ OPÇÃO]-32</calculatedColumnFormula>
    </tableColumn>
    <tableColumn id="21" name="% QUEDA" dataDxfId="78" totalsRowDxfId="77">
      <calculatedColumnFormula>[EXERC. VENDA]/[PREÇO AÇÃO]-1</calculatedColumnFormula>
    </tableColumn>
    <tableColumn id="22" name="RISCO : 1" dataDxfId="76" totalsRowDxfId="7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74" dataDxfId="73">
  <autoFilter ref="A1:U2"/>
  <tableColumns count="21">
    <tableColumn id="1" name="PAPEL" totalsRowLabel="Total" dataDxfId="72" totalsRowDxfId="71"/>
    <tableColumn id="10" name="BASE" dataDxfId="70" totalsRowDxfId="69"/>
    <tableColumn id="20" name="PR. AÇÃO" dataDxfId="68" totalsRowDxfId="67"/>
    <tableColumn id="2" name="EX. CP 1" dataDxfId="66" totalsRowDxfId="65"/>
    <tableColumn id="3" name="PR CP 1" dataDxfId="64" totalsRowDxfId="63"/>
    <tableColumn id="12" name="EX. VD" dataDxfId="62" totalsRowDxfId="61"/>
    <tableColumn id="13" name="PR VD" dataDxfId="60" totalsRowDxfId="59"/>
    <tableColumn id="8" name="EX. CP 2" dataDxfId="58" totalsRowDxfId="57"/>
    <tableColumn id="7" name="PR CP 2" dataDxfId="56" totalsRowDxfId="55"/>
    <tableColumn id="18" name="LUCRO UNI." dataDxfId="54" totalsRowDxfId="53">
      <calculatedColumnFormula>(([PR VD] - 0.01) * 2) + (([EX. VD] - [EX. CP 1] + 0.01) - [PR CP 1]) + (0.01 - [PR CP 2])</calculatedColumnFormula>
    </tableColumn>
    <tableColumn id="19" name="PERDA 1" dataDxfId="52" totalsRowDxfId="51">
      <calculatedColumnFormula>(0.01 - [PR CP 1]) + (([PR VD] - 0.01) * 2) + (0.01 - [PR CP 2])</calculatedColumnFormula>
    </tableColumn>
    <tableColumn id="15" name="PERDA 2" dataDxfId="50" totalsRowDxfId="49">
      <calculatedColumnFormula>(([EX. CP 2] - [EX. CP 1] + 0.01) - [PR CP 1]) + (([PR VD] - ([EX. CP 2] - [EX. VD] + 0.01)) * 2) + (0.01 - [PR CP 2])</calculatedColumnFormula>
    </tableColumn>
    <tableColumn id="16" name="PERDA" dataDxfId="48" totalsRowDxfId="47">
      <calculatedColumnFormula>IF([PERDA 1] &gt; [PERDA 2], [PERDA 2], [PERDA 1])</calculatedColumnFormula>
    </tableColumn>
    <tableColumn id="11" name="QTDE TMP" dataDxfId="46" totalsRowDxfId="45">
      <calculatedColumnFormula>ROUNDDOWN([BASE]/ABS([PERDA]), 0)</calculatedColumnFormula>
    </tableColumn>
    <tableColumn id="14" name="QTDE" dataDxfId="44" totalsRowDxfId="43">
      <calculatedColumnFormula>[QTDE TMP] - MOD([QTDE TMP], 100)</calculatedColumnFormula>
    </tableColumn>
    <tableColumn id="4" name="QTDE VD" dataDxfId="42" totalsRowDxfId="41">
      <calculatedColumnFormula>Tabela245[[#This Row],[QTDE]]*2</calculatedColumnFormula>
    </tableColumn>
    <tableColumn id="17" name="VOLUME" dataDxfId="40" totalsRowDxfId="39">
      <calculatedColumnFormula>([QTDE]*[PR CP 1] + [QTDE]*[PR CP 2])+[QTDE]*[PR VD] * 2</calculatedColumnFormula>
    </tableColumn>
    <tableColumn id="5" name="LUCRO" dataDxfId="38" totalsRowDxfId="37">
      <calculatedColumnFormula>([QTDE]*[LUCRO UNI.])-48</calculatedColumnFormula>
    </tableColumn>
    <tableColumn id="6" name="PERDA2" dataDxfId="36" totalsRowDxfId="35">
      <calculatedColumnFormula>[QTDE]*[PERDA]-48</calculatedColumnFormula>
    </tableColumn>
    <tableColumn id="21" name="% VAR" dataDxfId="34" totalsRowDxfId="33">
      <calculatedColumnFormula>[EX. VD] / [PR. AÇÃO] - 1</calculatedColumnFormula>
    </tableColumn>
    <tableColumn id="22" name="RISCO : 1" dataDxfId="32" totalsRowDxfId="31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0" dataDxfId="29">
  <autoFilter ref="A1:O5"/>
  <tableColumns count="15">
    <tableColumn id="1" name="PAPEL" totalsRowLabel="Total" dataDxfId="28" totalsRowDxfId="27"/>
    <tableColumn id="10" name="RISCO" dataDxfId="26" totalsRowDxfId="25"/>
    <tableColumn id="20" name="PREÇO AÇÃO" dataDxfId="24" totalsRowDxfId="23"/>
    <tableColumn id="7" name="EX. VENDA" dataDxfId="22" totalsRowDxfId="21"/>
    <tableColumn id="2" name="EX. COMPRA" dataDxfId="20" totalsRowDxfId="19"/>
    <tableColumn id="9" name="PR VENDA" totalsRowDxfId="18"/>
    <tableColumn id="3" name="PR COMPRA" dataDxfId="17" totalsRowDxfId="16"/>
    <tableColumn id="16" name="QTDE" dataDxfId="15" totalsRowDxfId="14"/>
    <tableColumn id="13" name="PERDA P/ OPÇÃO" dataDxfId="13" totalsRowDxfId="12">
      <calculatedColumnFormula>([PR VENDA] - ([EX. COMPRA] - [EX. VENDA] + 0.01)) + (0.01 - ([PR COMPRA]))</calculatedColumnFormula>
    </tableColumn>
    <tableColumn id="14" name="VOLUME" dataDxfId="11" totalsRowDxfId="10">
      <calculatedColumnFormula>[PR COMPRA] * [QTDE]</calculatedColumnFormula>
    </tableColumn>
    <tableColumn id="15" name="LUCRO UNI" dataDxfId="9" totalsRowDxfId="8">
      <calculatedColumnFormula>[PR VENDA]-[PR COMPRA]</calculatedColumnFormula>
    </tableColumn>
    <tableColumn id="5" name="LUCRO*" dataDxfId="7" totalsRowDxfId="6">
      <calculatedColumnFormula>([QTDE]*[LUCRO UNI])</calculatedColumnFormula>
    </tableColumn>
    <tableColumn id="6" name="PERDA*" dataDxfId="5" totalsRowDxfId="4">
      <calculatedColumnFormula>[PERDA P/ OPÇÃO]*[QTDE]</calculatedColumnFormula>
    </tableColumn>
    <tableColumn id="21" name="% QUEDA" dataDxfId="3" totalsRowDxfId="2">
      <calculatedColumnFormula>[EX. VENDA]/[PREÇO AÇÃO]-1</calculatedColumnFormula>
    </tableColumn>
    <tableColumn id="22" name="RISCO : 1" dataDxfId="1" totalsRowDxfId="0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5"/>
  <sheetViews>
    <sheetView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G94" sqref="G9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2300</v>
      </c>
      <c r="G92" s="136">
        <v>0.19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437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-437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-453.35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-453.35</v>
      </c>
      <c r="Z92" s="136">
        <f>[LÍQUIDO]-SUMPRODUCT(N([DATA]=NC[[#This Row],[DATA]]),N([ID]=(NC[[#This Row],[ID]]-1)),[LÍQUIDO])</f>
        <v>-453.35</v>
      </c>
      <c r="AA92" s="136">
        <f>IF([T] = "VC", ABS([VALOR OP]) / [QTDE], [VALOR OP]/[QTDE])</f>
        <v>-0.19710869565217393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2300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0.19710869565217393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-0.19710869565217393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2300</v>
      </c>
      <c r="G93" s="136">
        <v>0.21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483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483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466.6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466.6</v>
      </c>
      <c r="Z93" s="136">
        <f>[LÍQUIDO]-SUMPRODUCT(N([DATA]=NC[[#This Row],[DATA]]),N([ID]=(NC[[#This Row],[ID]]-1)),[LÍQUIDO])</f>
        <v>466.6</v>
      </c>
      <c r="AA93" s="136">
        <f>IF([T] = "VC", ABS([VALOR OP]) / [QTDE], [VALOR OP]/[QTDE])</f>
        <v>0.2028695652173913</v>
      </c>
      <c r="AB93" s="136">
        <f>TRUNC(IF(OR([T]="CV",[T]="VV"),     N93*SETUP!$H$3,     0),2)</f>
        <v>0.02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0.19710869565217393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0.2028695652173913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13.249999999999961</v>
      </c>
      <c r="AG93" s="136">
        <f>IF([LUCRO TMP] &lt;&gt; 0, [LUCRO TMP] - SUMPRODUCT(N([ATIVO]=NC[[#This Row],[ATIVO]]),N(['[D/N']]="N"),N([ID]&lt;NC[[#This Row],[ID]]),N([PAR]=NC[[#This Row],[PAR]]), [LUCRO TMP]), 0)</f>
        <v>13.249999999999961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0.2028695652173913</v>
      </c>
    </row>
    <row r="95" spans="1:37">
      <c r="Y95" s="27">
        <f>Y93/ABS(Y92)</f>
        <v>1.0292268666593141</v>
      </c>
      <c r="AG95" s="27">
        <f>AG93/ABS(Z92)</f>
        <v>2.922686665931391E-2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5" sqref="B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v>450</v>
      </c>
      <c r="C2" s="25">
        <v>14</v>
      </c>
      <c r="D2" s="25">
        <v>0.79</v>
      </c>
      <c r="E2" s="39">
        <v>14.5</v>
      </c>
      <c r="F2" s="28">
        <f>ROUNDDOWN([APLICAÇÃO]/[PREÇO OPÇÃO], 0)</f>
        <v>569</v>
      </c>
      <c r="G2" s="28">
        <f>[QTDE TMP] - MOD([QTDE TMP], 100)</f>
        <v>500</v>
      </c>
      <c r="H2" s="25">
        <f>[EXERCÍCIO] + ([PREÇO OPÇÃO] * 2)</f>
        <v>15.58</v>
      </c>
      <c r="I2" s="27">
        <f>[TARGET 100%] / [PREÇO AÇÃO] - 1</f>
        <v>7.448275862068976E-2</v>
      </c>
      <c r="J2" s="25">
        <f>[PREÇO OPÇÃO] * [QTDE]</f>
        <v>395</v>
      </c>
      <c r="K2" s="25">
        <f>IF([PREÇO AÇÃO] &gt; [EXERCÍCIO], [PREÇO OPÇÃO] -([PREÇO AÇÃO] - [EXERCÍCIO]), [PREÇO OPÇÃO])</f>
        <v>0.29000000000000004</v>
      </c>
    </row>
    <row r="3" spans="1:15">
      <c r="A3" s="7" t="s">
        <v>179</v>
      </c>
      <c r="B3" s="25">
        <v>450</v>
      </c>
      <c r="C3" s="25">
        <v>16</v>
      </c>
      <c r="D3" s="25">
        <v>0.08</v>
      </c>
      <c r="E3" s="39">
        <v>14.5</v>
      </c>
      <c r="F3" s="28">
        <f>ROUNDDOWN([APLICAÇÃO]/[PREÇO OPÇÃO], 0)</f>
        <v>5625</v>
      </c>
      <c r="G3" s="28">
        <f>[QTDE TMP] - MOD([QTDE TMP], 100)</f>
        <v>5600</v>
      </c>
      <c r="H3" s="25">
        <f>[EXERCÍCIO] + ([PREÇO OPÇÃO] * 2)</f>
        <v>16.16</v>
      </c>
      <c r="I3" s="27">
        <f>[TARGET 100%] / [PREÇO AÇÃO] - 1</f>
        <v>0.11448275862068957</v>
      </c>
      <c r="J3" s="25">
        <f>[PREÇO OPÇÃO] * [QTDE]</f>
        <v>448</v>
      </c>
      <c r="K3" s="25">
        <f>IF([PREÇO AÇÃO] &gt; [EXERCÍCIO], [PREÇO OPÇÃO] -([PREÇO AÇÃO] - [EXERCÍCIO]), [PREÇO OPÇÃO])</f>
        <v>0.08</v>
      </c>
    </row>
    <row r="4" spans="1:15">
      <c r="A4" s="7" t="s">
        <v>179</v>
      </c>
      <c r="B4" s="146">
        <v>900</v>
      </c>
      <c r="C4" s="25">
        <v>27</v>
      </c>
      <c r="D4" s="25">
        <v>1.07</v>
      </c>
      <c r="E4" s="39">
        <v>27.5</v>
      </c>
      <c r="F4" s="147">
        <f>ROUNDDOWN([APLICAÇÃO]/[PREÇO OPÇÃO], 0)</f>
        <v>841</v>
      </c>
      <c r="G4" s="147">
        <f>[QTDE TMP] - MOD([QTDE TMP], 100)</f>
        <v>800</v>
      </c>
      <c r="H4" s="146">
        <f>[EXERCÍCIO] + ([PREÇO OPÇÃO] * 2)</f>
        <v>29.14</v>
      </c>
      <c r="I4" s="148">
        <f>[TARGET 100%] / [PREÇO AÇÃO] - 1</f>
        <v>5.963636363636371E-2</v>
      </c>
      <c r="J4" s="149">
        <f>[PREÇO OPÇÃO] * [QTDE]</f>
        <v>856</v>
      </c>
      <c r="K4" s="149">
        <f>IF([PREÇO AÇÃO] &gt; [EXERCÍCIO], [PREÇO OPÇÃO] -([PREÇO AÇÃO] - [EXERCÍCIO]), [PREÇO OPÇÃO])</f>
        <v>0.57000000000000006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v>900</v>
      </c>
      <c r="C5" s="146">
        <v>28</v>
      </c>
      <c r="D5" s="146">
        <v>0.35</v>
      </c>
      <c r="E5" s="39">
        <v>27.5</v>
      </c>
      <c r="F5" s="147">
        <f>ROUNDDOWN([APLICAÇÃO]/[PREÇO OPÇÃO], 0)</f>
        <v>2571</v>
      </c>
      <c r="G5" s="147">
        <f>[QTDE TMP] - MOD([QTDE TMP], 100)</f>
        <v>2500</v>
      </c>
      <c r="H5" s="146">
        <f>[EXERCÍCIO] + ([PREÇO OPÇÃO] * 2)</f>
        <v>28.7</v>
      </c>
      <c r="I5" s="148">
        <f>[TARGET 100%] / [PREÇO AÇÃO] - 1</f>
        <v>4.3636363636363695E-2</v>
      </c>
      <c r="J5" s="149">
        <f>[PREÇO OPÇÃO] * [QTDE]</f>
        <v>875</v>
      </c>
      <c r="K5" s="149">
        <f>IF([PREÇO AÇÃO] &gt; [EXERCÍCIO], [PREÇO OPÇÃO] -([PREÇO AÇÃO] - [EXERCÍCIO]), [PREÇO OPÇÃO])</f>
        <v>0.35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5" sqref="I1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300</v>
      </c>
      <c r="C2" s="51">
        <v>27.25</v>
      </c>
      <c r="D2" s="51">
        <v>26</v>
      </c>
      <c r="E2" s="51">
        <v>27</v>
      </c>
      <c r="F2" s="51">
        <v>1.62</v>
      </c>
      <c r="G2" s="62">
        <v>1500</v>
      </c>
      <c r="H2" s="52">
        <f>([RISCO])/[QTDE]</f>
        <v>0.2</v>
      </c>
      <c r="I2" s="52">
        <f>[PR Venda] * [QTDE]+[QTDE]*[PR Compra]</f>
        <v>3660</v>
      </c>
      <c r="J2" s="63">
        <f>[PR Venda]-[PR Compra]</f>
        <v>0.8</v>
      </c>
      <c r="K2" s="52">
        <f>(-[PERDA P/ OPÇÃO] + ([EX. COMPRA] - [EX. VENDA] + 0.01) - 0.01 -[PR Venda])*-1</f>
        <v>0.82000000000000006</v>
      </c>
      <c r="L2" s="52">
        <f>([QTDE]*[LUCRO UNI])-64</f>
        <v>1136</v>
      </c>
      <c r="M2" s="52">
        <f>-[PERDA P/ OPÇÃO]*[QTDE]-64</f>
        <v>-364</v>
      </c>
      <c r="N2" s="53">
        <f>[EX. VENDA]/[PREÇO AÇÃO]-1</f>
        <v>-4.587155963302747E-2</v>
      </c>
      <c r="O2" s="54">
        <f>[LUCRO]/ABS([PERDA])</f>
        <v>3.1208791208791209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5" sqref="E1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70</v>
      </c>
      <c r="C3" s="25">
        <v>29.09</v>
      </c>
      <c r="D3" s="25">
        <v>27.18</v>
      </c>
      <c r="E3" s="25">
        <v>1.98</v>
      </c>
      <c r="F3" s="25">
        <v>28.18</v>
      </c>
      <c r="G3" s="25">
        <v>1.23</v>
      </c>
      <c r="H3" s="25">
        <f>([QTDE] * [PREÇO COMPRA]) + ([QTDE] * [PREÇO VENDA])</f>
        <v>642</v>
      </c>
      <c r="I3" s="25">
        <f>[PREÇO VENDA]-[PREÇO COMPRA]</f>
        <v>0.75</v>
      </c>
      <c r="J3" s="25">
        <f>(0.01 - [PREÇO COMPRA]) + ([PREÇO VENDA] - ([EXERC. COMPRA]-[EXERC. VENDA]+0.01))</f>
        <v>-0.25</v>
      </c>
      <c r="K3" s="28">
        <f>ROUNDDOWN([RISCO]/ABS([PERDA P/ OPÇÃO]), 0)</f>
        <v>280</v>
      </c>
      <c r="L3" s="28">
        <f>[QTDE TMP] - MOD([QTDE TMP], 100)</f>
        <v>200</v>
      </c>
      <c r="M3" s="25">
        <f>([QTDE]*[LUCRO P/ OPÇÃO])-32</f>
        <v>118</v>
      </c>
      <c r="N3" s="25">
        <f>[QTDE]*[PERDA P/ OPÇÃO]-32</f>
        <v>-82</v>
      </c>
      <c r="O3" s="27">
        <f>[EXERC. VENDA]/[PREÇO AÇÃO]-1</f>
        <v>-6.5658301821931886E-2</v>
      </c>
      <c r="P3" s="38">
        <f>[LUCRO*]/ABS([PERDA*])</f>
        <v>1.4390243902439024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 NEW</vt:lpstr>
      <vt:lpstr>TRAVA BAIXA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2014-03-26T17:23:44Z</dcterms:modified>
</cp:coreProperties>
</file>