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210" windowWidth="19320" windowHeight="7305"/>
  </bookViews>
  <sheets>
    <sheet name="VOLATILIDADE" sheetId="1" r:id="rId1"/>
    <sheet name="TRAVA" sheetId="3" r:id="rId2"/>
    <sheet name="TENDENCIA" sheetId="4" r:id="rId3"/>
    <sheet name="SETUP" sheetId="2" r:id="rId4"/>
  </sheets>
  <calcPr calcId="145621"/>
</workbook>
</file>

<file path=xl/calcChain.xml><?xml version="1.0" encoding="utf-8"?>
<calcChain xmlns="http://schemas.openxmlformats.org/spreadsheetml/2006/main">
  <c r="G25" i="1" l="1"/>
  <c r="H25" i="1"/>
  <c r="M25" i="1"/>
  <c r="N25" i="1"/>
  <c r="S25" i="1"/>
  <c r="T25" i="1"/>
  <c r="Y25" i="1"/>
  <c r="Z25" i="1" s="1"/>
  <c r="G24" i="1"/>
  <c r="G23" i="1"/>
  <c r="M23" i="1"/>
  <c r="M24" i="1"/>
  <c r="N23" i="1"/>
  <c r="N24" i="1"/>
  <c r="S23" i="1"/>
  <c r="S24" i="1"/>
  <c r="T23" i="1"/>
  <c r="T24" i="1"/>
  <c r="Y23" i="1"/>
  <c r="Z23" i="1" s="1"/>
  <c r="Y24" i="1"/>
  <c r="Z24" i="1" s="1"/>
  <c r="I25" i="1" l="1"/>
  <c r="AB25" i="1"/>
  <c r="AA25" i="1"/>
  <c r="AA23" i="1"/>
  <c r="AB23" i="1"/>
  <c r="AA24" i="1"/>
  <c r="AB24" i="1"/>
  <c r="G22" i="1"/>
  <c r="G21" i="1"/>
  <c r="G20" i="1"/>
  <c r="G19" i="1"/>
  <c r="G18" i="1"/>
  <c r="G17" i="1"/>
  <c r="G16" i="1"/>
  <c r="G15" i="1"/>
  <c r="M15" i="1"/>
  <c r="N15" i="1"/>
  <c r="S15" i="1"/>
  <c r="T15" i="1"/>
  <c r="Y15" i="1"/>
  <c r="Z15" i="1" s="1"/>
  <c r="M16" i="1"/>
  <c r="N16" i="1"/>
  <c r="S16" i="1"/>
  <c r="T16" i="1"/>
  <c r="Y16" i="1"/>
  <c r="Z16" i="1"/>
  <c r="AB16" i="1" s="1"/>
  <c r="M17" i="1"/>
  <c r="N17" i="1"/>
  <c r="S17" i="1"/>
  <c r="T17" i="1"/>
  <c r="Y17" i="1"/>
  <c r="Z17" i="1" s="1"/>
  <c r="AA17" i="1" s="1"/>
  <c r="M18" i="1"/>
  <c r="N18" i="1"/>
  <c r="S18" i="1"/>
  <c r="T18" i="1"/>
  <c r="Y18" i="1"/>
  <c r="Z18" i="1" s="1"/>
  <c r="M19" i="1"/>
  <c r="N19" i="1"/>
  <c r="S19" i="1"/>
  <c r="T19" i="1"/>
  <c r="Y19" i="1"/>
  <c r="Z19" i="1"/>
  <c r="M20" i="1"/>
  <c r="N20" i="1"/>
  <c r="S20" i="1"/>
  <c r="T20" i="1"/>
  <c r="Y20" i="1"/>
  <c r="Z20" i="1" s="1"/>
  <c r="M21" i="1"/>
  <c r="N21" i="1"/>
  <c r="S21" i="1"/>
  <c r="T21" i="1"/>
  <c r="Y21" i="1"/>
  <c r="Z21" i="1" s="1"/>
  <c r="M22" i="1"/>
  <c r="N22" i="1"/>
  <c r="S22" i="1"/>
  <c r="T22" i="1"/>
  <c r="Y22" i="1"/>
  <c r="Z22" i="1" s="1"/>
  <c r="AA22" i="1" s="1"/>
  <c r="G2" i="1"/>
  <c r="AC25" i="1" l="1"/>
  <c r="K25" i="1"/>
  <c r="L25" i="1"/>
  <c r="P25" i="1"/>
  <c r="Q25" i="1"/>
  <c r="J25" i="1"/>
  <c r="R25" i="1"/>
  <c r="W25" i="1"/>
  <c r="X25" i="1" s="1"/>
  <c r="AB22" i="1"/>
  <c r="AB21" i="1"/>
  <c r="AA21" i="1"/>
  <c r="AB20" i="1"/>
  <c r="AA20" i="1"/>
  <c r="AB17" i="1"/>
  <c r="AA16" i="1"/>
  <c r="AA18" i="1"/>
  <c r="AB18" i="1"/>
  <c r="AA19" i="1"/>
  <c r="AB19" i="1"/>
  <c r="AA15" i="1"/>
  <c r="AB15" i="1"/>
  <c r="O25" i="1" l="1"/>
  <c r="U25" i="1"/>
  <c r="G4" i="4"/>
  <c r="H4" i="4"/>
  <c r="M4" i="4"/>
  <c r="N4" i="4"/>
  <c r="S4" i="4"/>
  <c r="T4" i="4"/>
  <c r="Y4" i="4"/>
  <c r="Z4" i="4" s="1"/>
  <c r="G2" i="4"/>
  <c r="G3" i="4"/>
  <c r="V25" i="1" l="1"/>
  <c r="AA4" i="4"/>
  <c r="AB4" i="4"/>
  <c r="I4" i="4"/>
  <c r="G14" i="1"/>
  <c r="M14" i="1"/>
  <c r="N14" i="1"/>
  <c r="S14" i="1"/>
  <c r="T14" i="1"/>
  <c r="Y14" i="1"/>
  <c r="Z14" i="1" s="1"/>
  <c r="G13" i="1"/>
  <c r="G12" i="1"/>
  <c r="G11" i="1"/>
  <c r="G10" i="1"/>
  <c r="M10" i="1"/>
  <c r="M11" i="1"/>
  <c r="M12" i="1"/>
  <c r="M13" i="1"/>
  <c r="N10" i="1"/>
  <c r="N11" i="1"/>
  <c r="N12" i="1"/>
  <c r="N13" i="1"/>
  <c r="S10" i="1"/>
  <c r="S11" i="1"/>
  <c r="S12" i="1"/>
  <c r="S13" i="1"/>
  <c r="T10" i="1"/>
  <c r="T11" i="1"/>
  <c r="T12" i="1"/>
  <c r="T13" i="1"/>
  <c r="Y10" i="1"/>
  <c r="Z10" i="1" s="1"/>
  <c r="Y11" i="1"/>
  <c r="Z11" i="1" s="1"/>
  <c r="Y12" i="1"/>
  <c r="Z12" i="1" s="1"/>
  <c r="AA12" i="1" s="1"/>
  <c r="Y13" i="1"/>
  <c r="Z13" i="1" s="1"/>
  <c r="AA13" i="1" s="1"/>
  <c r="G9" i="1"/>
  <c r="G8" i="1"/>
  <c r="G7" i="1"/>
  <c r="G6" i="1"/>
  <c r="G5" i="1"/>
  <c r="G4" i="1"/>
  <c r="M6" i="1"/>
  <c r="M7" i="1"/>
  <c r="M8" i="1"/>
  <c r="M9" i="1"/>
  <c r="N6" i="1"/>
  <c r="N7" i="1"/>
  <c r="N8" i="1"/>
  <c r="N9" i="1"/>
  <c r="S6" i="1"/>
  <c r="S7" i="1"/>
  <c r="S8" i="1"/>
  <c r="S9" i="1"/>
  <c r="T6" i="1"/>
  <c r="T7" i="1"/>
  <c r="T8" i="1"/>
  <c r="T9" i="1"/>
  <c r="Y6" i="1"/>
  <c r="Z6" i="1" s="1"/>
  <c r="Y7" i="1"/>
  <c r="Z7" i="1" s="1"/>
  <c r="Y8" i="1"/>
  <c r="Z8" i="1" s="1"/>
  <c r="Y9" i="1"/>
  <c r="Z9" i="1" s="1"/>
  <c r="M5" i="1"/>
  <c r="N5" i="1"/>
  <c r="S5" i="1"/>
  <c r="T5" i="1"/>
  <c r="Y5" i="1"/>
  <c r="Z5" i="1" s="1"/>
  <c r="AA5" i="1" s="1"/>
  <c r="M4" i="1"/>
  <c r="N4" i="1"/>
  <c r="S4" i="1"/>
  <c r="T4" i="1"/>
  <c r="Y4" i="1"/>
  <c r="Z4" i="1" s="1"/>
  <c r="G3" i="1"/>
  <c r="G2" i="3"/>
  <c r="G3" i="3"/>
  <c r="H3" i="3"/>
  <c r="Y3" i="4"/>
  <c r="Z3" i="4" s="1"/>
  <c r="T3" i="4"/>
  <c r="S3" i="4"/>
  <c r="N3" i="4"/>
  <c r="M3" i="4"/>
  <c r="Y2" i="4"/>
  <c r="Z2" i="4" s="1"/>
  <c r="T2" i="4"/>
  <c r="S2" i="4"/>
  <c r="N2" i="4"/>
  <c r="M2" i="4"/>
  <c r="H2" i="4"/>
  <c r="H3" i="4"/>
  <c r="Y3" i="3"/>
  <c r="Z3" i="3" s="1"/>
  <c r="AB3" i="3" s="1"/>
  <c r="T3" i="3"/>
  <c r="S3" i="3"/>
  <c r="N3" i="3"/>
  <c r="M3" i="3"/>
  <c r="Y2" i="3"/>
  <c r="Z2" i="3" s="1"/>
  <c r="T2" i="3"/>
  <c r="S2" i="3"/>
  <c r="N2" i="3"/>
  <c r="M2" i="3"/>
  <c r="H24" i="1" l="1"/>
  <c r="H23" i="1"/>
  <c r="G26" i="1"/>
  <c r="H15" i="1"/>
  <c r="H19" i="1"/>
  <c r="H18" i="1"/>
  <c r="H21" i="1"/>
  <c r="H22" i="1"/>
  <c r="H17" i="1"/>
  <c r="H16" i="1"/>
  <c r="H20" i="1"/>
  <c r="H2" i="1"/>
  <c r="AB14" i="1"/>
  <c r="AA14" i="1"/>
  <c r="AB13" i="1"/>
  <c r="AA11" i="1"/>
  <c r="AB11" i="1"/>
  <c r="AB10" i="1"/>
  <c r="AA10" i="1"/>
  <c r="AB9" i="1"/>
  <c r="AA9" i="1"/>
  <c r="AA8" i="1"/>
  <c r="AB8" i="1"/>
  <c r="AB7" i="1"/>
  <c r="AA7" i="1"/>
  <c r="AB6" i="1"/>
  <c r="AA6" i="1"/>
  <c r="K4" i="4"/>
  <c r="W4" i="4"/>
  <c r="X4" i="4" s="1"/>
  <c r="Q4" i="4"/>
  <c r="L4" i="4"/>
  <c r="P4" i="4"/>
  <c r="J4" i="4"/>
  <c r="R4" i="4"/>
  <c r="AC4" i="4"/>
  <c r="AB12" i="1"/>
  <c r="AB4" i="1"/>
  <c r="AA4" i="1"/>
  <c r="AB5" i="1"/>
  <c r="H2" i="3"/>
  <c r="AA2" i="4"/>
  <c r="I2" i="4" s="1"/>
  <c r="AB2" i="4"/>
  <c r="I3" i="4"/>
  <c r="AB3" i="4"/>
  <c r="AA3" i="4"/>
  <c r="AB2" i="3"/>
  <c r="AA2" i="3"/>
  <c r="I3" i="3" s="1"/>
  <c r="AA3" i="3"/>
  <c r="H14" i="1" l="1"/>
  <c r="H8" i="1"/>
  <c r="O4" i="4"/>
  <c r="U4" i="4"/>
  <c r="V4" i="4" s="1"/>
  <c r="H10" i="1"/>
  <c r="H12" i="1"/>
  <c r="H13" i="1"/>
  <c r="H11" i="1"/>
  <c r="H7" i="1"/>
  <c r="H6" i="1"/>
  <c r="H9" i="1"/>
  <c r="H4" i="1"/>
  <c r="H5" i="1"/>
  <c r="I2" i="3"/>
  <c r="AC2" i="3" s="1"/>
  <c r="AC3" i="4"/>
  <c r="W2" i="4"/>
  <c r="X2" i="4" s="1"/>
  <c r="K2" i="4"/>
  <c r="R2" i="4"/>
  <c r="J2" i="4"/>
  <c r="Q2" i="4"/>
  <c r="P2" i="4"/>
  <c r="L2" i="4"/>
  <c r="P3" i="4"/>
  <c r="L3" i="4"/>
  <c r="W3" i="4"/>
  <c r="X3" i="4" s="1"/>
  <c r="K3" i="4"/>
  <c r="R3" i="4"/>
  <c r="J3" i="4"/>
  <c r="Q3" i="4"/>
  <c r="AC2" i="4"/>
  <c r="Q3" i="3"/>
  <c r="P3" i="3"/>
  <c r="L3" i="3"/>
  <c r="W3" i="3"/>
  <c r="X3" i="3" s="1"/>
  <c r="K3" i="3"/>
  <c r="R3" i="3"/>
  <c r="J3" i="3"/>
  <c r="AC3" i="3"/>
  <c r="M3" i="1"/>
  <c r="N3" i="1"/>
  <c r="S3" i="1"/>
  <c r="T3" i="1"/>
  <c r="Y3" i="1"/>
  <c r="Z3" i="1" s="1"/>
  <c r="O2" i="4" l="1"/>
  <c r="Q2" i="3"/>
  <c r="U2" i="3" s="1"/>
  <c r="R2" i="3"/>
  <c r="K2" i="3"/>
  <c r="L2" i="3"/>
  <c r="O2" i="3" s="1"/>
  <c r="W2" i="3"/>
  <c r="X2" i="3" s="1"/>
  <c r="P2" i="3"/>
  <c r="J2" i="3"/>
  <c r="U3" i="4"/>
  <c r="O3" i="4"/>
  <c r="U2" i="4"/>
  <c r="O3" i="3"/>
  <c r="U3" i="3"/>
  <c r="AA3" i="1"/>
  <c r="H3" i="1"/>
  <c r="T2" i="1"/>
  <c r="S2" i="1"/>
  <c r="N2" i="1"/>
  <c r="M2" i="1"/>
  <c r="V2" i="4" l="1"/>
  <c r="V3" i="3"/>
  <c r="V2" i="3"/>
  <c r="V3" i="4"/>
  <c r="AB3" i="1"/>
  <c r="Y2" i="1"/>
  <c r="Z2" i="1" s="1"/>
  <c r="AA2" i="1" l="1"/>
  <c r="I23" i="1" l="1"/>
  <c r="I24" i="1"/>
  <c r="I17" i="1"/>
  <c r="I18" i="1"/>
  <c r="I22" i="1"/>
  <c r="I15" i="1"/>
  <c r="I20" i="1"/>
  <c r="I19" i="1"/>
  <c r="I21" i="1"/>
  <c r="I16" i="1"/>
  <c r="I14" i="1"/>
  <c r="AC14" i="1" s="1"/>
  <c r="I2" i="1"/>
  <c r="I11" i="1"/>
  <c r="AC11" i="1" s="1"/>
  <c r="I10" i="1"/>
  <c r="AC10" i="1" s="1"/>
  <c r="I13" i="1"/>
  <c r="AC13" i="1" s="1"/>
  <c r="I12" i="1"/>
  <c r="AC12" i="1" s="1"/>
  <c r="I5" i="1"/>
  <c r="I8" i="1"/>
  <c r="AC8" i="1" s="1"/>
  <c r="I9" i="1"/>
  <c r="AC9" i="1" s="1"/>
  <c r="I6" i="1"/>
  <c r="AC6" i="1" s="1"/>
  <c r="I7" i="1"/>
  <c r="AC7" i="1" s="1"/>
  <c r="I4" i="1"/>
  <c r="AC4" i="1" s="1"/>
  <c r="AA26" i="1"/>
  <c r="AB2" i="1"/>
  <c r="AC2" i="1" s="1"/>
  <c r="I3" i="1"/>
  <c r="AC3" i="1" s="1"/>
  <c r="J24" i="1" l="1"/>
  <c r="K24" i="1"/>
  <c r="L24" i="1"/>
  <c r="W24" i="1"/>
  <c r="X24" i="1" s="1"/>
  <c r="P24" i="1"/>
  <c r="Q24" i="1"/>
  <c r="R24" i="1"/>
  <c r="AC24" i="1"/>
  <c r="W23" i="1"/>
  <c r="X23" i="1" s="1"/>
  <c r="R23" i="1"/>
  <c r="J23" i="1"/>
  <c r="AC23" i="1"/>
  <c r="K23" i="1"/>
  <c r="L23" i="1"/>
  <c r="Q23" i="1"/>
  <c r="P23" i="1"/>
  <c r="R14" i="1"/>
  <c r="L14" i="1"/>
  <c r="K14" i="1"/>
  <c r="P14" i="1"/>
  <c r="L16" i="1"/>
  <c r="P16" i="1"/>
  <c r="Q16" i="1"/>
  <c r="J16" i="1"/>
  <c r="R16" i="1"/>
  <c r="W16" i="1"/>
  <c r="X16" i="1" s="1"/>
  <c r="K16" i="1"/>
  <c r="AC16" i="1"/>
  <c r="Q21" i="1"/>
  <c r="J21" i="1"/>
  <c r="R21" i="1"/>
  <c r="K21" i="1"/>
  <c r="W21" i="1"/>
  <c r="X21" i="1" s="1"/>
  <c r="L21" i="1"/>
  <c r="P21" i="1"/>
  <c r="AC21" i="1"/>
  <c r="K19" i="1"/>
  <c r="W19" i="1"/>
  <c r="X19" i="1" s="1"/>
  <c r="L19" i="1"/>
  <c r="P19" i="1"/>
  <c r="Q19" i="1"/>
  <c r="R19" i="1"/>
  <c r="J19" i="1"/>
  <c r="AC19" i="1"/>
  <c r="J18" i="1"/>
  <c r="R18" i="1"/>
  <c r="K18" i="1"/>
  <c r="W18" i="1"/>
  <c r="X18" i="1" s="1"/>
  <c r="L18" i="1"/>
  <c r="P18" i="1"/>
  <c r="Q18" i="1"/>
  <c r="AC18" i="1"/>
  <c r="K15" i="1"/>
  <c r="W15" i="1"/>
  <c r="X15" i="1" s="1"/>
  <c r="L15" i="1"/>
  <c r="P15" i="1"/>
  <c r="Q15" i="1"/>
  <c r="R15" i="1"/>
  <c r="J15" i="1"/>
  <c r="AC15" i="1"/>
  <c r="J22" i="1"/>
  <c r="R22" i="1"/>
  <c r="K22" i="1"/>
  <c r="W22" i="1"/>
  <c r="X22" i="1" s="1"/>
  <c r="P22" i="1"/>
  <c r="AC22" i="1"/>
  <c r="L22" i="1"/>
  <c r="Q22" i="1"/>
  <c r="L20" i="1"/>
  <c r="P20" i="1"/>
  <c r="Q20" i="1"/>
  <c r="K20" i="1"/>
  <c r="R20" i="1"/>
  <c r="W20" i="1"/>
  <c r="X20" i="1" s="1"/>
  <c r="J20" i="1"/>
  <c r="AC20" i="1"/>
  <c r="Q17" i="1"/>
  <c r="J17" i="1"/>
  <c r="R17" i="1"/>
  <c r="K17" i="1"/>
  <c r="W17" i="1"/>
  <c r="X17" i="1" s="1"/>
  <c r="P17" i="1"/>
  <c r="L17" i="1"/>
  <c r="AC17" i="1"/>
  <c r="W14" i="1"/>
  <c r="X14" i="1" s="1"/>
  <c r="J14" i="1"/>
  <c r="Q14" i="1"/>
  <c r="W5" i="1"/>
  <c r="X5" i="1" s="1"/>
  <c r="AC5" i="1"/>
  <c r="R5" i="1"/>
  <c r="Q5" i="1"/>
  <c r="P5" i="1"/>
  <c r="K5" i="1"/>
  <c r="L12" i="1"/>
  <c r="J12" i="1"/>
  <c r="R12" i="1"/>
  <c r="K12" i="1"/>
  <c r="W12" i="1"/>
  <c r="X12" i="1" s="1"/>
  <c r="Q12" i="1"/>
  <c r="P12" i="1"/>
  <c r="L13" i="1"/>
  <c r="W13" i="1"/>
  <c r="X13" i="1" s="1"/>
  <c r="P13" i="1"/>
  <c r="J13" i="1"/>
  <c r="Q13" i="1"/>
  <c r="K13" i="1"/>
  <c r="R13" i="1"/>
  <c r="P10" i="1"/>
  <c r="J10" i="1"/>
  <c r="Q10" i="1"/>
  <c r="K10" i="1"/>
  <c r="R10" i="1"/>
  <c r="L10" i="1"/>
  <c r="W10" i="1"/>
  <c r="X10" i="1" s="1"/>
  <c r="P11" i="1"/>
  <c r="J11" i="1"/>
  <c r="Q11" i="1"/>
  <c r="K11" i="1"/>
  <c r="R11" i="1"/>
  <c r="L11" i="1"/>
  <c r="W11" i="1"/>
  <c r="X11" i="1" s="1"/>
  <c r="L5" i="1"/>
  <c r="J5" i="1"/>
  <c r="J6" i="1"/>
  <c r="R6" i="1"/>
  <c r="W6" i="1"/>
  <c r="X6" i="1" s="1"/>
  <c r="P6" i="1"/>
  <c r="K6" i="1"/>
  <c r="Q6" i="1"/>
  <c r="L6" i="1"/>
  <c r="P9" i="1"/>
  <c r="J9" i="1"/>
  <c r="Q9" i="1"/>
  <c r="K9" i="1"/>
  <c r="R9" i="1"/>
  <c r="L9" i="1"/>
  <c r="W9" i="1"/>
  <c r="X9" i="1" s="1"/>
  <c r="J8" i="1"/>
  <c r="Q8" i="1"/>
  <c r="K8" i="1"/>
  <c r="R8" i="1"/>
  <c r="L8" i="1"/>
  <c r="W8" i="1"/>
  <c r="X8" i="1" s="1"/>
  <c r="P8" i="1"/>
  <c r="P7" i="1"/>
  <c r="J7" i="1"/>
  <c r="Q7" i="1"/>
  <c r="K7" i="1"/>
  <c r="R7" i="1"/>
  <c r="L7" i="1"/>
  <c r="W7" i="1"/>
  <c r="X7" i="1" s="1"/>
  <c r="L4" i="1"/>
  <c r="P4" i="1"/>
  <c r="J4" i="1"/>
  <c r="Q4" i="1"/>
  <c r="R4" i="1"/>
  <c r="K4" i="1"/>
  <c r="W4" i="1"/>
  <c r="X4" i="1" s="1"/>
  <c r="L3" i="1"/>
  <c r="W3" i="1"/>
  <c r="X3" i="1" s="1"/>
  <c r="R3" i="1"/>
  <c r="J3" i="1"/>
  <c r="Q3" i="1"/>
  <c r="P3" i="1"/>
  <c r="K3" i="1"/>
  <c r="K2" i="1"/>
  <c r="P2" i="1"/>
  <c r="L2" i="1"/>
  <c r="Q2" i="1"/>
  <c r="W2" i="1"/>
  <c r="X2" i="1" s="1"/>
  <c r="J2" i="1"/>
  <c r="R2" i="1"/>
  <c r="U23" i="1" l="1"/>
  <c r="U24" i="1"/>
  <c r="O24" i="1"/>
  <c r="O23" i="1"/>
  <c r="O14" i="1"/>
  <c r="O22" i="1"/>
  <c r="U14" i="1"/>
  <c r="O18" i="1"/>
  <c r="U15" i="1"/>
  <c r="U20" i="1"/>
  <c r="O15" i="1"/>
  <c r="U22" i="1"/>
  <c r="O21" i="1"/>
  <c r="U17" i="1"/>
  <c r="U18" i="1"/>
  <c r="U19" i="1"/>
  <c r="U16" i="1"/>
  <c r="O16" i="1"/>
  <c r="O17" i="1"/>
  <c r="O20" i="1"/>
  <c r="O19" i="1"/>
  <c r="U21" i="1"/>
  <c r="U12" i="1"/>
  <c r="U11" i="1"/>
  <c r="U5" i="1"/>
  <c r="U13" i="1"/>
  <c r="U10" i="1"/>
  <c r="O11" i="1"/>
  <c r="V11" i="1" s="1"/>
  <c r="O13" i="1"/>
  <c r="O12" i="1"/>
  <c r="O10" i="1"/>
  <c r="O6" i="1"/>
  <c r="O5" i="1"/>
  <c r="U6" i="1"/>
  <c r="U8" i="1"/>
  <c r="U7" i="1"/>
  <c r="O9" i="1"/>
  <c r="O8" i="1"/>
  <c r="O7" i="1"/>
  <c r="U9" i="1"/>
  <c r="O4" i="1"/>
  <c r="U4" i="1"/>
  <c r="U3" i="1"/>
  <c r="O3" i="1"/>
  <c r="O2" i="1"/>
  <c r="U2" i="1"/>
  <c r="V23" i="1" l="1"/>
  <c r="V24" i="1"/>
  <c r="V14" i="1"/>
  <c r="V22" i="1"/>
  <c r="V18" i="1"/>
  <c r="V20" i="1"/>
  <c r="V16" i="1"/>
  <c r="V15" i="1"/>
  <c r="V21" i="1"/>
  <c r="V17" i="1"/>
  <c r="V19" i="1"/>
  <c r="V5" i="1"/>
  <c r="V13" i="1"/>
  <c r="V12" i="1"/>
  <c r="V10" i="1"/>
  <c r="V6" i="1"/>
  <c r="V7" i="1"/>
  <c r="V8" i="1"/>
  <c r="V9" i="1"/>
  <c r="V4" i="1"/>
  <c r="V3" i="1"/>
  <c r="V2" i="1"/>
</calcChain>
</file>

<file path=xl/sharedStrings.xml><?xml version="1.0" encoding="utf-8"?>
<sst xmlns="http://schemas.openxmlformats.org/spreadsheetml/2006/main" count="101" uniqueCount="38">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</sst>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R$-416]\ #,##0.00;[Red]\-[$R$-416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44" fontId="2" fillId="0" borderId="0" xfId="1" applyNumberFormat="1" applyFont="1"/>
    <xf numFmtId="0" fontId="6" fillId="0" borderId="0" xfId="0" applyFont="1"/>
    <xf numFmtId="164" fontId="7" fillId="0" borderId="0" xfId="0" applyNumberFormat="1" applyFont="1"/>
    <xf numFmtId="165" fontId="5" fillId="0" borderId="0" xfId="0" applyNumberFormat="1" applyFont="1"/>
    <xf numFmtId="10" fontId="5" fillId="0" borderId="0" xfId="0" applyNumberFormat="1" applyFont="1"/>
    <xf numFmtId="44" fontId="8" fillId="0" borderId="0" xfId="1" applyFont="1"/>
    <xf numFmtId="0" fontId="8" fillId="0" borderId="0" xfId="0" applyFont="1"/>
    <xf numFmtId="44" fontId="3" fillId="0" borderId="0" xfId="1" applyFont="1"/>
    <xf numFmtId="44" fontId="8" fillId="0" borderId="0" xfId="1" applyNumberFormat="1" applyFont="1"/>
    <xf numFmtId="10" fontId="2" fillId="0" borderId="0" xfId="0" applyNumberFormat="1" applyFont="1"/>
    <xf numFmtId="4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AC26" totalsRowCount="1" headerRowDxfId="176">
  <autoFilter ref="A1:AC25"/>
  <tableColumns count="29">
    <tableColumn id="1" name="TRADE" totalsRowLabel="Total" dataDxfId="175" totalsRowDxfId="28"/>
    <tableColumn id="2" name="DATA" dataDxfId="174" totalsRowDxfId="27"/>
    <tableColumn id="12" name="RENDA FIXA" dataDxfId="173" totalsRowDxfId="26" dataCellStyle="Moeda"/>
    <tableColumn id="26" name="APORTE RF" dataDxfId="172" totalsRowDxfId="25" dataCellStyle="Moeda"/>
    <tableColumn id="9" name="SAQUE" dataDxfId="171" totalsRowDxfId="24" dataCellStyle="Moeda"/>
    <tableColumn id="5" name="LUCRO" dataDxfId="170" totalsRowDxfId="23" dataCellStyle="Moeda"/>
    <tableColumn id="3" name="APORTE" totalsRowFunction="sum" dataDxfId="169" totalsRowDxfId="22" dataCellStyle="Moeda">
      <calculatedColumnFormula>380</calculatedColumnFormula>
    </tableColumn>
    <tableColumn id="4" name="MONTANTE" dataDxfId="168" totalsRowDxfId="21" dataCellStyle="Moeda">
      <calculatedColumnFormula>SUMPRODUCT(N(Tabela1[TRADE] &lt;= Tabela1[[#This Row],[TRADE]]), Tabela1[APORTE]) + SUMPRODUCT(N(Tabela1[TRADE] &lt;= Tabela1[[#This Row],[TRADE]]), Tabela1[APORTE RF])</calculatedColumnFormula>
    </tableColumn>
    <tableColumn id="10" name="APLICAÇÃO" dataDxfId="167" totalsRowDxfId="20" dataCellStyle="Moeda">
      <calculatedColumnFormula>Tabela1[MONTANTE] - SUMPRODUCT(N(Tabela1[TRADE] &lt;= Tabela1[[#This Row],[TRADE]]), Tabela1[SAQUE]) + SUMPRODUCT(N(Tabela1[TRADE] &lt; Tabela1[[#This Row],[TRADE]]), Tabela1[REINVESTIR])</calculatedColumnFormula>
    </tableColumn>
    <tableColumn id="11" name="EMOL CP" dataDxfId="166" totalsRowDxfId="19" dataCellStyle="Moeda">
      <calculatedColumnFormula>TRUNC(Tabela1[APLICAÇÃO]  * SETUP!$A$3, 2)</calculatedColumnFormula>
    </tableColumn>
    <tableColumn id="13" name="LIQD CP" dataDxfId="165" totalsRowDxfId="18" dataCellStyle="Moeda">
      <calculatedColumnFormula>TRUNC(Tabela1[APLICAÇÃO]  * SETUP!$B$3, 2)</calculatedColumnFormula>
    </tableColumn>
    <tableColumn id="14" name="REG CP" dataDxfId="164" totalsRowDxfId="17" dataCellStyle="Moeda">
      <calculatedColumnFormula>TRUNC(Tabela1[APLICAÇÃO]  * SETUP!$C$3, 2)</calculatedColumnFormula>
    </tableColumn>
    <tableColumn id="16" name="ISS CP" dataDxfId="163" totalsRowDxfId="16" dataCellStyle="Moeda">
      <calculatedColumnFormula>TRUNC(SETUP!$G$3  * SETUP!$H$3, 2)</calculatedColumnFormula>
    </tableColumn>
    <tableColumn id="19" name="OUTRAS CP" dataDxfId="162" totalsRowDxfId="15" dataCellStyle="Moeda">
      <calculatedColumnFormula>ROUND(SETUP!$G$3 * SETUP!$I$3, 2)</calculatedColumnFormula>
    </tableColumn>
    <tableColumn id="18" name="TAXA CP" dataDxfId="161" totalsRowDxfId="14" dataCellStyle="Moeda">
      <calculatedColumnFormula>SETUP!$G$3 + SUM(Tabela1[[#This Row],[EMOL CP]]:Tabela1[[#This Row],[OUTRAS CP]])</calculatedColumnFormula>
    </tableColumn>
    <tableColumn id="25" name="EMOL VD" dataDxfId="160" totalsRowDxfId="13" dataCellStyle="Moeda">
      <calculatedColumnFormula>TRUNC(Tabela1[APLICAÇÃO] * 2  * SETUP!$A$3, 2)</calculatedColumnFormula>
    </tableColumn>
    <tableColumn id="24" name="LIQD VD" dataDxfId="159" totalsRowDxfId="12" dataCellStyle="Moeda">
      <calculatedColumnFormula>TRUNC(Tabela1[APLICAÇÃO] * 2  * SETUP!$B$3, 2)</calculatedColumnFormula>
    </tableColumn>
    <tableColumn id="23" name="REG VD" dataDxfId="158" totalsRowDxfId="11" dataCellStyle="Moeda">
      <calculatedColumnFormula>TRUNC(Tabela1[APLICAÇÃO] * 2  * SETUP!$C$3, 2)</calculatedColumnFormula>
    </tableColumn>
    <tableColumn id="22" name="ISS VD" dataDxfId="157" totalsRowDxfId="10" dataCellStyle="Moeda">
      <calculatedColumnFormula>TRUNC(SETUP!$G$3  * SETUP!$H$3, 2)</calculatedColumnFormula>
    </tableColumn>
    <tableColumn id="21" name="OUTRAS VD" dataDxfId="156" totalsRowDxfId="9" dataCellStyle="Moeda">
      <calculatedColumnFormula>ROUND(SETUP!$G$3 * SETUP!$I$3, 2)</calculatedColumnFormula>
    </tableColumn>
    <tableColumn id="20" name="TAXA VD" dataDxfId="155" totalsRowDxfId="8" dataCellStyle="Moeda">
      <calculatedColumnFormula>SETUP!$G$3 + SUM(Tabela1[[#This Row],[EMOL VD]]:Tabela1[[#This Row],[OUTRAS VD]])</calculatedColumnFormula>
    </tableColumn>
    <tableColumn id="17" name="PREV LUCRO" dataDxfId="154" totalsRowDxfId="7" dataCellStyle="Moeda">
      <calculatedColumnFormula>(((Tabela1[APLICAÇÃO] * 2) - Tabela1[TAXA VD]) - (Tabela1[APLICAÇÃO] + Tabela1[TAXA CP])) * 0.85</calculatedColumnFormula>
    </tableColumn>
    <tableColumn id="28" name="PERDA MAX" dataDxfId="153" totalsRowDxfId="6" dataCellStyle="Moeda">
      <calculatedColumnFormula>Tabela1[APLICAÇÃO] - (ROUND(Tabela1[RENDA FIXA] * 0.1,2))</calculatedColumnFormula>
    </tableColumn>
    <tableColumn id="29" name="% PERDA" dataDxfId="152" totalsRowDxfId="5" dataCellStyle="Porcentagem">
      <calculatedColumnFormula>Tabela1[[#This Row],[PERDA MAX]]/Tabela1[[#This Row],[APLICAÇÃO]]</calculatedColumnFormula>
    </tableColumn>
    <tableColumn id="6" name="NO BOLSO" dataDxfId="151" totalsRowDxfId="4">
      <calculatedColumnFormula>IF(Tabela1[LUCRO] &lt; (Tabela1[RENDA FIXA]/2), 0.5, 0.8)</calculatedColumnFormula>
    </tableColumn>
    <tableColumn id="7" name="PROTEÇÃO MÊS" dataDxfId="150" totalsRowDxfId="3" dataCellStyle="Moeda">
      <calculatedColumnFormula>IF(Tabela1[LUCRO] &lt; 0, 0, ROUND(Tabela1[LUCRO]*Tabela1[NO BOLSO], 2))</calculatedColumnFormula>
    </tableColumn>
    <tableColumn id="8" name="REINVESTIR" totalsRowFunction="sum" dataDxfId="149" totalsRowDxfId="2" dataCellStyle="Moeda">
      <calculatedColumnFormula>Tabela1[LUCRO]-Tabela1[PROTEÇÃO MÊS]</calculatedColumnFormula>
    </tableColumn>
    <tableColumn id="15" name="TOT RF" dataDxfId="148" totalsRowDxfId="1" dataCellStyle="Moeda">
      <calculatedColumnFormula>Tabela1[RENDA FIXA] + Tabela1[PROTEÇÃO MÊS] - Tabela1[APORTE RF]</calculatedColumnFormula>
    </tableColumn>
    <tableColumn id="27" name="PATRIMÔNIO" dataDxfId="147" totalsRowDxfId="0" dataCellStyle="Moeda">
      <calculatedColumnFormula>Tabela1[TOT RF] + Tabela1[REINVESTIR] + Tabela1[APLICAÇÃO]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4" totalsRowCount="1" headerRowDxfId="146">
  <autoFilter ref="A1:AC3"/>
  <tableColumns count="29">
    <tableColumn id="1" name="TRADE" totalsRowLabel="Total" dataDxfId="145" totalsRowDxfId="144"/>
    <tableColumn id="2" name="DATA" dataDxfId="143" totalsRowDxfId="142"/>
    <tableColumn id="12" name="RENDA FIXA" dataDxfId="141" totalsRowDxfId="140" dataCellStyle="Moeda"/>
    <tableColumn id="26" name="APORTE RF" dataDxfId="139" totalsRowDxfId="138" dataCellStyle="Moeda"/>
    <tableColumn id="9" name="SAQUE" dataDxfId="137" totalsRowDxfId="136" dataCellStyle="Moeda"/>
    <tableColumn id="5" name="LUCRO" dataDxfId="135" totalsRowDxfId="134" dataCellStyle="Moeda"/>
    <tableColumn id="3" name="APORTE" dataDxfId="133" totalsRowDxfId="132" dataCellStyle="Moeda">
      <calculatedColumnFormula>100</calculatedColumnFormula>
    </tableColumn>
    <tableColumn id="4" name="MONTANTE" dataDxfId="131" totalsRowDxfId="130" dataCellStyle="Moeda">
      <calculatedColumnFormula>SUMPRODUCT(N(Tabela13[TRADE] &lt;= Tabela13[[#This Row],[TRADE]]), Tabela13[APORTE]) + SUMPRODUCT(N(Tabela13[TRADE] &lt;= Tabela13[[#This Row],[TRADE]]), Tabela13[APORTE RF])</calculatedColumnFormula>
    </tableColumn>
    <tableColumn id="10" name="APLICAÇÃO" dataDxfId="129" totalsRowDxfId="128" dataCellStyle="Moeda">
      <calculatedColumnFormula>Tabela13[MONTANTE] - SUMPRODUCT(N(Tabela13[TRADE] &lt;= Tabela13[[#This Row],[TRADE]]), Tabela13[SAQUE]) + SUMPRODUCT(N(Tabela13[TRADE] &lt; Tabela13[[#This Row],[TRADE]]), Tabela13[REINVESTIR])</calculatedColumnFormula>
    </tableColumn>
    <tableColumn id="11" name="EMOL CP" dataDxfId="127" totalsRowDxfId="126" dataCellStyle="Moeda">
      <calculatedColumnFormula>TRUNC(Tabela13[APLICAÇÃO]  * SETUP!$A$3, 2)</calculatedColumnFormula>
    </tableColumn>
    <tableColumn id="13" name="LIQD CP" dataDxfId="125" totalsRowDxfId="124" dataCellStyle="Moeda">
      <calculatedColumnFormula>TRUNC(Tabela13[APLICAÇÃO]  * SETUP!$B$3, 2)</calculatedColumnFormula>
    </tableColumn>
    <tableColumn id="14" name="REG CP" dataDxfId="123" totalsRowDxfId="122" dataCellStyle="Moeda">
      <calculatedColumnFormula>TRUNC(Tabela13[APLICAÇÃO]  * SETUP!$C$3, 2)</calculatedColumnFormula>
    </tableColumn>
    <tableColumn id="16" name="ISS CP" dataDxfId="121" totalsRowDxfId="120" dataCellStyle="Moeda">
      <calculatedColumnFormula>TRUNC(SETUP!$G$3  * SETUP!$H$3, 2)</calculatedColumnFormula>
    </tableColumn>
    <tableColumn id="19" name="OUTRAS CP" dataDxfId="119" totalsRowDxfId="118" dataCellStyle="Moeda">
      <calculatedColumnFormula>ROUND(SETUP!$G$3 * SETUP!$I$3, 2)</calculatedColumnFormula>
    </tableColumn>
    <tableColumn id="18" name="TAXA CP" dataDxfId="117" totalsRowDxfId="116" dataCellStyle="Moeda">
      <calculatedColumnFormula>SETUP!$G$3 + SUM(Tabela13[[#This Row],[EMOL CP]]:Tabela13[[#This Row],[OUTRAS CP]])</calculatedColumnFormula>
    </tableColumn>
    <tableColumn id="25" name="EMOL VD" dataDxfId="115" totalsRowDxfId="114" dataCellStyle="Moeda">
      <calculatedColumnFormula>TRUNC(Tabela13[APLICAÇÃO] * 2  * SETUP!$A$3, 2)</calculatedColumnFormula>
    </tableColumn>
    <tableColumn id="24" name="LIQD VD" dataDxfId="113" totalsRowDxfId="112" dataCellStyle="Moeda">
      <calculatedColumnFormula>TRUNC(Tabela13[APLICAÇÃO] * 2  * SETUP!$B$3, 2)</calculatedColumnFormula>
    </tableColumn>
    <tableColumn id="23" name="REG VD" dataDxfId="111" totalsRowDxfId="110" dataCellStyle="Moeda">
      <calculatedColumnFormula>TRUNC(Tabela13[APLICAÇÃO] * 2  * SETUP!$C$3, 2)</calculatedColumnFormula>
    </tableColumn>
    <tableColumn id="22" name="ISS VD" dataDxfId="109" totalsRowDxfId="108" dataCellStyle="Moeda">
      <calculatedColumnFormula>TRUNC(SETUP!$G$3  * SETUP!$H$3, 2)</calculatedColumnFormula>
    </tableColumn>
    <tableColumn id="21" name="OUTRAS VD" dataDxfId="107" totalsRowDxfId="106" dataCellStyle="Moeda">
      <calculatedColumnFormula>ROUND(SETUP!$G$3 * SETUP!$I$3, 2)</calculatedColumnFormula>
    </tableColumn>
    <tableColumn id="20" name="TAXA VD" dataDxfId="105" totalsRowDxfId="104" dataCellStyle="Moeda">
      <calculatedColumnFormula>SETUP!$G$3 + SUM(Tabela13[[#This Row],[EMOL VD]]:Tabela13[[#This Row],[OUTRAS VD]])</calculatedColumnFormula>
    </tableColumn>
    <tableColumn id="17" name="PREV LUCRO" dataDxfId="103" totalsRowDxfId="102" dataCellStyle="Moeda">
      <calculatedColumnFormula>(((Tabela13[APLICAÇÃO] * 2) - Tabela13[TAXA VD]) - (Tabela13[APLICAÇÃO] + Tabela13[TAXA CP])) * 0.85</calculatedColumnFormula>
    </tableColumn>
    <tableColumn id="28" name="PERDA MAX" dataDxfId="101" totalsRowDxfId="100" dataCellStyle="Moeda">
      <calculatedColumnFormula>Tabela13[APLICAÇÃO] - (ROUND(Tabela13[RENDA FIXA] * 0.1,2))</calculatedColumnFormula>
    </tableColumn>
    <tableColumn id="29" name="% PERDA" dataDxfId="99" totalsRowDxfId="98" dataCellStyle="Porcentagem">
      <calculatedColumnFormula>Tabela13[[#This Row],[PERDA MAX]]/Tabela13[[#This Row],[APLICAÇÃO]]</calculatedColumnFormula>
    </tableColumn>
    <tableColumn id="6" name="NO BOLSO" dataDxfId="97" totalsRowDxfId="96">
      <calculatedColumnFormula>IF(Tabela13[LUCRO] &lt; (Tabela13[RENDA FIXA]/2), 0.5, 0.8)</calculatedColumnFormula>
    </tableColumn>
    <tableColumn id="7" name="PROTEÇÃO MÊS" dataDxfId="95" totalsRowDxfId="94" dataCellStyle="Moeda">
      <calculatedColumnFormula>IF(Tabela13[LUCRO] &lt; 0, 0, ROUND(Tabela13[LUCRO]*Tabela13[NO BOLSO], 2))</calculatedColumnFormula>
    </tableColumn>
    <tableColumn id="8" name="REINVESTIR" dataDxfId="93" totalsRowDxfId="92" dataCellStyle="Moeda">
      <calculatedColumnFormula>Tabela13[LUCRO]-Tabela13[PROTEÇÃO MÊS]</calculatedColumnFormula>
    </tableColumn>
    <tableColumn id="15" name="TOT RF" dataDxfId="91" totalsRowDxfId="90" dataCellStyle="Moeda">
      <calculatedColumnFormula>Tabela13[RENDA FIXA] + Tabela13[PROTEÇÃO MÊS] - Tabela13[APORTE RF]</calculatedColumnFormula>
    </tableColumn>
    <tableColumn id="27" name="PATRIMÔNIO" dataDxfId="89" totalsRowDxfId="88" dataCellStyle="Moeda">
      <calculatedColumnFormula>Tabela13[TOT RF] + Tabela13[REINVESTIR] + Tabela13[APLICAÇÃO]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5" totalsRowCount="1" headerRowDxfId="87">
  <autoFilter ref="A1:AC4"/>
  <tableColumns count="29">
    <tableColumn id="1" name="TRADE" totalsRowLabel="Total" dataDxfId="86" totalsRowDxfId="85"/>
    <tableColumn id="2" name="DATA" dataDxfId="84" totalsRowDxfId="83"/>
    <tableColumn id="12" name="RENDA FIXA" dataDxfId="82" totalsRowDxfId="81" dataCellStyle="Moeda"/>
    <tableColumn id="26" name="APORTE RF" dataDxfId="80" totalsRowDxfId="79" dataCellStyle="Moeda"/>
    <tableColumn id="9" name="SAQUE" dataDxfId="78" totalsRowDxfId="77" dataCellStyle="Moeda"/>
    <tableColumn id="5" name="LUCRO" dataDxfId="76" totalsRowDxfId="75" dataCellStyle="Moeda"/>
    <tableColumn id="3" name="APORTE" dataDxfId="74" totalsRowDxfId="73" dataCellStyle="Moeda">
      <calculatedColumnFormula>100</calculatedColumnFormula>
    </tableColumn>
    <tableColumn id="4" name="MONTANTE" dataDxfId="72" totalsRowDxfId="71" dataCellStyle="Moeda">
      <calculatedColumnFormula>SUMPRODUCT(N(Tabela134[TRADE] &lt;= Tabela134[[#This Row],[TRADE]]), Tabela134[APORTE]) + SUMPRODUCT(N(Tabela134[TRADE] &lt;= Tabela134[[#This Row],[TRADE]]), Tabela134[APORTE RF])</calculatedColumnFormula>
    </tableColumn>
    <tableColumn id="10" name="APLICAÇÃO" dataDxfId="70" totalsRowDxfId="69" dataCellStyle="Moeda">
      <calculatedColumnFormula>Tabela134[MONTANTE] - SUMPRODUCT(N(Tabela134[TRADE] &lt;= Tabela134[[#This Row],[TRADE]]), Tabela134[SAQUE]) + SUMPRODUCT(N(Tabela134[TRADE] &lt; Tabela134[[#This Row],[TRADE]]), Tabela134[REINVESTIR])</calculatedColumnFormula>
    </tableColumn>
    <tableColumn id="11" name="EMOL CP" dataDxfId="68" totalsRowDxfId="67" dataCellStyle="Moeda">
      <calculatedColumnFormula>TRUNC(Tabela134[APLICAÇÃO]  * SETUP!$A$3, 2)</calculatedColumnFormula>
    </tableColumn>
    <tableColumn id="13" name="LIQD CP" dataDxfId="66" totalsRowDxfId="65" dataCellStyle="Moeda">
      <calculatedColumnFormula>TRUNC(Tabela134[APLICAÇÃO]  * SETUP!$B$3, 2)</calculatedColumnFormula>
    </tableColumn>
    <tableColumn id="14" name="REG CP" dataDxfId="64" totalsRowDxfId="63" dataCellStyle="Moeda">
      <calculatedColumnFormula>TRUNC(Tabela134[APLICAÇÃO]  * SETUP!$C$3, 2)</calculatedColumnFormula>
    </tableColumn>
    <tableColumn id="16" name="ISS CP" dataDxfId="62" totalsRowDxfId="61" dataCellStyle="Moeda">
      <calculatedColumnFormula>TRUNC(SETUP!$G$3  * SETUP!$H$3, 2)</calculatedColumnFormula>
    </tableColumn>
    <tableColumn id="19" name="OUTRAS CP" dataDxfId="60" totalsRowDxfId="59" dataCellStyle="Moeda">
      <calculatedColumnFormula>ROUND(SETUP!$G$3 * SETUP!$I$3, 2)</calculatedColumnFormula>
    </tableColumn>
    <tableColumn id="18" name="TAXA CP" dataDxfId="58" totalsRowDxfId="57" dataCellStyle="Moeda">
      <calculatedColumnFormula>SETUP!$G$3 + SUM(Tabela134[[#This Row],[EMOL CP]]:Tabela134[[#This Row],[OUTRAS CP]])</calculatedColumnFormula>
    </tableColumn>
    <tableColumn id="25" name="EMOL VD" dataDxfId="56" totalsRowDxfId="55" dataCellStyle="Moeda">
      <calculatedColumnFormula>TRUNC(Tabela134[APLICAÇÃO] * 2  * SETUP!$A$3, 2)</calculatedColumnFormula>
    </tableColumn>
    <tableColumn id="24" name="LIQD VD" dataDxfId="54" totalsRowDxfId="53" dataCellStyle="Moeda">
      <calculatedColumnFormula>TRUNC(Tabela134[APLICAÇÃO] * 2  * SETUP!$B$3, 2)</calculatedColumnFormula>
    </tableColumn>
    <tableColumn id="23" name="REG VD" dataDxfId="52" totalsRowDxfId="51" dataCellStyle="Moeda">
      <calculatedColumnFormula>TRUNC(Tabela134[APLICAÇÃO] * 2  * SETUP!$C$3, 2)</calculatedColumnFormula>
    </tableColumn>
    <tableColumn id="22" name="ISS VD" dataDxfId="50" totalsRowDxfId="49" dataCellStyle="Moeda">
      <calculatedColumnFormula>TRUNC(SETUP!$G$3  * SETUP!$H$3, 2)</calculatedColumnFormula>
    </tableColumn>
    <tableColumn id="21" name="OUTRAS VD" dataDxfId="48" totalsRowDxfId="47" dataCellStyle="Moeda">
      <calculatedColumnFormula>ROUND(SETUP!$G$3 * SETUP!$I$3, 2)</calculatedColumnFormula>
    </tableColumn>
    <tableColumn id="20" name="TAXA VD" dataDxfId="46" totalsRowDxfId="45" dataCellStyle="Moeda">
      <calculatedColumnFormula>SETUP!$G$3 + SUM(Tabela134[[#This Row],[EMOL VD]]:Tabela134[[#This Row],[OUTRAS VD]])</calculatedColumnFormula>
    </tableColumn>
    <tableColumn id="17" name="PREV LUCRO" dataDxfId="44" totalsRowDxfId="43" dataCellStyle="Moeda">
      <calculatedColumnFormula>(((Tabela134[APLICAÇÃO] * 2) - Tabela134[TAXA VD]) - (Tabela134[APLICAÇÃO] + Tabela134[TAXA CP])) * 0.85</calculatedColumnFormula>
    </tableColumn>
    <tableColumn id="28" name="PERDA MAX" dataDxfId="42" totalsRowDxfId="41" dataCellStyle="Moeda">
      <calculatedColumnFormula>Tabela134[APLICAÇÃO] - (ROUND(Tabela134[RENDA FIXA] * 0.1,2))</calculatedColumnFormula>
    </tableColumn>
    <tableColumn id="29" name="% PERDA" dataDxfId="40" totalsRowDxfId="39" dataCellStyle="Porcentagem">
      <calculatedColumnFormula>Tabela134[[#This Row],[PERDA MAX]]/Tabela134[[#This Row],[APLICAÇÃO]]</calculatedColumnFormula>
    </tableColumn>
    <tableColumn id="6" name="NO BOLSO" dataDxfId="38" totalsRowDxfId="37">
      <calculatedColumnFormula>IF(Tabela134[LUCRO] &lt; (Tabela134[RENDA FIXA]/2), 0.5, 0.8)</calculatedColumnFormula>
    </tableColumn>
    <tableColumn id="7" name="PROTEÇÃO MÊS" dataDxfId="36" totalsRowDxfId="35" dataCellStyle="Moeda">
      <calculatedColumnFormula>IF(Tabela134[LUCRO] &lt; 0, 0, ROUND(Tabela134[LUCRO]*Tabela134[NO BOLSO], 2))</calculatedColumnFormula>
    </tableColumn>
    <tableColumn id="8" name="REINVESTIR" dataDxfId="34" totalsRowDxfId="33" dataCellStyle="Moeda">
      <calculatedColumnFormula>Tabela134[LUCRO]-Tabela134[PROTEÇÃO MÊS]</calculatedColumnFormula>
    </tableColumn>
    <tableColumn id="15" name="TOT RF" dataDxfId="32" totalsRowDxfId="31" dataCellStyle="Moeda">
      <calculatedColumnFormula>Tabela134[RENDA FIXA] + Tabela134[PROTEÇÃO MÊS] - Tabela134[APORTE RF]</calculatedColumnFormula>
    </tableColumn>
    <tableColumn id="27" name="PATRIMÔNIO" dataDxfId="30" totalsRowDxfId="29" dataCellStyle="Moeda">
      <calculatedColumnFormula>Tabela134[TOT RF] + Tabela134[REINVESTIR] + Tabela134[APLICAÇÃO]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C26"/>
  <sheetViews>
    <sheetView tabSelected="1" workbookViewId="0">
      <selection activeCell="AC25" sqref="AC25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SUMPRODUCT(N(Tabela1[TRADE] &lt;= Tabela1[[#This Row],[TRADE]]), Tabela1[APORTE]) + SUMPRODUCT(N(Tabela1[TRADE] &lt;= Tabela1[[#This Row],[TRADE]]), Tabela1[APORTE RF])</f>
        <v>400</v>
      </c>
      <c r="I2" s="3">
        <f>Tabela1[MONTANTE] - SUMPRODUCT(N(Tabela1[TRADE] &lt;= Tabela1[[#This Row],[TRADE]]), Tabela1[SAQUE]) + SUMPRODUCT(N(Tabela1[TRADE] &lt; Tabela1[[#This Row],[TRADE]]), Tabela1[REINVESTIR])</f>
        <v>400</v>
      </c>
      <c r="J2" s="3">
        <f>TRUNC(Tabela1[APLICAÇÃO]  * SETUP!$A$3, 2)</f>
        <v>0.14000000000000001</v>
      </c>
      <c r="K2" s="3">
        <f>TRUNC(Tabela1[APLICAÇÃO]  * SETUP!$B$3, 2)</f>
        <v>0.11</v>
      </c>
      <c r="L2" s="3">
        <f>TRUNC(Tabela1[APLICAÇÃO]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TRUNC(Tabela1[APLICAÇÃO] * 2  * SETUP!$A$3, 2)</f>
        <v>0.28999999999999998</v>
      </c>
      <c r="Q2" s="3">
        <f>TRUNC(Tabela1[APLICAÇÃO] * 2  * SETUP!$B$3, 2)</f>
        <v>0.22</v>
      </c>
      <c r="R2" s="3">
        <f>TRUNC(Tabela1[APLICAÇÃO]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(((Tabela1[APLICAÇÃO] * 2) - Tabela1[TAXA VD]) - (Tabela1[APLICAÇÃO] + Tabela1[TAXA CP])) * 0.85</f>
        <v>311.84799999999996</v>
      </c>
      <c r="W2" s="11">
        <f>Tabela1[APLICAÇÃO] - (ROUND(Tabela1[RENDA FIXA] * 0.1,2))</f>
        <v>400</v>
      </c>
      <c r="X2" s="4">
        <f>Tabela1[[#This Row],[PERDA MAX]]/Tabela1[[#This Row],[APLICAÇÃO]]</f>
        <v>1</v>
      </c>
      <c r="Y2" s="4">
        <f>IF(Tabela1[LUCRO] &lt; (Tabela1[RENDA FIXA]/2), 0.5, 0.8)</f>
        <v>0.8</v>
      </c>
      <c r="Z2" s="3">
        <f>IF(Tabela1[LUCRO] &lt; 0, 0, ROUND(Tabela1[LUCRO]*Tabela1[NO BOLSO], 2))</f>
        <v>293.5</v>
      </c>
      <c r="AA2" s="3">
        <f>Tabela1[LUCRO]-Tabela1[PROTEÇÃO MÊS]</f>
        <v>73.38</v>
      </c>
      <c r="AB2" s="3">
        <f>Tabela1[RENDA FIXA] + Tabela1[PROTEÇÃO MÊS] - Tabela1[APORTE RF]</f>
        <v>293.5</v>
      </c>
      <c r="AC2" s="6">
        <f>Tabela1[TOT RF] + Tabela1[REINVESTIR]</f>
        <v>366.88</v>
      </c>
    </row>
    <row r="3" spans="1:29" x14ac:dyDescent="0.2">
      <c r="A3" s="1">
        <v>2</v>
      </c>
      <c r="B3" s="5">
        <v>41030</v>
      </c>
      <c r="C3" s="3">
        <v>293.5</v>
      </c>
      <c r="D3" s="3">
        <v>0</v>
      </c>
      <c r="E3" s="3">
        <v>0</v>
      </c>
      <c r="F3" s="3">
        <v>712.6</v>
      </c>
      <c r="G3" s="3">
        <f>400</f>
        <v>400</v>
      </c>
      <c r="H3" s="3">
        <f>SUMPRODUCT(N(Tabela1[TRADE] &lt;= Tabela1[[#This Row],[TRADE]]), Tabela1[APORTE]) + SUMPRODUCT(N(Tabela1[TRADE] &lt;= Tabela1[[#This Row],[TRADE]]), Tabela1[APORTE RF])</f>
        <v>800</v>
      </c>
      <c r="I3" s="3">
        <f>Tabela1[MONTANTE] - SUMPRODUCT(N(Tabela1[TRADE] &lt;= Tabela1[[#This Row],[TRADE]]), Tabela1[SAQUE]) + SUMPRODUCT(N(Tabela1[TRADE] &lt; Tabela1[[#This Row],[TRADE]]), Tabela1[REINVESTIR])</f>
        <v>873.38</v>
      </c>
      <c r="J3" s="3">
        <f>TRUNC(Tabela1[APLICAÇÃO]  * SETUP!$A$3, 2)</f>
        <v>0.32</v>
      </c>
      <c r="K3" s="3">
        <f>TRUNC(Tabela1[APLICAÇÃO]  * SETUP!$B$3, 2)</f>
        <v>0.24</v>
      </c>
      <c r="L3" s="3">
        <f>TRUNC(Tabela1[APLICAÇÃO]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TRUNC(Tabela1[APLICAÇÃO] * 2  * SETUP!$A$3, 2)</f>
        <v>0.64</v>
      </c>
      <c r="Q3" s="3">
        <f>TRUNC(Tabela1[APLICAÇÃO] * 2  * SETUP!$B$3, 2)</f>
        <v>0.48</v>
      </c>
      <c r="R3" s="3">
        <f>TRUNC(Tabela1[APLICAÇÃO]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(((Tabela1[APLICAÇÃO] * 2) - Tabela1[TAXA VD]) - (Tabela1[APLICAÇÃO] + Tabela1[TAXA CP])) * 0.85</f>
        <v>712.59750000000008</v>
      </c>
      <c r="W3" s="11">
        <f>Tabela1[APLICAÇÃO] - (ROUND(Tabela1[RENDA FIXA] * 0.1,2))</f>
        <v>844.03</v>
      </c>
      <c r="X3" s="4">
        <f>Tabela1[[#This Row],[PERDA MAX]]/Tabela1[[#This Row],[APLICAÇÃO]]</f>
        <v>0.96639492546199823</v>
      </c>
      <c r="Y3" s="4">
        <f>IF(Tabela1[LUCRO] &lt; (Tabela1[RENDA FIXA]/2), 0.5, 0.8)</f>
        <v>0.8</v>
      </c>
      <c r="Z3" s="3">
        <f>IF(Tabela1[LUCRO] &lt; 0, 0, ROUND(Tabela1[LUCRO]*Tabela1[NO BOLSO], 2))</f>
        <v>570.08000000000004</v>
      </c>
      <c r="AA3" s="3">
        <f>Tabela1[LUCRO]-Tabela1[PROTEÇÃO MÊS]</f>
        <v>142.51999999999998</v>
      </c>
      <c r="AB3" s="3">
        <f>Tabela1[RENDA FIXA] + Tabela1[PROTEÇÃO MÊS] - Tabela1[APORTE RF]</f>
        <v>863.58</v>
      </c>
      <c r="AC3" s="6">
        <f>Tabela1[TOT RF] + Tabela1[REINVESTIR] + Tabela1[APLICAÇÃO]</f>
        <v>1879.48</v>
      </c>
    </row>
    <row r="4" spans="1:29" x14ac:dyDescent="0.2">
      <c r="A4" s="1">
        <v>3</v>
      </c>
      <c r="B4" s="5">
        <v>41061</v>
      </c>
      <c r="C4" s="3">
        <v>863.58</v>
      </c>
      <c r="D4" s="3"/>
      <c r="E4" s="3"/>
      <c r="F4" s="3">
        <v>1171.9000000000001</v>
      </c>
      <c r="G4" s="6">
        <f>400</f>
        <v>400</v>
      </c>
      <c r="H4" s="6">
        <f>SUMPRODUCT(N(Tabela1[TRADE] &lt;= Tabela1[[#This Row],[TRADE]]), Tabela1[APORTE]) + SUMPRODUCT(N(Tabela1[TRADE] &lt;= Tabela1[[#This Row],[TRADE]]), Tabela1[APORTE RF])</f>
        <v>1200</v>
      </c>
      <c r="I4" s="6">
        <f>Tabela1[MONTANTE] - SUMPRODUCT(N(Tabela1[TRADE] &lt;= Tabela1[[#This Row],[TRADE]]), Tabela1[SAQUE]) + SUMPRODUCT(N(Tabela1[TRADE] &lt; Tabela1[[#This Row],[TRADE]]), Tabela1[REINVESTIR])</f>
        <v>1415.9</v>
      </c>
      <c r="J4" s="6">
        <f>TRUNC(Tabela1[APLICAÇÃO]  * SETUP!$A$3, 2)</f>
        <v>0.52</v>
      </c>
      <c r="K4" s="6">
        <f>TRUNC(Tabela1[APLICAÇÃO]  * SETUP!$B$3, 2)</f>
        <v>0.38</v>
      </c>
      <c r="L4" s="6">
        <f>TRUNC(Tabela1[APLICAÇÃO]  * SETUP!$C$3, 2)</f>
        <v>0.98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17.649999999999999</v>
      </c>
      <c r="P4" s="6">
        <f>TRUNC(Tabela1[APLICAÇÃO] * 2  * SETUP!$A$3, 2)</f>
        <v>1.04</v>
      </c>
      <c r="Q4" s="6">
        <f>TRUNC(Tabela1[APLICAÇÃO] * 2  * SETUP!$B$3, 2)</f>
        <v>0.77</v>
      </c>
      <c r="R4" s="6">
        <f>TRUNC(Tabela1[APLICAÇÃO] * 2  * SETUP!$C$3, 2)</f>
        <v>1.96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19.54</v>
      </c>
      <c r="V4" s="6">
        <f>(((Tabela1[APLICAÇÃO] * 2) - Tabela1[TAXA VD]) - (Tabela1[APLICAÇÃO] + Tabela1[TAXA CP])) * 0.85</f>
        <v>1171.9034999999999</v>
      </c>
      <c r="W4" s="14">
        <f>Tabela1[APLICAÇÃO] - (ROUND(Tabela1[RENDA FIXA] * 0.1,2))</f>
        <v>1329.5400000000002</v>
      </c>
      <c r="X4" s="4">
        <f>Tabela1[[#This Row],[PERDA MAX]]/Tabela1[[#This Row],[APLICAÇÃO]]</f>
        <v>0.93900699201921045</v>
      </c>
      <c r="Y4" s="4">
        <f>IF(Tabela1[LUCRO] &lt; (Tabela1[RENDA FIXA]/2), 0.5, 0.8)</f>
        <v>0.8</v>
      </c>
      <c r="Z4" s="6">
        <f>IF(Tabela1[LUCRO] &lt; 0, 0, ROUND(Tabela1[LUCRO]*Tabela1[NO BOLSO], 2))</f>
        <v>937.52</v>
      </c>
      <c r="AA4" s="6">
        <f>Tabela1[LUCRO]-Tabela1[PROTEÇÃO MÊS]</f>
        <v>234.38000000000011</v>
      </c>
      <c r="AB4" s="6">
        <f>Tabela1[RENDA FIXA] + Tabela1[PROTEÇÃO MÊS] - Tabela1[APORTE RF]</f>
        <v>1801.1</v>
      </c>
      <c r="AC4" s="6">
        <f>Tabela1[TOT RF] + Tabela1[REINVESTIR] + Tabela1[APLICAÇÃO]</f>
        <v>3451.38</v>
      </c>
    </row>
    <row r="5" spans="1:29" x14ac:dyDescent="0.2">
      <c r="A5" s="1">
        <v>4</v>
      </c>
      <c r="B5" s="5">
        <v>41091</v>
      </c>
      <c r="C5" s="3">
        <v>1801.1</v>
      </c>
      <c r="D5" s="3"/>
      <c r="E5" s="3"/>
      <c r="F5" s="3">
        <v>1708.96</v>
      </c>
      <c r="G5" s="6">
        <f>400</f>
        <v>400</v>
      </c>
      <c r="H5" s="6">
        <f>SUMPRODUCT(N(Tabela1[TRADE] &lt;= Tabela1[[#This Row],[TRADE]]), Tabela1[APORTE]) + SUMPRODUCT(N(Tabela1[TRADE] &lt;= Tabela1[[#This Row],[TRADE]]), Tabela1[APORTE RF])</f>
        <v>1600</v>
      </c>
      <c r="I5" s="6">
        <f>Tabela1[MONTANTE] - SUMPRODUCT(N(Tabela1[TRADE] &lt;= Tabela1[[#This Row],[TRADE]]), Tabela1[SAQUE]) + SUMPRODUCT(N(Tabela1[TRADE] &lt; Tabela1[[#This Row],[TRADE]]), Tabela1[REINVESTIR])</f>
        <v>2050.2800000000002</v>
      </c>
      <c r="J5" s="6">
        <f>TRUNC(Tabela1[APLICAÇÃO]  * SETUP!$A$3, 2)</f>
        <v>0.75</v>
      </c>
      <c r="K5" s="6">
        <f>TRUNC(Tabela1[APLICAÇÃO]  * SETUP!$B$3, 2)</f>
        <v>0.56000000000000005</v>
      </c>
      <c r="L5" s="6">
        <f>TRUNC(Tabela1[APLICAÇÃO]  * SETUP!$C$3, 2)</f>
        <v>1.42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18.5</v>
      </c>
      <c r="P5" s="6">
        <f>TRUNC(Tabela1[APLICAÇÃO] * 2  * SETUP!$A$3, 2)</f>
        <v>1.51</v>
      </c>
      <c r="Q5" s="6">
        <f>TRUNC(Tabela1[APLICAÇÃO] * 2  * SETUP!$B$3, 2)</f>
        <v>1.1200000000000001</v>
      </c>
      <c r="R5" s="6">
        <f>TRUNC(Tabela1[APLICAÇÃO] * 2  * SETUP!$C$3, 2)</f>
        <v>2.84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21.240000000000002</v>
      </c>
      <c r="V5" s="6">
        <f>(((Tabela1[APLICAÇÃO] * 2) - Tabela1[TAXA VD]) - (Tabela1[APLICAÇÃO] + Tabela1[TAXA CP])) * 0.85</f>
        <v>1708.9590000000003</v>
      </c>
      <c r="W5" s="14">
        <f>Tabela1[APLICAÇÃO] - (ROUND(Tabela1[RENDA FIXA] * 0.1,2))</f>
        <v>1870.17</v>
      </c>
      <c r="X5" s="4">
        <f>Tabela1[[#This Row],[PERDA MAX]]/Tabela1[[#This Row],[APLICAÇÃO]]</f>
        <v>0.91215346196617042</v>
      </c>
      <c r="Y5" s="4">
        <f>IF(Tabela1[LUCRO] &lt; (Tabela1[RENDA FIXA]/2), 0.5, 0.8)</f>
        <v>0.8</v>
      </c>
      <c r="Z5" s="6">
        <f>IF(Tabela1[LUCRO] &lt; 0, 0, ROUND(Tabela1[LUCRO]*Tabela1[NO BOLSO], 2))</f>
        <v>1367.17</v>
      </c>
      <c r="AA5" s="6">
        <f>Tabela1[LUCRO]-Tabela1[PROTEÇÃO MÊS]</f>
        <v>341.78999999999996</v>
      </c>
      <c r="AB5" s="6">
        <f>Tabela1[RENDA FIXA] + Tabela1[PROTEÇÃO MÊS] - Tabela1[APORTE RF]</f>
        <v>3168.27</v>
      </c>
      <c r="AC5" s="6">
        <f>Tabela1[TOT RF] + Tabela1[REINVESTIR] + Tabela1[APLICAÇÃO]</f>
        <v>5560.34</v>
      </c>
    </row>
    <row r="6" spans="1:29" x14ac:dyDescent="0.2">
      <c r="A6" s="1">
        <v>5</v>
      </c>
      <c r="B6" s="5">
        <v>41122</v>
      </c>
      <c r="C6" s="3">
        <v>3168.27</v>
      </c>
      <c r="D6" s="3"/>
      <c r="E6" s="3"/>
      <c r="F6" s="3">
        <v>2366.5700000000002</v>
      </c>
      <c r="G6" s="6">
        <f>435</f>
        <v>435</v>
      </c>
      <c r="H6" s="6">
        <f>SUMPRODUCT(N(Tabela1[TRADE] &lt;= Tabela1[[#This Row],[TRADE]]), Tabela1[APORTE]) + SUMPRODUCT(N(Tabela1[TRADE] &lt;= Tabela1[[#This Row],[TRADE]]), Tabela1[APORTE RF])</f>
        <v>2035</v>
      </c>
      <c r="I6" s="6">
        <f>Tabela1[MONTANTE] - SUMPRODUCT(N(Tabela1[TRADE] &lt;= Tabela1[[#This Row],[TRADE]]), Tabela1[SAQUE]) + SUMPRODUCT(N(Tabela1[TRADE] &lt; Tabela1[[#This Row],[TRADE]]), Tabela1[REINVESTIR])</f>
        <v>2827.07</v>
      </c>
      <c r="J6" s="6">
        <f>TRUNC(Tabela1[APLICAÇÃO]  * SETUP!$A$3, 2)</f>
        <v>1.04</v>
      </c>
      <c r="K6" s="6">
        <f>TRUNC(Tabela1[APLICAÇÃO]  * SETUP!$B$3, 2)</f>
        <v>0.77</v>
      </c>
      <c r="L6" s="6">
        <f>TRUNC(Tabela1[APLICAÇÃO]  * SETUP!$C$3, 2)</f>
        <v>1.96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19.54</v>
      </c>
      <c r="P6" s="6">
        <f>TRUNC(Tabela1[APLICAÇÃO] * 2  * SETUP!$A$3, 2)</f>
        <v>2.09</v>
      </c>
      <c r="Q6" s="6">
        <f>TRUNC(Tabela1[APLICAÇÃO] * 2  * SETUP!$B$3, 2)</f>
        <v>1.55</v>
      </c>
      <c r="R6" s="6">
        <f>TRUNC(Tabela1[APLICAÇÃO] * 2  * SETUP!$C$3, 2)</f>
        <v>3.92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23.33</v>
      </c>
      <c r="V6" s="6">
        <f>(((Tabela1[APLICAÇÃO] * 2) - Tabela1[TAXA VD]) - (Tabela1[APLICAÇÃO] + Tabela1[TAXA CP])) * 0.85</f>
        <v>2366.5700000000002</v>
      </c>
      <c r="W6" s="14">
        <f>Tabela1[APLICAÇÃO] - (ROUND(Tabela1[RENDA FIXA] * 0.1,2))</f>
        <v>2510.2400000000002</v>
      </c>
      <c r="X6" s="4">
        <f>Tabela1[[#This Row],[PERDA MAX]]/Tabela1[[#This Row],[APLICAÇÃO]]</f>
        <v>0.88792990622800283</v>
      </c>
      <c r="Y6" s="15">
        <f>IF(Tabela1[LUCRO] &lt; (Tabela1[RENDA FIXA]/2), 0.5, 0.8)</f>
        <v>0.8</v>
      </c>
      <c r="Z6" s="6">
        <f>IF(Tabela1[LUCRO] &lt; 0, 0, ROUND(Tabela1[LUCRO]*Tabela1[NO BOLSO], 2))</f>
        <v>1893.26</v>
      </c>
      <c r="AA6" s="6">
        <f>Tabela1[LUCRO]-Tabela1[PROTEÇÃO MÊS]</f>
        <v>473.31000000000017</v>
      </c>
      <c r="AB6" s="6">
        <f>Tabela1[RENDA FIXA] + Tabela1[PROTEÇÃO MÊS] - Tabela1[APORTE RF]</f>
        <v>5061.53</v>
      </c>
      <c r="AC6" s="6">
        <f>Tabela1[TOT RF] + Tabela1[REINVESTIR] + Tabela1[APLICAÇÃO]</f>
        <v>8361.91</v>
      </c>
    </row>
    <row r="7" spans="1:29" x14ac:dyDescent="0.2">
      <c r="A7" s="1">
        <v>6</v>
      </c>
      <c r="B7" s="5">
        <v>41153</v>
      </c>
      <c r="C7" s="3">
        <v>5061.53</v>
      </c>
      <c r="D7" s="3"/>
      <c r="E7" s="3"/>
      <c r="F7" s="3">
        <v>3135.52</v>
      </c>
      <c r="G7" s="6">
        <f>435</f>
        <v>435</v>
      </c>
      <c r="H7" s="6">
        <f>SUMPRODUCT(N(Tabela1[TRADE] &lt;= Tabela1[[#This Row],[TRADE]]), Tabela1[APORTE]) + SUMPRODUCT(N(Tabela1[TRADE] &lt;= Tabela1[[#This Row],[TRADE]]), Tabela1[APORTE RF])</f>
        <v>2470</v>
      </c>
      <c r="I7" s="6">
        <f>Tabela1[MONTANTE] - SUMPRODUCT(N(Tabela1[TRADE] &lt;= Tabela1[[#This Row],[TRADE]]), Tabela1[SAQUE]) + SUMPRODUCT(N(Tabela1[TRADE] &lt; Tabela1[[#This Row],[TRADE]]), Tabela1[REINVESTIR])</f>
        <v>3735.38</v>
      </c>
      <c r="J7" s="6">
        <f>TRUNC(Tabela1[APLICAÇÃO]  * SETUP!$A$3, 2)</f>
        <v>1.38</v>
      </c>
      <c r="K7" s="6">
        <f>TRUNC(Tabela1[APLICAÇÃO]  * SETUP!$B$3, 2)</f>
        <v>1.02</v>
      </c>
      <c r="L7" s="6">
        <f>TRUNC(Tabela1[APLICAÇÃO]  * SETUP!$C$3, 2)</f>
        <v>2.59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20.76</v>
      </c>
      <c r="P7" s="6">
        <f>TRUNC(Tabela1[APLICAÇÃO] * 2  * SETUP!$A$3, 2)</f>
        <v>2.76</v>
      </c>
      <c r="Q7" s="6">
        <f>TRUNC(Tabela1[APLICAÇÃO] * 2  * SETUP!$B$3, 2)</f>
        <v>2.0499999999999998</v>
      </c>
      <c r="R7" s="6">
        <f>TRUNC(Tabela1[APLICAÇÃO] * 2  * SETUP!$C$3, 2)</f>
        <v>5.19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25.77</v>
      </c>
      <c r="V7" s="6">
        <f>(((Tabela1[APLICAÇÃO] * 2) - Tabela1[TAXA VD]) - (Tabela1[APLICAÇÃO] + Tabela1[TAXA CP])) * 0.85</f>
        <v>3135.5224999999996</v>
      </c>
      <c r="W7" s="14">
        <f>Tabela1[APLICAÇÃO] - (ROUND(Tabela1[RENDA FIXA] * 0.1,2))</f>
        <v>3229.23</v>
      </c>
      <c r="X7" s="4">
        <f>Tabela1[[#This Row],[PERDA MAX]]/Tabela1[[#This Row],[APLICAÇÃO]]</f>
        <v>0.86449839106061499</v>
      </c>
      <c r="Y7" s="15">
        <f>IF(Tabela1[LUCRO] &lt; (Tabela1[RENDA FIXA]/2), 0.5, 0.8)</f>
        <v>0.8</v>
      </c>
      <c r="Z7" s="6">
        <f>IF(Tabela1[LUCRO] &lt; 0, 0, ROUND(Tabela1[LUCRO]*Tabela1[NO BOLSO], 2))</f>
        <v>2508.42</v>
      </c>
      <c r="AA7" s="6">
        <f>Tabela1[LUCRO]-Tabela1[PROTEÇÃO MÊS]</f>
        <v>627.09999999999991</v>
      </c>
      <c r="AB7" s="6">
        <f>Tabela1[RENDA FIXA] + Tabela1[PROTEÇÃO MÊS] - Tabela1[APORTE RF]</f>
        <v>7569.95</v>
      </c>
      <c r="AC7" s="6">
        <f>Tabela1[TOT RF] + Tabela1[REINVESTIR] + Tabela1[APLICAÇÃO]</f>
        <v>11932.43</v>
      </c>
    </row>
    <row r="8" spans="1:29" x14ac:dyDescent="0.2">
      <c r="A8" s="1">
        <v>7</v>
      </c>
      <c r="B8" s="5">
        <v>41183</v>
      </c>
      <c r="C8" s="3">
        <v>7569.95</v>
      </c>
      <c r="D8" s="3"/>
      <c r="E8" s="3"/>
      <c r="F8" s="3">
        <v>4034.69</v>
      </c>
      <c r="G8" s="6">
        <f>435</f>
        <v>435</v>
      </c>
      <c r="H8" s="6">
        <f>SUMPRODUCT(N(Tabela1[TRADE] &lt;= Tabela1[[#This Row],[TRADE]]), Tabela1[APORTE]) + SUMPRODUCT(N(Tabela1[TRADE] &lt;= Tabela1[[#This Row],[TRADE]]), Tabela1[APORTE RF])</f>
        <v>2905</v>
      </c>
      <c r="I8" s="6">
        <f>Tabela1[MONTANTE] - SUMPRODUCT(N(Tabela1[TRADE] &lt;= Tabela1[[#This Row],[TRADE]]), Tabela1[SAQUE]) + SUMPRODUCT(N(Tabela1[TRADE] &lt; Tabela1[[#This Row],[TRADE]]), Tabela1[REINVESTIR])</f>
        <v>4797.4799999999996</v>
      </c>
      <c r="J8" s="6">
        <f>TRUNC(Tabela1[APLICAÇÃO]  * SETUP!$A$3, 2)</f>
        <v>1.77</v>
      </c>
      <c r="K8" s="6">
        <f>TRUNC(Tabela1[APLICAÇÃO]  * SETUP!$B$3, 2)</f>
        <v>1.31</v>
      </c>
      <c r="L8" s="6">
        <f>TRUNC(Tabela1[APLICAÇÃO]  * SETUP!$C$3, 2)</f>
        <v>3.33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22.18</v>
      </c>
      <c r="P8" s="6">
        <f>TRUNC(Tabela1[APLICAÇÃO] * 2  * SETUP!$A$3, 2)</f>
        <v>3.55</v>
      </c>
      <c r="Q8" s="6">
        <f>TRUNC(Tabela1[APLICAÇÃO] * 2  * SETUP!$B$3, 2)</f>
        <v>2.63</v>
      </c>
      <c r="R8" s="6">
        <f>TRUNC(Tabela1[APLICAÇÃO] * 2  * SETUP!$C$3, 2)</f>
        <v>6.66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28.61</v>
      </c>
      <c r="V8" s="6">
        <f>(((Tabela1[APLICAÇÃO] * 2) - Tabela1[TAXA VD]) - (Tabela1[APLICAÇÃO] + Tabela1[TAXA CP])) * 0.85</f>
        <v>4034.6864999999989</v>
      </c>
      <c r="W8" s="14">
        <f>Tabela1[APLICAÇÃO] - (ROUND(Tabela1[RENDA FIXA] * 0.1,2))</f>
        <v>4040.4799999999996</v>
      </c>
      <c r="X8" s="4">
        <f>Tabela1[[#This Row],[PERDA MAX]]/Tabela1[[#This Row],[APLICAÇÃO]]</f>
        <v>0.84220882630047444</v>
      </c>
      <c r="Y8" s="15">
        <f>IF(Tabela1[LUCRO] &lt; (Tabela1[RENDA FIXA]/2), 0.5, 0.8)</f>
        <v>0.8</v>
      </c>
      <c r="Z8" s="6">
        <f>IF(Tabela1[LUCRO] &lt; 0, 0, ROUND(Tabela1[LUCRO]*Tabela1[NO BOLSO], 2))</f>
        <v>3227.75</v>
      </c>
      <c r="AA8" s="6">
        <f>Tabela1[LUCRO]-Tabela1[PROTEÇÃO MÊS]</f>
        <v>806.94</v>
      </c>
      <c r="AB8" s="6">
        <f>Tabela1[RENDA FIXA] + Tabela1[PROTEÇÃO MÊS] - Tabela1[APORTE RF]</f>
        <v>10797.7</v>
      </c>
      <c r="AC8" s="6">
        <f>Tabela1[TOT RF] + Tabela1[REINVESTIR] + Tabela1[APLICAÇÃO]</f>
        <v>16402.120000000003</v>
      </c>
    </row>
    <row r="9" spans="1:29" x14ac:dyDescent="0.2">
      <c r="A9" s="1">
        <v>8</v>
      </c>
      <c r="B9" s="5">
        <v>41214</v>
      </c>
      <c r="C9" s="3">
        <v>10797.7</v>
      </c>
      <c r="D9" s="3"/>
      <c r="E9" s="3"/>
      <c r="F9" s="3">
        <v>5340.06</v>
      </c>
      <c r="G9" s="6">
        <f>735</f>
        <v>735</v>
      </c>
      <c r="H9" s="6">
        <f>SUMPRODUCT(N(Tabela1[TRADE] &lt;= Tabela1[[#This Row],[TRADE]]), Tabela1[APORTE]) + SUMPRODUCT(N(Tabela1[TRADE] &lt;= Tabela1[[#This Row],[TRADE]]), Tabela1[APORTE RF])</f>
        <v>3640</v>
      </c>
      <c r="I9" s="6">
        <f>Tabela1[MONTANTE] - SUMPRODUCT(N(Tabela1[TRADE] &lt;= Tabela1[[#This Row],[TRADE]]), Tabela1[SAQUE]) + SUMPRODUCT(N(Tabela1[TRADE] &lt; Tabela1[[#This Row],[TRADE]]), Tabela1[REINVESTIR])</f>
        <v>6339.42</v>
      </c>
      <c r="J9" s="6">
        <f>TRUNC(Tabela1[APLICAÇÃO]  * SETUP!$A$3, 2)</f>
        <v>2.34</v>
      </c>
      <c r="K9" s="6">
        <f>TRUNC(Tabela1[APLICAÇÃO]  * SETUP!$B$3, 2)</f>
        <v>1.74</v>
      </c>
      <c r="L9" s="6">
        <f>TRUNC(Tabela1[APLICAÇÃO]  * SETUP!$C$3, 2)</f>
        <v>4.4000000000000004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24.25</v>
      </c>
      <c r="P9" s="6">
        <f>TRUNC(Tabela1[APLICAÇÃO] * 2  * SETUP!$A$3, 2)</f>
        <v>4.6900000000000004</v>
      </c>
      <c r="Q9" s="6">
        <f>TRUNC(Tabela1[APLICAÇÃO] * 2  * SETUP!$B$3, 2)</f>
        <v>3.48</v>
      </c>
      <c r="R9" s="6">
        <f>TRUNC(Tabela1[APLICAÇÃO] * 2  * SETUP!$C$3, 2)</f>
        <v>8.81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32.75</v>
      </c>
      <c r="V9" s="6">
        <f>(((Tabela1[APLICAÇÃO] * 2) - Tabela1[TAXA VD]) - (Tabela1[APLICAÇÃO] + Tabela1[TAXA CP])) * 0.85</f>
        <v>5340.0569999999998</v>
      </c>
      <c r="W9" s="14">
        <f>Tabela1[APLICAÇÃO] - (ROUND(Tabela1[RENDA FIXA] * 0.1,2))</f>
        <v>5259.65</v>
      </c>
      <c r="X9" s="4">
        <f>Tabela1[[#This Row],[PERDA MAX]]/Tabela1[[#This Row],[APLICAÇÃO]]</f>
        <v>0.82967369254600576</v>
      </c>
      <c r="Y9" s="15">
        <f>IF(Tabela1[LUCRO] &lt; (Tabela1[RENDA FIXA]/2), 0.5, 0.8)</f>
        <v>0.5</v>
      </c>
      <c r="Z9" s="6">
        <f>IF(Tabela1[LUCRO] &lt; 0, 0, ROUND(Tabela1[LUCRO]*Tabela1[NO BOLSO], 2))</f>
        <v>2670.03</v>
      </c>
      <c r="AA9" s="6">
        <f>Tabela1[LUCRO]-Tabela1[PROTEÇÃO MÊS]</f>
        <v>2670.03</v>
      </c>
      <c r="AB9" s="6">
        <f>Tabela1[RENDA FIXA] + Tabela1[PROTEÇÃO MÊS] - Tabela1[APORTE RF]</f>
        <v>13467.730000000001</v>
      </c>
      <c r="AC9" s="6">
        <f>Tabela1[TOT RF] + Tabela1[REINVESTIR] + Tabela1[APLICAÇÃO]</f>
        <v>22477.18</v>
      </c>
    </row>
    <row r="10" spans="1:29" x14ac:dyDescent="0.2">
      <c r="A10" s="1">
        <v>9</v>
      </c>
      <c r="B10" s="5">
        <v>41244</v>
      </c>
      <c r="C10" s="3">
        <v>13467.73</v>
      </c>
      <c r="D10" s="3"/>
      <c r="E10" s="3"/>
      <c r="F10" s="3">
        <v>8222.7000000000007</v>
      </c>
      <c r="G10" s="6">
        <f>735</f>
        <v>735</v>
      </c>
      <c r="H10" s="6">
        <f>SUMPRODUCT(N(Tabela1[TRADE] &lt;= Tabela1[[#This Row],[TRADE]]), Tabela1[APORTE]) + SUMPRODUCT(N(Tabela1[TRADE] &lt;= Tabela1[[#This Row],[TRADE]]), Tabela1[APORTE RF])</f>
        <v>4375</v>
      </c>
      <c r="I10" s="6">
        <f>Tabela1[MONTANTE] - SUMPRODUCT(N(Tabela1[TRADE] &lt;= Tabela1[[#This Row],[TRADE]]), Tabela1[SAQUE]) + SUMPRODUCT(N(Tabela1[TRADE] &lt; Tabela1[[#This Row],[TRADE]]), Tabela1[REINVESTIR])</f>
        <v>9744.4500000000007</v>
      </c>
      <c r="J10" s="6">
        <f>TRUNC(Tabela1[APLICAÇÃO]  * SETUP!$A$3, 2)</f>
        <v>3.6</v>
      </c>
      <c r="K10" s="6">
        <f>TRUNC(Tabela1[APLICAÇÃO]  * SETUP!$B$3, 2)</f>
        <v>2.67</v>
      </c>
      <c r="L10" s="6">
        <f>TRUNC(Tabela1[APLICAÇÃO]  * SETUP!$C$3, 2)</f>
        <v>6.77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28.81</v>
      </c>
      <c r="P10" s="6">
        <f>TRUNC(Tabela1[APLICAÇÃO] * 2  * SETUP!$A$3, 2)</f>
        <v>7.21</v>
      </c>
      <c r="Q10" s="6">
        <f>TRUNC(Tabela1[APLICAÇÃO] * 2  * SETUP!$B$3, 2)</f>
        <v>5.35</v>
      </c>
      <c r="R10" s="6">
        <f>TRUNC(Tabela1[APLICAÇÃO] * 2  * SETUP!$C$3, 2)</f>
        <v>13.54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41.87</v>
      </c>
      <c r="V10" s="6">
        <f>(((Tabela1[APLICAÇÃO] * 2) - Tabela1[TAXA VD]) - (Tabela1[APLICAÇÃO] + Tabela1[TAXA CP])) * 0.85</f>
        <v>8222.7045000000016</v>
      </c>
      <c r="W10" s="14">
        <f>Tabela1[APLICAÇÃO] - (ROUND(Tabela1[RENDA FIXA] * 0.1,2))</f>
        <v>8397.68</v>
      </c>
      <c r="X10" s="4">
        <f>Tabela1[[#This Row],[PERDA MAX]]/Tabela1[[#This Row],[APLICAÇÃO]]</f>
        <v>0.86179107081466888</v>
      </c>
      <c r="Y10" s="15">
        <f>IF(Tabela1[LUCRO] &lt; (Tabela1[RENDA FIXA]/2), 0.5, 0.8)</f>
        <v>0.8</v>
      </c>
      <c r="Z10" s="6">
        <f>IF(Tabela1[LUCRO] &lt; 0, 0, ROUND(Tabela1[LUCRO]*Tabela1[NO BOLSO], 2))</f>
        <v>6578.16</v>
      </c>
      <c r="AA10" s="6">
        <f>Tabela1[LUCRO]-Tabela1[PROTEÇÃO MÊS]</f>
        <v>1644.5400000000009</v>
      </c>
      <c r="AB10" s="6">
        <f>Tabela1[RENDA FIXA] + Tabela1[PROTEÇÃO MÊS] - Tabela1[APORTE RF]</f>
        <v>20045.89</v>
      </c>
      <c r="AC10" s="6">
        <f>Tabela1[TOT RF] + Tabela1[REINVESTIR] + Tabela1[APLICAÇÃO]</f>
        <v>31434.880000000001</v>
      </c>
    </row>
    <row r="11" spans="1:29" x14ac:dyDescent="0.2">
      <c r="A11" s="1">
        <v>10</v>
      </c>
      <c r="B11" s="5">
        <v>41275</v>
      </c>
      <c r="C11" s="3">
        <v>20045.89</v>
      </c>
      <c r="D11" s="3"/>
      <c r="E11" s="3"/>
      <c r="F11" s="3">
        <v>10237.18</v>
      </c>
      <c r="G11" s="6">
        <f>735</f>
        <v>735</v>
      </c>
      <c r="H11" s="6">
        <f>SUMPRODUCT(N(Tabela1[TRADE] &lt;= Tabela1[[#This Row],[TRADE]]), Tabela1[APORTE]) + SUMPRODUCT(N(Tabela1[TRADE] &lt;= Tabela1[[#This Row],[TRADE]]), Tabela1[APORTE RF])</f>
        <v>5110</v>
      </c>
      <c r="I11" s="6">
        <f>Tabela1[MONTANTE] - SUMPRODUCT(N(Tabela1[TRADE] &lt;= Tabela1[[#This Row],[TRADE]]), Tabela1[SAQUE]) + SUMPRODUCT(N(Tabela1[TRADE] &lt; Tabela1[[#This Row],[TRADE]]), Tabela1[REINVESTIR])</f>
        <v>12123.990000000002</v>
      </c>
      <c r="J11" s="6">
        <f>TRUNC(Tabela1[APLICAÇÃO]  * SETUP!$A$3, 2)</f>
        <v>4.4800000000000004</v>
      </c>
      <c r="K11" s="6">
        <f>TRUNC(Tabela1[APLICAÇÃO]  * SETUP!$B$3, 2)</f>
        <v>3.33</v>
      </c>
      <c r="L11" s="6">
        <f>TRUNC(Tabela1[APLICAÇÃO]  * SETUP!$C$3, 2)</f>
        <v>8.42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32</v>
      </c>
      <c r="P11" s="6">
        <f>TRUNC(Tabela1[APLICAÇÃO] * 2  * SETUP!$A$3, 2)</f>
        <v>8.9700000000000006</v>
      </c>
      <c r="Q11" s="6">
        <f>TRUNC(Tabela1[APLICAÇÃO] * 2  * SETUP!$B$3, 2)</f>
        <v>6.66</v>
      </c>
      <c r="R11" s="6">
        <f>TRUNC(Tabela1[APLICAÇÃO] * 2  * SETUP!$C$3, 2)</f>
        <v>16.850000000000001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48.25</v>
      </c>
      <c r="V11" s="6">
        <f>(((Tabela1[APLICAÇÃO] * 2) - Tabela1[TAXA VD]) - (Tabela1[APLICAÇÃO] + Tabela1[TAXA CP])) * 0.85</f>
        <v>10237.179000000002</v>
      </c>
      <c r="W11" s="14">
        <f>Tabela1[APLICAÇÃO] - (ROUND(Tabela1[RENDA FIXA] * 0.1,2))</f>
        <v>10119.400000000001</v>
      </c>
      <c r="X11" s="4">
        <f>Tabela1[[#This Row],[PERDA MAX]]/Tabela1[[#This Row],[APLICAÇÃO]]</f>
        <v>0.83465921697394996</v>
      </c>
      <c r="Y11" s="15">
        <f>IF(Tabela1[LUCRO] &lt; (Tabela1[RENDA FIXA]/2), 0.5, 0.8)</f>
        <v>0.8</v>
      </c>
      <c r="Z11" s="6">
        <f>IF(Tabela1[LUCRO] &lt; 0, 0, ROUND(Tabela1[LUCRO]*Tabela1[NO BOLSO], 2))</f>
        <v>8189.74</v>
      </c>
      <c r="AA11" s="6">
        <f>Tabela1[LUCRO]-Tabela1[PROTEÇÃO MÊS]</f>
        <v>2047.4400000000005</v>
      </c>
      <c r="AB11" s="6">
        <f>Tabela1[RENDA FIXA] + Tabela1[PROTEÇÃO MÊS] - Tabela1[APORTE RF]</f>
        <v>28235.629999999997</v>
      </c>
      <c r="AC11" s="6">
        <f>Tabela1[TOT RF] + Tabela1[REINVESTIR] + Tabela1[APLICAÇÃO]</f>
        <v>42407.06</v>
      </c>
    </row>
    <row r="12" spans="1:29" x14ac:dyDescent="0.2">
      <c r="A12" s="1">
        <v>11</v>
      </c>
      <c r="B12" s="5">
        <v>41306</v>
      </c>
      <c r="C12" s="3">
        <v>28235.63</v>
      </c>
      <c r="D12" s="3"/>
      <c r="E12" s="3"/>
      <c r="F12" s="3">
        <v>12592.76</v>
      </c>
      <c r="G12" s="6">
        <f>735</f>
        <v>735</v>
      </c>
      <c r="H12" s="6">
        <f>SUMPRODUCT(N(Tabela1[TRADE] &lt;= Tabela1[[#This Row],[TRADE]]), Tabela1[APORTE]) + SUMPRODUCT(N(Tabela1[TRADE] &lt;= Tabela1[[#This Row],[TRADE]]), Tabela1[APORTE RF])</f>
        <v>5845</v>
      </c>
      <c r="I12" s="6">
        <f>Tabela1[MONTANTE] - SUMPRODUCT(N(Tabela1[TRADE] &lt;= Tabela1[[#This Row],[TRADE]]), Tabela1[SAQUE]) + SUMPRODUCT(N(Tabela1[TRADE] &lt; Tabela1[[#This Row],[TRADE]]), Tabela1[REINVESTIR])</f>
        <v>14906.430000000002</v>
      </c>
      <c r="J12" s="6">
        <f>TRUNC(Tabela1[APLICAÇÃO]  * SETUP!$A$3, 2)</f>
        <v>5.51</v>
      </c>
      <c r="K12" s="6">
        <f>TRUNC(Tabela1[APLICAÇÃO]  * SETUP!$B$3, 2)</f>
        <v>4.09</v>
      </c>
      <c r="L12" s="6">
        <f>TRUNC(Tabela1[APLICAÇÃO]  * SETUP!$C$3, 2)</f>
        <v>10.35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35.72</v>
      </c>
      <c r="P12" s="6">
        <f>TRUNC(Tabela1[APLICAÇÃO] * 2  * SETUP!$A$3, 2)</f>
        <v>11.03</v>
      </c>
      <c r="Q12" s="6">
        <f>TRUNC(Tabela1[APLICAÇÃO] * 2  * SETUP!$B$3, 2)</f>
        <v>8.19</v>
      </c>
      <c r="R12" s="6">
        <f>TRUNC(Tabela1[APLICAÇÃO] * 2  * SETUP!$C$3, 2)</f>
        <v>20.71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55.699999999999996</v>
      </c>
      <c r="V12" s="6">
        <f>(((Tabela1[APLICAÇÃO] * 2) - Tabela1[TAXA VD]) - (Tabela1[APLICAÇÃO] + Tabela1[TAXA CP])) * 0.85</f>
        <v>12592.758500000002</v>
      </c>
      <c r="W12" s="14">
        <f>Tabela1[APLICAÇÃO] - (ROUND(Tabela1[RENDA FIXA] * 0.1,2))</f>
        <v>12082.870000000003</v>
      </c>
      <c r="X12" s="4">
        <f>Tabela1[[#This Row],[PERDA MAX]]/Tabela1[[#This Row],[APLICAÇÃO]]</f>
        <v>0.81058107138999758</v>
      </c>
      <c r="Y12" s="15">
        <f>IF(Tabela1[LUCRO] &lt; (Tabela1[RENDA FIXA]/2), 0.5, 0.8)</f>
        <v>0.5</v>
      </c>
      <c r="Z12" s="6">
        <f>IF(Tabela1[LUCRO] &lt; 0, 0, ROUND(Tabela1[LUCRO]*Tabela1[NO BOLSO], 2))</f>
        <v>6296.38</v>
      </c>
      <c r="AA12" s="6">
        <f>Tabela1[LUCRO]-Tabela1[PROTEÇÃO MÊS]</f>
        <v>6296.38</v>
      </c>
      <c r="AB12" s="6">
        <f>Tabela1[RENDA FIXA] + Tabela1[PROTEÇÃO MÊS] - Tabela1[APORTE RF]</f>
        <v>34532.01</v>
      </c>
      <c r="AC12" s="6">
        <f>Tabela1[TOT RF] + Tabela1[REINVESTIR] + Tabela1[APLICAÇÃO]</f>
        <v>55734.82</v>
      </c>
    </row>
    <row r="13" spans="1:29" x14ac:dyDescent="0.2">
      <c r="A13" s="1">
        <v>12</v>
      </c>
      <c r="B13" s="5">
        <v>41334</v>
      </c>
      <c r="C13" s="3">
        <v>34532.01</v>
      </c>
      <c r="D13" s="3"/>
      <c r="E13" s="3"/>
      <c r="F13" s="3">
        <v>18545.39</v>
      </c>
      <c r="G13" s="6">
        <f>735</f>
        <v>735</v>
      </c>
      <c r="H13" s="6">
        <f>SUMPRODUCT(N(Tabela1[TRADE] &lt;= Tabela1[[#This Row],[TRADE]]), Tabela1[APORTE]) + SUMPRODUCT(N(Tabela1[TRADE] &lt;= Tabela1[[#This Row],[TRADE]]), Tabela1[APORTE RF])</f>
        <v>6580</v>
      </c>
      <c r="I13" s="6">
        <f>Tabela1[MONTANTE] - SUMPRODUCT(N(Tabela1[TRADE] &lt;= Tabela1[[#This Row],[TRADE]]), Tabela1[SAQUE]) + SUMPRODUCT(N(Tabela1[TRADE] &lt; Tabela1[[#This Row],[TRADE]]), Tabela1[REINVESTIR])</f>
        <v>21937.81</v>
      </c>
      <c r="J13" s="6">
        <f>TRUNC(Tabela1[APLICAÇÃO]  * SETUP!$A$3, 2)</f>
        <v>8.11</v>
      </c>
      <c r="K13" s="6">
        <f>TRUNC(Tabela1[APLICAÇÃO]  * SETUP!$B$3, 2)</f>
        <v>6.03</v>
      </c>
      <c r="L13" s="6">
        <f>TRUNC(Tabela1[APLICAÇÃO]  * SETUP!$C$3, 2)</f>
        <v>15.24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45.15</v>
      </c>
      <c r="P13" s="6">
        <f>TRUNC(Tabela1[APLICAÇÃO] * 2  * SETUP!$A$3, 2)</f>
        <v>16.23</v>
      </c>
      <c r="Q13" s="6">
        <f>TRUNC(Tabela1[APLICAÇÃO] * 2  * SETUP!$B$3, 2)</f>
        <v>12.06</v>
      </c>
      <c r="R13" s="6">
        <f>TRUNC(Tabela1[APLICAÇÃO] * 2  * SETUP!$C$3, 2)</f>
        <v>30.49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74.55</v>
      </c>
      <c r="V13" s="6">
        <f>(((Tabela1[APLICAÇÃO] * 2) - Tabela1[TAXA VD]) - (Tabela1[APLICAÇÃO] + Tabela1[TAXA CP])) * 0.85</f>
        <v>18545.393499999998</v>
      </c>
      <c r="W13" s="14">
        <f>Tabela1[APLICAÇÃO] - (ROUND(Tabela1[RENDA FIXA] * 0.1,2))</f>
        <v>18484.61</v>
      </c>
      <c r="X13" s="4">
        <f>Tabela1[[#This Row],[PERDA MAX]]/Tabela1[[#This Row],[APLICAÇÃO]]</f>
        <v>0.84259139813864736</v>
      </c>
      <c r="Y13" s="15">
        <f>IF(Tabela1[LUCRO] &lt; (Tabela1[RENDA FIXA]/2), 0.5, 0.8)</f>
        <v>0.8</v>
      </c>
      <c r="Z13" s="6">
        <f>IF(Tabela1[LUCRO] &lt; 0, 0, ROUND(Tabela1[LUCRO]*Tabela1[NO BOLSO], 2))</f>
        <v>14836.31</v>
      </c>
      <c r="AA13" s="6">
        <f>Tabela1[LUCRO]-Tabela1[PROTEÇÃO MÊS]</f>
        <v>3709.08</v>
      </c>
      <c r="AB13" s="6">
        <f>Tabela1[RENDA FIXA] + Tabela1[PROTEÇÃO MÊS] - Tabela1[APORTE RF]</f>
        <v>49368.32</v>
      </c>
      <c r="AC13" s="6">
        <f>Tabela1[TOT RF] + Tabela1[REINVESTIR] + Tabela1[APLICAÇÃO]</f>
        <v>75015.210000000006</v>
      </c>
    </row>
    <row r="14" spans="1:29" x14ac:dyDescent="0.2">
      <c r="A14" s="1">
        <v>13</v>
      </c>
      <c r="B14" s="5">
        <v>41365</v>
      </c>
      <c r="C14" s="3">
        <v>49368.32</v>
      </c>
      <c r="D14" s="3"/>
      <c r="E14" s="3"/>
      <c r="F14" s="3">
        <v>22532.04</v>
      </c>
      <c r="G14" s="6">
        <f>1000</f>
        <v>1000</v>
      </c>
      <c r="H14" s="6">
        <f>SUMPRODUCT(N(Tabela1[TRADE] &lt;= Tabela1[[#This Row],[TRADE]]), Tabela1[APORTE]) + SUMPRODUCT(N(Tabela1[TRADE] &lt;= Tabela1[[#This Row],[TRADE]]), Tabela1[APORTE RF])</f>
        <v>7580</v>
      </c>
      <c r="I14" s="6">
        <f>Tabela1[MONTANTE] - SUMPRODUCT(N(Tabela1[TRADE] &lt;= Tabela1[[#This Row],[TRADE]]), Tabela1[SAQUE]) + SUMPRODUCT(N(Tabela1[TRADE] &lt; Tabela1[[#This Row],[TRADE]]), Tabela1[REINVESTIR])</f>
        <v>26646.89</v>
      </c>
      <c r="J14" s="6">
        <f>TRUNC(Tabela1[APLICAÇÃO]  * SETUP!$A$3, 2)</f>
        <v>9.85</v>
      </c>
      <c r="K14" s="6">
        <f>TRUNC(Tabela1[APLICAÇÃO]  * SETUP!$B$3, 2)</f>
        <v>7.32</v>
      </c>
      <c r="L14" s="6">
        <f>TRUNC(Tabela1[APLICAÇÃO]  * SETUP!$C$3, 2)</f>
        <v>18.510000000000002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51.45</v>
      </c>
      <c r="P14" s="6">
        <f>TRUNC(Tabela1[APLICAÇÃO] * 2  * SETUP!$A$3, 2)</f>
        <v>19.71</v>
      </c>
      <c r="Q14" s="6">
        <f>TRUNC(Tabela1[APLICAÇÃO] * 2  * SETUP!$B$3, 2)</f>
        <v>14.65</v>
      </c>
      <c r="R14" s="6">
        <f>TRUNC(Tabela1[APLICAÇÃO] * 2  * SETUP!$C$3, 2)</f>
        <v>37.03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87.160000000000011</v>
      </c>
      <c r="V14" s="6">
        <f>(((Tabela1[APLICAÇÃO] * 2) - Tabela1[TAXA VD]) - (Tabela1[APLICAÇÃO] + Tabela1[TAXA CP])) * 0.85</f>
        <v>22532.037999999997</v>
      </c>
      <c r="W14" s="14">
        <f>Tabela1[APLICAÇÃO] - (ROUND(Tabela1[RENDA FIXA] * 0.1,2))</f>
        <v>21710.059999999998</v>
      </c>
      <c r="X14" s="4">
        <f>Tabela1[[#This Row],[PERDA MAX]]/Tabela1[[#This Row],[APLICAÇÃO]]</f>
        <v>0.81473147523031764</v>
      </c>
      <c r="Y14" s="15">
        <f>IF(Tabela1[LUCRO] &lt; (Tabela1[RENDA FIXA]/2), 0.5, 0.8)</f>
        <v>0.5</v>
      </c>
      <c r="Z14" s="6">
        <f>IF(Tabela1[LUCRO] &lt; 0, 0, ROUND(Tabela1[LUCRO]*Tabela1[NO BOLSO], 2))</f>
        <v>11266.02</v>
      </c>
      <c r="AA14" s="6">
        <f>Tabela1[LUCRO]-Tabela1[PROTEÇÃO MÊS]</f>
        <v>11266.02</v>
      </c>
      <c r="AB14" s="6">
        <f>Tabela1[RENDA FIXA] + Tabela1[PROTEÇÃO MÊS] - Tabela1[APORTE RF]</f>
        <v>60634.34</v>
      </c>
      <c r="AC14" s="6">
        <f>Tabela1[TOT RF] + Tabela1[REINVESTIR] + Tabela1[APLICAÇÃO]</f>
        <v>98547.25</v>
      </c>
    </row>
    <row r="15" spans="1:29" x14ac:dyDescent="0.2">
      <c r="A15" s="1">
        <v>14</v>
      </c>
      <c r="B15" s="5">
        <v>41395</v>
      </c>
      <c r="C15" s="3">
        <v>60634.34</v>
      </c>
      <c r="D15" s="3"/>
      <c r="E15" s="3"/>
      <c r="F15" s="3">
        <v>32916.22</v>
      </c>
      <c r="G15" s="6">
        <f>1000</f>
        <v>1000</v>
      </c>
      <c r="H15" s="6">
        <f>SUMPRODUCT(N(Tabela1[TRADE] &lt;= Tabela1[[#This Row],[TRADE]]), Tabela1[APORTE]) + SUMPRODUCT(N(Tabela1[TRADE] &lt;= Tabela1[[#This Row],[TRADE]]), Tabela1[APORTE RF])</f>
        <v>8580</v>
      </c>
      <c r="I15" s="6">
        <f>Tabela1[MONTANTE] - SUMPRODUCT(N(Tabela1[TRADE] &lt;= Tabela1[[#This Row],[TRADE]]), Tabela1[SAQUE]) + SUMPRODUCT(N(Tabela1[TRADE] &lt; Tabela1[[#This Row],[TRADE]]), Tabela1[REINVESTIR])</f>
        <v>38912.910000000003</v>
      </c>
      <c r="J15" s="6">
        <f>TRUNC(Tabela1[APLICAÇÃO]  * SETUP!$A$3, 2)</f>
        <v>14.39</v>
      </c>
      <c r="K15" s="6">
        <f>TRUNC(Tabela1[APLICAÇÃO]  * SETUP!$B$3, 2)</f>
        <v>10.7</v>
      </c>
      <c r="L15" s="6">
        <f>TRUNC(Tabela1[APLICAÇÃO]  * SETUP!$C$3, 2)</f>
        <v>27.04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67.899999999999991</v>
      </c>
      <c r="P15" s="6">
        <f>TRUNC(Tabela1[APLICAÇÃO] * 2  * SETUP!$A$3, 2)</f>
        <v>28.79</v>
      </c>
      <c r="Q15" s="6">
        <f>TRUNC(Tabela1[APLICAÇÃO] * 2  * SETUP!$B$3, 2)</f>
        <v>21.4</v>
      </c>
      <c r="R15" s="6">
        <f>TRUNC(Tabela1[APLICAÇÃO] * 2  * SETUP!$C$3, 2)</f>
        <v>54.08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120.04</v>
      </c>
      <c r="V15" s="6">
        <f>(((Tabela1[APLICAÇÃO] * 2) - Tabela1[TAXA VD]) - (Tabela1[APLICAÇÃO] + Tabela1[TAXA CP])) * 0.85</f>
        <v>32916.224500000004</v>
      </c>
      <c r="W15" s="14">
        <f>Tabela1[APLICAÇÃO] - (ROUND(Tabela1[RENDA FIXA] * 0.1,2))</f>
        <v>32849.480000000003</v>
      </c>
      <c r="X15" s="4">
        <f>Tabela1[[#This Row],[PERDA MAX]]/Tabela1[[#This Row],[APLICAÇÃO]]</f>
        <v>0.84417947668267423</v>
      </c>
      <c r="Y15" s="15">
        <f>IF(Tabela1[LUCRO] &lt; (Tabela1[RENDA FIXA]/2), 0.5, 0.8)</f>
        <v>0.8</v>
      </c>
      <c r="Z15" s="6">
        <f>IF(Tabela1[LUCRO] &lt; 0, 0, ROUND(Tabela1[LUCRO]*Tabela1[NO BOLSO], 2))</f>
        <v>26332.98</v>
      </c>
      <c r="AA15" s="6">
        <f>Tabela1[LUCRO]-Tabela1[PROTEÇÃO MÊS]</f>
        <v>6583.2400000000016</v>
      </c>
      <c r="AB15" s="6">
        <f>Tabela1[RENDA FIXA] + Tabela1[PROTEÇÃO MÊS] - Tabela1[APORTE RF]</f>
        <v>86967.319999999992</v>
      </c>
      <c r="AC15" s="6">
        <f>Tabela1[TOT RF] + Tabela1[REINVESTIR] + Tabela1[APLICAÇÃO]</f>
        <v>132463.47</v>
      </c>
    </row>
    <row r="16" spans="1:29" x14ac:dyDescent="0.2">
      <c r="A16" s="1">
        <v>15</v>
      </c>
      <c r="B16" s="5">
        <v>41426</v>
      </c>
      <c r="C16" s="3">
        <v>86967.32</v>
      </c>
      <c r="D16" s="3"/>
      <c r="E16" s="3"/>
      <c r="F16" s="3">
        <v>39336.07</v>
      </c>
      <c r="G16" s="6">
        <f>1000</f>
        <v>1000</v>
      </c>
      <c r="H16" s="6">
        <f>SUMPRODUCT(N(Tabela1[TRADE] &lt;= Tabela1[[#This Row],[TRADE]]), Tabela1[APORTE]) + SUMPRODUCT(N(Tabela1[TRADE] &lt;= Tabela1[[#This Row],[TRADE]]), Tabela1[APORTE RF])</f>
        <v>9580</v>
      </c>
      <c r="I16" s="6">
        <f>Tabela1[MONTANTE] - SUMPRODUCT(N(Tabela1[TRADE] &lt;= Tabela1[[#This Row],[TRADE]]), Tabela1[SAQUE]) + SUMPRODUCT(N(Tabela1[TRADE] &lt; Tabela1[[#This Row],[TRADE]]), Tabela1[REINVESTIR])</f>
        <v>46496.15</v>
      </c>
      <c r="J16" s="6">
        <f>TRUNC(Tabela1[APLICAÇÃO]  * SETUP!$A$3, 2)</f>
        <v>17.2</v>
      </c>
      <c r="K16" s="6">
        <f>TRUNC(Tabela1[APLICAÇÃO]  * SETUP!$B$3, 2)</f>
        <v>12.78</v>
      </c>
      <c r="L16" s="6">
        <f>TRUNC(Tabela1[APLICAÇÃO]  * SETUP!$C$3, 2)</f>
        <v>32.31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78.06</v>
      </c>
      <c r="P16" s="6">
        <f>TRUNC(Tabela1[APLICAÇÃO] * 2  * SETUP!$A$3, 2)</f>
        <v>34.4</v>
      </c>
      <c r="Q16" s="6">
        <f>TRUNC(Tabela1[APLICAÇÃO] * 2  * SETUP!$B$3, 2)</f>
        <v>25.57</v>
      </c>
      <c r="R16" s="6">
        <f>TRUNC(Tabela1[APLICAÇÃO] * 2  * SETUP!$C$3, 2)</f>
        <v>64.62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140.36000000000001</v>
      </c>
      <c r="V16" s="6">
        <f>(((Tabela1[APLICAÇÃO] * 2) - Tabela1[TAXA VD]) - (Tabela1[APLICAÇÃO] + Tabela1[TAXA CP])) * 0.85</f>
        <v>39336.070500000002</v>
      </c>
      <c r="W16" s="14">
        <f>Tabela1[APLICAÇÃO] - (ROUND(Tabela1[RENDA FIXA] * 0.1,2))</f>
        <v>37799.42</v>
      </c>
      <c r="X16" s="4">
        <f>Tabela1[[#This Row],[PERDA MAX]]/Tabela1[[#This Row],[APLICAÇÃO]]</f>
        <v>0.81295806211912158</v>
      </c>
      <c r="Y16" s="15">
        <f>IF(Tabela1[LUCRO] &lt; (Tabela1[RENDA FIXA]/2), 0.5, 0.8)</f>
        <v>0.5</v>
      </c>
      <c r="Z16" s="6">
        <f>IF(Tabela1[LUCRO] &lt; 0, 0, ROUND(Tabela1[LUCRO]*Tabela1[NO BOLSO], 2))</f>
        <v>19668.04</v>
      </c>
      <c r="AA16" s="6">
        <f>Tabela1[LUCRO]-Tabela1[PROTEÇÃO MÊS]</f>
        <v>19668.03</v>
      </c>
      <c r="AB16" s="6">
        <f>Tabela1[RENDA FIXA] + Tabela1[PROTEÇÃO MÊS] - Tabela1[APORTE RF]</f>
        <v>106635.36000000002</v>
      </c>
      <c r="AC16" s="6">
        <f>Tabela1[TOT RF] + Tabela1[REINVESTIR] + Tabela1[APLICAÇÃO]</f>
        <v>172799.54</v>
      </c>
    </row>
    <row r="17" spans="1:29" x14ac:dyDescent="0.2">
      <c r="A17" s="1">
        <v>16</v>
      </c>
      <c r="B17" s="5">
        <v>41456</v>
      </c>
      <c r="C17" s="3">
        <v>106635.36</v>
      </c>
      <c r="D17" s="3"/>
      <c r="E17" s="3"/>
      <c r="F17" s="3">
        <v>56883.26</v>
      </c>
      <c r="G17" s="6">
        <f>1000</f>
        <v>1000</v>
      </c>
      <c r="H17" s="6">
        <f>SUMPRODUCT(N(Tabela1[TRADE] &lt;= Tabela1[[#This Row],[TRADE]]), Tabela1[APORTE]) + SUMPRODUCT(N(Tabela1[TRADE] &lt;= Tabela1[[#This Row],[TRADE]]), Tabela1[APORTE RF])</f>
        <v>10580</v>
      </c>
      <c r="I17" s="6">
        <f>Tabela1[MONTANTE] - SUMPRODUCT(N(Tabela1[TRADE] &lt;= Tabela1[[#This Row],[TRADE]]), Tabela1[SAQUE]) + SUMPRODUCT(N(Tabela1[TRADE] &lt; Tabela1[[#This Row],[TRADE]]), Tabela1[REINVESTIR])</f>
        <v>67164.179999999993</v>
      </c>
      <c r="J17" s="6">
        <f>TRUNC(Tabela1[APLICAÇÃO]  * SETUP!$A$3, 2)</f>
        <v>24.85</v>
      </c>
      <c r="K17" s="6">
        <f>TRUNC(Tabela1[APLICAÇÃO]  * SETUP!$B$3, 2)</f>
        <v>18.47</v>
      </c>
      <c r="L17" s="6">
        <f>TRUNC(Tabela1[APLICAÇÃO]  * SETUP!$C$3, 2)</f>
        <v>46.67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105.76000000000002</v>
      </c>
      <c r="P17" s="6">
        <f>TRUNC(Tabela1[APLICAÇÃO] * 2  * SETUP!$A$3, 2)</f>
        <v>49.7</v>
      </c>
      <c r="Q17" s="6">
        <f>TRUNC(Tabela1[APLICAÇÃO] * 2  * SETUP!$B$3, 2)</f>
        <v>36.94</v>
      </c>
      <c r="R17" s="6">
        <f>TRUNC(Tabela1[APLICAÇÃO] * 2  * SETUP!$C$3, 2)</f>
        <v>93.35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195.76000000000002</v>
      </c>
      <c r="V17" s="6">
        <f>(((Tabela1[APLICAÇÃO] * 2) - Tabela1[TAXA VD]) - (Tabela1[APLICAÇÃO] + Tabela1[TAXA CP])) * 0.85</f>
        <v>56833.260999999991</v>
      </c>
      <c r="W17" s="14">
        <f>Tabela1[APLICAÇÃO] - (ROUND(Tabela1[RENDA FIXA] * 0.1,2))</f>
        <v>56500.639999999992</v>
      </c>
      <c r="X17" s="4">
        <f>Tabela1[[#This Row],[PERDA MAX]]/Tabela1[[#This Row],[APLICAÇÃO]]</f>
        <v>0.84123173989468791</v>
      </c>
      <c r="Y17" s="15">
        <f>IF(Tabela1[LUCRO] &lt; (Tabela1[RENDA FIXA]/2), 0.5, 0.8)</f>
        <v>0.8</v>
      </c>
      <c r="Z17" s="6">
        <f>IF(Tabela1[LUCRO] &lt; 0, 0, ROUND(Tabela1[LUCRO]*Tabela1[NO BOLSO], 2))</f>
        <v>45506.61</v>
      </c>
      <c r="AA17" s="6">
        <f>Tabela1[LUCRO]-Tabela1[PROTEÇÃO MÊS]</f>
        <v>11376.650000000001</v>
      </c>
      <c r="AB17" s="6">
        <f>Tabela1[RENDA FIXA] + Tabela1[PROTEÇÃO MÊS] - Tabela1[APORTE RF]</f>
        <v>152141.97</v>
      </c>
      <c r="AC17" s="6">
        <f>Tabela1[TOT RF] + Tabela1[REINVESTIR] + Tabela1[APLICAÇÃO]</f>
        <v>230682.8</v>
      </c>
    </row>
    <row r="18" spans="1:29" x14ac:dyDescent="0.2">
      <c r="A18" s="1">
        <v>17</v>
      </c>
      <c r="B18" s="5">
        <v>41487</v>
      </c>
      <c r="C18" s="3">
        <v>152141.97</v>
      </c>
      <c r="D18" s="3"/>
      <c r="E18" s="3"/>
      <c r="F18" s="3">
        <v>67311.12</v>
      </c>
      <c r="G18" s="6">
        <f>1000</f>
        <v>1000</v>
      </c>
      <c r="H18" s="6">
        <f>SUMPRODUCT(N(Tabela1[TRADE] &lt;= Tabela1[[#This Row],[TRADE]]), Tabela1[APORTE]) + SUMPRODUCT(N(Tabela1[TRADE] &lt;= Tabela1[[#This Row],[TRADE]]), Tabela1[APORTE RF])</f>
        <v>11580</v>
      </c>
      <c r="I18" s="6">
        <f>Tabela1[MONTANTE] - SUMPRODUCT(N(Tabela1[TRADE] &lt;= Tabela1[[#This Row],[TRADE]]), Tabela1[SAQUE]) + SUMPRODUCT(N(Tabela1[TRADE] &lt; Tabela1[[#This Row],[TRADE]]), Tabela1[REINVESTIR])</f>
        <v>79540.83</v>
      </c>
      <c r="J18" s="6">
        <f>TRUNC(Tabela1[APLICAÇÃO]  * SETUP!$A$3, 2)</f>
        <v>29.43</v>
      </c>
      <c r="K18" s="6">
        <f>TRUNC(Tabela1[APLICAÇÃO]  * SETUP!$B$3, 2)</f>
        <v>21.87</v>
      </c>
      <c r="L18" s="6">
        <f>TRUNC(Tabela1[APLICAÇÃO]  * SETUP!$C$3, 2)</f>
        <v>55.28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122.35000000000001</v>
      </c>
      <c r="P18" s="6">
        <f>TRUNC(Tabela1[APLICAÇÃO] * 2  * SETUP!$A$3, 2)</f>
        <v>58.86</v>
      </c>
      <c r="Q18" s="6">
        <f>TRUNC(Tabela1[APLICAÇÃO] * 2  * SETUP!$B$3, 2)</f>
        <v>43.74</v>
      </c>
      <c r="R18" s="6">
        <f>TRUNC(Tabela1[APLICAÇÃO] * 2  * SETUP!$C$3, 2)</f>
        <v>110.56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228.93</v>
      </c>
      <c r="V18" s="6">
        <f>(((Tabela1[APLICAÇÃO] * 2) - Tabela1[TAXA VD]) - (Tabela1[APLICAÇÃO] + Tabela1[TAXA CP])) * 0.85</f>
        <v>67311.117500000008</v>
      </c>
      <c r="W18" s="14">
        <f>Tabela1[APLICAÇÃO] - (ROUND(Tabela1[RENDA FIXA] * 0.1,2))</f>
        <v>64326.630000000005</v>
      </c>
      <c r="X18" s="4">
        <f>Tabela1[[#This Row],[PERDA MAX]]/Tabela1[[#This Row],[APLICAÇÃO]]</f>
        <v>0.80872465122629478</v>
      </c>
      <c r="Y18" s="15">
        <f>IF(Tabela1[LUCRO] &lt; (Tabela1[RENDA FIXA]/2), 0.5, 0.8)</f>
        <v>0.5</v>
      </c>
      <c r="Z18" s="6">
        <f>IF(Tabela1[LUCRO] &lt; 0, 0, ROUND(Tabela1[LUCRO]*Tabela1[NO BOLSO], 2))</f>
        <v>33655.56</v>
      </c>
      <c r="AA18" s="6">
        <f>Tabela1[LUCRO]-Tabela1[PROTEÇÃO MÊS]</f>
        <v>33655.56</v>
      </c>
      <c r="AB18" s="6">
        <f>Tabela1[RENDA FIXA] + Tabela1[PROTEÇÃO MÊS] - Tabela1[APORTE RF]</f>
        <v>185797.53</v>
      </c>
      <c r="AC18" s="6">
        <f>Tabela1[TOT RF] + Tabela1[REINVESTIR] + Tabela1[APLICAÇÃO]</f>
        <v>298993.91999999998</v>
      </c>
    </row>
    <row r="19" spans="1:29" x14ac:dyDescent="0.2">
      <c r="A19" s="1">
        <v>18</v>
      </c>
      <c r="B19" s="5">
        <v>41518</v>
      </c>
      <c r="C19" s="3">
        <v>185797.53</v>
      </c>
      <c r="D19" s="3"/>
      <c r="E19" s="3"/>
      <c r="F19" s="3">
        <v>96649.94</v>
      </c>
      <c r="G19" s="6">
        <f>1000</f>
        <v>1000</v>
      </c>
      <c r="H19" s="6">
        <f>SUMPRODUCT(N(Tabela1[TRADE] &lt;= Tabela1[[#This Row],[TRADE]]), Tabela1[APORTE]) + SUMPRODUCT(N(Tabela1[TRADE] &lt;= Tabela1[[#This Row],[TRADE]]), Tabela1[APORTE RF])</f>
        <v>12580</v>
      </c>
      <c r="I19" s="6">
        <f>Tabela1[MONTANTE] - SUMPRODUCT(N(Tabela1[TRADE] &lt;= Tabela1[[#This Row],[TRADE]]), Tabela1[SAQUE]) + SUMPRODUCT(N(Tabela1[TRADE] &lt; Tabela1[[#This Row],[TRADE]]), Tabela1[REINVESTIR])</f>
        <v>114196.39</v>
      </c>
      <c r="J19" s="6">
        <f>TRUNC(Tabela1[APLICAÇÃO]  * SETUP!$A$3, 2)</f>
        <v>42.25</v>
      </c>
      <c r="K19" s="6">
        <f>TRUNC(Tabela1[APLICAÇÃO]  * SETUP!$B$3, 2)</f>
        <v>31.4</v>
      </c>
      <c r="L19" s="6">
        <f>TRUNC(Tabela1[APLICAÇÃO]  * SETUP!$C$3, 2)</f>
        <v>79.36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168.78</v>
      </c>
      <c r="P19" s="6">
        <f>TRUNC(Tabela1[APLICAÇÃO] * 2  * SETUP!$A$3, 2)</f>
        <v>84.5</v>
      </c>
      <c r="Q19" s="6">
        <f>TRUNC(Tabela1[APLICAÇÃO] * 2  * SETUP!$B$3, 2)</f>
        <v>62.8</v>
      </c>
      <c r="R19" s="6">
        <f>TRUNC(Tabela1[APLICAÇÃO] * 2  * SETUP!$C$3, 2)</f>
        <v>158.72999999999999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321.79999999999995</v>
      </c>
      <c r="V19" s="6">
        <f>(((Tabela1[APLICAÇÃO] * 2) - Tabela1[TAXA VD]) - (Tabela1[APLICAÇÃO] + Tabela1[TAXA CP])) * 0.85</f>
        <v>96649.938500000004</v>
      </c>
      <c r="W19" s="14">
        <f>Tabela1[APLICAÇÃO] - (ROUND(Tabela1[RENDA FIXA] * 0.1,2))</f>
        <v>95616.639999999999</v>
      </c>
      <c r="X19" s="4">
        <f>Tabela1[[#This Row],[PERDA MAX]]/Tabela1[[#This Row],[APLICAÇÃO]]</f>
        <v>0.83730002323190778</v>
      </c>
      <c r="Y19" s="15">
        <f>IF(Tabela1[LUCRO] &lt; (Tabela1[RENDA FIXA]/2), 0.5, 0.8)</f>
        <v>0.8</v>
      </c>
      <c r="Z19" s="6">
        <f>IF(Tabela1[LUCRO] &lt; 0, 0, ROUND(Tabela1[LUCRO]*Tabela1[NO BOLSO], 2))</f>
        <v>77319.95</v>
      </c>
      <c r="AA19" s="6">
        <f>Tabela1[LUCRO]-Tabela1[PROTEÇÃO MÊS]</f>
        <v>19329.990000000005</v>
      </c>
      <c r="AB19" s="6">
        <f>Tabela1[RENDA FIXA] + Tabela1[PROTEÇÃO MÊS] - Tabela1[APORTE RF]</f>
        <v>263117.48</v>
      </c>
      <c r="AC19" s="6">
        <f>Tabela1[TOT RF] + Tabela1[REINVESTIR] + Tabela1[APLICAÇÃO]</f>
        <v>396643.86</v>
      </c>
    </row>
    <row r="20" spans="1:29" x14ac:dyDescent="0.2">
      <c r="A20" s="1">
        <v>19</v>
      </c>
      <c r="B20" s="5">
        <v>41548</v>
      </c>
      <c r="C20" s="3">
        <v>263117.48</v>
      </c>
      <c r="D20" s="3"/>
      <c r="E20" s="3"/>
      <c r="F20" s="3">
        <v>113860.97</v>
      </c>
      <c r="G20" s="6">
        <f>1000</f>
        <v>1000</v>
      </c>
      <c r="H20" s="6">
        <f>SUMPRODUCT(N(Tabela1[TRADE] &lt;= Tabela1[[#This Row],[TRADE]]), Tabela1[APORTE]) + SUMPRODUCT(N(Tabela1[TRADE] &lt;= Tabela1[[#This Row],[TRADE]]), Tabela1[APORTE RF])</f>
        <v>13580</v>
      </c>
      <c r="I20" s="6">
        <f>Tabela1[MONTANTE] - SUMPRODUCT(N(Tabela1[TRADE] &lt;= Tabela1[[#This Row],[TRADE]]), Tabela1[SAQUE]) + SUMPRODUCT(N(Tabela1[TRADE] &lt; Tabela1[[#This Row],[TRADE]]), Tabela1[REINVESTIR])</f>
        <v>134526.38</v>
      </c>
      <c r="J20" s="6">
        <f>TRUNC(Tabela1[APLICAÇÃO]  * SETUP!$A$3, 2)</f>
        <v>49.77</v>
      </c>
      <c r="K20" s="6">
        <f>TRUNC(Tabela1[APLICAÇÃO]  * SETUP!$B$3, 2)</f>
        <v>36.99</v>
      </c>
      <c r="L20" s="6">
        <f>TRUNC(Tabela1[APLICAÇÃO]  * SETUP!$C$3, 2)</f>
        <v>93.49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196.02</v>
      </c>
      <c r="P20" s="6">
        <f>TRUNC(Tabela1[APLICAÇÃO] * 2  * SETUP!$A$3, 2)</f>
        <v>99.54</v>
      </c>
      <c r="Q20" s="6">
        <f>TRUNC(Tabela1[APLICAÇÃO] * 2  * SETUP!$B$3, 2)</f>
        <v>73.98</v>
      </c>
      <c r="R20" s="6">
        <f>TRUNC(Tabela1[APLICAÇÃO] * 2  * SETUP!$C$3, 2)</f>
        <v>186.99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376.28</v>
      </c>
      <c r="V20" s="6">
        <f>(((Tabela1[APLICAÇÃO] * 2) - Tabela1[TAXA VD]) - (Tabela1[APLICAÇÃO] + Tabela1[TAXA CP])) * 0.85</f>
        <v>113860.96799999998</v>
      </c>
      <c r="W20" s="14">
        <f>Tabela1[APLICAÇÃO] - (ROUND(Tabela1[RENDA FIXA] * 0.1,2))</f>
        <v>108214.63</v>
      </c>
      <c r="X20" s="4">
        <f>Tabela1[[#This Row],[PERDA MAX]]/Tabela1[[#This Row],[APLICAÇÃO]]</f>
        <v>0.80441196737769949</v>
      </c>
      <c r="Y20" s="15">
        <f>IF(Tabela1[LUCRO] &lt; (Tabela1[RENDA FIXA]/2), 0.5, 0.8)</f>
        <v>0.5</v>
      </c>
      <c r="Z20" s="6">
        <f>IF(Tabela1[LUCRO] &lt; 0, 0, ROUND(Tabela1[LUCRO]*Tabela1[NO BOLSO], 2))</f>
        <v>56930.49</v>
      </c>
      <c r="AA20" s="6">
        <f>Tabela1[LUCRO]-Tabela1[PROTEÇÃO MÊS]</f>
        <v>56930.48</v>
      </c>
      <c r="AB20" s="6">
        <f>Tabela1[RENDA FIXA] + Tabela1[PROTEÇÃO MÊS] - Tabela1[APORTE RF]</f>
        <v>320047.96999999997</v>
      </c>
      <c r="AC20" s="6">
        <f>Tabela1[TOT RF] + Tabela1[REINVESTIR] + Tabela1[APLICAÇÃO]</f>
        <v>511504.82999999996</v>
      </c>
    </row>
    <row r="21" spans="1:29" x14ac:dyDescent="0.2">
      <c r="A21" s="1">
        <v>20</v>
      </c>
      <c r="B21" s="5">
        <v>41579</v>
      </c>
      <c r="C21" s="3">
        <v>320047.96999999997</v>
      </c>
      <c r="D21" s="3"/>
      <c r="E21" s="3"/>
      <c r="F21" s="3">
        <v>162903.93</v>
      </c>
      <c r="G21" s="6">
        <f>1000</f>
        <v>1000</v>
      </c>
      <c r="H21" s="6">
        <f>SUMPRODUCT(N(Tabela1[TRADE] &lt;= Tabela1[[#This Row],[TRADE]]), Tabela1[APORTE]) + SUMPRODUCT(N(Tabela1[TRADE] &lt;= Tabela1[[#This Row],[TRADE]]), Tabela1[APORTE RF])</f>
        <v>14580</v>
      </c>
      <c r="I21" s="6">
        <f>Tabela1[MONTANTE] - SUMPRODUCT(N(Tabela1[TRADE] &lt;= Tabela1[[#This Row],[TRADE]]), Tabela1[SAQUE]) + SUMPRODUCT(N(Tabela1[TRADE] &lt; Tabela1[[#This Row],[TRADE]]), Tabela1[REINVESTIR])</f>
        <v>192456.86000000002</v>
      </c>
      <c r="J21" s="6">
        <f>TRUNC(Tabela1[APLICAÇÃO]  * SETUP!$A$3, 2)</f>
        <v>71.2</v>
      </c>
      <c r="K21" s="6">
        <f>TRUNC(Tabela1[APLICAÇÃO]  * SETUP!$B$3, 2)</f>
        <v>52.92</v>
      </c>
      <c r="L21" s="6">
        <f>TRUNC(Tabela1[APLICAÇÃO]  * SETUP!$C$3, 2)</f>
        <v>133.75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273.64</v>
      </c>
      <c r="P21" s="6">
        <f>TRUNC(Tabela1[APLICAÇÃO] * 2  * SETUP!$A$3, 2)</f>
        <v>142.41</v>
      </c>
      <c r="Q21" s="6">
        <f>TRUNC(Tabela1[APLICAÇÃO] * 2  * SETUP!$B$3, 2)</f>
        <v>105.85</v>
      </c>
      <c r="R21" s="6">
        <f>TRUNC(Tabela1[APLICAÇÃO] * 2  * SETUP!$C$3, 2)</f>
        <v>267.51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531.54</v>
      </c>
      <c r="V21" s="6">
        <f>(((Tabela1[APLICAÇÃO] * 2) - Tabela1[TAXA VD]) - (Tabela1[APLICAÇÃO] + Tabela1[TAXA CP])) * 0.85</f>
        <v>162903.92800000001</v>
      </c>
      <c r="W21" s="14">
        <f>Tabela1[APLICAÇÃO] - (ROUND(Tabela1[RENDA FIXA] * 0.1,2))</f>
        <v>160452.06000000003</v>
      </c>
      <c r="X21" s="4">
        <f>Tabela1[[#This Row],[PERDA MAX]]/Tabela1[[#This Row],[APLICAÇÃO]]</f>
        <v>0.83370403112676794</v>
      </c>
      <c r="Y21" s="15">
        <f>IF(Tabela1[LUCRO] &lt; (Tabela1[RENDA FIXA]/2), 0.5, 0.8)</f>
        <v>0.8</v>
      </c>
      <c r="Z21" s="6">
        <f>IF(Tabela1[LUCRO] &lt; 0, 0, ROUND(Tabela1[LUCRO]*Tabela1[NO BOLSO], 2))</f>
        <v>130323.14</v>
      </c>
      <c r="AA21" s="6">
        <f>Tabela1[LUCRO]-Tabela1[PROTEÇÃO MÊS]</f>
        <v>32580.789999999994</v>
      </c>
      <c r="AB21" s="6">
        <f>Tabela1[RENDA FIXA] + Tabela1[PROTEÇÃO MÊS] - Tabela1[APORTE RF]</f>
        <v>450371.11</v>
      </c>
      <c r="AC21" s="6">
        <f>Tabela1[TOT RF] + Tabela1[REINVESTIR] + Tabela1[APLICAÇÃO]</f>
        <v>675408.76</v>
      </c>
    </row>
    <row r="22" spans="1:29" x14ac:dyDescent="0.2">
      <c r="A22" s="1">
        <v>21</v>
      </c>
      <c r="B22" s="5">
        <v>41609</v>
      </c>
      <c r="C22" s="3">
        <v>450371.11</v>
      </c>
      <c r="D22" s="3"/>
      <c r="E22" s="3"/>
      <c r="F22" s="3">
        <v>191332.84</v>
      </c>
      <c r="G22" s="6">
        <f>1000</f>
        <v>1000</v>
      </c>
      <c r="H22" s="6">
        <f>SUMPRODUCT(N(Tabela1[TRADE] &lt;= Tabela1[[#This Row],[TRADE]]), Tabela1[APORTE]) + SUMPRODUCT(N(Tabela1[TRADE] &lt;= Tabela1[[#This Row],[TRADE]]), Tabela1[APORTE RF])</f>
        <v>15580</v>
      </c>
      <c r="I22" s="6">
        <f>Tabela1[MONTANTE] - SUMPRODUCT(N(Tabela1[TRADE] &lt;= Tabela1[[#This Row],[TRADE]]), Tabela1[SAQUE]) + SUMPRODUCT(N(Tabela1[TRADE] &lt; Tabela1[[#This Row],[TRADE]]), Tabela1[REINVESTIR])</f>
        <v>226037.65000000002</v>
      </c>
      <c r="J22" s="6">
        <f>TRUNC(Tabela1[APLICAÇÃO]  * SETUP!$A$3, 2)</f>
        <v>83.63</v>
      </c>
      <c r="K22" s="6">
        <f>TRUNC(Tabela1[APLICAÇÃO]  * SETUP!$B$3, 2)</f>
        <v>62.16</v>
      </c>
      <c r="L22" s="6">
        <f>TRUNC(Tabela1[APLICAÇÃO]  * SETUP!$C$3, 2)</f>
        <v>157.09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318.64999999999998</v>
      </c>
      <c r="P22" s="6">
        <f>TRUNC(Tabela1[APLICAÇÃO] * 2  * SETUP!$A$3, 2)</f>
        <v>167.26</v>
      </c>
      <c r="Q22" s="6">
        <f>TRUNC(Tabela1[APLICAÇÃO] * 2  * SETUP!$B$3, 2)</f>
        <v>124.32</v>
      </c>
      <c r="R22" s="6">
        <f>TRUNC(Tabela1[APLICAÇÃO] * 2  * SETUP!$C$3, 2)</f>
        <v>314.19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621.54</v>
      </c>
      <c r="V22" s="6">
        <f>(((Tabela1[APLICAÇÃO] * 2) - Tabela1[TAXA VD]) - (Tabela1[APLICAÇÃO] + Tabela1[TAXA CP])) * 0.85</f>
        <v>191332.84100000004</v>
      </c>
      <c r="W22" s="14">
        <f>Tabela1[APLICAÇÃO] - (ROUND(Tabela1[RENDA FIXA] * 0.1,2))</f>
        <v>181000.54000000004</v>
      </c>
      <c r="X22" s="4">
        <f>Tabela1[[#This Row],[PERDA MAX]]/Tabela1[[#This Row],[APLICAÇÃO]]</f>
        <v>0.80075394519452847</v>
      </c>
      <c r="Y22" s="15">
        <f>IF(Tabela1[LUCRO] &lt; (Tabela1[RENDA FIXA]/2), 0.5, 0.8)</f>
        <v>0.5</v>
      </c>
      <c r="Z22" s="6">
        <f>IF(Tabela1[LUCRO] &lt; 0, 0, ROUND(Tabela1[LUCRO]*Tabela1[NO BOLSO], 2))</f>
        <v>95666.42</v>
      </c>
      <c r="AA22" s="6">
        <f>Tabela1[LUCRO]-Tabela1[PROTEÇÃO MÊS]</f>
        <v>95666.42</v>
      </c>
      <c r="AB22" s="6">
        <f>Tabela1[RENDA FIXA] + Tabela1[PROTEÇÃO MÊS] - Tabela1[APORTE RF]</f>
        <v>546037.53</v>
      </c>
      <c r="AC22" s="6">
        <f>Tabela1[TOT RF] + Tabela1[REINVESTIR] + Tabela1[APLICAÇÃO]</f>
        <v>867741.60000000009</v>
      </c>
    </row>
    <row r="23" spans="1:29" x14ac:dyDescent="0.2">
      <c r="A23" s="1">
        <v>22</v>
      </c>
      <c r="B23" s="5">
        <v>41640</v>
      </c>
      <c r="C23" s="3">
        <v>546037.53</v>
      </c>
      <c r="D23" s="3"/>
      <c r="E23" s="3"/>
      <c r="F23" s="3">
        <v>273169</v>
      </c>
      <c r="G23" s="6">
        <f>1000</f>
        <v>1000</v>
      </c>
      <c r="H23" s="6">
        <f>SUMPRODUCT(N(Tabela1[TRADE] &lt;= Tabela1[[#This Row],[TRADE]]), Tabela1[APORTE]) + SUMPRODUCT(N(Tabela1[TRADE] &lt;= Tabela1[[#This Row],[TRADE]]), Tabela1[APORTE RF])</f>
        <v>16580</v>
      </c>
      <c r="I23" s="6">
        <f>Tabela1[MONTANTE] - SUMPRODUCT(N(Tabela1[TRADE] &lt;= Tabela1[[#This Row],[TRADE]]), Tabela1[SAQUE]) + SUMPRODUCT(N(Tabela1[TRADE] &lt; Tabela1[[#This Row],[TRADE]]), Tabela1[REINVESTIR])</f>
        <v>322704.07</v>
      </c>
      <c r="J23" s="6">
        <f>TRUNC(Tabela1[APLICAÇÃO]  * SETUP!$A$3, 2)</f>
        <v>119.4</v>
      </c>
      <c r="K23" s="6">
        <f>TRUNC(Tabela1[APLICAÇÃO]  * SETUP!$B$3, 2)</f>
        <v>88.74</v>
      </c>
      <c r="L23" s="6">
        <f>TRUNC(Tabela1[APLICAÇÃO]  * SETUP!$C$3, 2)</f>
        <v>224.27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448.17999999999995</v>
      </c>
      <c r="P23" s="6">
        <f>TRUNC(Tabela1[APLICAÇÃO] * 2  * SETUP!$A$3, 2)</f>
        <v>238.8</v>
      </c>
      <c r="Q23" s="6">
        <f>TRUNC(Tabela1[APLICAÇÃO] * 2  * SETUP!$B$3, 2)</f>
        <v>177.48</v>
      </c>
      <c r="R23" s="6">
        <f>TRUNC(Tabela1[APLICAÇÃO] * 2  * SETUP!$C$3, 2)</f>
        <v>448.55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880.59999999999991</v>
      </c>
      <c r="V23" s="6">
        <f>(((Tabela1[APLICAÇÃO] * 2) - Tabela1[TAXA VD]) - (Tabela1[APLICAÇÃO] + Tabela1[TAXA CP])) * 0.85</f>
        <v>273168.99650000001</v>
      </c>
      <c r="W23" s="14">
        <f>Tabela1[APLICAÇÃO] - (ROUND(Tabela1[RENDA FIXA] * 0.1,2))</f>
        <v>268100.32</v>
      </c>
      <c r="X23" s="4">
        <f>Tabela1[[#This Row],[PERDA MAX]]/Tabela1[[#This Row],[APLICAÇÃO]]</f>
        <v>0.83079311643017084</v>
      </c>
      <c r="Y23" s="15">
        <f>IF(Tabela1[LUCRO] &lt; (Tabela1[RENDA FIXA]/2), 0.5, 0.8)</f>
        <v>0.8</v>
      </c>
      <c r="Z23" s="6">
        <f>IF(Tabela1[LUCRO] &lt; 0, 0, ROUND(Tabela1[LUCRO]*Tabela1[NO BOLSO], 2))</f>
        <v>218535.2</v>
      </c>
      <c r="AA23" s="6">
        <f>Tabela1[LUCRO]-Tabela1[PROTEÇÃO MÊS]</f>
        <v>54633.799999999988</v>
      </c>
      <c r="AB23" s="6">
        <f>Tabela1[RENDA FIXA] + Tabela1[PROTEÇÃO MÊS] - Tabela1[APORTE RF]</f>
        <v>764572.73</v>
      </c>
      <c r="AC23" s="6">
        <f>Tabela1[TOT RF] + Tabela1[REINVESTIR] + Tabela1[APLICAÇÃO]</f>
        <v>1141910.6000000001</v>
      </c>
    </row>
    <row r="24" spans="1:29" x14ac:dyDescent="0.2">
      <c r="A24" s="1">
        <v>23</v>
      </c>
      <c r="B24" s="5">
        <v>41671</v>
      </c>
      <c r="C24" s="3">
        <v>764572.73</v>
      </c>
      <c r="D24" s="3"/>
      <c r="E24" s="3"/>
      <c r="F24" s="3">
        <v>320267.62</v>
      </c>
      <c r="G24" s="6">
        <f>1000</f>
        <v>1000</v>
      </c>
      <c r="H24" s="6">
        <f>SUMPRODUCT(N(Tabela1[TRADE] &lt;= Tabela1[[#This Row],[TRADE]]), Tabela1[APORTE]) + SUMPRODUCT(N(Tabela1[TRADE] &lt;= Tabela1[[#This Row],[TRADE]]), Tabela1[APORTE RF])</f>
        <v>17580</v>
      </c>
      <c r="I24" s="6">
        <f>Tabela1[MONTANTE] - SUMPRODUCT(N(Tabela1[TRADE] &lt;= Tabela1[[#This Row],[TRADE]]), Tabela1[SAQUE]) + SUMPRODUCT(N(Tabela1[TRADE] &lt; Tabela1[[#This Row],[TRADE]]), Tabela1[REINVESTIR])</f>
        <v>378337.87</v>
      </c>
      <c r="J24" s="6">
        <f>TRUNC(Tabela1[APLICAÇÃO]  * SETUP!$A$3, 2)</f>
        <v>139.97999999999999</v>
      </c>
      <c r="K24" s="6">
        <f>TRUNC(Tabela1[APLICAÇÃO]  * SETUP!$B$3, 2)</f>
        <v>104.04</v>
      </c>
      <c r="L24" s="6">
        <f>TRUNC(Tabela1[APLICAÇÃO]  * SETUP!$C$3, 2)</f>
        <v>262.94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522.73</v>
      </c>
      <c r="P24" s="6">
        <f>TRUNC(Tabela1[APLICAÇÃO] * 2  * SETUP!$A$3, 2)</f>
        <v>279.97000000000003</v>
      </c>
      <c r="Q24" s="6">
        <f>TRUNC(Tabela1[APLICAÇÃO] * 2  * SETUP!$B$3, 2)</f>
        <v>208.08</v>
      </c>
      <c r="R24" s="6">
        <f>TRUNC(Tabela1[APLICAÇÃO] * 2  * SETUP!$C$3, 2)</f>
        <v>525.88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1029.7</v>
      </c>
      <c r="V24" s="6">
        <f>(((Tabela1[APLICAÇÃO] * 2) - Tabela1[TAXA VD]) - (Tabela1[APLICAÇÃO] + Tabela1[TAXA CP])) * 0.85</f>
        <v>320267.62400000007</v>
      </c>
      <c r="W24" s="14">
        <f>Tabela1[APLICAÇÃO] - (ROUND(Tabela1[RENDA FIXA] * 0.1,2))</f>
        <v>301880.59999999998</v>
      </c>
      <c r="X24" s="4">
        <f>Tabela1[[#This Row],[PERDA MAX]]/Tabela1[[#This Row],[APLICAÇÃO]]</f>
        <v>0.79791272282629278</v>
      </c>
      <c r="Y24" s="15">
        <f>IF(Tabela1[LUCRO] &lt; (Tabela1[RENDA FIXA]/2), 0.5, 0.8)</f>
        <v>0.5</v>
      </c>
      <c r="Z24" s="6">
        <f>IF(Tabela1[LUCRO] &lt; 0, 0, ROUND(Tabela1[LUCRO]*Tabela1[NO BOLSO], 2))</f>
        <v>160133.81</v>
      </c>
      <c r="AA24" s="6">
        <f>Tabela1[LUCRO]-Tabela1[PROTEÇÃO MÊS]</f>
        <v>160133.81</v>
      </c>
      <c r="AB24" s="6">
        <f>Tabela1[RENDA FIXA] + Tabela1[PROTEÇÃO MÊS] - Tabela1[APORTE RF]</f>
        <v>924706.54</v>
      </c>
      <c r="AC24" s="6">
        <f>Tabela1[TOT RF] + Tabela1[REINVESTIR] + Tabela1[APLICAÇÃO]</f>
        <v>1463178.2200000002</v>
      </c>
    </row>
    <row r="25" spans="1:29" x14ac:dyDescent="0.2">
      <c r="A25" s="1">
        <v>24</v>
      </c>
      <c r="B25" s="5">
        <v>41699</v>
      </c>
      <c r="C25" s="3">
        <v>924706.54</v>
      </c>
      <c r="D25" s="3"/>
      <c r="E25" s="3"/>
      <c r="F25" s="3">
        <v>456680.78</v>
      </c>
      <c r="G25" s="6">
        <f>1000</f>
        <v>1000</v>
      </c>
      <c r="H25" s="6">
        <f>SUMPRODUCT(N(Tabela1[TRADE] &lt;= Tabela1[[#This Row],[TRADE]]), Tabela1[APORTE]) + SUMPRODUCT(N(Tabela1[TRADE] &lt;= Tabela1[[#This Row],[TRADE]]), Tabela1[APORTE RF])</f>
        <v>18580</v>
      </c>
      <c r="I25" s="6">
        <f>Tabela1[MONTANTE] - SUMPRODUCT(N(Tabela1[TRADE] &lt;= Tabela1[[#This Row],[TRADE]]), Tabela1[SAQUE]) + SUMPRODUCT(N(Tabela1[TRADE] &lt; Tabela1[[#This Row],[TRADE]]), Tabela1[REINVESTIR])</f>
        <v>539471.67999999993</v>
      </c>
      <c r="J25" s="6">
        <f>TRUNC(Tabela1[APLICAÇÃO]  * SETUP!$A$3, 2)</f>
        <v>199.6</v>
      </c>
      <c r="K25" s="6">
        <f>TRUNC(Tabela1[APLICAÇÃO]  * SETUP!$B$3, 2)</f>
        <v>148.35</v>
      </c>
      <c r="L25" s="6">
        <f>TRUNC(Tabela1[APLICAÇÃO]  * SETUP!$C$3, 2)</f>
        <v>374.93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738.65</v>
      </c>
      <c r="P25" s="6">
        <f>TRUNC(Tabela1[APLICAÇÃO] * 2  * SETUP!$A$3, 2)</f>
        <v>399.2</v>
      </c>
      <c r="Q25" s="6">
        <f>TRUNC(Tabela1[APLICAÇÃO] * 2  * SETUP!$B$3, 2)</f>
        <v>296.7</v>
      </c>
      <c r="R25" s="6">
        <f>TRUNC(Tabela1[APLICAÇÃO] * 2  * SETUP!$C$3, 2)</f>
        <v>749.86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1461.53</v>
      </c>
      <c r="V25" s="6">
        <f>(((Tabela1[APLICAÇÃO] * 2) - Tabela1[TAXA VD]) - (Tabela1[APLICAÇÃO] + Tabela1[TAXA CP])) * 0.85</f>
        <v>456680.77499999991</v>
      </c>
      <c r="W25" s="14">
        <f>Tabela1[APLICAÇÃO] - (ROUND(Tabela1[RENDA FIXA] * 0.1,2))</f>
        <v>447001.02999999991</v>
      </c>
      <c r="X25" s="4">
        <f>Tabela1[[#This Row],[PERDA MAX]]/Tabela1[[#This Row],[APLICAÇÃO]]</f>
        <v>0.82859035343616183</v>
      </c>
      <c r="Y25" s="15">
        <f>IF(Tabela1[LUCRO] &lt; (Tabela1[RENDA FIXA]/2), 0.5, 0.8)</f>
        <v>0.5</v>
      </c>
      <c r="Z25" s="6">
        <f>IF(Tabela1[LUCRO] &lt; 0, 0, ROUND(Tabela1[LUCRO]*Tabela1[NO BOLSO], 2))</f>
        <v>228340.39</v>
      </c>
      <c r="AA25" s="6">
        <f>Tabela1[LUCRO]-Tabela1[PROTEÇÃO MÊS]</f>
        <v>228340.39</v>
      </c>
      <c r="AB25" s="6">
        <f>Tabela1[RENDA FIXA] + Tabela1[PROTEÇÃO MÊS] - Tabela1[APORTE RF]</f>
        <v>1153046.9300000002</v>
      </c>
      <c r="AC25" s="6">
        <f>Tabela1[TOT RF] + Tabela1[REINVESTIR] + Tabela1[APLICAÇÃO]</f>
        <v>1920859.0000000002</v>
      </c>
    </row>
    <row r="26" spans="1:29" x14ac:dyDescent="0.2">
      <c r="A26" s="1" t="s">
        <v>37</v>
      </c>
      <c r="C26" s="17"/>
      <c r="D26" s="17"/>
      <c r="E26" s="17"/>
      <c r="F26" s="17"/>
      <c r="G26" s="16">
        <f>SUBTOTAL(109,Tabela1[APORTE])</f>
        <v>18580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7"/>
      <c r="Z26" s="17"/>
      <c r="AA26" s="16">
        <f>SUBTOTAL(109,Tabela1[REINVESTIR])</f>
        <v>749232.07000000007</v>
      </c>
      <c r="AB26" s="17"/>
      <c r="AC26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C4"/>
  <sheetViews>
    <sheetView workbookViewId="0">
      <selection activeCell="I3" sqref="I3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41030</v>
      </c>
      <c r="C2" s="3">
        <v>0</v>
      </c>
      <c r="D2" s="3">
        <v>0</v>
      </c>
      <c r="E2" s="3">
        <v>0</v>
      </c>
      <c r="F2" s="3">
        <v>0</v>
      </c>
      <c r="G2" s="3">
        <f>100</f>
        <v>100</v>
      </c>
      <c r="H2" s="3">
        <f>SUMPRODUCT(N(Tabela13[TRADE] &lt;= Tabela13[[#This Row],[TRADE]]), Tabela13[APORTE]) + SUMPRODUCT(N(Tabela13[TRADE] &lt;= Tabela13[[#This Row],[TRADE]]), Tabela13[APORTE RF])</f>
        <v>100</v>
      </c>
      <c r="I2" s="3">
        <f>Tabela13[MONTANTE] - SUMPRODUCT(N(Tabela13[TRADE] &lt;= Tabela13[[#This Row],[TRADE]]), Tabela13[SAQUE]) + SUMPRODUCT(N(Tabela13[TRADE] &lt; Tabela13[[#This Row],[TRADE]]), Tabela13[REINVESTIR])</f>
        <v>100</v>
      </c>
      <c r="J2" s="3">
        <f>TRUNC(Tabela13[APLICAÇÃO]  * SETUP!$A$3, 2)</f>
        <v>0.03</v>
      </c>
      <c r="K2" s="3">
        <f>TRUNC(Tabela13[APLICAÇÃO]  * SETUP!$B$3, 2)</f>
        <v>0.02</v>
      </c>
      <c r="L2" s="3">
        <f>TRUNC(Tabela13[APLICAÇÃO]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TRUNC(Tabela13[APLICAÇÃO] * 2  * SETUP!$A$3, 2)</f>
        <v>7.0000000000000007E-2</v>
      </c>
      <c r="Q2" s="3">
        <f>TRUNC(Tabela13[APLICAÇÃO] * 2  * SETUP!$B$3, 2)</f>
        <v>0.05</v>
      </c>
      <c r="R2" s="3">
        <f>TRUNC(Tabela13[APLICAÇÃO]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(((Tabela13[APLICAÇÃO] * 2) - Tabela13[TAXA VD]) - (Tabela13[APLICAÇÃO] + Tabela13[TAXA CP])) * 0.85</f>
        <v>57.884999999999991</v>
      </c>
      <c r="W2" s="11">
        <f>Tabela13[APLICAÇÃO] - (ROUND(Tabela13[RENDA FIXA] * 0.1,2))</f>
        <v>100</v>
      </c>
      <c r="X2" s="4">
        <f>Tabela13[[#This Row],[PERDA MAX]]/Tabela13[[#This Row],[APLICAÇÃO]]</f>
        <v>1</v>
      </c>
      <c r="Y2" s="4">
        <f>IF(Tabela13[LUCRO] &lt; (Tabela13[RENDA FIXA]/2), 0.5, 0.8)</f>
        <v>0.8</v>
      </c>
      <c r="Z2" s="3">
        <f>IF(Tabela13[LUCRO] &lt; 0, 0, ROUND(Tabela13[LUCRO]*Tabela13[NO BOLSO], 2))</f>
        <v>0</v>
      </c>
      <c r="AA2" s="3">
        <f>Tabela13[LUCRO]-Tabela13[PROTEÇÃO MÊS]</f>
        <v>0</v>
      </c>
      <c r="AB2" s="3">
        <f>Tabela13[RENDA FIXA] + Tabela13[PROTEÇÃO MÊS] - Tabela13[APORTE RF]</f>
        <v>0</v>
      </c>
      <c r="AC2" s="6">
        <f>Tabela13[TOT RF] + Tabela13[REINVESTIR] + Tabela13[APLICAÇÃO]</f>
        <v>100</v>
      </c>
    </row>
    <row r="3" spans="1:29" x14ac:dyDescent="0.2">
      <c r="A3" s="1">
        <v>2</v>
      </c>
      <c r="B3" s="5">
        <v>41061</v>
      </c>
      <c r="C3" s="3">
        <v>0</v>
      </c>
      <c r="D3" s="3">
        <v>0</v>
      </c>
      <c r="E3" s="3">
        <v>0</v>
      </c>
      <c r="G3" s="3">
        <f>100</f>
        <v>100</v>
      </c>
      <c r="H3" s="3">
        <f>SUMPRODUCT(N(Tabela13[TRADE] &lt;= Tabela13[[#This Row],[TRADE]]), Tabela13[APORTE]) + SUMPRODUCT(N(Tabela13[TRADE] &lt;= Tabela13[[#This Row],[TRADE]]), Tabela13[APORTE RF])</f>
        <v>200</v>
      </c>
      <c r="I3" s="3">
        <f>Tabela13[MONTANTE] - SUMPRODUCT(N(Tabela13[TRADE] &lt;= Tabela13[[#This Row],[TRADE]]), Tabela13[SAQUE]) + SUMPRODUCT(N(Tabela13[TRADE] &lt; Tabela13[[#This Row],[TRADE]]), Tabela13[REINVESTIR])</f>
        <v>200</v>
      </c>
      <c r="J3" s="3">
        <f>TRUNC(Tabela13[APLICAÇÃO]  * SETUP!$A$3, 2)</f>
        <v>7.0000000000000007E-2</v>
      </c>
      <c r="K3" s="3">
        <f>TRUNC(Tabela13[APLICAÇÃO]  * SETUP!$B$3, 2)</f>
        <v>0.05</v>
      </c>
      <c r="L3" s="3">
        <f>TRUNC(Tabela13[APLICAÇÃO]  * SETUP!$C$3, 2)</f>
        <v>0.13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16.02</v>
      </c>
      <c r="P3" s="3">
        <f>TRUNC(Tabela13[APLICAÇÃO] * 2  * SETUP!$A$3, 2)</f>
        <v>0.14000000000000001</v>
      </c>
      <c r="Q3" s="3">
        <f>TRUNC(Tabela13[APLICAÇÃO] * 2  * SETUP!$B$3, 2)</f>
        <v>0.11</v>
      </c>
      <c r="R3" s="3">
        <f>TRUNC(Tabela13[APLICAÇÃO] * 2  * SETUP!$C$3, 2)</f>
        <v>0.27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16.29</v>
      </c>
      <c r="V3" s="3">
        <f>(((Tabela13[APLICAÇÃO] * 2) - Tabela13[TAXA VD]) - (Tabela13[APLICAÇÃO] + Tabela13[TAXA CP])) * 0.85</f>
        <v>142.53649999999996</v>
      </c>
      <c r="W3" s="11">
        <f>Tabela13[APLICAÇÃO] - (ROUND(Tabela13[RENDA FIXA] * 0.1,2))</f>
        <v>200</v>
      </c>
      <c r="X3" s="4">
        <f>Tabela13[[#This Row],[PERDA MAX]]/Tabela13[[#This Row],[APLICAÇÃO]]</f>
        <v>1</v>
      </c>
      <c r="Y3" s="4">
        <f>IF(Tabela13[LUCRO] &lt; (Tabela13[RENDA FIXA]/2), 0.5, 0.8)</f>
        <v>0.8</v>
      </c>
      <c r="Z3" s="3">
        <f>IF(Tabela13[LUCRO] &lt; 0, 0, ROUND(Tabela13[LUCRO]*Tabela13[NO BOLSO], 2))</f>
        <v>0</v>
      </c>
      <c r="AA3" s="3">
        <f>Tabela13[LUCRO]-Tabela13[PROTEÇÃO MÊS]</f>
        <v>0</v>
      </c>
      <c r="AB3" s="3">
        <f>Tabela13[RENDA FIXA] + Tabela13[PROTEÇÃO MÊS] - Tabela13[APORTE RF]</f>
        <v>0</v>
      </c>
      <c r="AC3" s="6">
        <f>Tabela13[TOT RF] + Tabela13[REINVESTIR] + Tabela13[APLICAÇÃO]</f>
        <v>200</v>
      </c>
    </row>
    <row r="4" spans="1:29" x14ac:dyDescent="0.2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G4" sqref="G4"/>
    </sheetView>
  </sheetViews>
  <sheetFormatPr defaultRowHeight="11.25" x14ac:dyDescent="0.2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 x14ac:dyDescent="0.2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 x14ac:dyDescent="0.2">
      <c r="A2" s="1">
        <v>1</v>
      </c>
      <c r="B2" s="5">
        <v>41030</v>
      </c>
      <c r="C2" s="3">
        <v>0</v>
      </c>
      <c r="D2" s="3">
        <v>0</v>
      </c>
      <c r="E2" s="3">
        <v>0</v>
      </c>
      <c r="F2" s="3">
        <v>64.099999999999994</v>
      </c>
      <c r="G2" s="3">
        <f>100</f>
        <v>100</v>
      </c>
      <c r="H2" s="3">
        <f>SUMPRODUCT(N(Tabela134[TRADE] &lt;= Tabela134[[#This Row],[TRADE]]), Tabela134[APORTE]) + SUMPRODUCT(N(Tabela134[TRADE] &lt;= Tabela134[[#This Row],[TRADE]]), Tabela134[APORTE RF])</f>
        <v>100</v>
      </c>
      <c r="I2" s="3">
        <f>Tabela134[MONTANTE] - SUMPRODUCT(N(Tabela134[TRADE] &lt;= Tabela134[[#This Row],[TRADE]]), Tabela134[SAQUE]) + SUMPRODUCT(N(Tabela134[TRADE] &lt; Tabela134[[#This Row],[TRADE]]), Tabela134[REINVESTIR])</f>
        <v>100</v>
      </c>
      <c r="J2" s="3">
        <f>TRUNC(Tabela134[APLICAÇÃO]  * SETUP!$A$3, 2)</f>
        <v>0.03</v>
      </c>
      <c r="K2" s="3">
        <f>TRUNC(Tabela134[APLICAÇÃO]  * SETUP!$B$3, 2)</f>
        <v>0.02</v>
      </c>
      <c r="L2" s="3">
        <f>TRUNC(Tabela134[APLICAÇÃO]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TRUNC(Tabela134[APLICAÇÃO] * 2  * SETUP!$A$3, 2)</f>
        <v>7.0000000000000007E-2</v>
      </c>
      <c r="Q2" s="3">
        <f>TRUNC(Tabela134[APLICAÇÃO] * 2  * SETUP!$B$3, 2)</f>
        <v>0.05</v>
      </c>
      <c r="R2" s="3">
        <f>TRUNC(Tabela134[APLICAÇÃO]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(((Tabela134[APLICAÇÃO] * 2) - Tabela134[TAXA VD]) - (Tabela134[APLICAÇÃO] + Tabela134[TAXA CP])) * 0.85</f>
        <v>57.884999999999991</v>
      </c>
      <c r="W2" s="11">
        <f>Tabela134[APLICAÇÃO] - (ROUND(Tabela134[RENDA FIXA] * 0.1,2))</f>
        <v>100</v>
      </c>
      <c r="X2" s="4">
        <f>Tabela134[[#This Row],[PERDA MAX]]/Tabela134[[#This Row],[APLICAÇÃO]]</f>
        <v>1</v>
      </c>
      <c r="Y2" s="4">
        <f>IF(Tabela134[LUCRO] &lt; (Tabela134[RENDA FIXA]/2), 0.5, 0.8)</f>
        <v>0.8</v>
      </c>
      <c r="Z2" s="3">
        <f>IF(Tabela134[LUCRO] &lt; 0, 0, ROUND(Tabela134[LUCRO]*Tabela134[NO BOLSO], 2))</f>
        <v>51.28</v>
      </c>
      <c r="AA2" s="3">
        <f>Tabela134[LUCRO]-Tabela134[PROTEÇÃO MÊS]</f>
        <v>12.819999999999993</v>
      </c>
      <c r="AB2" s="3">
        <f>Tabela134[RENDA FIXA] + Tabela134[PROTEÇÃO MÊS] - Tabela134[APORTE RF]</f>
        <v>51.28</v>
      </c>
      <c r="AC2" s="6">
        <f>Tabela134[TOT RF] + Tabela134[REINVESTIR] + Tabela134[APLICAÇÃO]</f>
        <v>164.1</v>
      </c>
    </row>
    <row r="3" spans="1:29" x14ac:dyDescent="0.2">
      <c r="A3" s="1">
        <v>2</v>
      </c>
      <c r="B3" s="5">
        <v>41030</v>
      </c>
      <c r="C3" s="3">
        <v>51.28</v>
      </c>
      <c r="D3" s="3">
        <v>0</v>
      </c>
      <c r="E3" s="3">
        <v>0</v>
      </c>
      <c r="F3" s="3">
        <v>-123.89</v>
      </c>
      <c r="G3" s="3">
        <f>0</f>
        <v>0</v>
      </c>
      <c r="H3" s="3">
        <f>SUMPRODUCT(N(Tabela134[TRADE] &lt;= Tabela134[[#This Row],[TRADE]]), Tabela134[APORTE]) + SUMPRODUCT(N(Tabela134[TRADE] &lt;= Tabela134[[#This Row],[TRADE]]), Tabela134[APORTE RF])</f>
        <v>100</v>
      </c>
      <c r="I3" s="3">
        <f>Tabela134[MONTANTE] - SUMPRODUCT(N(Tabela134[TRADE] &lt;= Tabela134[[#This Row],[TRADE]]), Tabela134[SAQUE]) + SUMPRODUCT(N(Tabela134[TRADE] &lt; Tabela134[[#This Row],[TRADE]]), Tabela134[REINVESTIR])</f>
        <v>112.82</v>
      </c>
      <c r="J3" s="3">
        <f>TRUNC(Tabela134[APLICAÇÃO]  * SETUP!$A$3, 2)</f>
        <v>0.04</v>
      </c>
      <c r="K3" s="3">
        <f>TRUNC(Tabela134[APLICAÇÃO]  * SETUP!$B$3, 2)</f>
        <v>0.03</v>
      </c>
      <c r="L3" s="3">
        <f>TRUNC(Tabela134[APLICAÇÃO]  * SETUP!$C$3, 2)</f>
        <v>7.0000000000000007E-2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SUM(Tabela134[[#This Row],[EMOL CP]]:Tabela134[[#This Row],[OUTRAS CP]])</f>
        <v>15.91</v>
      </c>
      <c r="P3" s="3">
        <f>TRUNC(Tabela134[APLICAÇÃO] * 2  * SETUP!$A$3, 2)</f>
        <v>0.08</v>
      </c>
      <c r="Q3" s="3">
        <f>TRUNC(Tabela134[APLICAÇÃO] * 2  * SETUP!$B$3, 2)</f>
        <v>0.06</v>
      </c>
      <c r="R3" s="3">
        <f>TRUNC(Tabela134[APLICAÇÃO] * 2  * SETUP!$C$3, 2)</f>
        <v>0.15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SUM(Tabela134[[#This Row],[EMOL VD]]:Tabela134[[#This Row],[OUTRAS VD]])</f>
        <v>16.060000000000002</v>
      </c>
      <c r="V3" s="3">
        <f>(((Tabela134[APLICAÇÃO] * 2) - Tabela134[TAXA VD]) - (Tabela134[APLICAÇÃO] + Tabela134[TAXA CP])) * 0.85</f>
        <v>68.722499999999997</v>
      </c>
      <c r="W3" s="11">
        <f>Tabela134[APLICAÇÃO] - (ROUND(Tabela134[RENDA FIXA] * 0.1,2))</f>
        <v>107.69</v>
      </c>
      <c r="X3" s="4">
        <f>Tabela134[[#This Row],[PERDA MAX]]/Tabela134[[#This Row],[APLICAÇÃO]]</f>
        <v>0.95452933876972168</v>
      </c>
      <c r="Y3" s="4">
        <f>IF(Tabela134[LUCRO] &lt; (Tabela134[RENDA FIXA]/2), 0.5, 0.8)</f>
        <v>0.5</v>
      </c>
      <c r="Z3" s="3">
        <f>IF(Tabela134[LUCRO] &lt; 0, 0, ROUND(Tabela134[LUCRO]*Tabela134[NO BOLSO], 2))</f>
        <v>0</v>
      </c>
      <c r="AA3" s="3">
        <f>Tabela134[LUCRO]-Tabela134[PROTEÇÃO MÊS]</f>
        <v>-123.89</v>
      </c>
      <c r="AB3" s="3">
        <f>Tabela134[RENDA FIXA] + Tabela134[PROTEÇÃO MÊS] - Tabela134[APORTE RF]</f>
        <v>51.28</v>
      </c>
      <c r="AC3" s="6">
        <f>Tabela134[TOT RF] + Tabela134[REINVESTIR] + Tabela134[APLICAÇÃO]</f>
        <v>40.209999999999994</v>
      </c>
    </row>
    <row r="4" spans="1:29" x14ac:dyDescent="0.2">
      <c r="A4" s="1">
        <v>3</v>
      </c>
      <c r="B4" s="5">
        <v>41061</v>
      </c>
      <c r="C4" s="3">
        <v>51.28</v>
      </c>
      <c r="D4" s="3"/>
      <c r="E4" s="3"/>
      <c r="G4" s="6">
        <f>100</f>
        <v>100</v>
      </c>
      <c r="H4" s="6">
        <f>SUMPRODUCT(N(Tabela134[TRADE] &lt;= Tabela134[[#This Row],[TRADE]]), Tabela134[APORTE]) + SUMPRODUCT(N(Tabela134[TRADE] &lt;= Tabela134[[#This Row],[TRADE]]), Tabela134[APORTE RF])</f>
        <v>200</v>
      </c>
      <c r="I4" s="6">
        <f>Tabela134[MONTANTE] - SUMPRODUCT(N(Tabela134[TRADE] &lt;= Tabela134[[#This Row],[TRADE]]), Tabela134[SAQUE]) + SUMPRODUCT(N(Tabela134[TRADE] &lt; Tabela134[[#This Row],[TRADE]]), Tabela134[REINVESTIR])</f>
        <v>88.929999999999993</v>
      </c>
      <c r="J4" s="6">
        <f>TRUNC(Tabela134[APLICAÇÃO]  * SETUP!$A$3, 2)</f>
        <v>0.03</v>
      </c>
      <c r="K4" s="6">
        <f>TRUNC(Tabela134[APLICAÇÃO]  * SETUP!$B$3, 2)</f>
        <v>0.02</v>
      </c>
      <c r="L4" s="6">
        <f>TRUNC(Tabela134[APLICAÇÃO]  * SETUP!$C$3, 2)</f>
        <v>0.06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SUM(Tabela134[[#This Row],[EMOL CP]]:Tabela134[[#This Row],[OUTRAS CP]])</f>
        <v>15.88</v>
      </c>
      <c r="P4" s="6">
        <f>TRUNC(Tabela134[APLICAÇÃO] * 2  * SETUP!$A$3, 2)</f>
        <v>0.06</v>
      </c>
      <c r="Q4" s="6">
        <f>TRUNC(Tabela134[APLICAÇÃO] * 2  * SETUP!$B$3, 2)</f>
        <v>0.04</v>
      </c>
      <c r="R4" s="6">
        <f>TRUNC(Tabela134[APLICAÇÃO] * 2  * SETUP!$C$3, 2)</f>
        <v>0.12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SUM(Tabela134[[#This Row],[EMOL VD]]:Tabela134[[#This Row],[OUTRAS VD]])</f>
        <v>15.99</v>
      </c>
      <c r="V4" s="6">
        <f>(((Tabela134[APLICAÇÃO] * 2) - Tabela134[TAXA VD]) - (Tabela134[APLICAÇÃO] + Tabela134[TAXA CP])) * 0.85</f>
        <v>48.500999999999991</v>
      </c>
      <c r="W4" s="14">
        <f>Tabela134[APLICAÇÃO] - (ROUND(Tabela134[RENDA FIXA] * 0.1,2))</f>
        <v>83.8</v>
      </c>
      <c r="X4" s="4">
        <f>Tabela134[[#This Row],[PERDA MAX]]/Tabela134[[#This Row],[APLICAÇÃO]]</f>
        <v>0.94231417969189257</v>
      </c>
      <c r="Y4" s="15">
        <f>IF(Tabela134[LUCRO] &lt; (Tabela134[RENDA FIXA]/2), 0.5, 0.8)</f>
        <v>0.5</v>
      </c>
      <c r="Z4" s="6">
        <f>IF(Tabela134[LUCRO] &lt; 0, 0, ROUND(Tabela134[LUCRO]*Tabela134[NO BOLSO], 2))</f>
        <v>0</v>
      </c>
      <c r="AA4" s="6">
        <f>Tabela134[LUCRO]-Tabela134[PROTEÇÃO MÊS]</f>
        <v>0</v>
      </c>
      <c r="AB4" s="6">
        <f>Tabela134[RENDA FIXA] + Tabela134[PROTEÇÃO MÊS] - Tabela134[APORTE RF]</f>
        <v>51.28</v>
      </c>
      <c r="AC4" s="6">
        <f>Tabela134[TOT RF] + Tabela134[REINVESTIR] + Tabela134[APLICAÇÃO]</f>
        <v>140.20999999999998</v>
      </c>
    </row>
    <row r="5" spans="1:29" x14ac:dyDescent="0.2">
      <c r="A5" s="1" t="s">
        <v>37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7"/>
      <c r="Z5" s="17"/>
      <c r="AA5" s="17"/>
      <c r="AB5" s="17"/>
      <c r="AC5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3"/>
  <sheetViews>
    <sheetView workbookViewId="0">
      <selection activeCell="G5" sqref="G5"/>
    </sheetView>
  </sheetViews>
  <sheetFormatPr defaultRowHeight="11.25" x14ac:dyDescent="0.2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 x14ac:dyDescent="0.2">
      <c r="A1" s="19" t="s">
        <v>10</v>
      </c>
      <c r="B1" s="19"/>
      <c r="C1" s="19"/>
      <c r="D1" s="19" t="s">
        <v>11</v>
      </c>
      <c r="E1" s="19"/>
      <c r="F1" s="19"/>
      <c r="G1" s="20" t="s">
        <v>22</v>
      </c>
      <c r="H1" s="20" t="s">
        <v>18</v>
      </c>
      <c r="I1" s="20" t="s">
        <v>23</v>
      </c>
    </row>
    <row r="2" spans="1:9" x14ac:dyDescent="0.2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20"/>
      <c r="H2" s="20"/>
      <c r="I2" s="20"/>
    </row>
    <row r="3" spans="1:9" x14ac:dyDescent="0.2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VOLATILIDADE</vt:lpstr>
      <vt:lpstr>TRAVA</vt:lpstr>
      <vt:lpstr>TENDENCIA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2012-03-16T22:49:23Z</dcterms:created>
  <dcterms:modified xsi:type="dcterms:W3CDTF">2012-05-10T23:52:20Z</dcterms:modified>
</cp:coreProperties>
</file>