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300" windowWidth="16380" windowHeight="7890" tabRatio="371" activeTab="3"/>
  </bookViews>
  <sheets>
    <sheet name="NOTAS" sheetId="1" r:id="rId1"/>
    <sheet name="VOLAT-TENDENCIA" sheetId="3" r:id="rId2"/>
    <sheet name="TRAVA BAIXA" sheetId="4" r:id="rId3"/>
    <sheet name="BORBOLETA" sheetId="5" r:id="rId4"/>
    <sheet name="SETUP" sheetId="2" r:id="rId5"/>
  </sheets>
  <calcPr calcId="145621"/>
  <fileRecoveryPr repairLoad="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I45" i="1"/>
  <c r="J45" i="1" s="1"/>
  <c r="L45" i="1"/>
  <c r="Q45" i="1"/>
  <c r="R45" i="1" s="1"/>
  <c r="U45" i="1"/>
  <c r="Y45" i="1"/>
  <c r="Z45" i="1"/>
  <c r="I44" i="1"/>
  <c r="J44" i="1" s="1"/>
  <c r="L44" i="1"/>
  <c r="Q44" i="1"/>
  <c r="R44" i="1" s="1"/>
  <c r="U44" i="1"/>
  <c r="Y44" i="1"/>
  <c r="Z44" i="1"/>
  <c r="AE44" i="1"/>
  <c r="AF44" i="1"/>
  <c r="AH44" i="1" s="1"/>
  <c r="AG44" i="1"/>
  <c r="AI44" i="1" s="1"/>
  <c r="I43" i="1"/>
  <c r="J43" i="1"/>
  <c r="L43" i="1"/>
  <c r="Q43" i="1"/>
  <c r="R43" i="1" s="1"/>
  <c r="U43" i="1"/>
  <c r="Y43" i="1"/>
  <c r="Z43" i="1"/>
  <c r="AE43" i="1"/>
  <c r="AF43" i="1"/>
  <c r="AH43" i="1" s="1"/>
  <c r="AG43" i="1"/>
  <c r="AI43" i="1" s="1"/>
  <c r="I42" i="1"/>
  <c r="J42" i="1"/>
  <c r="L42" i="1"/>
  <c r="Q42" i="1"/>
  <c r="R42" i="1" s="1"/>
  <c r="U42" i="1"/>
  <c r="Y42" i="1"/>
  <c r="Z42" i="1"/>
  <c r="AB42" i="1"/>
  <c r="AE42" i="1"/>
  <c r="AF42" i="1"/>
  <c r="AH42" i="1" s="1"/>
  <c r="AG42" i="1"/>
  <c r="AI42" i="1" s="1"/>
  <c r="I41" i="1"/>
  <c r="J41" i="1" s="1"/>
  <c r="L41" i="1"/>
  <c r="Q41" i="1"/>
  <c r="R41" i="1" s="1"/>
  <c r="U41" i="1"/>
  <c r="Y41" i="1"/>
  <c r="Z41" i="1"/>
  <c r="AA41" i="1"/>
  <c r="AE41" i="1"/>
  <c r="AF41" i="1"/>
  <c r="AH41" i="1" s="1"/>
  <c r="AG41" i="1"/>
  <c r="AI41" i="1" s="1"/>
  <c r="I40" i="1"/>
  <c r="J40" i="1" s="1"/>
  <c r="L40" i="1"/>
  <c r="Q40" i="1"/>
  <c r="R40" i="1" s="1"/>
  <c r="U40" i="1"/>
  <c r="Y40" i="1"/>
  <c r="Z40" i="1"/>
  <c r="AB40" i="1"/>
  <c r="AE40" i="1"/>
  <c r="AF40" i="1"/>
  <c r="AH40" i="1" s="1"/>
  <c r="AG40" i="1"/>
  <c r="AI40" i="1" s="1"/>
  <c r="S44" i="1" l="1"/>
  <c r="S43" i="1"/>
  <c r="S45" i="1"/>
  <c r="AJ44" i="1"/>
  <c r="AK44" i="1" s="1"/>
  <c r="AL44" i="1" s="1"/>
  <c r="AJ43" i="1"/>
  <c r="AK43" i="1" s="1"/>
  <c r="AL43" i="1" s="1"/>
  <c r="S42" i="1"/>
  <c r="AJ42" i="1"/>
  <c r="AK42" i="1" s="1"/>
  <c r="AL42" i="1" s="1"/>
  <c r="AJ41" i="1"/>
  <c r="AK41" i="1" s="1"/>
  <c r="AL41" i="1" s="1"/>
  <c r="S41" i="1"/>
  <c r="AJ40" i="1"/>
  <c r="AK40" i="1" s="1"/>
  <c r="AL40" i="1" s="1"/>
  <c r="S40" i="1"/>
  <c r="J4" i="5"/>
  <c r="J5" i="5"/>
  <c r="J6" i="5"/>
  <c r="K4" i="5"/>
  <c r="K5" i="5"/>
  <c r="K6" i="5"/>
  <c r="M6" i="5" s="1"/>
  <c r="N6" i="5" s="1"/>
  <c r="O6" i="5" s="1"/>
  <c r="L4" i="5"/>
  <c r="L5" i="5"/>
  <c r="L6" i="5"/>
  <c r="R4" i="5"/>
  <c r="R5" i="5"/>
  <c r="R6" i="5"/>
  <c r="J3" i="5"/>
  <c r="K3" i="5"/>
  <c r="L3" i="5"/>
  <c r="R3" i="5"/>
  <c r="R2" i="5"/>
  <c r="L2" i="5"/>
  <c r="K2" i="5"/>
  <c r="J2" i="5"/>
  <c r="H2" i="4"/>
  <c r="H3" i="4"/>
  <c r="N2" i="4"/>
  <c r="N3" i="4"/>
  <c r="I2" i="4"/>
  <c r="I3" i="4"/>
  <c r="F6" i="3"/>
  <c r="G6" i="3" s="1"/>
  <c r="J6" i="3" s="1"/>
  <c r="H6" i="3"/>
  <c r="M5" i="5" l="1"/>
  <c r="N5" i="5" s="1"/>
  <c r="O5" i="5" s="1"/>
  <c r="M4" i="5"/>
  <c r="N4" i="5" s="1"/>
  <c r="O4" i="5" s="1"/>
  <c r="P4" i="5" s="1"/>
  <c r="P6" i="5"/>
  <c r="Q6" i="5"/>
  <c r="M3" i="5"/>
  <c r="N3" i="5" s="1"/>
  <c r="O3" i="5" s="1"/>
  <c r="Q3" i="5" s="1"/>
  <c r="M2" i="5"/>
  <c r="N2" i="5" s="1"/>
  <c r="O2" i="5" s="1"/>
  <c r="I6" i="3"/>
  <c r="F5" i="3"/>
  <c r="G5" i="3" s="1"/>
  <c r="J5" i="3" s="1"/>
  <c r="H5" i="3"/>
  <c r="I5" i="3" s="1"/>
  <c r="F4" i="3"/>
  <c r="G4" i="3" s="1"/>
  <c r="J4" i="3" s="1"/>
  <c r="H4" i="3"/>
  <c r="I4" i="3" s="1"/>
  <c r="F3" i="3"/>
  <c r="G3" i="3" s="1"/>
  <c r="H3" i="3"/>
  <c r="I3" i="3" s="1"/>
  <c r="AB33" i="1"/>
  <c r="AB32" i="1"/>
  <c r="AB30" i="1"/>
  <c r="AB28" i="1"/>
  <c r="AB25" i="1"/>
  <c r="AB22" i="1"/>
  <c r="AB21" i="1"/>
  <c r="AB20" i="1"/>
  <c r="AB17" i="1"/>
  <c r="AB16" i="1"/>
  <c r="AB12" i="1"/>
  <c r="AB11" i="1"/>
  <c r="AB9" i="1"/>
  <c r="AB7" i="1"/>
  <c r="AB4" i="1"/>
  <c r="AB3" i="1"/>
  <c r="AB2" i="1"/>
  <c r="F11" i="5" l="1"/>
  <c r="E11" i="5"/>
  <c r="F10" i="5"/>
  <c r="E9" i="5"/>
  <c r="F9" i="5"/>
  <c r="E10" i="5"/>
  <c r="P5" i="5"/>
  <c r="Q5" i="5"/>
  <c r="Q4" i="5"/>
  <c r="S4" i="5" s="1"/>
  <c r="S6" i="5"/>
  <c r="P3" i="5"/>
  <c r="S3" i="5" s="1"/>
  <c r="Q2" i="5"/>
  <c r="P2" i="5"/>
  <c r="J3" i="3"/>
  <c r="S5" i="5" l="1"/>
  <c r="S2" i="5"/>
  <c r="J3" i="4"/>
  <c r="K3" i="4" s="1"/>
  <c r="L3" i="4" s="1"/>
  <c r="M3" i="4" l="1"/>
  <c r="O3" i="4" s="1"/>
  <c r="I39" i="1" l="1"/>
  <c r="J39" i="1" s="1"/>
  <c r="L39" i="1"/>
  <c r="Y39" i="1" s="1"/>
  <c r="Q39" i="1"/>
  <c r="R39" i="1" s="1"/>
  <c r="U39" i="1"/>
  <c r="Z39" i="1"/>
  <c r="I38" i="1"/>
  <c r="J38" i="1" s="1"/>
  <c r="L38" i="1"/>
  <c r="Q38" i="1"/>
  <c r="R38" i="1" s="1"/>
  <c r="U38" i="1"/>
  <c r="Y38" i="1"/>
  <c r="Z38" i="1"/>
  <c r="I37" i="1"/>
  <c r="J37" i="1" s="1"/>
  <c r="L37" i="1"/>
  <c r="Y37" i="1" s="1"/>
  <c r="Q37" i="1"/>
  <c r="R37" i="1" s="1"/>
  <c r="U37" i="1"/>
  <c r="Z37" i="1"/>
  <c r="AE37" i="1"/>
  <c r="AF37" i="1"/>
  <c r="AH37" i="1" s="1"/>
  <c r="AG37" i="1"/>
  <c r="AI37" i="1" s="1"/>
  <c r="I34" i="1"/>
  <c r="J34" i="1" s="1"/>
  <c r="L34" i="1"/>
  <c r="Y34" i="1" s="1"/>
  <c r="Q34" i="1"/>
  <c r="R34" i="1" s="1"/>
  <c r="U34" i="1"/>
  <c r="Z34" i="1"/>
  <c r="AA34" i="1"/>
  <c r="I33" i="1"/>
  <c r="J33" i="1" s="1"/>
  <c r="L33" i="1"/>
  <c r="Q33" i="1"/>
  <c r="R33" i="1" s="1"/>
  <c r="U33" i="1"/>
  <c r="Y33" i="1"/>
  <c r="Z33" i="1"/>
  <c r="AE33" i="1"/>
  <c r="AF33" i="1"/>
  <c r="AH33" i="1" s="1"/>
  <c r="AG33" i="1"/>
  <c r="AI33" i="1" s="1"/>
  <c r="S39" i="1" l="1"/>
  <c r="S37" i="1"/>
  <c r="S38" i="1"/>
  <c r="AJ37" i="1"/>
  <c r="AK37" i="1" s="1"/>
  <c r="AL37" i="1" s="1"/>
  <c r="S34" i="1"/>
  <c r="S33" i="1"/>
  <c r="AJ33" i="1"/>
  <c r="AK33" i="1" s="1"/>
  <c r="AL33" i="1" s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H28" i="1" s="1"/>
  <c r="AF29" i="1"/>
  <c r="AH29" i="1" s="1"/>
  <c r="AF31" i="1"/>
  <c r="AH31" i="1" s="1"/>
  <c r="AF35" i="1"/>
  <c r="AH35" i="1" s="1"/>
  <c r="I32" i="1"/>
  <c r="J32" i="1" s="1"/>
  <c r="L32" i="1"/>
  <c r="Q32" i="1"/>
  <c r="R32" i="1" s="1"/>
  <c r="U32" i="1"/>
  <c r="Y32" i="1"/>
  <c r="Z32" i="1"/>
  <c r="I31" i="1"/>
  <c r="J31" i="1" s="1"/>
  <c r="L31" i="1"/>
  <c r="Y31" i="1" s="1"/>
  <c r="Q31" i="1"/>
  <c r="R31" i="1" s="1"/>
  <c r="U31" i="1"/>
  <c r="Z31" i="1"/>
  <c r="AE31" i="1"/>
  <c r="AG31" i="1"/>
  <c r="AI31" i="1" s="1"/>
  <c r="J2" i="4"/>
  <c r="K2" i="4" s="1"/>
  <c r="AA29" i="1"/>
  <c r="Y21" i="1"/>
  <c r="Y2" i="1"/>
  <c r="Y3" i="1"/>
  <c r="Y4" i="1"/>
  <c r="Y7" i="1"/>
  <c r="Y9" i="1"/>
  <c r="Y11" i="1"/>
  <c r="Y12" i="1"/>
  <c r="Y16" i="1"/>
  <c r="Y17" i="1"/>
  <c r="Y20" i="1"/>
  <c r="Y22" i="1"/>
  <c r="Y25" i="1"/>
  <c r="Y28" i="1"/>
  <c r="Y30" i="1"/>
  <c r="Y36" i="1"/>
  <c r="I35" i="1"/>
  <c r="J35" i="1" s="1"/>
  <c r="L35" i="1"/>
  <c r="Q35" i="1"/>
  <c r="R35" i="1" s="1"/>
  <c r="U35" i="1"/>
  <c r="Z35" i="1"/>
  <c r="AE35" i="1"/>
  <c r="AG35" i="1"/>
  <c r="AI35" i="1" s="1"/>
  <c r="I36" i="1"/>
  <c r="J36" i="1" s="1"/>
  <c r="L36" i="1"/>
  <c r="Q36" i="1"/>
  <c r="R36" i="1" s="1"/>
  <c r="U36" i="1"/>
  <c r="Z36" i="1"/>
  <c r="V27" i="1"/>
  <c r="I30" i="1"/>
  <c r="J30" i="1" s="1"/>
  <c r="L30" i="1"/>
  <c r="Q30" i="1"/>
  <c r="R30" i="1" s="1"/>
  <c r="U30" i="1"/>
  <c r="Z30" i="1"/>
  <c r="I29" i="1"/>
  <c r="J29" i="1" s="1"/>
  <c r="L29" i="1"/>
  <c r="Y29" i="1" s="1"/>
  <c r="Q29" i="1"/>
  <c r="R29" i="1" s="1"/>
  <c r="U29" i="1"/>
  <c r="Z29" i="1"/>
  <c r="AE29" i="1"/>
  <c r="AG29" i="1"/>
  <c r="I28" i="1"/>
  <c r="J28" i="1" s="1"/>
  <c r="L28" i="1"/>
  <c r="Q28" i="1"/>
  <c r="R28" i="1" s="1"/>
  <c r="U28" i="1"/>
  <c r="Z28" i="1"/>
  <c r="AE28" i="1"/>
  <c r="AG28" i="1"/>
  <c r="L2" i="4" l="1"/>
  <c r="Y35" i="1"/>
  <c r="M2" i="4"/>
  <c r="S32" i="1"/>
  <c r="S31" i="1"/>
  <c r="AJ31" i="1"/>
  <c r="AK31" i="1" s="1"/>
  <c r="AL31" i="1" s="1"/>
  <c r="S29" i="1"/>
  <c r="S30" i="1"/>
  <c r="AJ35" i="1"/>
  <c r="AK35" i="1" s="1"/>
  <c r="AL35" i="1" s="1"/>
  <c r="S28" i="1"/>
  <c r="AI28" i="1"/>
  <c r="AJ28" i="1" s="1"/>
  <c r="AK28" i="1" s="1"/>
  <c r="AL28" i="1" s="1"/>
  <c r="AI29" i="1"/>
  <c r="AJ29" i="1" s="1"/>
  <c r="AK29" i="1" s="1"/>
  <c r="AL29" i="1" s="1"/>
  <c r="S36" i="1"/>
  <c r="S35" i="1"/>
  <c r="F2" i="3"/>
  <c r="G2" i="3" s="1"/>
  <c r="H2" i="3"/>
  <c r="I2" i="3" s="1"/>
  <c r="J2" i="3" l="1"/>
  <c r="O2" i="4"/>
  <c r="I26" i="1"/>
  <c r="J26" i="1" s="1"/>
  <c r="L26" i="1"/>
  <c r="Y26" i="1" s="1"/>
  <c r="Q26" i="1"/>
  <c r="R26" i="1" s="1"/>
  <c r="U26" i="1"/>
  <c r="Z26" i="1"/>
  <c r="I27" i="1"/>
  <c r="J27" i="1" s="1"/>
  <c r="L27" i="1"/>
  <c r="Y27" i="1" s="1"/>
  <c r="Q27" i="1"/>
  <c r="R27" i="1" s="1"/>
  <c r="U27" i="1"/>
  <c r="Z27" i="1"/>
  <c r="AE27" i="1"/>
  <c r="AH27" i="1"/>
  <c r="AG27" i="1"/>
  <c r="AI27" i="1" s="1"/>
  <c r="I25" i="1"/>
  <c r="J25" i="1" s="1"/>
  <c r="L25" i="1"/>
  <c r="Q25" i="1"/>
  <c r="R25" i="1" s="1"/>
  <c r="U25" i="1"/>
  <c r="Z25" i="1"/>
  <c r="I24" i="1"/>
  <c r="J24" i="1" s="1"/>
  <c r="L24" i="1"/>
  <c r="Y24" i="1" s="1"/>
  <c r="Q24" i="1"/>
  <c r="S24" i="1" s="1"/>
  <c r="U24" i="1"/>
  <c r="Z24" i="1"/>
  <c r="AE24" i="1"/>
  <c r="AH24" i="1"/>
  <c r="AG24" i="1"/>
  <c r="AI24" i="1" s="1"/>
  <c r="I23" i="1"/>
  <c r="J23" i="1" s="1"/>
  <c r="L23" i="1"/>
  <c r="Y23" i="1" s="1"/>
  <c r="Q23" i="1"/>
  <c r="R23" i="1" s="1"/>
  <c r="U23" i="1"/>
  <c r="Z23" i="1"/>
  <c r="AE23" i="1"/>
  <c r="AH23" i="1"/>
  <c r="AG23" i="1"/>
  <c r="AI23" i="1" s="1"/>
  <c r="I22" i="1"/>
  <c r="J22" i="1" s="1"/>
  <c r="L22" i="1"/>
  <c r="Q22" i="1"/>
  <c r="R22" i="1" s="1"/>
  <c r="U22" i="1"/>
  <c r="Z22" i="1"/>
  <c r="AE22" i="1"/>
  <c r="AH22" i="1"/>
  <c r="AG22" i="1"/>
  <c r="AI22" i="1" s="1"/>
  <c r="I21" i="1"/>
  <c r="J21" i="1" s="1"/>
  <c r="L21" i="1"/>
  <c r="Q21" i="1"/>
  <c r="R21" i="1" s="1"/>
  <c r="U21" i="1"/>
  <c r="Z21" i="1"/>
  <c r="AE21" i="1"/>
  <c r="AH21" i="1"/>
  <c r="AG21" i="1"/>
  <c r="AI21" i="1" s="1"/>
  <c r="S26" i="1" l="1"/>
  <c r="AJ27" i="1"/>
  <c r="AK27" i="1" s="1"/>
  <c r="AL27" i="1" s="1"/>
  <c r="S27" i="1"/>
  <c r="R24" i="1"/>
  <c r="S25" i="1"/>
  <c r="AJ24" i="1"/>
  <c r="AK24" i="1" s="1"/>
  <c r="AL24" i="1" s="1"/>
  <c r="S23" i="1"/>
  <c r="AJ23" i="1"/>
  <c r="AK23" i="1" s="1"/>
  <c r="AL23" i="1" s="1"/>
  <c r="AJ22" i="1"/>
  <c r="AK22" i="1" s="1"/>
  <c r="AL22" i="1" s="1"/>
  <c r="S22" i="1"/>
  <c r="AJ21" i="1"/>
  <c r="AK21" i="1" s="1"/>
  <c r="AL21" i="1" s="1"/>
  <c r="S21" i="1"/>
  <c r="AH1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Z20" i="1"/>
  <c r="L19" i="1"/>
  <c r="Y19" i="1" s="1"/>
  <c r="Q19" i="1"/>
  <c r="R19" i="1" s="1"/>
  <c r="U19" i="1"/>
  <c r="Z19" i="1"/>
  <c r="AG19" i="1"/>
  <c r="AI19" i="1" s="1"/>
  <c r="L18" i="1"/>
  <c r="Y18" i="1" s="1"/>
  <c r="Q18" i="1"/>
  <c r="R18" i="1" s="1"/>
  <c r="U18" i="1"/>
  <c r="Z18" i="1"/>
  <c r="S20" i="1" l="1"/>
  <c r="S19" i="1"/>
  <c r="AJ19" i="1"/>
  <c r="AK19" i="1" s="1"/>
  <c r="AL19" i="1" s="1"/>
  <c r="S18" i="1"/>
  <c r="J17" i="1"/>
  <c r="L17" i="1"/>
  <c r="Q17" i="1"/>
  <c r="R17" i="1" s="1"/>
  <c r="U17" i="1"/>
  <c r="Z17" i="1"/>
  <c r="S17" i="1" l="1"/>
  <c r="J16" i="1"/>
  <c r="L16" i="1"/>
  <c r="Q16" i="1"/>
  <c r="R16" i="1" s="1"/>
  <c r="U16" i="1"/>
  <c r="Z16" i="1"/>
  <c r="S16" i="1" l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Z11" i="1"/>
  <c r="J12" i="1"/>
  <c r="L12" i="1"/>
  <c r="Q12" i="1"/>
  <c r="S12" i="1" s="1"/>
  <c r="Z12" i="1"/>
  <c r="J9" i="1"/>
  <c r="L9" i="1"/>
  <c r="Q9" i="1"/>
  <c r="R9" i="1" s="1"/>
  <c r="Z9" i="1"/>
  <c r="J10" i="1"/>
  <c r="L10" i="1"/>
  <c r="Y10" i="1" s="1"/>
  <c r="Q10" i="1"/>
  <c r="S10" i="1" s="1"/>
  <c r="Z10" i="1"/>
  <c r="J7" i="1"/>
  <c r="L7" i="1"/>
  <c r="Q7" i="1"/>
  <c r="S7" i="1" s="1"/>
  <c r="Z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46" i="1"/>
  <c r="S6" i="1" l="1"/>
  <c r="R7" i="1"/>
  <c r="R11" i="1"/>
  <c r="R8" i="1"/>
  <c r="R13" i="1"/>
  <c r="R10" i="1"/>
  <c r="S9" i="1"/>
  <c r="S14" i="1"/>
  <c r="R12" i="1"/>
  <c r="R15" i="1"/>
  <c r="J4" i="1"/>
  <c r="J5" i="1"/>
  <c r="L5" i="1"/>
  <c r="Y5" i="1" s="1"/>
  <c r="Q5" i="1"/>
  <c r="R5" i="1" s="1"/>
  <c r="Z5" i="1"/>
  <c r="L4" i="1"/>
  <c r="Q4" i="1"/>
  <c r="R4" i="1" s="1"/>
  <c r="Z4" i="1"/>
  <c r="S5" i="1" l="1"/>
  <c r="S4" i="1"/>
  <c r="J3" i="1"/>
  <c r="L3" i="1"/>
  <c r="Q3" i="1"/>
  <c r="Z3" i="1"/>
  <c r="L2" i="1"/>
  <c r="Q2" i="1"/>
  <c r="S2" i="1" s="1"/>
  <c r="Z2" i="1"/>
  <c r="M45" i="1" l="1"/>
  <c r="N45" i="1"/>
  <c r="O45" i="1"/>
  <c r="P45" i="1"/>
  <c r="K44" i="1"/>
  <c r="K45" i="1"/>
  <c r="M44" i="1"/>
  <c r="N44" i="1"/>
  <c r="O44" i="1"/>
  <c r="P44" i="1"/>
  <c r="K42" i="1"/>
  <c r="K43" i="1"/>
  <c r="M43" i="1"/>
  <c r="N43" i="1"/>
  <c r="O43" i="1"/>
  <c r="P43" i="1"/>
  <c r="M42" i="1"/>
  <c r="N42" i="1"/>
  <c r="O42" i="1"/>
  <c r="P42" i="1"/>
  <c r="M41" i="1"/>
  <c r="N41" i="1"/>
  <c r="O41" i="1"/>
  <c r="P41" i="1"/>
  <c r="K40" i="1"/>
  <c r="K41" i="1"/>
  <c r="M40" i="1"/>
  <c r="N40" i="1"/>
  <c r="O40" i="1"/>
  <c r="P40" i="1"/>
  <c r="N15" i="1"/>
  <c r="N31" i="1"/>
  <c r="N8" i="1"/>
  <c r="N24" i="1"/>
  <c r="N5" i="1"/>
  <c r="N21" i="1"/>
  <c r="N37" i="1"/>
  <c r="N14" i="1"/>
  <c r="N30" i="1"/>
  <c r="N3" i="1"/>
  <c r="N19" i="1"/>
  <c r="N35" i="1"/>
  <c r="N12" i="1"/>
  <c r="N28" i="1"/>
  <c r="N9" i="1"/>
  <c r="N25" i="1"/>
  <c r="N2" i="1"/>
  <c r="N18" i="1"/>
  <c r="N34" i="1"/>
  <c r="N7" i="1"/>
  <c r="N23" i="1"/>
  <c r="N39" i="1"/>
  <c r="N16" i="1"/>
  <c r="N32" i="1"/>
  <c r="N13" i="1"/>
  <c r="N29" i="1"/>
  <c r="N6" i="1"/>
  <c r="N22" i="1"/>
  <c r="N38" i="1"/>
  <c r="N11" i="1"/>
  <c r="N27" i="1"/>
  <c r="N4" i="1"/>
  <c r="N20" i="1"/>
  <c r="N36" i="1"/>
  <c r="N17" i="1"/>
  <c r="N33" i="1"/>
  <c r="N10" i="1"/>
  <c r="N26" i="1"/>
  <c r="K39" i="1"/>
  <c r="M39" i="1"/>
  <c r="P39" i="1"/>
  <c r="O39" i="1"/>
  <c r="M38" i="1"/>
  <c r="O38" i="1"/>
  <c r="P38" i="1"/>
  <c r="K37" i="1"/>
  <c r="K38" i="1"/>
  <c r="M37" i="1"/>
  <c r="O37" i="1"/>
  <c r="P37" i="1"/>
  <c r="M34" i="1"/>
  <c r="O34" i="1"/>
  <c r="P34" i="1"/>
  <c r="K33" i="1"/>
  <c r="K34" i="1"/>
  <c r="M33" i="1"/>
  <c r="P33" i="1"/>
  <c r="O33" i="1"/>
  <c r="M32" i="1"/>
  <c r="O32" i="1"/>
  <c r="P32" i="1"/>
  <c r="K31" i="1"/>
  <c r="K32" i="1"/>
  <c r="M31" i="1"/>
  <c r="O31" i="1"/>
  <c r="P31" i="1"/>
  <c r="K35" i="1"/>
  <c r="K36" i="1"/>
  <c r="M35" i="1"/>
  <c r="O35" i="1"/>
  <c r="P35" i="1"/>
  <c r="M36" i="1"/>
  <c r="O36" i="1"/>
  <c r="P36" i="1"/>
  <c r="K29" i="1"/>
  <c r="K30" i="1"/>
  <c r="M30" i="1"/>
  <c r="O30" i="1"/>
  <c r="P30" i="1"/>
  <c r="M29" i="1"/>
  <c r="O29" i="1"/>
  <c r="P29" i="1"/>
  <c r="K26" i="1"/>
  <c r="K28" i="1"/>
  <c r="M28" i="1"/>
  <c r="O28" i="1"/>
  <c r="P28" i="1"/>
  <c r="M26" i="1"/>
  <c r="P26" i="1"/>
  <c r="O26" i="1"/>
  <c r="K25" i="1"/>
  <c r="K27" i="1"/>
  <c r="M27" i="1"/>
  <c r="P27" i="1"/>
  <c r="O27" i="1"/>
  <c r="M25" i="1"/>
  <c r="P25" i="1"/>
  <c r="O25" i="1"/>
  <c r="K23" i="1"/>
  <c r="K24" i="1"/>
  <c r="O24" i="1"/>
  <c r="P24" i="1"/>
  <c r="M24" i="1"/>
  <c r="O23" i="1"/>
  <c r="P23" i="1"/>
  <c r="M23" i="1"/>
  <c r="O22" i="1"/>
  <c r="P22" i="1"/>
  <c r="M22" i="1"/>
  <c r="K21" i="1"/>
  <c r="K22" i="1"/>
  <c r="O21" i="1"/>
  <c r="P21" i="1"/>
  <c r="M21" i="1"/>
  <c r="K20" i="1"/>
  <c r="M20" i="1"/>
  <c r="P20" i="1"/>
  <c r="O20" i="1"/>
  <c r="M19" i="1"/>
  <c r="P19" i="1"/>
  <c r="O19" i="1"/>
  <c r="K18" i="1"/>
  <c r="K19" i="1"/>
  <c r="M18" i="1"/>
  <c r="P18" i="1"/>
  <c r="O18" i="1"/>
  <c r="K17" i="1"/>
  <c r="P17" i="1"/>
  <c r="M17" i="1"/>
  <c r="O17" i="1"/>
  <c r="K16" i="1"/>
  <c r="M16" i="1"/>
  <c r="P16" i="1"/>
  <c r="O16" i="1"/>
  <c r="K13" i="1"/>
  <c r="K14" i="1"/>
  <c r="K15" i="1"/>
  <c r="M13" i="1"/>
  <c r="O13" i="1"/>
  <c r="P13" i="1"/>
  <c r="M14" i="1"/>
  <c r="O14" i="1"/>
  <c r="P14" i="1"/>
  <c r="M15" i="1"/>
  <c r="O15" i="1"/>
  <c r="P15" i="1"/>
  <c r="K11" i="1"/>
  <c r="K12" i="1"/>
  <c r="M11" i="1"/>
  <c r="O11" i="1"/>
  <c r="P11" i="1"/>
  <c r="M12" i="1"/>
  <c r="O12" i="1"/>
  <c r="P12" i="1"/>
  <c r="K9" i="1"/>
  <c r="K10" i="1"/>
  <c r="M9" i="1"/>
  <c r="O9" i="1"/>
  <c r="P9" i="1"/>
  <c r="M10" i="1"/>
  <c r="O10" i="1"/>
  <c r="P10" i="1"/>
  <c r="K7" i="1"/>
  <c r="K8" i="1"/>
  <c r="M7" i="1"/>
  <c r="O7" i="1"/>
  <c r="P7" i="1"/>
  <c r="M8" i="1"/>
  <c r="O8" i="1"/>
  <c r="P8" i="1"/>
  <c r="K6" i="1"/>
  <c r="M6" i="1"/>
  <c r="O6" i="1"/>
  <c r="P6" i="1"/>
  <c r="P4" i="1"/>
  <c r="O5" i="1"/>
  <c r="P2" i="1"/>
  <c r="O3" i="1"/>
  <c r="P3" i="1"/>
  <c r="O4" i="1"/>
  <c r="P5" i="1"/>
  <c r="O2" i="1"/>
  <c r="R3" i="1"/>
  <c r="S3" i="1"/>
  <c r="K5" i="1"/>
  <c r="M5" i="1"/>
  <c r="J2" i="1"/>
  <c r="R2" i="1"/>
  <c r="T45" i="1" l="1"/>
  <c r="T44" i="1"/>
  <c r="T43" i="1"/>
  <c r="T42" i="1"/>
  <c r="T41" i="1"/>
  <c r="T40" i="1"/>
  <c r="T39" i="1"/>
  <c r="T38" i="1"/>
  <c r="T37" i="1"/>
  <c r="T34" i="1"/>
  <c r="T33" i="1"/>
  <c r="T32" i="1"/>
  <c r="T31" i="1"/>
  <c r="T36" i="1"/>
  <c r="T35" i="1"/>
  <c r="T30" i="1"/>
  <c r="T29" i="1"/>
  <c r="T28" i="1"/>
  <c r="T27" i="1"/>
  <c r="T26" i="1"/>
  <c r="T25" i="1"/>
  <c r="T24" i="1"/>
  <c r="T23" i="1"/>
  <c r="T22" i="1"/>
  <c r="T21" i="1"/>
  <c r="AG18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K4" i="1"/>
  <c r="K3" i="1"/>
  <c r="K2" i="1"/>
  <c r="U5" i="1" l="1"/>
  <c r="U10" i="1"/>
  <c r="AI18" i="1"/>
  <c r="AH18" i="1"/>
  <c r="M4" i="1"/>
  <c r="M3" i="1"/>
  <c r="T3" i="1" s="1"/>
  <c r="M2" i="1"/>
  <c r="V44" i="1" l="1"/>
  <c r="V45" i="1"/>
  <c r="V42" i="1"/>
  <c r="V43" i="1"/>
  <c r="V40" i="1"/>
  <c r="V41" i="1"/>
  <c r="V39" i="1"/>
  <c r="V37" i="1"/>
  <c r="V38" i="1"/>
  <c r="V34" i="1"/>
  <c r="V33" i="1"/>
  <c r="V32" i="1"/>
  <c r="V31" i="1"/>
  <c r="V8" i="1"/>
  <c r="V16" i="1"/>
  <c r="V29" i="1"/>
  <c r="V12" i="1"/>
  <c r="V24" i="1"/>
  <c r="V7" i="1"/>
  <c r="V20" i="1"/>
  <c r="V23" i="1"/>
  <c r="V15" i="1"/>
  <c r="V11" i="1"/>
  <c r="V6" i="1"/>
  <c r="V26" i="1"/>
  <c r="V22" i="1"/>
  <c r="V18" i="1"/>
  <c r="V14" i="1"/>
  <c r="V9" i="1"/>
  <c r="V10" i="1"/>
  <c r="V28" i="1"/>
  <c r="V19" i="1"/>
  <c r="V3" i="1"/>
  <c r="V30" i="1"/>
  <c r="V25" i="1"/>
  <c r="V21" i="1"/>
  <c r="V17" i="1"/>
  <c r="V13" i="1"/>
  <c r="V5" i="1"/>
  <c r="V35" i="1"/>
  <c r="V36" i="1"/>
  <c r="AJ18" i="1"/>
  <c r="AK18" i="1" s="1"/>
  <c r="AL18" i="1" s="1"/>
  <c r="T4" i="1"/>
  <c r="V4" i="1" s="1"/>
  <c r="T2" i="1"/>
  <c r="Y46" i="1"/>
  <c r="V2" i="1" l="1"/>
  <c r="W44" i="1" l="1"/>
  <c r="X44" i="1" s="1"/>
  <c r="AA44" i="1" s="1"/>
  <c r="W45" i="1"/>
  <c r="X45" i="1" s="1"/>
  <c r="AB45" i="1" s="1"/>
  <c r="W42" i="1"/>
  <c r="X42" i="1" s="1"/>
  <c r="W43" i="1"/>
  <c r="X43" i="1" s="1"/>
  <c r="AB43" i="1" s="1"/>
  <c r="W40" i="1"/>
  <c r="X40" i="1" s="1"/>
  <c r="W41" i="1"/>
  <c r="X41" i="1" s="1"/>
  <c r="W38" i="1"/>
  <c r="X38" i="1" s="1"/>
  <c r="W39" i="1"/>
  <c r="X39" i="1" s="1"/>
  <c r="AB39" i="1" s="1"/>
  <c r="W34" i="1"/>
  <c r="X34" i="1" s="1"/>
  <c r="W37" i="1"/>
  <c r="X37" i="1" s="1"/>
  <c r="AB37" i="1" s="1"/>
  <c r="W32" i="1"/>
  <c r="X32" i="1" s="1"/>
  <c r="W33" i="1"/>
  <c r="X33" i="1" s="1"/>
  <c r="W30" i="1"/>
  <c r="X30" i="1" s="1"/>
  <c r="W31" i="1"/>
  <c r="X31" i="1" s="1"/>
  <c r="AB31" i="1" s="1"/>
  <c r="W14" i="1"/>
  <c r="X14" i="1" s="1"/>
  <c r="AB14" i="1" s="1"/>
  <c r="W18" i="1"/>
  <c r="X18" i="1" s="1"/>
  <c r="AB18" i="1" s="1"/>
  <c r="W6" i="1"/>
  <c r="X6" i="1" s="1"/>
  <c r="AB6" i="1" s="1"/>
  <c r="W22" i="1"/>
  <c r="X22" i="1" s="1"/>
  <c r="W3" i="1"/>
  <c r="X3" i="1" s="1"/>
  <c r="W10" i="1"/>
  <c r="X10" i="1" s="1"/>
  <c r="AB10" i="1" s="1"/>
  <c r="W27" i="1"/>
  <c r="X27" i="1" s="1"/>
  <c r="AB27" i="1" s="1"/>
  <c r="W4" i="1"/>
  <c r="X4" i="1" s="1"/>
  <c r="W12" i="1"/>
  <c r="X12" i="1" s="1"/>
  <c r="W19" i="1"/>
  <c r="X19" i="1" s="1"/>
  <c r="AB19" i="1" s="1"/>
  <c r="W26" i="1"/>
  <c r="X26" i="1" s="1"/>
  <c r="AB26" i="1" s="1"/>
  <c r="W2" i="1"/>
  <c r="W7" i="1"/>
  <c r="X7" i="1" s="1"/>
  <c r="W11" i="1"/>
  <c r="X11" i="1" s="1"/>
  <c r="W16" i="1"/>
  <c r="X16" i="1" s="1"/>
  <c r="W20" i="1"/>
  <c r="X20" i="1" s="1"/>
  <c r="W24" i="1"/>
  <c r="X24" i="1" s="1"/>
  <c r="AB24" i="1" s="1"/>
  <c r="W29" i="1"/>
  <c r="X29" i="1" s="1"/>
  <c r="W8" i="1"/>
  <c r="X8" i="1" s="1"/>
  <c r="AB8" i="1" s="1"/>
  <c r="W13" i="1"/>
  <c r="X13" i="1" s="1"/>
  <c r="AB13" i="1" s="1"/>
  <c r="W23" i="1"/>
  <c r="X23" i="1" s="1"/>
  <c r="AB23" i="1" s="1"/>
  <c r="W5" i="1"/>
  <c r="X5" i="1" s="1"/>
  <c r="AB5" i="1" s="1"/>
  <c r="W9" i="1"/>
  <c r="X9" i="1" s="1"/>
  <c r="W15" i="1"/>
  <c r="X15" i="1" s="1"/>
  <c r="AB15" i="1" s="1"/>
  <c r="W17" i="1"/>
  <c r="X17" i="1" s="1"/>
  <c r="W21" i="1"/>
  <c r="X21" i="1" s="1"/>
  <c r="W25" i="1"/>
  <c r="X25" i="1" s="1"/>
  <c r="W28" i="1"/>
  <c r="X28" i="1" s="1"/>
  <c r="W35" i="1"/>
  <c r="X35" i="1" s="1"/>
  <c r="AB35" i="1" s="1"/>
  <c r="W36" i="1"/>
  <c r="X36" i="1" s="1"/>
  <c r="AB41" i="1" l="1"/>
  <c r="AC41" i="1" s="1"/>
  <c r="AB44" i="1"/>
  <c r="AC44" i="1" s="1"/>
  <c r="AA45" i="1"/>
  <c r="AC45" i="1" s="1"/>
  <c r="AA43" i="1"/>
  <c r="AC43" i="1" s="1"/>
  <c r="AA42" i="1"/>
  <c r="AC42" i="1" s="1"/>
  <c r="AA40" i="1"/>
  <c r="AC40" i="1" s="1"/>
  <c r="AD40" i="1" s="1"/>
  <c r="X2" i="1"/>
  <c r="AB29" i="1"/>
  <c r="AC29" i="1" s="1"/>
  <c r="AB36" i="1"/>
  <c r="AB38" i="1"/>
  <c r="AB34" i="1"/>
  <c r="AC34" i="1" s="1"/>
  <c r="AA38" i="1"/>
  <c r="AA39" i="1"/>
  <c r="AC39" i="1" s="1"/>
  <c r="AA37" i="1"/>
  <c r="AC37" i="1" s="1"/>
  <c r="AA33" i="1"/>
  <c r="AC33" i="1" s="1"/>
  <c r="AA32" i="1"/>
  <c r="AC32" i="1" s="1"/>
  <c r="AA31" i="1"/>
  <c r="AC31" i="1" s="1"/>
  <c r="AA2" i="1"/>
  <c r="AC2" i="1" s="1"/>
  <c r="AA35" i="1"/>
  <c r="AC35" i="1" s="1"/>
  <c r="AA30" i="1"/>
  <c r="AC30" i="1" s="1"/>
  <c r="AA28" i="1"/>
  <c r="AC28" i="1" s="1"/>
  <c r="AA27" i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5" i="1"/>
  <c r="AC15" i="1" s="1"/>
  <c r="AA14" i="1"/>
  <c r="AC14" i="1" s="1"/>
  <c r="AA13" i="1"/>
  <c r="AC13" i="1" s="1"/>
  <c r="AA12" i="1"/>
  <c r="AC12" i="1" s="1"/>
  <c r="AA11" i="1"/>
  <c r="AC11" i="1" s="1"/>
  <c r="AA10" i="1"/>
  <c r="AC10" i="1" s="1"/>
  <c r="AA9" i="1"/>
  <c r="AC9" i="1" s="1"/>
  <c r="AA8" i="1"/>
  <c r="AC8" i="1" s="1"/>
  <c r="AA7" i="1"/>
  <c r="AC7" i="1" s="1"/>
  <c r="AA6" i="1"/>
  <c r="AC6" i="1" s="1"/>
  <c r="AA5" i="1"/>
  <c r="AC5" i="1" s="1"/>
  <c r="AA4" i="1"/>
  <c r="AC4" i="1" s="1"/>
  <c r="AA3" i="1"/>
  <c r="AC3" i="1" s="1"/>
  <c r="AA36" i="1"/>
  <c r="AG25" i="1"/>
  <c r="AI25" i="1" s="1"/>
  <c r="AI9" i="1"/>
  <c r="AI13" i="1"/>
  <c r="AI4" i="1"/>
  <c r="AI5" i="1"/>
  <c r="AI2" i="1"/>
  <c r="AI7" i="1"/>
  <c r="AI6" i="1"/>
  <c r="AI11" i="1"/>
  <c r="AI10" i="1"/>
  <c r="AI14" i="1"/>
  <c r="AI3" i="1"/>
  <c r="AH13" i="1"/>
  <c r="AI12" i="1"/>
  <c r="AH3" i="1"/>
  <c r="AC36" i="1" l="1"/>
  <c r="AC38" i="1"/>
  <c r="AD21" i="1"/>
  <c r="AD29" i="1"/>
  <c r="AD34" i="1"/>
  <c r="AG26" i="1"/>
  <c r="AI26" i="1" s="1"/>
  <c r="AE26" i="1"/>
  <c r="AE25" i="1"/>
  <c r="AH17" i="1"/>
  <c r="AG17" i="1"/>
  <c r="AG16" i="1"/>
  <c r="AH16" i="1"/>
  <c r="AG15" i="1"/>
  <c r="AH15" i="1"/>
  <c r="AI8" i="1"/>
  <c r="AH14" i="1"/>
  <c r="AJ14" i="1" s="1"/>
  <c r="AK14" i="1" s="1"/>
  <c r="AL14" i="1" s="1"/>
  <c r="AH4" i="1"/>
  <c r="AJ4" i="1" s="1"/>
  <c r="AK4" i="1" s="1"/>
  <c r="AL4" i="1" s="1"/>
  <c r="AH7" i="1"/>
  <c r="AJ7" i="1" s="1"/>
  <c r="AK7" i="1" s="1"/>
  <c r="AL7" i="1" s="1"/>
  <c r="AH8" i="1"/>
  <c r="AH5" i="1"/>
  <c r="AJ5" i="1" s="1"/>
  <c r="AK5" i="1" s="1"/>
  <c r="AL5" i="1" s="1"/>
  <c r="AH12" i="1"/>
  <c r="AJ12" i="1" s="1"/>
  <c r="AK12" i="1" s="1"/>
  <c r="AL12" i="1" s="1"/>
  <c r="AH10" i="1"/>
  <c r="AJ10" i="1" s="1"/>
  <c r="AK10" i="1" s="1"/>
  <c r="AL10" i="1" s="1"/>
  <c r="AH2" i="1"/>
  <c r="AJ2" i="1" s="1"/>
  <c r="AK2" i="1" s="1"/>
  <c r="AL2" i="1" s="1"/>
  <c r="AH9" i="1"/>
  <c r="AJ9" i="1" s="1"/>
  <c r="AK9" i="1" s="1"/>
  <c r="AL9" i="1" s="1"/>
  <c r="AH11" i="1"/>
  <c r="AJ11" i="1" s="1"/>
  <c r="AK11" i="1" s="1"/>
  <c r="AL11" i="1" s="1"/>
  <c r="AH6" i="1"/>
  <c r="AJ6" i="1" s="1"/>
  <c r="AK6" i="1" s="1"/>
  <c r="AL6" i="1" s="1"/>
  <c r="AJ3" i="1"/>
  <c r="AK3" i="1" s="1"/>
  <c r="AL3" i="1" s="1"/>
  <c r="AJ13" i="1"/>
  <c r="AK13" i="1" s="1"/>
  <c r="AL13" i="1" s="1"/>
  <c r="AD43" i="1" l="1"/>
  <c r="AD44" i="1"/>
  <c r="AD42" i="1"/>
  <c r="AD45" i="1"/>
  <c r="AD41" i="1"/>
  <c r="AD25" i="1"/>
  <c r="AD28" i="1"/>
  <c r="AD12" i="1"/>
  <c r="AD2" i="1"/>
  <c r="AD9" i="1"/>
  <c r="AD11" i="1"/>
  <c r="AD17" i="1"/>
  <c r="AD20" i="1"/>
  <c r="AD4" i="1"/>
  <c r="AD7" i="1"/>
  <c r="AD22" i="1"/>
  <c r="AD30" i="1"/>
  <c r="AD33" i="1"/>
  <c r="AD16" i="1"/>
  <c r="AD32" i="1"/>
  <c r="AD3" i="1"/>
  <c r="AD39" i="1"/>
  <c r="AD38" i="1"/>
  <c r="AD37" i="1"/>
  <c r="AD31" i="1"/>
  <c r="AD35" i="1"/>
  <c r="AD27" i="1"/>
  <c r="AD26" i="1"/>
  <c r="AD24" i="1"/>
  <c r="AD23" i="1"/>
  <c r="AD19" i="1"/>
  <c r="AD18" i="1"/>
  <c r="AD15" i="1"/>
  <c r="AD14" i="1"/>
  <c r="AD13" i="1"/>
  <c r="AD10" i="1"/>
  <c r="AD8" i="1"/>
  <c r="AD6" i="1"/>
  <c r="AD5" i="1"/>
  <c r="AD36" i="1"/>
  <c r="AH26" i="1"/>
  <c r="AJ26" i="1" s="1"/>
  <c r="AK26" i="1" s="1"/>
  <c r="AL26" i="1" s="1"/>
  <c r="AH25" i="1"/>
  <c r="AJ25" i="1" s="1"/>
  <c r="AK25" i="1" s="1"/>
  <c r="AL25" i="1" s="1"/>
  <c r="AI16" i="1"/>
  <c r="AI15" i="1"/>
  <c r="AJ15" i="1" s="1"/>
  <c r="AK15" i="1" s="1"/>
  <c r="AL15" i="1" s="1"/>
  <c r="AI17" i="1"/>
  <c r="AJ8" i="1"/>
  <c r="AK8" i="1" s="1"/>
  <c r="AL8" i="1" s="1"/>
  <c r="AG45" i="1" l="1"/>
  <c r="AI45" i="1" s="1"/>
  <c r="AE45" i="1"/>
  <c r="AE38" i="1"/>
  <c r="AG38" i="1"/>
  <c r="AI38" i="1" s="1"/>
  <c r="AG36" i="1"/>
  <c r="AI36" i="1" s="1"/>
  <c r="AE36" i="1"/>
  <c r="AE39" i="1"/>
  <c r="AG39" i="1"/>
  <c r="AI39" i="1" s="1"/>
  <c r="AE34" i="1"/>
  <c r="AG34" i="1"/>
  <c r="AI34" i="1" s="1"/>
  <c r="AE32" i="1"/>
  <c r="AG32" i="1"/>
  <c r="AI32" i="1" s="1"/>
  <c r="AD46" i="1"/>
  <c r="AG30" i="1"/>
  <c r="AI30" i="1" s="1"/>
  <c r="AE30" i="1"/>
  <c r="AE20" i="1"/>
  <c r="AG20" i="1"/>
  <c r="AI20" i="1" s="1"/>
  <c r="AJ16" i="1"/>
  <c r="AK16" i="1" s="1"/>
  <c r="AL16" i="1" s="1"/>
  <c r="AJ17" i="1"/>
  <c r="AK17" i="1" s="1"/>
  <c r="AL17" i="1" s="1"/>
  <c r="AF45" i="1" l="1"/>
  <c r="AH45" i="1" s="1"/>
  <c r="AJ45" i="1" s="1"/>
  <c r="AK45" i="1" s="1"/>
  <c r="AL45" i="1" s="1"/>
  <c r="AF38" i="1"/>
  <c r="AH38" i="1" s="1"/>
  <c r="AJ38" i="1" s="1"/>
  <c r="AK38" i="1" s="1"/>
  <c r="AL38" i="1" s="1"/>
  <c r="AF36" i="1"/>
  <c r="AH36" i="1" s="1"/>
  <c r="AJ36" i="1" s="1"/>
  <c r="AK36" i="1" s="1"/>
  <c r="AL36" i="1" s="1"/>
  <c r="AF39" i="1"/>
  <c r="AH39" i="1" s="1"/>
  <c r="AJ39" i="1" s="1"/>
  <c r="AK39" i="1" s="1"/>
  <c r="AL39" i="1" s="1"/>
  <c r="AF34" i="1"/>
  <c r="AH34" i="1" s="1"/>
  <c r="AJ34" i="1" s="1"/>
  <c r="AK34" i="1" s="1"/>
  <c r="AL34" i="1" s="1"/>
  <c r="AF30" i="1"/>
  <c r="AH30" i="1" s="1"/>
  <c r="AJ30" i="1" s="1"/>
  <c r="AK30" i="1" s="1"/>
  <c r="AL30" i="1" s="1"/>
  <c r="AF20" i="1"/>
  <c r="AH20" i="1" s="1"/>
  <c r="AJ20" i="1" s="1"/>
  <c r="AK20" i="1" s="1"/>
  <c r="AL20" i="1" s="1"/>
  <c r="AF32" i="1"/>
  <c r="AH32" i="1" s="1"/>
  <c r="AJ32" i="1" s="1"/>
  <c r="AK32" i="1" s="1"/>
  <c r="AL32" i="1" s="1"/>
  <c r="AL46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<sst xmlns="http://schemas.openxmlformats.org/spreadsheetml/2006/main" count="256" uniqueCount="108">
  <si>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</si>
  <si>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</si>
  <si>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</si>
  <si>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</si>
  <si>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</si>
  <si>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</si>
  <si>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</si>
  <si>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</si>
  <si>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</si>
  <si>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</si>
  <si>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</si>
  <si>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</si>
  <si>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</si>
  <si>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</si>
  <si>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</si>
  <si>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</si>
  <si>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</si>
  <si>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</si>
  <si>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</si>
  <si>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</si>
  <si>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</si>
  <si>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</si>
  <si>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</si>
  <si>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</si>
  <si>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</si>
  <si>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</si>
  <si>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</si>
  <si>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</si>
  <si>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</si>
  <si>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</si>
  <si>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</si>
  <si>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</si>
  <si>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</si>
  <si>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</si>
  <si>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</si>
  <si>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</si>
  <si>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</si>
  <si>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</si>
  <si>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</si>
  <si>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</si>
  <si>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</si>
  <si>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</si>
  <si>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</si>
  <si>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</si>
  <si>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</si>
  <si>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</si>
  <si>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</si>
  <si>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</si>
  <si>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</si>
  <si>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</si>
  <si>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</si>
  <si>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</si>
  <si>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</si>
  <si>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</si>
  <si>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</si>
  <si>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</si>
  <si>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</si>
  <si>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</si>
  <si>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</si>
  <si>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</si>
  <si>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</si>
  <si>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</si>
  <si>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</si>
  <si>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</si>
  <si>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</si>
  <si>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</si>
  <si>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</si>
  <si>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</si>
  <si>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</si>
  <si>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</si>
  <si>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</si>
  <si>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</si>
  <si>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</si>
  <si>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</si>
  <si>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</si>
  <si>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</si>
  <si>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</si>
  <si>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</si>
  <si>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</si>
  <si>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</si>
  <si>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</si>
  <si>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</si>
  <si>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</si>
  <si>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</si>
  <si>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</si>
  <si>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</si>
  <si>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</si>
  <si>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</si>
  <si>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</si>
  <si>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</si>
  <si>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</si>
  <si>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</si>
  <si>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</si>
  <si>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</si>
  <si>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</si>
  <si>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EXERC. CP 1</t>
  </si>
  <si>
    <t>PREÇO CP 1</t>
  </si>
  <si>
    <t>PREÇO CP 2</t>
  </si>
  <si>
    <t>EXERC. CP 2</t>
  </si>
  <si>
    <t>EXERC. VD</t>
  </si>
  <si>
    <t>PREÇO VD</t>
  </si>
  <si>
    <t>% VAR</t>
  </si>
  <si>
    <t>LUCRO UNI.</t>
  </si>
  <si>
    <t>PERDA 1</t>
  </si>
  <si>
    <t>PERDA 2</t>
  </si>
  <si>
    <t>PERDA MÁX</t>
  </si>
  <si>
    <t>VALEE37</t>
  </si>
  <si>
    <t>VALEE38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</si>
</sst>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  <numFmt numFmtId="169" formatCode="0.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44" fontId="3" fillId="0" borderId="0" xfId="0" applyNumberFormat="1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44" fontId="7" fillId="0" borderId="0" xfId="0" applyNumberFormat="1" applyFont="1" applyAlignment="1"/>
    <xf numFmtId="44" fontId="8" fillId="0" borderId="0" xfId="0" applyNumberFormat="1" applyFont="1" applyAlignment="1"/>
    <xf numFmtId="0" fontId="7" fillId="0" borderId="0" xfId="0" applyNumberFormat="1" applyFont="1" applyAlignment="1"/>
    <xf numFmtId="167" fontId="7" fillId="0" borderId="0" xfId="0" applyNumberFormat="1" applyFont="1" applyAlignment="1"/>
    <xf numFmtId="14" fontId="7" fillId="0" borderId="0" xfId="0" applyNumberFormat="1" applyFont="1" applyAlignment="1"/>
    <xf numFmtId="44" fontId="7" fillId="0" borderId="0" xfId="1" applyNumberFormat="1" applyFont="1" applyAlignment="1"/>
    <xf numFmtId="168" fontId="7" fillId="0" borderId="0" xfId="0" applyNumberFormat="1" applyFont="1" applyAlignment="1"/>
    <xf numFmtId="44" fontId="7" fillId="0" borderId="0" xfId="1" applyFont="1" applyAlignment="1"/>
    <xf numFmtId="44" fontId="4" fillId="0" borderId="0" xfId="1" applyFont="1" applyAlignment="1">
      <alignment horizontal="left"/>
    </xf>
    <xf numFmtId="168" fontId="3" fillId="0" borderId="0" xfId="1" applyNumberFormat="1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 applyAlignment="1">
      <alignment vertical="top"/>
    </xf>
    <xf numFmtId="169" fontId="3" fillId="0" borderId="0" xfId="2" applyNumberFormat="1" applyFont="1"/>
    <xf numFmtId="44" fontId="3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L46" totalsRowCount="1" headerRowDxfId="172" dataDxfId="171" totalsRowDxfId="170">
  <autoFilter ref="A1:AL45"/>
  <sortState ref="A2:AL36">
    <sortCondition ref="E1:E36"/>
  </sortState>
  <tableColumns count="38">
    <tableColumn id="19" name="ID" totalsRowFunction="max" dataDxfId="169" totalsRowDxfId="56"/>
    <tableColumn id="36" name="U" dataDxfId="168" totalsRowDxfId="55"/>
    <tableColumn id="2" name="ATIVO" dataDxfId="167" totalsRowDxfId="54"/>
    <tableColumn id="3" name="T" dataDxfId="166" totalsRowDxfId="53"/>
    <tableColumn id="4" name="DATA" dataDxfId="165" totalsRowDxfId="52"/>
    <tableColumn id="5" name="QTDE" dataDxfId="164" totalsRowDxfId="51"/>
    <tableColumn id="6" name="PREÇO" dataDxfId="163" totalsRowDxfId="50"/>
    <tableColumn id="7" name="[D/N]" dataDxfId="162" totalsRowDxfId="49"/>
    <tableColumn id="34" name="DATA DE LIQUIDAÇÃO" dataDxfId="161" totalsRowDxfId="48">
      <calculatedColumnFormula>WORKDAY(NC[[#This Row],[DATA]],1,0)</calculatedColumnFormula>
    </tableColumn>
    <tableColumn id="31" name="DATA BASE" dataDxfId="160" totalsRowDxfId="47">
      <calculatedColumnFormula>EOMONTH(NC[[#This Row],[DATA DE LIQUIDAÇÃO]],0)</calculatedColumnFormula>
    </tableColumn>
    <tableColumn id="21" name="PAR" dataDxfId="159" totalsRowDxfId="46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158" totalsRowDxfId="45">
      <calculatedColumnFormula>NC[QTDE]*NC[PREÇO]</calculatedColumnFormula>
    </tableColumn>
    <tableColumn id="9" name="VALOR LÍQUIDO DAS OPERAÇÕES" dataDxfId="157" totalsRowDxfId="4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156" totalsRowDxfId="43">
      <calculatedColumnFormula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calculatedColumnFormula>
    </tableColumn>
    <tableColumn id="11" name="EMOLUMENTOS" dataDxfId="155" totalsRowDxfId="4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154" totalsRowDxfId="4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153" totalsRowDxfId="40">
      <calculatedColumnFormula>SETUP!$E$3*SUMPRODUCT(N(NC[DATA]=NC[[#This Row],[DATA]]),N(NC[ID]&lt;=NC[[#This Row],[ID]]))</calculatedColumnFormula>
    </tableColumn>
    <tableColumn id="13" name="ISS" dataDxfId="152" totalsRowDxfId="39">
      <calculatedColumnFormula>TRUNC(NC[CORRETAGEM]*SETUP!$F$3,2)</calculatedColumnFormula>
    </tableColumn>
    <tableColumn id="15" name="OUTRAS BOVESPA" dataDxfId="151" totalsRowDxfId="38">
      <calculatedColumnFormula>ROUND(NC[CORRETAGEM]*SETUP!$G$3,2)</calculatedColumnFormula>
    </tableColumn>
    <tableColumn id="16" name="LÍQUIDO BASE" dataDxfId="150" totalsRowDxfId="37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149" totalsRowDxfId="36">
      <calculatedColumnFormula>IF(AND(NC['[D/N']]="D",    NC[T]="CV"),    ROUND(NC[LÍQUIDO BASE]*0.01, 2),    0)</calculatedColumnFormula>
    </tableColumn>
    <tableColumn id="35" name="LÍQUIDO" dataDxfId="148" totalsRowDxfId="35">
      <calculatedColumnFormula>IF(NC[PREÇO] &gt; 0,    NC[LÍQUIDO BASE]-SUMPRODUCT(N(NC[DATA]=NC[[#This Row],[DATA]]),    NC[IRRF FONTE]),    0)</calculatedColumnFormula>
    </tableColumn>
    <tableColumn id="17" name="VALOR P/ OP" dataDxfId="147" totalsRowDxfId="34" dataCellStyle="Moeda">
      <calculatedColumnFormula>NC[LÍQUIDO]-SUMPRODUCT(N(NC[DATA]=NC[[#This Row],[DATA]]),N(NC[ID]=(NC[[#This Row],[ID]]-1)),NC[LÍQUIDO])</calculatedColumnFormula>
    </tableColumn>
    <tableColumn id="18" name="MEDIO P/ OP" dataDxfId="146" totalsRowDxfId="33">
      <calculatedColumnFormula>IF(NC[T] = "VC", ABS(NC[VALOR P/ OP]) / NC[QTDE], NC[VALOR P/ OP]/NC[QTDE])</calculatedColumnFormula>
    </tableColumn>
    <tableColumn id="20" name="IRRF" totalsRowFunction="sum" dataDxfId="145" totalsRowDxfId="32">
      <calculatedColumnFormula>TRUNC(IF(OR(NC[T]="CV",NC[T]="VV"),     L2*SETUP!$H$3,     0),2)</calculatedColumnFormula>
    </tableColumn>
    <tableColumn id="24" name="SALDO" dataDxfId="144" totalsRowDxfId="31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143" totalsRowDxfId="3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calculatedColumnFormula>
    </tableColumn>
    <tableColumn id="23" name="MED VD" dataDxfId="142" totalsRowDxfId="29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44" name="LUCRO TMP" dataDxfId="141" totalsRowDxfId="28" dataCellStyle="Moeda">
      <calculatedColumnFormula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calculatedColumnFormula>
    </tableColumn>
    <tableColumn id="25" name="LUCRO P/ OP" totalsRowFunction="sum" dataDxfId="140" totalsRowDxfId="27">
      <calculatedColumnFormula>IF(NC[LUCRO TMP] &lt;&gt; 0, NC[LUCRO TMP] - SUMPRODUCT(N(NC[ATIVO]=NC[[#This Row],[ATIVO]]),N(NC['[D/N']]="N"),N(NC[ID]&lt;NC[[#This Row],[ID]]),N(NC[PAR]=NC[[#This Row],[PAR]]), NC[LUCRO TMP]), 0)</calculatedColumnFormula>
    </tableColumn>
    <tableColumn id="1" name="LUCRO [N]" dataDxfId="139" totalsRowDxfId="26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138" totalsRowDxfId="25">
      <calculatedColumnFormula>IF(NC[U] = "U",NC[LUCRO '[N']] + SUMPRODUCT(N(MONTH(NC[DATA BASE])&lt;MONTH(NC[[#This Row],[DATA BASE]]) ), NC[LUCRO '[N']]),0)</calculatedColumnFormula>
    </tableColumn>
    <tableColumn id="39" name="LUCRO TRIB. DT" dataDxfId="137" totalsRowDxfId="24">
      <calculatedColumnFormula>IF(NC[U] = "U", SUMPRODUCT(N(NC[DATA BASE]=NC[[#This Row],[DATA BASE]]), N(NC['[D/N']] = "D"),    NC[LUCRO P/ OP]), 0)</calculatedColumnFormula>
    </tableColumn>
    <tableColumn id="32" name="IR [N]" dataDxfId="136" totalsRowDxfId="23" dataCellStyle="Moeda">
      <calculatedColumnFormula>IF(NC[ TRIB. '[N']] &gt; 0,     ROUND(NC[ TRIB. '[N']]*0.15,    2),    0)</calculatedColumnFormula>
    </tableColumn>
    <tableColumn id="38" name="IR DEVIDO DT" dataDxfId="135" totalsRowDxfId="22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134" totalsRowDxfId="21" dataCellStyle="Moeda">
      <calculatedColumnFormula>NC[IR '[N']] + NC[IR DEVIDO DT]</calculatedColumnFormula>
    </tableColumn>
    <tableColumn id="26" name="RESGATE" dataDxfId="133" totalsRowDxfId="20" dataCellStyle="Moeda">
      <calculatedColumnFormula>IF(AND(NC[U] = "U",NC[IR DEVIDO] &gt; 0), NC[IR DEVIDO] + 8.9, 0)</calculatedColumnFormula>
    </tableColumn>
    <tableColumn id="27" name="LUCRO LÍQUIDO" totalsRowFunction="sum" dataDxfId="132" totalsRowDxfId="19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7" totalsRowCount="1" headerRowDxfId="131" dataDxfId="130">
  <autoFilter ref="A1:J6"/>
  <tableColumns count="10">
    <tableColumn id="1" name="PAPEL" totalsRowLabel="Total" dataDxfId="129" totalsRowDxfId="66"/>
    <tableColumn id="10" name="APLICAÇÃO" dataDxfId="128" totalsRowDxfId="65" dataCellStyle="Moeda"/>
    <tableColumn id="2" name="EXERCÍCIO" dataDxfId="127" totalsRowDxfId="64" dataCellStyle="Moeda"/>
    <tableColumn id="3" name="PREÇO OPÇÃO" dataDxfId="126" totalsRowDxfId="63" dataCellStyle="Moeda"/>
    <tableColumn id="4" name="PREÇO AÇÃO" dataDxfId="67" totalsRowDxfId="62" dataCellStyle="Moeda">
      <calculatedColumnFormula>38</calculatedColumnFormula>
    </tableColumn>
    <tableColumn id="11" name="QTDE TMP" dataDxfId="125" totalsRowDxfId="61" dataCellStyle="Moeda">
      <calculatedColumnFormula>ROUNDDOWN(Tabela2[APLICAÇÃO]/Tabela2[PREÇO OPÇÃO], 0)</calculatedColumnFormula>
    </tableColumn>
    <tableColumn id="14" name="QTDE" dataDxfId="124" totalsRowDxfId="60" dataCellStyle="Moeda">
      <calculatedColumnFormula>Tabela2[QTDE TMP] - MOD(Tabela2[QTDE TMP], 100)</calculatedColumnFormula>
    </tableColumn>
    <tableColumn id="5" name="TARGET 100%" dataDxfId="123" totalsRowDxfId="59" dataCellStyle="Moeda">
      <calculatedColumnFormula>Tabela2[EXERCÍCIO] + (Tabela2[PREÇO OPÇÃO] * 2)</calculatedColumnFormula>
    </tableColumn>
    <tableColumn id="6" name="ALTA 100%" dataDxfId="122" totalsRowDxfId="58" dataCellStyle="Porcentagem">
      <calculatedColumnFormula>Tabela2[TARGET 100%] / Tabela2[PREÇO AÇÃO] - 1</calculatedColumnFormula>
    </tableColumn>
    <tableColumn id="12" name="LUCRO* 100%" dataDxfId="121" totalsRowDxfId="57" dataCellStyle="Moeda">
      <calculatedColumnFormula>Tabela2[PREÇO OPÇÃO] * Tabela2[QTDE]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O4" totalsRowCount="1" headerRowDxfId="120" dataDxfId="119">
  <autoFilter ref="A1:O3"/>
  <tableColumns count="15">
    <tableColumn id="1" name="PAPEL" totalsRowLabel="Total" dataDxfId="118" totalsRowDxfId="117"/>
    <tableColumn id="10" name="APLICAÇÃO" dataDxfId="116" totalsRowDxfId="115" dataCellStyle="Moeda"/>
    <tableColumn id="20" name="PREÇO AÇÃO" dataDxfId="114" totalsRowDxfId="113" dataCellStyle="Moeda"/>
    <tableColumn id="7" name="EXERC. VENDA" dataDxfId="112" totalsRowDxfId="111" dataCellStyle="Moeda"/>
    <tableColumn id="8" name="PREÇO VENDA" dataDxfId="110" totalsRowDxfId="109" dataCellStyle="Moeda"/>
    <tableColumn id="2" name="EXERC. COMPRA" dataDxfId="108" totalsRowDxfId="107" dataCellStyle="Moeda"/>
    <tableColumn id="3" name="PREÇO COMPRA" dataDxfId="106" totalsRowDxfId="105" dataCellStyle="Moeda"/>
    <tableColumn id="18" name="LUCRO P/ OPÇÃO" dataDxfId="104" totalsRowDxfId="103" dataCellStyle="Moeda">
      <calculatedColumnFormula>Tabela24[PREÇO VENDA]-Tabela24[PREÇO COMPRA]</calculatedColumnFormula>
    </tableColumn>
    <tableColumn id="19" name="PERDA P/ OPÇÃO" dataDxfId="102" totalsRowDxfId="101" dataCellStyle="Moeda">
      <calculatedColumnFormula>(0.01 - Tabela24[PREÇO COMPRA]) + (Tabela24[PREÇO VENDA] - (Tabela24[EXERC. COMPRA]-Tabela24[EXERC. VENDA]+0.01))</calculatedColumnFormula>
    </tableColumn>
    <tableColumn id="11" name="QTDE TMP" dataDxfId="100" totalsRowDxfId="99" dataCellStyle="Moeda">
      <calculatedColumnFormula>ROUNDDOWN(Tabela24[APLICAÇÃO]/ABS(Tabela24[PERDA P/ OPÇÃO]), 0)</calculatedColumnFormula>
    </tableColumn>
    <tableColumn id="14" name="QTDE" dataDxfId="98" totalsRowDxfId="97" dataCellStyle="Moeda">
      <calculatedColumnFormula>Tabela24[QTDE TMP] - MOD(Tabela24[QTDE TMP], 100)</calculatedColumnFormula>
    </tableColumn>
    <tableColumn id="5" name="LUCRO*" dataDxfId="96" totalsRowDxfId="95" dataCellStyle="Moeda">
      <calculatedColumnFormula>(Tabela24[QTDE]*Tabela24[LUCRO P/ OPÇÃO] - 60)</calculatedColumnFormula>
    </tableColumn>
    <tableColumn id="6" name="PERDA*" dataDxfId="94" totalsRowDxfId="93" dataCellStyle="Moeda">
      <calculatedColumnFormula>Tabela24[QTDE]*Tabela24[PERDA P/ OPÇÃO] - 60</calculatedColumnFormula>
    </tableColumn>
    <tableColumn id="21" name="% QUEDA" dataDxfId="92" totalsRowDxfId="91" dataCellStyle="Porcentagem">
      <calculatedColumnFormula>Tabela24[EXERC. VENDA]/Tabela24[PREÇO AÇÃO]-1</calculatedColumnFormula>
    </tableColumn>
    <tableColumn id="22" name="RISCO : 1" dataDxfId="90" totalsRowDxfId="89" dataCellStyle="Porcentagem">
      <calculatedColumnFormula>Tabela24[LUCRO*]/ABS(Tabela24[PERDA*])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S7" totalsRowCount="1" headerRowDxfId="88" dataDxfId="87">
  <autoFilter ref="A1:S6"/>
  <tableColumns count="19">
    <tableColumn id="1" name="PAPEL" totalsRowLabel="Total" dataDxfId="86" totalsRowDxfId="18"/>
    <tableColumn id="10" name="APLICAÇÃO" dataDxfId="85" totalsRowDxfId="17" dataCellStyle="Moeda"/>
    <tableColumn id="20" name="PREÇO AÇÃO" dataDxfId="84" totalsRowDxfId="16" dataCellStyle="Moeda"/>
    <tableColumn id="2" name="EXERC. CP 1" dataDxfId="83" totalsRowDxfId="15" dataCellStyle="Moeda"/>
    <tableColumn id="3" name="PREÇO CP 1" dataDxfId="82" totalsRowDxfId="14" dataCellStyle="Moeda"/>
    <tableColumn id="12" name="EXERC. VD" dataDxfId="81" totalsRowDxfId="13" dataCellStyle="Moeda"/>
    <tableColumn id="13" name="PREÇO VD" dataDxfId="80" totalsRowDxfId="12" dataCellStyle="Moeda"/>
    <tableColumn id="8" name="EXERC. CP 2" dataDxfId="79" totalsRowDxfId="11" dataCellStyle="Moeda"/>
    <tableColumn id="7" name="PREÇO CP 2" dataDxfId="78" totalsRowDxfId="10" dataCellStyle="Moeda"/>
    <tableColumn id="18" name="LUCRO UNI." dataDxfId="77" totalsRowDxfId="9" dataCellStyle="Moeda">
      <calculatedColumnFormula>((Tabela245[PREÇO VD] - 0.01) * 2) + ((Tabela245[EXERC. VD] - Tabela245[EXERC. CP 1] + 0.01) - Tabela245[PREÇO CP 1]) + (0.01 - Tabela245[PREÇO CP 2])</calculatedColumnFormula>
    </tableColumn>
    <tableColumn id="19" name="PERDA 1" dataDxfId="76" totalsRowDxfId="8" dataCellStyle="Moeda">
      <calculatedColumnFormula>(0.01 - Tabela245[PREÇO CP 1]) + ((Tabela245[PREÇO VD] - 0.01) * 2) + (0.01 - Tabela245[PREÇO CP 2])</calculatedColumnFormula>
    </tableColumn>
    <tableColumn id="15" name="PERDA 2" dataDxfId="75" totalsRowDxfId="7" dataCellStyle="Moeda">
      <calculatedColumnFormula>((Tabela245[EXERC. CP 2] - Tabela245[EXERC. CP 1] + 0.01) - Tabela245[PREÇO CP 1]) + ((Tabela245[PREÇO VD] - (Tabela245[EXERC. CP 2] - Tabela245[EXERC. VD] + 0.01)) * 2) + (0.01 - Tabela245[PREÇO CP 2])</calculatedColumnFormula>
    </tableColumn>
    <tableColumn id="16" name="PERDA MÁX" dataDxfId="74" totalsRowDxfId="6" dataCellStyle="Moeda">
      <calculatedColumnFormula>IF(Tabela245[PERDA 1] &gt; Tabela245[PERDA 2], Tabela245[PERDA 2], Tabela245[PERDA 1])</calculatedColumnFormula>
    </tableColumn>
    <tableColumn id="11" name="QTDE TMP" dataDxfId="73" totalsRowDxfId="5" dataCellStyle="Moeda">
      <calculatedColumnFormula>ROUNDDOWN(Tabela245[APLICAÇÃO]/ABS(Tabela245[PERDA MÁX]), 0)</calculatedColumnFormula>
    </tableColumn>
    <tableColumn id="14" name="QTDE" dataDxfId="72" totalsRowDxfId="4" dataCellStyle="Moeda">
      <calculatedColumnFormula>Tabela245[QTDE TMP] - MOD(Tabela245[QTDE TMP], 100)</calculatedColumnFormula>
    </tableColumn>
    <tableColumn id="5" name="LUCRO*" dataDxfId="71" totalsRowDxfId="3" dataCellStyle="Moeda">
      <calculatedColumnFormula>(Tabela245[QTDE]*Tabela245[LUCRO UNI.] - 90)</calculatedColumnFormula>
    </tableColumn>
    <tableColumn id="6" name="PERDA*" dataDxfId="70" totalsRowDxfId="2" dataCellStyle="Moeda">
      <calculatedColumnFormula>Tabela245[QTDE]*Tabela245[PERDA MÁX] - 90</calculatedColumnFormula>
    </tableColumn>
    <tableColumn id="21" name="% VAR" dataDxfId="69" totalsRowDxfId="1" dataCellStyle="Porcentagem">
      <calculatedColumnFormula>Tabela245[EXERC. VD] / Tabela245[PREÇO AÇÃO] - 1</calculatedColumnFormula>
    </tableColumn>
    <tableColumn id="22" name="RISCO : 1" dataDxfId="68" totalsRowDxfId="0" dataCellStyle="Porcentagem">
      <calculatedColumnFormula>Tabela245[LUCRO*]/ABS(Tabela245[PERDA*])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L47"/>
  <sheetViews>
    <sheetView zoomScaleNormal="100" workbookViewId="0">
      <pane xSplit="8" ySplit="1" topLeftCell="U15" activePane="bottomRight" state="frozen"/>
      <selection pane="topRight" activeCell="I1" sqref="I1"/>
      <selection pane="bottomLeft" activeCell="A2" sqref="A2"/>
      <selection pane="bottomRight" activeCell="F40" sqref="F40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.140625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2" width="9.85546875" style="7" bestFit="1" customWidth="1"/>
    <col min="23" max="24" width="11.85546875" style="7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2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 x14ac:dyDescent="0.2">
      <c r="A1" s="10" t="s">
        <v>17</v>
      </c>
      <c r="B1" s="10" t="s">
        <v>54</v>
      </c>
      <c r="C1" s="10" t="s">
        <v>0</v>
      </c>
      <c r="D1" s="10" t="s">
        <v>47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40</v>
      </c>
      <c r="J1" s="10" t="s">
        <v>41</v>
      </c>
      <c r="K1" s="10" t="s">
        <v>22</v>
      </c>
      <c r="L1" s="10" t="s">
        <v>34</v>
      </c>
      <c r="M1" s="10" t="s">
        <v>35</v>
      </c>
      <c r="N1" s="11" t="s">
        <v>36</v>
      </c>
      <c r="O1" s="10" t="s">
        <v>37</v>
      </c>
      <c r="P1" s="10" t="s">
        <v>38</v>
      </c>
      <c r="Q1" s="12" t="s">
        <v>9</v>
      </c>
      <c r="R1" s="10" t="s">
        <v>4</v>
      </c>
      <c r="S1" s="12" t="s">
        <v>39</v>
      </c>
      <c r="T1" s="10" t="s">
        <v>33</v>
      </c>
      <c r="U1" s="12" t="s">
        <v>45</v>
      </c>
      <c r="V1" s="12" t="s">
        <v>5</v>
      </c>
      <c r="W1" s="10" t="s">
        <v>18</v>
      </c>
      <c r="X1" s="10" t="s">
        <v>42</v>
      </c>
      <c r="Y1" s="10" t="s">
        <v>19</v>
      </c>
      <c r="Z1" s="10" t="s">
        <v>23</v>
      </c>
      <c r="AA1" s="10" t="s">
        <v>20</v>
      </c>
      <c r="AB1" s="10" t="s">
        <v>21</v>
      </c>
      <c r="AC1" s="38" t="s">
        <v>75</v>
      </c>
      <c r="AD1" s="10" t="s">
        <v>49</v>
      </c>
      <c r="AE1" s="10" t="s">
        <v>58</v>
      </c>
      <c r="AF1" s="10" t="s">
        <v>59</v>
      </c>
      <c r="AG1" s="10" t="s">
        <v>52</v>
      </c>
      <c r="AH1" s="10" t="s">
        <v>60</v>
      </c>
      <c r="AI1" s="10" t="s">
        <v>48</v>
      </c>
      <c r="AJ1" s="10" t="s">
        <v>50</v>
      </c>
      <c r="AK1" s="10" t="s">
        <v>51</v>
      </c>
      <c r="AL1" s="10" t="s">
        <v>53</v>
      </c>
    </row>
    <row r="2" spans="1:38" ht="11.25" customHeight="1" x14ac:dyDescent="0.2">
      <c r="A2" s="13">
        <v>1</v>
      </c>
      <c r="B2" s="13"/>
      <c r="C2" s="13" t="s">
        <v>29</v>
      </c>
      <c r="D2" s="13" t="s">
        <v>25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15">
        <f>NC[QTDE]*NC[PREÇO]</f>
        <v>168.00000000000003</v>
      </c>
      <c r="M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15">
        <f>SETUP!$E$3*SUMPRODUCT(N(NC[DATA]=NC[[#This Row],[DATA]]),N(NC[ID]&lt;=NC[[#This Row],[ID]]))</f>
        <v>14.9</v>
      </c>
      <c r="R2" s="15">
        <f>TRUNC(NC[CORRETAGEM]*SETUP!$F$3,2)</f>
        <v>0.28999999999999998</v>
      </c>
      <c r="S2" s="15">
        <f>ROUND(NC[CORRETAGEM]*SETUP!$G$3,2)</f>
        <v>0.57999999999999996</v>
      </c>
      <c r="T2" s="15">
        <f>NC[VALOR LÍQUIDO DAS OPERAÇÕES]-NC[TAXA DE LIQUIDAÇÃO]-NC[EMOLUMENTOS]-NC[TAXA DE REGISTRO]-NC[CORRETAGEM]-NC[ISS]-IF(NC['[D/N']]="D",    0,    NC[OUTRAS BOVESPA])</f>
        <v>-183.98000000000005</v>
      </c>
      <c r="U2" s="15">
        <f>IF(AND(NC['[D/N']]="D",    NC[T]="CV"),    ROUND(NC[LÍQUIDO BASE]*0.01, 2),    0)</f>
        <v>0</v>
      </c>
      <c r="V2" s="15">
        <f>IF(NC[PREÇO] &gt; 0,    NC[LÍQUIDO BASE]-SUMPRODUCT(N(NC[DATA]=NC[[#This Row],[DATA]]),    NC[IRRF FONTE]),    0)</f>
        <v>-183.98000000000005</v>
      </c>
      <c r="W2" s="15">
        <f>NC[LÍQUIDO]-SUMPRODUCT(N(NC[DATA]=NC[[#This Row],[DATA]]),N(NC[ID]=(NC[[#This Row],[ID]]-1)),NC[LÍQUIDO])</f>
        <v>-183.98000000000005</v>
      </c>
      <c r="X2" s="15">
        <f>IF(NC[T] = "VC", ABS(NC[VALOR P/ OP]) / NC[QTDE], NC[VALOR P/ OP]/NC[QTDE])</f>
        <v>-0.30663333333333342</v>
      </c>
      <c r="Y2" s="15">
        <f>TRUNC(IF(OR(NC[T]="CV",NC[T]="VV"),     L2*SETUP!$H$3,     0),2)</f>
        <v>0</v>
      </c>
      <c r="Z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B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" s="15">
        <f>IF(NC[LUCRO TMP] &lt;&gt; 0, NC[LUCRO TMP] - SUMPRODUCT(N(NC[ATIVO]=NC[[#This Row],[ATIVO]]),N(NC['[D/N']]="N"),N(NC[ID]&lt;NC[[#This Row],[ID]]),N(NC[PAR]=NC[[#This Row],[PAR]]), NC[LUCRO TMP]), 0)</f>
        <v>0</v>
      </c>
      <c r="AE2" s="15">
        <f>IF(NC[U] = "U", SUMPRODUCT(N(NC[ID]&lt;=NC[[#This Row],[ID]]),N(NC[DATA BASE]=NC[[#This Row],[DATA BASE]]), N(NC['[D/N']] = "N"),    NC[LUCRO P/ OP]), 0)</f>
        <v>0</v>
      </c>
      <c r="AF2" s="15">
        <f>IF(NC[U] = "U",NC[LUCRO '[N']] + SUMPRODUCT(N(MONTH(NC[DATA BASE])&lt;MONTH(NC[[#This Row],[DATA BASE]]) ), NC[LUCRO '[N']]),0)</f>
        <v>0</v>
      </c>
      <c r="AG2" s="15">
        <f>IF(NC[U] = "U", SUMPRODUCT(N(NC[DATA BASE]=NC[[#This Row],[DATA BASE]]), N(NC['[D/N']] = "D"),    NC[LUCRO P/ OP]), 0)</f>
        <v>0</v>
      </c>
      <c r="AH2" s="19">
        <f>IF(NC[ TRIB. '[N']] &gt; 0,     ROUND(NC[ TRIB. '[N']]*0.15,    2),    0)</f>
        <v>0</v>
      </c>
      <c r="AI2" s="19">
        <f>IF(NC[LUCRO TRIB. DT] &gt; 0,     ROUND(NC[LUCRO TRIB. DT]*0.2,    2)  -  SUMPRODUCT(N(NC[DATA BASE]=NC[[#This Row],[DATA BASE]]),    NC[IRRF FONTE]),    0)</f>
        <v>0</v>
      </c>
      <c r="AJ2" s="19">
        <f>NC[IR '[N']] + NC[IR DEVIDO DT]</f>
        <v>0</v>
      </c>
      <c r="AK2" s="19">
        <f>IF(AND(NC[U] = "U",NC[IR DEVIDO] &gt; 0), NC[IR DEVIDO] + 8.9, 0)</f>
        <v>0</v>
      </c>
      <c r="AL2" s="19">
        <f>NC[LUCRO '[N']]  + NC[LUCRO TRIB. DT] - NC[RESGATE]</f>
        <v>0</v>
      </c>
    </row>
    <row r="3" spans="1:38" ht="11.25" customHeight="1" x14ac:dyDescent="0.2">
      <c r="A3" s="13">
        <v>2</v>
      </c>
      <c r="B3" s="13"/>
      <c r="C3" s="13" t="s">
        <v>30</v>
      </c>
      <c r="D3" s="13" t="s">
        <v>25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15">
        <f>NC[QTDE]*NC[PREÇO]</f>
        <v>160</v>
      </c>
      <c r="M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O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15">
        <f>SETUP!$E$3*SUMPRODUCT(N(NC[DATA]=NC[[#This Row],[DATA]]),N(NC[ID]&lt;=NC[[#This Row],[ID]]))</f>
        <v>29.8</v>
      </c>
      <c r="R3" s="15">
        <f>TRUNC(NC[CORRETAGEM]*SETUP!$F$3,2)</f>
        <v>0.59</v>
      </c>
      <c r="S3" s="15">
        <f>ROUND(NC[CORRETAGEM]*SETUP!$G$3,2)</f>
        <v>1.1599999999999999</v>
      </c>
      <c r="T3" s="15">
        <f>NC[VALOR LÍQUIDO DAS OPERAÇÕES]-NC[TAXA DE LIQUIDAÇÃO]-NC[EMOLUMENTOS]-NC[TAXA DE REGISTRO]-NC[CORRETAGEM]-NC[ISS]-IF(NC['[D/N']]="D",    0,    NC[OUTRAS BOVESPA])</f>
        <v>-359.98</v>
      </c>
      <c r="U3" s="15">
        <f>IF(AND(NC['[D/N']]="D",    NC[T]="CV"),    ROUND(NC[LÍQUIDO BASE]*0.01, 2),    0)</f>
        <v>0</v>
      </c>
      <c r="V3" s="15">
        <f>IF(NC[PREÇO] &gt; 0,    NC[LÍQUIDO BASE]-SUMPRODUCT(N(NC[DATA]=NC[[#This Row],[DATA]]),    NC[IRRF FONTE]),    0)</f>
        <v>-359.98</v>
      </c>
      <c r="W3" s="15">
        <f>NC[LÍQUIDO]-SUMPRODUCT(N(NC[DATA]=NC[[#This Row],[DATA]]),N(NC[ID]=(NC[[#This Row],[ID]]-1)),NC[LÍQUIDO])</f>
        <v>-175.99999999999997</v>
      </c>
      <c r="X3" s="15">
        <f>IF(NC[T] = "VC", ABS(NC[VALOR P/ OP]) / NC[QTDE], NC[VALOR P/ OP]/NC[QTDE])</f>
        <v>-0.43999999999999995</v>
      </c>
      <c r="Y3" s="15">
        <f>TRUNC(IF(OR(NC[T]="CV",NC[T]="VV"),     L3*SETUP!$H$3,     0),2)</f>
        <v>0</v>
      </c>
      <c r="Z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B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" s="15">
        <f>IF(NC[LUCRO TMP] &lt;&gt; 0, NC[LUCRO TMP] - SUMPRODUCT(N(NC[ATIVO]=NC[[#This Row],[ATIVO]]),N(NC['[D/N']]="N"),N(NC[ID]&lt;NC[[#This Row],[ID]]),N(NC[PAR]=NC[[#This Row],[PAR]]), NC[LUCRO TMP]), 0)</f>
        <v>0</v>
      </c>
      <c r="AE3" s="15">
        <f>IF(NC[U] = "U", SUMPRODUCT(N(NC[ID]&lt;=NC[[#This Row],[ID]]),N(NC[DATA BASE]=NC[[#This Row],[DATA BASE]]), N(NC['[D/N']] = "N"),    NC[LUCRO P/ OP]), 0)</f>
        <v>0</v>
      </c>
      <c r="AF3" s="15">
        <f>IF(NC[U] = "U",NC[LUCRO '[N']] + SUMPRODUCT(N(MONTH(NC[DATA BASE])&lt;MONTH(NC[[#This Row],[DATA BASE]]) ), NC[LUCRO '[N']]),0)</f>
        <v>0</v>
      </c>
      <c r="AG3" s="15">
        <f>IF(NC[U] = "U", SUMPRODUCT(N(NC[DATA BASE]=NC[[#This Row],[DATA BASE]]), N(NC['[D/N']] = "D"),    NC[LUCRO P/ OP]), 0)</f>
        <v>0</v>
      </c>
      <c r="AH3" s="19">
        <f>IF(NC[ TRIB. '[N']] &gt; 0,     ROUND(NC[ TRIB. '[N']]*0.15,    2),    0)</f>
        <v>0</v>
      </c>
      <c r="AI3" s="19">
        <f>IF(NC[LUCRO TRIB. DT] &gt; 0,     ROUND(NC[LUCRO TRIB. DT]*0.2,    2)  -  SUMPRODUCT(N(NC[DATA BASE]=NC[[#This Row],[DATA BASE]]),    NC[IRRF FONTE]),    0)</f>
        <v>0</v>
      </c>
      <c r="AJ3" s="19">
        <f>NC[IR '[N']] + NC[IR DEVIDO DT]</f>
        <v>0</v>
      </c>
      <c r="AK3" s="19">
        <f>IF(AND(NC[U] = "U",NC[IR DEVIDO] &gt; 0), NC[IR DEVIDO] + 8.9, 0)</f>
        <v>0</v>
      </c>
      <c r="AL3" s="19">
        <f>NC[LUCRO '[N']]  + NC[LUCRO TRIB. DT] - NC[RESGATE]</f>
        <v>0</v>
      </c>
    </row>
    <row r="4" spans="1:38" ht="11.25" customHeight="1" x14ac:dyDescent="0.2">
      <c r="A4" s="13">
        <v>3</v>
      </c>
      <c r="B4" s="13"/>
      <c r="C4" s="13" t="s">
        <v>31</v>
      </c>
      <c r="D4" s="13" t="s">
        <v>25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15">
        <f>NC[QTDE]*NC[PREÇO]</f>
        <v>228</v>
      </c>
      <c r="M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15">
        <f>SETUP!$E$3*SUMPRODUCT(N(NC[DATA]=NC[[#This Row],[DATA]]),N(NC[ID]&lt;=NC[[#This Row],[ID]]))</f>
        <v>14.9</v>
      </c>
      <c r="R4" s="15">
        <f>TRUNC(NC[CORRETAGEM]*SETUP!$F$3,2)</f>
        <v>0.28999999999999998</v>
      </c>
      <c r="S4" s="15">
        <f>ROUND(NC[CORRETAGEM]*SETUP!$G$3,2)</f>
        <v>0.57999999999999996</v>
      </c>
      <c r="T4" s="15">
        <f>NC[VALOR LÍQUIDO DAS OPERAÇÕES]-NC[TAXA DE LIQUIDAÇÃO]-NC[EMOLUMENTOS]-NC[TAXA DE REGISTRO]-NC[CORRETAGEM]-NC[ISS]-IF(NC['[D/N']]="D",    0,    NC[OUTRAS BOVESPA])</f>
        <v>-243.28</v>
      </c>
      <c r="U4" s="15">
        <f>IF(AND(NC['[D/N']]="D",    NC[T]="CV"),    ROUND(NC[LÍQUIDO BASE]*0.01, 2),    0)</f>
        <v>0</v>
      </c>
      <c r="V4" s="15">
        <f>IF(NC[PREÇO] &gt; 0,    NC[LÍQUIDO BASE]-SUMPRODUCT(N(NC[DATA]=NC[[#This Row],[DATA]]),    NC[IRRF FONTE]),    0)</f>
        <v>-245.25</v>
      </c>
      <c r="W4" s="15">
        <f>NC[LÍQUIDO]-SUMPRODUCT(N(NC[DATA]=NC[[#This Row],[DATA]]),N(NC[ID]=(NC[[#This Row],[ID]]-1)),NC[LÍQUIDO])</f>
        <v>-245.25</v>
      </c>
      <c r="X4" s="15">
        <f>IF(NC[T] = "VC", ABS(NC[VALOR P/ OP]) / NC[QTDE], NC[VALOR P/ OP]/NC[QTDE])</f>
        <v>-0.204375</v>
      </c>
      <c r="Y4" s="15">
        <f>TRUNC(IF(OR(NC[T]="CV",NC[T]="VV"),     L4*SETUP!$H$3,     0),2)</f>
        <v>0</v>
      </c>
      <c r="Z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B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" s="15">
        <f>IF(NC[LUCRO TMP] &lt;&gt; 0, NC[LUCRO TMP] - SUMPRODUCT(N(NC[ATIVO]=NC[[#This Row],[ATIVO]]),N(NC['[D/N']]="N"),N(NC[ID]&lt;NC[[#This Row],[ID]]),N(NC[PAR]=NC[[#This Row],[PAR]]), NC[LUCRO TMP]), 0)</f>
        <v>0</v>
      </c>
      <c r="AE4" s="15">
        <f>IF(NC[U] = "U", SUMPRODUCT(N(NC[ID]&lt;=NC[[#This Row],[ID]]),N(NC[DATA BASE]=NC[[#This Row],[DATA BASE]]), N(NC['[D/N']] = "N"),    NC[LUCRO P/ OP]), 0)</f>
        <v>0</v>
      </c>
      <c r="AF4" s="15">
        <f>IF(NC[U] = "U",NC[LUCRO '[N']] + SUMPRODUCT(N(MONTH(NC[DATA BASE])&lt;MONTH(NC[[#This Row],[DATA BASE]]) ), NC[LUCRO '[N']]),0)</f>
        <v>0</v>
      </c>
      <c r="AG4" s="15">
        <f>IF(NC[U] = "U", SUMPRODUCT(N(NC[DATA BASE]=NC[[#This Row],[DATA BASE]]), N(NC['[D/N']] = "D"),    NC[LUCRO P/ OP]), 0)</f>
        <v>0</v>
      </c>
      <c r="AH4" s="20">
        <f>IF(NC[ TRIB. '[N']] &gt; 0,     ROUND(NC[ TRIB. '[N']]*0.15,    2),    0)</f>
        <v>0</v>
      </c>
      <c r="AI4" s="20">
        <f>IF(NC[LUCRO TRIB. DT] &gt; 0,     ROUND(NC[LUCRO TRIB. DT]*0.2,    2)  -  SUMPRODUCT(N(NC[DATA BASE]=NC[[#This Row],[DATA BASE]]),    NC[IRRF FONTE]),    0)</f>
        <v>0</v>
      </c>
      <c r="AJ4" s="19">
        <f>NC[IR '[N']] + NC[IR DEVIDO DT]</f>
        <v>0</v>
      </c>
      <c r="AK4" s="19">
        <f>IF(AND(NC[U] = "U",NC[IR DEVIDO] &gt; 0), NC[IR DEVIDO] + 8.9, 0)</f>
        <v>0</v>
      </c>
      <c r="AL4" s="19">
        <f>NC[LUCRO '[N']]  + NC[LUCRO TRIB. DT] - NC[RESGATE]</f>
        <v>0</v>
      </c>
    </row>
    <row r="5" spans="1:38" ht="11.25" customHeight="1" x14ac:dyDescent="0.2">
      <c r="A5" s="13">
        <v>4</v>
      </c>
      <c r="B5" s="13"/>
      <c r="C5" s="13" t="s">
        <v>31</v>
      </c>
      <c r="D5" s="13" t="s">
        <v>26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15">
        <f>NC[QTDE]*NC[PREÇO]</f>
        <v>456</v>
      </c>
      <c r="M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15">
        <f>SETUP!$E$3*SUMPRODUCT(N(NC[DATA]=NC[[#This Row],[DATA]]),N(NC[ID]&lt;=NC[[#This Row],[ID]]))</f>
        <v>29.8</v>
      </c>
      <c r="R5" s="15">
        <f>TRUNC(NC[CORRETAGEM]*SETUP!$F$3,2)</f>
        <v>0.59</v>
      </c>
      <c r="S5" s="15">
        <f>ROUND(NC[CORRETAGEM]*SETUP!$G$3,2)</f>
        <v>1.1599999999999999</v>
      </c>
      <c r="T5" s="15">
        <f>NC[VALOR LÍQUIDO DAS OPERAÇÕES]-NC[TAXA DE LIQUIDAÇÃO]-NC[EMOLUMENTOS]-NC[TAXA DE REGISTRO]-NC[CORRETAGEM]-NC[ISS]-IF(NC['[D/N']]="D",    0,    NC[OUTRAS BOVESPA])</f>
        <v>197.30999999999997</v>
      </c>
      <c r="U5" s="15">
        <f>IF(AND(NC['[D/N']]="D",    NC[T]="CV"),    ROUND(NC[LÍQUIDO BASE]*0.01, 2),    0)</f>
        <v>1.97</v>
      </c>
      <c r="V5" s="15">
        <f>IF(NC[PREÇO] &gt; 0,    NC[LÍQUIDO BASE]-SUMPRODUCT(N(NC[DATA]=NC[[#This Row],[DATA]]),    NC[IRRF FONTE]),    0)</f>
        <v>195.33999999999997</v>
      </c>
      <c r="W5" s="15">
        <f>NC[LÍQUIDO]-SUMPRODUCT(N(NC[DATA]=NC[[#This Row],[DATA]]),N(NC[ID]=(NC[[#This Row],[ID]]-1)),NC[LÍQUIDO])</f>
        <v>440.59</v>
      </c>
      <c r="X5" s="15">
        <f>IF(NC[T] = "VC", ABS(NC[VALOR P/ OP]) / NC[QTDE], NC[VALOR P/ OP]/NC[QTDE])</f>
        <v>0.36715833333333331</v>
      </c>
      <c r="Y5" s="15">
        <f>TRUNC(IF(OR(NC[T]="CV",NC[T]="VV"),     L5*SETUP!$H$3,     0),2)</f>
        <v>0.02</v>
      </c>
      <c r="Z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B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197.30999999999997</v>
      </c>
      <c r="AD5" s="15">
        <f>IF(NC[LUCRO TMP] &lt;&gt; 0, NC[LUCRO TMP] - SUMPRODUCT(N(NC[ATIVO]=NC[[#This Row],[ATIVO]]),N(NC['[D/N']]="N"),N(NC[ID]&lt;NC[[#This Row],[ID]]),N(NC[PAR]=NC[[#This Row],[PAR]]), NC[LUCRO TMP]), 0)</f>
        <v>197.30999999999997</v>
      </c>
      <c r="AE5" s="15">
        <f>IF(NC[U] = "U", SUMPRODUCT(N(NC[ID]&lt;=NC[[#This Row],[ID]]),N(NC[DATA BASE]=NC[[#This Row],[DATA BASE]]), N(NC['[D/N']] = "N"),    NC[LUCRO P/ OP]), 0)</f>
        <v>0</v>
      </c>
      <c r="AF5" s="15">
        <f>IF(NC[U] = "U",NC[LUCRO '[N']] + SUMPRODUCT(N(MONTH(NC[DATA BASE])&lt;MONTH(NC[[#This Row],[DATA BASE]]) ), NC[LUCRO '[N']]),0)</f>
        <v>0</v>
      </c>
      <c r="AG5" s="15">
        <f>IF(NC[U] = "U", SUMPRODUCT(N(NC[DATA BASE]=NC[[#This Row],[DATA BASE]]), N(NC['[D/N']] = "D"),    NC[LUCRO P/ OP]), 0)</f>
        <v>0</v>
      </c>
      <c r="AH5" s="20">
        <f>IF(NC[ TRIB. '[N']] &gt; 0,     ROUND(NC[ TRIB. '[N']]*0.15,    2),    0)</f>
        <v>0</v>
      </c>
      <c r="AI5" s="20">
        <f>IF(NC[LUCRO TRIB. DT] &gt; 0,     ROUND(NC[LUCRO TRIB. DT]*0.2,    2)  -  SUMPRODUCT(N(NC[DATA BASE]=NC[[#This Row],[DATA BASE]]),    NC[IRRF FONTE]),    0)</f>
        <v>0</v>
      </c>
      <c r="AJ5" s="19">
        <f>NC[IR '[N']] + NC[IR DEVIDO DT]</f>
        <v>0</v>
      </c>
      <c r="AK5" s="19">
        <f>IF(AND(NC[U] = "U",NC[IR DEVIDO] &gt; 0), NC[IR DEVIDO] + 8.9, 0)</f>
        <v>0</v>
      </c>
      <c r="AL5" s="19">
        <f>NC[LUCRO '[N']]  + NC[LUCRO TRIB. DT] - NC[RESGATE]</f>
        <v>0</v>
      </c>
    </row>
    <row r="6" spans="1:38" ht="11.25" customHeight="1" x14ac:dyDescent="0.2">
      <c r="A6" s="13">
        <v>5</v>
      </c>
      <c r="B6" s="13"/>
      <c r="C6" s="13" t="s">
        <v>30</v>
      </c>
      <c r="D6" s="13" t="s">
        <v>26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15">
        <f>NC[QTDE]*NC[PREÇO]</f>
        <v>320</v>
      </c>
      <c r="M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O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15">
        <f>SETUP!$E$3*SUMPRODUCT(N(NC[DATA]=NC[[#This Row],[DATA]]),N(NC[ID]&lt;=NC[[#This Row],[ID]]))</f>
        <v>44.7</v>
      </c>
      <c r="R6" s="15">
        <f>TRUNC(NC[CORRETAGEM]*SETUP!$F$3,2)</f>
        <v>0.89</v>
      </c>
      <c r="S6" s="15">
        <f>ROUND(NC[CORRETAGEM]*SETUP!$G$3,2)</f>
        <v>1.74</v>
      </c>
      <c r="T6" s="15">
        <f>NC[VALOR LÍQUIDO DAS OPERAÇÕES]-NC[TAXA DE LIQUIDAÇÃO]-NC[EMOLUMENTOS]-NC[TAXA DE REGISTRO]-NC[CORRETAGEM]-NC[ISS]-IF(NC['[D/N']]="D",    0,    NC[OUTRAS BOVESPA])</f>
        <v>499.93999999999988</v>
      </c>
      <c r="U6" s="15">
        <f>IF(AND(NC['[D/N']]="D",    NC[T]="CV"),    ROUND(NC[LÍQUIDO BASE]*0.01, 2),    0)</f>
        <v>0</v>
      </c>
      <c r="V6" s="15">
        <f>IF(NC[PREÇO] &gt; 0,    NC[LÍQUIDO BASE]-SUMPRODUCT(N(NC[DATA]=NC[[#This Row],[DATA]]),    NC[IRRF FONTE]),    0)</f>
        <v>497.96999999999986</v>
      </c>
      <c r="W6" s="15">
        <f>NC[LÍQUIDO]-SUMPRODUCT(N(NC[DATA]=NC[[#This Row],[DATA]]),N(NC[ID]=(NC[[#This Row],[ID]]-1)),NC[LÍQUIDO])</f>
        <v>302.62999999999988</v>
      </c>
      <c r="X6" s="15">
        <f>IF(NC[T] = "VC", ABS(NC[VALOR P/ OP]) / NC[QTDE], NC[VALOR P/ OP]/NC[QTDE])</f>
        <v>0.75657499999999966</v>
      </c>
      <c r="Y6" s="15">
        <f>TRUNC(IF(OR(NC[T]="CV",NC[T]="VV"),     L6*SETUP!$H$3,     0),2)</f>
        <v>0.01</v>
      </c>
      <c r="Z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B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126.62999999999988</v>
      </c>
      <c r="AD6" s="15">
        <f>IF(NC[LUCRO TMP] &lt;&gt; 0, NC[LUCRO TMP] - SUMPRODUCT(N(NC[ATIVO]=NC[[#This Row],[ATIVO]]),N(NC['[D/N']]="N"),N(NC[ID]&lt;NC[[#This Row],[ID]]),N(NC[PAR]=NC[[#This Row],[PAR]]), NC[LUCRO TMP]), 0)</f>
        <v>126.62999999999988</v>
      </c>
      <c r="AE6" s="15">
        <f>IF(NC[U] = "U", SUMPRODUCT(N(NC[ID]&lt;=NC[[#This Row],[ID]]),N(NC[DATA BASE]=NC[[#This Row],[DATA BASE]]), N(NC['[D/N']] = "N"),    NC[LUCRO P/ OP]), 0)</f>
        <v>0</v>
      </c>
      <c r="AF6" s="15">
        <f>IF(NC[U] = "U",NC[LUCRO '[N']] + SUMPRODUCT(N(MONTH(NC[DATA BASE])&lt;MONTH(NC[[#This Row],[DATA BASE]]) ), NC[LUCRO '[N']]),0)</f>
        <v>0</v>
      </c>
      <c r="AG6" s="15">
        <f>IF(NC[U] = "U", SUMPRODUCT(N(NC[DATA BASE]=NC[[#This Row],[DATA BASE]]), N(NC['[D/N']] = "D"),    NC[LUCRO P/ OP]), 0)</f>
        <v>0</v>
      </c>
      <c r="AH6" s="20">
        <f>IF(NC[ TRIB. '[N']] &gt; 0,     ROUND(NC[ TRIB. '[N']]*0.15,    2),    0)</f>
        <v>0</v>
      </c>
      <c r="AI6" s="20">
        <f>IF(NC[LUCRO TRIB. DT] &gt; 0,     ROUND(NC[LUCRO TRIB. DT]*0.2,    2)  -  SUMPRODUCT(N(NC[DATA BASE]=NC[[#This Row],[DATA BASE]]),    NC[IRRF FONTE]),    0)</f>
        <v>0</v>
      </c>
      <c r="AJ6" s="19">
        <f>NC[IR '[N']] + NC[IR DEVIDO DT]</f>
        <v>0</v>
      </c>
      <c r="AK6" s="19">
        <f>IF(AND(NC[U] = "U",NC[IR DEVIDO] &gt; 0), NC[IR DEVIDO] + 8.9, 0)</f>
        <v>0</v>
      </c>
      <c r="AL6" s="19">
        <f>NC[LUCRO '[N']]  + NC[LUCRO TRIB. DT] - NC[RESGATE]</f>
        <v>0</v>
      </c>
    </row>
    <row r="7" spans="1:38" x14ac:dyDescent="0.2">
      <c r="A7" s="13">
        <v>6</v>
      </c>
      <c r="B7" s="13"/>
      <c r="C7" s="13" t="s">
        <v>32</v>
      </c>
      <c r="D7" s="13" t="s">
        <v>25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7" s="15">
        <f>NC[QTDE]*NC[PREÇO]</f>
        <v>160</v>
      </c>
      <c r="M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15">
        <f>SETUP!$E$3*SUMPRODUCT(N(NC[DATA]=NC[[#This Row],[DATA]]),N(NC[ID]&lt;=NC[[#This Row],[ID]]))</f>
        <v>59.6</v>
      </c>
      <c r="R7" s="15">
        <f>TRUNC(NC[CORRETAGEM]*SETUP!$F$3,2)</f>
        <v>1.19</v>
      </c>
      <c r="S7" s="15">
        <f>ROUND(NC[CORRETAGEM]*SETUP!$G$3,2)</f>
        <v>2.3199999999999998</v>
      </c>
      <c r="T7" s="15">
        <f>NC[VALOR LÍQUIDO DAS OPERAÇÕES]-NC[TAXA DE LIQUIDAÇÃO]-NC[EMOLUMENTOS]-NC[TAXA DE REGISTRO]-NC[CORRETAGEM]-NC[ISS]-IF(NC['[D/N']]="D",    0,    NC[OUTRAS BOVESPA])</f>
        <v>323.95999999999998</v>
      </c>
      <c r="U7" s="15">
        <f>IF(AND(NC['[D/N']]="D",    NC[T]="CV"),    ROUND(NC[LÍQUIDO BASE]*0.01, 2),    0)</f>
        <v>0</v>
      </c>
      <c r="V7" s="15">
        <f>IF(NC[PREÇO] &gt; 0,    NC[LÍQUIDO BASE]-SUMPRODUCT(N(NC[DATA]=NC[[#This Row],[DATA]]),    NC[IRRF FONTE]),    0)</f>
        <v>321.98999999999995</v>
      </c>
      <c r="W7" s="15">
        <f>NC[LÍQUIDO]-SUMPRODUCT(N(NC[DATA]=NC[[#This Row],[DATA]]),N(NC[ID]=(NC[[#This Row],[ID]]-1)),NC[LÍQUIDO])</f>
        <v>-175.9799999999999</v>
      </c>
      <c r="X7" s="15">
        <f>IF(NC[T] = "VC", ABS(NC[VALOR P/ OP]) / NC[QTDE], NC[VALOR P/ OP]/NC[QTDE])</f>
        <v>-0.87989999999999957</v>
      </c>
      <c r="Y7" s="15">
        <f>TRUNC(IF(OR(NC[T]="CV",NC[T]="VV"),     L7*SETUP!$H$3,     0),2)</f>
        <v>0</v>
      </c>
      <c r="Z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B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7" s="15">
        <f>IF(NC[LUCRO TMP] &lt;&gt; 0, NC[LUCRO TMP] - SUMPRODUCT(N(NC[ATIVO]=NC[[#This Row],[ATIVO]]),N(NC['[D/N']]="N"),N(NC[ID]&lt;NC[[#This Row],[ID]]),N(NC[PAR]=NC[[#This Row],[PAR]]), NC[LUCRO TMP]), 0)</f>
        <v>0</v>
      </c>
      <c r="AE7" s="15">
        <f>IF(NC[U] = "U", SUMPRODUCT(N(NC[ID]&lt;=NC[[#This Row],[ID]]),N(NC[DATA BASE]=NC[[#This Row],[DATA BASE]]), N(NC['[D/N']] = "N"),    NC[LUCRO P/ OP]), 0)</f>
        <v>0</v>
      </c>
      <c r="AF7" s="15">
        <f>IF(NC[U] = "U",NC[LUCRO '[N']] + SUMPRODUCT(N(MONTH(NC[DATA BASE])&lt;MONTH(NC[[#This Row],[DATA BASE]]) ), NC[LUCRO '[N']]),0)</f>
        <v>0</v>
      </c>
      <c r="AG7" s="15">
        <f>IF(NC[U] = "U", SUMPRODUCT(N(NC[DATA BASE]=NC[[#This Row],[DATA BASE]]), N(NC['[D/N']] = "D"),    NC[LUCRO P/ OP]), 0)</f>
        <v>0</v>
      </c>
      <c r="AH7" s="20">
        <f>IF(NC[ TRIB. '[N']] &gt; 0,     ROUND(NC[ TRIB. '[N']]*0.15,    2),    0)</f>
        <v>0</v>
      </c>
      <c r="AI7" s="20">
        <f>IF(NC[LUCRO TRIB. DT] &gt; 0,     ROUND(NC[LUCRO TRIB. DT]*0.2,    2)  -  SUMPRODUCT(N(NC[DATA BASE]=NC[[#This Row],[DATA BASE]]),    NC[IRRF FONTE]),    0)</f>
        <v>0</v>
      </c>
      <c r="AJ7" s="19">
        <f>NC[IR '[N']] + NC[IR DEVIDO DT]</f>
        <v>0</v>
      </c>
      <c r="AK7" s="19">
        <f>IF(AND(NC[U] = "U",NC[IR DEVIDO] &gt; 0), NC[IR DEVIDO] + 8.9, 0)</f>
        <v>0</v>
      </c>
      <c r="AL7" s="19">
        <f>NC[LUCRO '[N']]  + NC[LUCRO TRIB. DT] - NC[RESGATE]</f>
        <v>0</v>
      </c>
    </row>
    <row r="8" spans="1:38" ht="11.25" customHeight="1" x14ac:dyDescent="0.2">
      <c r="A8" s="13">
        <v>7</v>
      </c>
      <c r="B8" s="13"/>
      <c r="C8" s="13" t="s">
        <v>29</v>
      </c>
      <c r="D8" s="13" t="s">
        <v>26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15">
        <f>NC[QTDE]*NC[PREÇO]</f>
        <v>336.00000000000006</v>
      </c>
      <c r="M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O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15">
        <f>SETUP!$E$3*SUMPRODUCT(N(NC[DATA]=NC[[#This Row],[DATA]]),N(NC[ID]&lt;=NC[[#This Row],[ID]]))</f>
        <v>74.5</v>
      </c>
      <c r="R8" s="15">
        <f>TRUNC(NC[CORRETAGEM]*SETUP!$F$3,2)</f>
        <v>1.49</v>
      </c>
      <c r="S8" s="15">
        <f>ROUND(NC[CORRETAGEM]*SETUP!$G$3,2)</f>
        <v>2.91</v>
      </c>
      <c r="T8" s="15">
        <f>NC[VALOR LÍQUIDO DAS OPERAÇÕES]-NC[TAXA DE LIQUIDAÇÃO]-NC[EMOLUMENTOS]-NC[TAXA DE REGISTRO]-NC[CORRETAGEM]-NC[ISS]-IF(NC['[D/N']]="D",    0,    NC[OUTRAS BOVESPA])</f>
        <v>643.72</v>
      </c>
      <c r="U8" s="15">
        <f>IF(AND(NC['[D/N']]="D",    NC[T]="CV"),    ROUND(NC[LÍQUIDO BASE]*0.01, 2),    0)</f>
        <v>0</v>
      </c>
      <c r="V8" s="15">
        <f>IF(NC[PREÇO] &gt; 0,    NC[LÍQUIDO BASE]-SUMPRODUCT(N(NC[DATA]=NC[[#This Row],[DATA]]),    NC[IRRF FONTE]),    0)</f>
        <v>641.75</v>
      </c>
      <c r="W8" s="15">
        <f>NC[LÍQUIDO]-SUMPRODUCT(N(NC[DATA]=NC[[#This Row],[DATA]]),N(NC[ID]=(NC[[#This Row],[ID]]-1)),NC[LÍQUIDO])</f>
        <v>319.76000000000005</v>
      </c>
      <c r="X8" s="15">
        <f>IF(NC[T] = "VC", ABS(NC[VALOR P/ OP]) / NC[QTDE], NC[VALOR P/ OP]/NC[QTDE])</f>
        <v>0.53293333333333337</v>
      </c>
      <c r="Y8" s="15">
        <f>TRUNC(IF(OR(NC[T]="CV",NC[T]="VV"),     L8*SETUP!$H$3,     0),2)</f>
        <v>0.01</v>
      </c>
      <c r="Z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B8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135.77999999999997</v>
      </c>
      <c r="AD8" s="15">
        <f>IF(NC[LUCRO TMP] &lt;&gt; 0, NC[LUCRO TMP] - SUMPRODUCT(N(NC[ATIVO]=NC[[#This Row],[ATIVO]]),N(NC['[D/N']]="N"),N(NC[ID]&lt;NC[[#This Row],[ID]]),N(NC[PAR]=NC[[#This Row],[PAR]]), NC[LUCRO TMP]), 0)</f>
        <v>135.77999999999997</v>
      </c>
      <c r="AE8" s="15">
        <f>IF(NC[U] = "U", SUMPRODUCT(N(NC[ID]&lt;=NC[[#This Row],[ID]]),N(NC[DATA BASE]=NC[[#This Row],[DATA BASE]]), N(NC['[D/N']] = "N"),    NC[LUCRO P/ OP]), 0)</f>
        <v>0</v>
      </c>
      <c r="AF8" s="15">
        <f>IF(NC[U] = "U",NC[LUCRO '[N']] + SUMPRODUCT(N(MONTH(NC[DATA BASE])&lt;MONTH(NC[[#This Row],[DATA BASE]]) ), NC[LUCRO '[N']]),0)</f>
        <v>0</v>
      </c>
      <c r="AG8" s="15">
        <f>IF(NC[U] = "U", SUMPRODUCT(N(NC[DATA BASE]=NC[[#This Row],[DATA BASE]]), N(NC['[D/N']] = "D"),    NC[LUCRO P/ OP]), 0)</f>
        <v>0</v>
      </c>
      <c r="AH8" s="20">
        <f>IF(NC[ TRIB. '[N']] &gt; 0,     ROUND(NC[ TRIB. '[N']]*0.15,    2),    0)</f>
        <v>0</v>
      </c>
      <c r="AI8" s="20">
        <f>IF(NC[LUCRO TRIB. DT] &gt; 0,     ROUND(NC[LUCRO TRIB. DT]*0.2,    2)  -  SUMPRODUCT(N(NC[DATA BASE]=NC[[#This Row],[DATA BASE]]),    NC[IRRF FONTE]),    0)</f>
        <v>0</v>
      </c>
      <c r="AJ8" s="19">
        <f>NC[IR '[N']] + NC[IR DEVIDO DT]</f>
        <v>0</v>
      </c>
      <c r="AK8" s="19">
        <f>IF(AND(NC[U] = "U",NC[IR DEVIDO] &gt; 0), NC[IR DEVIDO] + 8.9, 0)</f>
        <v>0</v>
      </c>
      <c r="AL8" s="19">
        <f>NC[LUCRO '[N']]  + NC[LUCRO TRIB. DT] - NC[RESGATE]</f>
        <v>0</v>
      </c>
    </row>
    <row r="9" spans="1:38" ht="11.25" customHeight="1" x14ac:dyDescent="0.2">
      <c r="A9" s="13">
        <v>8</v>
      </c>
      <c r="B9" s="13"/>
      <c r="C9" s="13" t="s">
        <v>43</v>
      </c>
      <c r="D9" s="13" t="s">
        <v>25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15">
        <f>NC[QTDE]*NC[PREÇO]</f>
        <v>312</v>
      </c>
      <c r="M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15">
        <f>SETUP!$E$3*SUMPRODUCT(N(NC[DATA]=NC[[#This Row],[DATA]]),N(NC[ID]&lt;=NC[[#This Row],[ID]]))</f>
        <v>14.9</v>
      </c>
      <c r="R9" s="15">
        <f>TRUNC(NC[CORRETAGEM]*SETUP!$F$3,2)</f>
        <v>0.28999999999999998</v>
      </c>
      <c r="S9" s="15">
        <f>ROUND(NC[CORRETAGEM]*SETUP!$G$3,2)</f>
        <v>0.57999999999999996</v>
      </c>
      <c r="T9" s="15">
        <f>NC[VALOR LÍQUIDO DAS OPERAÇÕES]-NC[TAXA DE LIQUIDAÇÃO]-NC[EMOLUMENTOS]-NC[TAXA DE REGISTRO]-NC[CORRETAGEM]-NC[ISS]-IF(NC['[D/N']]="D",    0,    NC[OUTRAS BOVESPA])</f>
        <v>-327.31</v>
      </c>
      <c r="U9" s="15">
        <f>IF(AND(NC['[D/N']]="D",    NC[T]="CV"),    ROUND(NC[LÍQUIDO BASE]*0.01, 2),    0)</f>
        <v>0</v>
      </c>
      <c r="V9" s="15">
        <f>IF(NC[PREÇO] &gt; 0,    NC[LÍQUIDO BASE]-SUMPRODUCT(N(NC[DATA]=NC[[#This Row],[DATA]]),    NC[IRRF FONTE]),    0)</f>
        <v>-330.12</v>
      </c>
      <c r="W9" s="15">
        <f>NC[LÍQUIDO]-SUMPRODUCT(N(NC[DATA]=NC[[#This Row],[DATA]]),N(NC[ID]=(NC[[#This Row],[ID]]-1)),NC[LÍQUIDO])</f>
        <v>-330.12</v>
      </c>
      <c r="X9" s="15">
        <f>IF(NC[T] = "VC", ABS(NC[VALOR P/ OP]) / NC[QTDE], NC[VALOR P/ OP]/NC[QTDE])</f>
        <v>-0.13755000000000001</v>
      </c>
      <c r="Y9" s="15">
        <f>TRUNC(IF(OR(NC[T]="CV",NC[T]="VV"),     L9*SETUP!$H$3,     0),2)</f>
        <v>0</v>
      </c>
      <c r="Z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B9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9" s="15">
        <f>IF(NC[LUCRO TMP] &lt;&gt; 0, NC[LUCRO TMP] - SUMPRODUCT(N(NC[ATIVO]=NC[[#This Row],[ATIVO]]),N(NC['[D/N']]="N"),N(NC[ID]&lt;NC[[#This Row],[ID]]),N(NC[PAR]=NC[[#This Row],[PAR]]), NC[LUCRO TMP]), 0)</f>
        <v>0</v>
      </c>
      <c r="AE9" s="15">
        <f>IF(NC[U] = "U", SUMPRODUCT(N(NC[ID]&lt;=NC[[#This Row],[ID]]),N(NC[DATA BASE]=NC[[#This Row],[DATA BASE]]), N(NC['[D/N']] = "N"),    NC[LUCRO P/ OP]), 0)</f>
        <v>0</v>
      </c>
      <c r="AF9" s="15">
        <f>IF(NC[U] = "U",NC[LUCRO '[N']] + SUMPRODUCT(N(MONTH(NC[DATA BASE])&lt;MONTH(NC[[#This Row],[DATA BASE]]) ), NC[LUCRO '[N']]),0)</f>
        <v>0</v>
      </c>
      <c r="AG9" s="15">
        <f>IF(NC[U] = "U", SUMPRODUCT(N(NC[DATA BASE]=NC[[#This Row],[DATA BASE]]), N(NC['[D/N']] = "D"),    NC[LUCRO P/ OP]), 0)</f>
        <v>0</v>
      </c>
      <c r="AH9" s="20">
        <f>IF(NC[ TRIB. '[N']] &gt; 0,     ROUND(NC[ TRIB. '[N']]*0.15,    2),    0)</f>
        <v>0</v>
      </c>
      <c r="AI9" s="19">
        <f>IF(NC[LUCRO TRIB. DT] &gt; 0,     ROUND(NC[LUCRO TRIB. DT]*0.2,    2)  -  SUMPRODUCT(N(NC[DATA BASE]=NC[[#This Row],[DATA BASE]]),    NC[IRRF FONTE]),    0)</f>
        <v>0</v>
      </c>
      <c r="AJ9" s="19">
        <f>NC[IR '[N']] + NC[IR DEVIDO DT]</f>
        <v>0</v>
      </c>
      <c r="AK9" s="19">
        <f>IF(AND(NC[U] = "U",NC[IR DEVIDO] &gt; 0), NC[IR DEVIDO] + 8.9, 0)</f>
        <v>0</v>
      </c>
      <c r="AL9" s="19">
        <f>NC[LUCRO '[N']]  + NC[LUCRO TRIB. DT] - NC[RESGATE]</f>
        <v>0</v>
      </c>
    </row>
    <row r="10" spans="1:38" ht="11.25" customHeight="1" x14ac:dyDescent="0.2">
      <c r="A10" s="13">
        <v>9</v>
      </c>
      <c r="B10" s="13"/>
      <c r="C10" s="13" t="s">
        <v>43</v>
      </c>
      <c r="D10" s="13" t="s">
        <v>26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15">
        <f>NC[QTDE]*NC[PREÇO]</f>
        <v>624</v>
      </c>
      <c r="M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15">
        <f>SETUP!$E$3*SUMPRODUCT(N(NC[DATA]=NC[[#This Row],[DATA]]),N(NC[ID]&lt;=NC[[#This Row],[ID]]))</f>
        <v>29.8</v>
      </c>
      <c r="R10" s="15">
        <f>TRUNC(NC[CORRETAGEM]*SETUP!$F$3,2)</f>
        <v>0.59</v>
      </c>
      <c r="S10" s="15">
        <f>ROUND(NC[CORRETAGEM]*SETUP!$G$3,2)</f>
        <v>1.1599999999999999</v>
      </c>
      <c r="T10" s="15">
        <f>NC[VALOR LÍQUIDO DAS OPERAÇÕES]-NC[TAXA DE LIQUIDAÇÃO]-NC[EMOLUMENTOS]-NC[TAXA DE REGISTRO]-NC[CORRETAGEM]-NC[ISS]-IF(NC['[D/N']]="D",    0,    NC[OUTRAS BOVESPA])</f>
        <v>281.2</v>
      </c>
      <c r="U10" s="15">
        <f>IF(AND(NC['[D/N']]="D",    NC[T]="CV"),    ROUND(NC[LÍQUIDO BASE]*0.01, 2),    0)</f>
        <v>2.81</v>
      </c>
      <c r="V10" s="15">
        <f>IF(NC[PREÇO] &gt; 0,    NC[LÍQUIDO BASE]-SUMPRODUCT(N(NC[DATA]=NC[[#This Row],[DATA]]),    NC[IRRF FONTE]),    0)</f>
        <v>278.39</v>
      </c>
      <c r="W10" s="15">
        <f>NC[LÍQUIDO]-SUMPRODUCT(N(NC[DATA]=NC[[#This Row],[DATA]]),N(NC[ID]=(NC[[#This Row],[ID]]-1)),NC[LÍQUIDO])</f>
        <v>608.51</v>
      </c>
      <c r="X10" s="15">
        <f>IF(NC[T] = "VC", ABS(NC[VALOR P/ OP]) / NC[QTDE], NC[VALOR P/ OP]/NC[QTDE])</f>
        <v>0.2535458333333333</v>
      </c>
      <c r="Y10" s="15">
        <f>TRUNC(IF(OR(NC[T]="CV",NC[T]="VV"),     L10*SETUP!$H$3,     0),2)</f>
        <v>0.03</v>
      </c>
      <c r="Z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B10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281.19999999999993</v>
      </c>
      <c r="AD10" s="15">
        <f>IF(NC[LUCRO TMP] &lt;&gt; 0, NC[LUCRO TMP] - SUMPRODUCT(N(NC[ATIVO]=NC[[#This Row],[ATIVO]]),N(NC['[D/N']]="N"),N(NC[ID]&lt;NC[[#This Row],[ID]]),N(NC[PAR]=NC[[#This Row],[PAR]]), NC[LUCRO TMP]), 0)</f>
        <v>281.19999999999993</v>
      </c>
      <c r="AE10" s="15">
        <f>IF(NC[U] = "U", SUMPRODUCT(N(NC[ID]&lt;=NC[[#This Row],[ID]]),N(NC[DATA BASE]=NC[[#This Row],[DATA BASE]]), N(NC['[D/N']] = "N"),    NC[LUCRO P/ OP]), 0)</f>
        <v>0</v>
      </c>
      <c r="AF10" s="15">
        <f>IF(NC[U] = "U",NC[LUCRO '[N']] + SUMPRODUCT(N(MONTH(NC[DATA BASE])&lt;MONTH(NC[[#This Row],[DATA BASE]]) ), NC[LUCRO '[N']]),0)</f>
        <v>0</v>
      </c>
      <c r="AG10" s="15">
        <f>IF(NC[U] = "U", SUMPRODUCT(N(NC[DATA BASE]=NC[[#This Row],[DATA BASE]]), N(NC['[D/N']] = "D"),    NC[LUCRO P/ OP]), 0)</f>
        <v>0</v>
      </c>
      <c r="AH10" s="20">
        <f>IF(NC[ TRIB. '[N']] &gt; 0,     ROUND(NC[ TRIB. '[N']]*0.15,    2),    0)</f>
        <v>0</v>
      </c>
      <c r="AI10" s="19">
        <f>IF(NC[LUCRO TRIB. DT] &gt; 0,     ROUND(NC[LUCRO TRIB. DT]*0.2,    2)  -  SUMPRODUCT(N(NC[DATA BASE]=NC[[#This Row],[DATA BASE]]),    NC[IRRF FONTE]),    0)</f>
        <v>0</v>
      </c>
      <c r="AJ10" s="19">
        <f>NC[IR '[N']] + NC[IR DEVIDO DT]</f>
        <v>0</v>
      </c>
      <c r="AK10" s="19">
        <f>IF(AND(NC[U] = "U",NC[IR DEVIDO] &gt; 0), NC[IR DEVIDO] + 8.9, 0)</f>
        <v>0</v>
      </c>
      <c r="AL10" s="19">
        <f>NC[LUCRO '[N']]  + NC[LUCRO TRIB. DT] - NC[RESGATE]</f>
        <v>0</v>
      </c>
    </row>
    <row r="11" spans="1:38" ht="11.25" customHeight="1" x14ac:dyDescent="0.2">
      <c r="A11" s="13">
        <v>10</v>
      </c>
      <c r="B11" s="13"/>
      <c r="C11" s="13" t="s">
        <v>44</v>
      </c>
      <c r="D11" s="13" t="s">
        <v>25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15">
        <f>NC[QTDE]*NC[PREÇO]</f>
        <v>312</v>
      </c>
      <c r="M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15">
        <f>SETUP!$E$3*SUMPRODUCT(N(NC[DATA]=NC[[#This Row],[DATA]]),N(NC[ID]&lt;=NC[[#This Row],[ID]]))</f>
        <v>44.7</v>
      </c>
      <c r="R11" s="15">
        <f>TRUNC(NC[CORRETAGEM]*SETUP!$F$3,2)</f>
        <v>0.89</v>
      </c>
      <c r="S11" s="15">
        <f>ROUND(NC[CORRETAGEM]*SETUP!$G$3,2)</f>
        <v>1.74</v>
      </c>
      <c r="T11" s="15">
        <f>NC[VALOR LÍQUIDO DAS OPERAÇÕES]-NC[TAXA DE LIQUIDAÇÃO]-NC[EMOLUMENTOS]-NC[TAXA DE REGISTRO]-NC[CORRETAGEM]-NC[ISS]-IF(NC['[D/N']]="D",    0,    NC[OUTRAS BOVESPA])</f>
        <v>-48.150000000000006</v>
      </c>
      <c r="U11" s="15">
        <f>IF(AND(NC['[D/N']]="D",    NC[T]="CV"),    ROUND(NC[LÍQUIDO BASE]*0.01, 2),    0)</f>
        <v>0</v>
      </c>
      <c r="V11" s="15">
        <f>IF(NC[PREÇO] &gt; 0,    NC[LÍQUIDO BASE]-SUMPRODUCT(N(NC[DATA]=NC[[#This Row],[DATA]]),    NC[IRRF FONTE]),    0)</f>
        <v>-50.960000000000008</v>
      </c>
      <c r="W11" s="15">
        <f>NC[LÍQUIDO]-SUMPRODUCT(N(NC[DATA]=NC[[#This Row],[DATA]]),N(NC[ID]=(NC[[#This Row],[ID]]-1)),NC[LÍQUIDO])</f>
        <v>-329.35</v>
      </c>
      <c r="X11" s="15">
        <f>IF(NC[T] = "VC", ABS(NC[VALOR P/ OP]) / NC[QTDE], NC[VALOR P/ OP]/NC[QTDE])</f>
        <v>-0.41168750000000004</v>
      </c>
      <c r="Y11" s="15">
        <f>TRUNC(IF(OR(NC[T]="CV",NC[T]="VV"),     L11*SETUP!$H$3,     0),2)</f>
        <v>0</v>
      </c>
      <c r="Z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B1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1" s="15">
        <f>IF(NC[LUCRO TMP] &lt;&gt; 0, NC[LUCRO TMP] - SUMPRODUCT(N(NC[ATIVO]=NC[[#This Row],[ATIVO]]),N(NC['[D/N']]="N"),N(NC[ID]&lt;NC[[#This Row],[ID]]),N(NC[PAR]=NC[[#This Row],[PAR]]), NC[LUCRO TMP]), 0)</f>
        <v>0</v>
      </c>
      <c r="AE11" s="15">
        <f>IF(NC[U] = "U", SUMPRODUCT(N(NC[ID]&lt;=NC[[#This Row],[ID]]),N(NC[DATA BASE]=NC[[#This Row],[DATA BASE]]), N(NC['[D/N']] = "N"),    NC[LUCRO P/ OP]), 0)</f>
        <v>0</v>
      </c>
      <c r="AF11" s="15">
        <f>IF(NC[U] = "U",NC[LUCRO '[N']] + SUMPRODUCT(N(MONTH(NC[DATA BASE])&lt;MONTH(NC[[#This Row],[DATA BASE]]) ), NC[LUCRO '[N']]),0)</f>
        <v>0</v>
      </c>
      <c r="AG11" s="15">
        <f>IF(NC[U] = "U", SUMPRODUCT(N(NC[DATA BASE]=NC[[#This Row],[DATA BASE]]), N(NC['[D/N']] = "D"),    NC[LUCRO P/ OP]), 0)</f>
        <v>0</v>
      </c>
      <c r="AH11" s="19">
        <f>IF(NC[ TRIB. '[N']] &gt; 0,     ROUND(NC[ TRIB. '[N']]*0.15,    2),    0)</f>
        <v>0</v>
      </c>
      <c r="AI11" s="19">
        <f>IF(NC[LUCRO TRIB. DT] &gt; 0,     ROUND(NC[LUCRO TRIB. DT]*0.2,    2)  -  SUMPRODUCT(N(NC[DATA BASE]=NC[[#This Row],[DATA BASE]]),    NC[IRRF FONTE]),    0)</f>
        <v>0</v>
      </c>
      <c r="AJ11" s="19">
        <f>NC[IR '[N']] + NC[IR DEVIDO DT]</f>
        <v>0</v>
      </c>
      <c r="AK11" s="19">
        <f>IF(AND(NC[U] = "U",NC[IR DEVIDO] &gt; 0), NC[IR DEVIDO] + 8.9, 0)</f>
        <v>0</v>
      </c>
      <c r="AL11" s="19">
        <f>NC[LUCRO '[N']]  + NC[LUCRO TRIB. DT] - NC[RESGATE]</f>
        <v>0</v>
      </c>
    </row>
    <row r="12" spans="1:38" ht="11.25" customHeight="1" x14ac:dyDescent="0.2">
      <c r="A12" s="13">
        <v>11</v>
      </c>
      <c r="B12" s="13"/>
      <c r="C12" s="13" t="s">
        <v>46</v>
      </c>
      <c r="D12" s="13" t="s">
        <v>25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15">
        <f>NC[QTDE]*NC[PREÇO]</f>
        <v>360</v>
      </c>
      <c r="M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O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15">
        <f>SETUP!$E$3*SUMPRODUCT(N(NC[DATA]=NC[[#This Row],[DATA]]),N(NC[ID]&lt;=NC[[#This Row],[ID]]))</f>
        <v>14.9</v>
      </c>
      <c r="R12" s="15">
        <f>TRUNC(NC[CORRETAGEM]*SETUP!$F$3,2)</f>
        <v>0.28999999999999998</v>
      </c>
      <c r="S12" s="15">
        <f>ROUND(NC[CORRETAGEM]*SETUP!$G$3,2)</f>
        <v>0.57999999999999996</v>
      </c>
      <c r="T12" s="15">
        <f>NC[VALOR LÍQUIDO DAS OPERAÇÕES]-NC[TAXA DE LIQUIDAÇÃO]-NC[EMOLUMENTOS]-NC[TAXA DE REGISTRO]-NC[CORRETAGEM]-NC[ISS]-IF(NC['[D/N']]="D",    0,    NC[OUTRAS BOVESPA])</f>
        <v>-376.23999999999995</v>
      </c>
      <c r="U12" s="15">
        <f>IF(AND(NC['[D/N']]="D",    NC[T]="CV"),    ROUND(NC[LÍQUIDO BASE]*0.01, 2),    0)</f>
        <v>0</v>
      </c>
      <c r="V12" s="15">
        <f>IF(NC[PREÇO] &gt; 0,    NC[LÍQUIDO BASE]-SUMPRODUCT(N(NC[DATA]=NC[[#This Row],[DATA]]),    NC[IRRF FONTE]),    0)</f>
        <v>-376.23999999999995</v>
      </c>
      <c r="W12" s="15">
        <f>NC[LÍQUIDO]-SUMPRODUCT(N(NC[DATA]=NC[[#This Row],[DATA]]),N(NC[ID]=(NC[[#This Row],[ID]]-1)),NC[LÍQUIDO])</f>
        <v>-376.23999999999995</v>
      </c>
      <c r="X12" s="15">
        <f>IF(NC[T] = "VC", ABS(NC[VALOR P/ OP]) / NC[QTDE], NC[VALOR P/ OP]/NC[QTDE])</f>
        <v>-0.75247999999999993</v>
      </c>
      <c r="Y12" s="15">
        <f>TRUNC(IF(OR(NC[T]="CV",NC[T]="VV"),     L12*SETUP!$H$3,     0),2)</f>
        <v>0</v>
      </c>
      <c r="Z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B1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2" s="15">
        <f>IF(NC[LUCRO TMP] &lt;&gt; 0, NC[LUCRO TMP] - SUMPRODUCT(N(NC[ATIVO]=NC[[#This Row],[ATIVO]]),N(NC['[D/N']]="N"),N(NC[ID]&lt;NC[[#This Row],[ID]]),N(NC[PAR]=NC[[#This Row],[PAR]]), NC[LUCRO TMP]), 0)</f>
        <v>0</v>
      </c>
      <c r="AE12" s="15">
        <f>IF(NC[U] = "U", SUMPRODUCT(N(NC[ID]&lt;=NC[[#This Row],[ID]]),N(NC[DATA BASE]=NC[[#This Row],[DATA BASE]]), N(NC['[D/N']] = "N"),    NC[LUCRO P/ OP]), 0)</f>
        <v>0</v>
      </c>
      <c r="AF12" s="15">
        <f>IF(NC[U] = "U",NC[LUCRO '[N']] + SUMPRODUCT(N(MONTH(NC[DATA BASE])&lt;MONTH(NC[[#This Row],[DATA BASE]]) ), NC[LUCRO '[N']]),0)</f>
        <v>0</v>
      </c>
      <c r="AG12" s="15">
        <f>IF(NC[U] = "U", SUMPRODUCT(N(NC[DATA BASE]=NC[[#This Row],[DATA BASE]]), N(NC['[D/N']] = "D"),    NC[LUCRO P/ OP]), 0)</f>
        <v>0</v>
      </c>
      <c r="AH12" s="20">
        <f>IF(NC[ TRIB. '[N']] &gt; 0,     ROUND(NC[ TRIB. '[N']]*0.15,    2),    0)</f>
        <v>0</v>
      </c>
      <c r="AI12" s="20">
        <f>IF(NC[LUCRO TRIB. DT] &gt; 0,     ROUND(NC[LUCRO TRIB. DT]*0.2,    2)  -  SUMPRODUCT(N(NC[DATA BASE]=NC[[#This Row],[DATA BASE]]),    NC[IRRF FONTE]),    0)</f>
        <v>0</v>
      </c>
      <c r="AJ12" s="19">
        <f>NC[IR '[N']] + NC[IR DEVIDO DT]</f>
        <v>0</v>
      </c>
      <c r="AK12" s="19">
        <f>IF(AND(NC[U] = "U",NC[IR DEVIDO] &gt; 0), NC[IR DEVIDO] + 8.9, 0)</f>
        <v>0</v>
      </c>
      <c r="AL12" s="19">
        <f>NC[LUCRO '[N']]  + NC[LUCRO TRIB. DT] - NC[RESGATE]</f>
        <v>0</v>
      </c>
    </row>
    <row r="13" spans="1:38" ht="11.25" customHeight="1" x14ac:dyDescent="0.2">
      <c r="A13" s="13">
        <v>12</v>
      </c>
      <c r="B13" s="13"/>
      <c r="C13" s="13" t="s">
        <v>44</v>
      </c>
      <c r="D13" s="13" t="s">
        <v>26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15">
        <f>NC[QTDE]*NC[PREÇO]</f>
        <v>168</v>
      </c>
      <c r="M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15">
        <f>SETUP!$E$3*SUMPRODUCT(N(NC[DATA]=NC[[#This Row],[DATA]]),N(NC[ID]&lt;=NC[[#This Row],[ID]]))</f>
        <v>14.9</v>
      </c>
      <c r="R13" s="15">
        <f>TRUNC(NC[CORRETAGEM]*SETUP!$F$3,2)</f>
        <v>0.28999999999999998</v>
      </c>
      <c r="S13" s="15">
        <f>ROUND(NC[CORRETAGEM]*SETUP!$G$3,2)</f>
        <v>0.57999999999999996</v>
      </c>
      <c r="T13" s="15">
        <f>NC[VALOR LÍQUIDO DAS OPERAÇÕES]-NC[TAXA DE LIQUIDAÇÃO]-NC[EMOLUMENTOS]-NC[TAXA DE REGISTRO]-NC[CORRETAGEM]-NC[ISS]-IF(NC['[D/N']]="D",    0,    NC[OUTRAS BOVESPA])</f>
        <v>152.01999999999998</v>
      </c>
      <c r="U13" s="15">
        <f>IF(AND(NC['[D/N']]="D",    NC[T]="CV"),    ROUND(NC[LÍQUIDO BASE]*0.01, 2),    0)</f>
        <v>0</v>
      </c>
      <c r="V13" s="15">
        <f>IF(NC[PREÇO] &gt; 0,    NC[LÍQUIDO BASE]-SUMPRODUCT(N(NC[DATA]=NC[[#This Row],[DATA]]),    NC[IRRF FONTE]),    0)</f>
        <v>152.01999999999998</v>
      </c>
      <c r="W13" s="20">
        <f>NC[LÍQUIDO]-SUMPRODUCT(N(NC[DATA]=NC[[#This Row],[DATA]]),N(NC[ID]=(NC[[#This Row],[ID]]-1)),NC[LÍQUIDO])</f>
        <v>152.01999999999998</v>
      </c>
      <c r="X13" s="15">
        <f>IF(NC[T] = "VC", ABS(NC[VALOR P/ OP]) / NC[QTDE], NC[VALOR P/ OP]/NC[QTDE])</f>
        <v>0.19002499999999997</v>
      </c>
      <c r="Y13" s="15">
        <f>TRUNC(IF(OR(NC[T]="CV",NC[T]="VV"),     L13*SETUP!$H$3,     0),2)</f>
        <v>0</v>
      </c>
      <c r="Z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B1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-177.33000000000004</v>
      </c>
      <c r="AD13" s="15">
        <f>IF(NC[LUCRO TMP] &lt;&gt; 0, NC[LUCRO TMP] - SUMPRODUCT(N(NC[ATIVO]=NC[[#This Row],[ATIVO]]),N(NC['[D/N']]="N"),N(NC[ID]&lt;NC[[#This Row],[ID]]),N(NC[PAR]=NC[[#This Row],[PAR]]), NC[LUCRO TMP]), 0)</f>
        <v>-177.33000000000004</v>
      </c>
      <c r="AE13" s="15">
        <f>IF(NC[U] = "U", SUMPRODUCT(N(NC[ID]&lt;=NC[[#This Row],[ID]]),N(NC[DATA BASE]=NC[[#This Row],[DATA BASE]]), N(NC['[D/N']] = "N"),    NC[LUCRO P/ OP]), 0)</f>
        <v>0</v>
      </c>
      <c r="AF13" s="15">
        <f>IF(NC[U] = "U",NC[LUCRO '[N']] + SUMPRODUCT(N(MONTH(NC[DATA BASE])&lt;MONTH(NC[[#This Row],[DATA BASE]]) ), NC[LUCRO '[N']]),0)</f>
        <v>0</v>
      </c>
      <c r="AG13" s="15">
        <f>IF(NC[U] = "U", SUMPRODUCT(N(NC[DATA BASE]=NC[[#This Row],[DATA BASE]]), N(NC['[D/N']] = "D"),    NC[LUCRO P/ OP]), 0)</f>
        <v>0</v>
      </c>
      <c r="AH13" s="20">
        <f>IF(NC[ TRIB. '[N']] &gt; 0,     ROUND(NC[ TRIB. '[N']]*0.15,    2),    0)</f>
        <v>0</v>
      </c>
      <c r="AI13" s="20">
        <f>IF(NC[LUCRO TRIB. DT] &gt; 0,     ROUND(NC[LUCRO TRIB. DT]*0.2,    2)  -  SUMPRODUCT(N(NC[DATA BASE]=NC[[#This Row],[DATA BASE]]),    NC[IRRF FONTE]),    0)</f>
        <v>0</v>
      </c>
      <c r="AJ13" s="19">
        <f>NC[IR '[N']] + NC[IR DEVIDO DT]</f>
        <v>0</v>
      </c>
      <c r="AK13" s="19">
        <f>IF(AND(NC[U] = "U",NC[IR DEVIDO] &gt; 0), NC[IR DEVIDO] + 8.9, 0)</f>
        <v>0</v>
      </c>
      <c r="AL13" s="19">
        <f>NC[LUCRO '[N']]  + NC[LUCRO TRIB. DT] - NC[RESGATE]</f>
        <v>0</v>
      </c>
    </row>
    <row r="14" spans="1:38" ht="11.25" customHeight="1" x14ac:dyDescent="0.2">
      <c r="A14" s="13">
        <v>13</v>
      </c>
      <c r="B14" s="13"/>
      <c r="C14" s="13" t="s">
        <v>46</v>
      </c>
      <c r="D14" s="13" t="s">
        <v>26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15">
        <f>NC[QTDE]*NC[PREÇO]</f>
        <v>320</v>
      </c>
      <c r="M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O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15">
        <f>SETUP!$E$3*SUMPRODUCT(N(NC[DATA]=NC[[#This Row],[DATA]]),N(NC[ID]&lt;=NC[[#This Row],[ID]]))</f>
        <v>29.8</v>
      </c>
      <c r="R14" s="15">
        <f>TRUNC(NC[CORRETAGEM]*SETUP!$F$3,2)</f>
        <v>0.59</v>
      </c>
      <c r="S14" s="15">
        <f>ROUND(NC[CORRETAGEM]*SETUP!$G$3,2)</f>
        <v>1.1599999999999999</v>
      </c>
      <c r="T14" s="15">
        <f>NC[VALOR LÍQUIDO DAS OPERAÇÕES]-NC[TAXA DE LIQUIDAÇÃO]-NC[EMOLUMENTOS]-NC[TAXA DE REGISTRO]-NC[CORRETAGEM]-NC[ISS]-IF(NC['[D/N']]="D",    0,    NC[OUTRAS BOVESPA])</f>
        <v>455.81</v>
      </c>
      <c r="U14" s="15">
        <f>IF(AND(NC['[D/N']]="D",    NC[T]="CV"),    ROUND(NC[LÍQUIDO BASE]*0.01, 2),    0)</f>
        <v>0</v>
      </c>
      <c r="V14" s="15">
        <f>IF(NC[PREÇO] &gt; 0,    NC[LÍQUIDO BASE]-SUMPRODUCT(N(NC[DATA]=NC[[#This Row],[DATA]]),    NC[IRRF FONTE]),    0)</f>
        <v>455.81</v>
      </c>
      <c r="W14" s="20">
        <f>NC[LÍQUIDO]-SUMPRODUCT(N(NC[DATA]=NC[[#This Row],[DATA]]),N(NC[ID]=(NC[[#This Row],[ID]]-1)),NC[LÍQUIDO])</f>
        <v>303.79000000000002</v>
      </c>
      <c r="X14" s="15">
        <f>IF(NC[T] = "VC", ABS(NC[VALOR P/ OP]) / NC[QTDE], NC[VALOR P/ OP]/NC[QTDE])</f>
        <v>0.60758000000000001</v>
      </c>
      <c r="Y14" s="15">
        <f>TRUNC(IF(OR(NC[T]="CV",NC[T]="VV"),     L14*SETUP!$H$3,     0),2)</f>
        <v>0.01</v>
      </c>
      <c r="Z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B1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-72.44999999999996</v>
      </c>
      <c r="AD14" s="15">
        <f>IF(NC[LUCRO TMP] &lt;&gt; 0, NC[LUCRO TMP] - SUMPRODUCT(N(NC[ATIVO]=NC[[#This Row],[ATIVO]]),N(NC['[D/N']]="N"),N(NC[ID]&lt;NC[[#This Row],[ID]]),N(NC[PAR]=NC[[#This Row],[PAR]]), NC[LUCRO TMP]), 0)</f>
        <v>-72.44999999999996</v>
      </c>
      <c r="AE14" s="15">
        <f>IF(NC[U] = "U", SUMPRODUCT(N(NC[ID]&lt;=NC[[#This Row],[ID]]),N(NC[DATA BASE]=NC[[#This Row],[DATA BASE]]), N(NC['[D/N']] = "N"),    NC[LUCRO P/ OP]), 0)</f>
        <v>0</v>
      </c>
      <c r="AF14" s="15">
        <f>IF(NC[U] = "U",NC[LUCRO '[N']] + SUMPRODUCT(N(MONTH(NC[DATA BASE])&lt;MONTH(NC[[#This Row],[DATA BASE]]) ), NC[LUCRO '[N']]),0)</f>
        <v>0</v>
      </c>
      <c r="AG14" s="15">
        <f>IF(NC[U] = "U", SUMPRODUCT(N(NC[DATA BASE]=NC[[#This Row],[DATA BASE]]), N(NC['[D/N']] = "D"),    NC[LUCRO P/ OP]), 0)</f>
        <v>0</v>
      </c>
      <c r="AH14" s="20">
        <f>IF(NC[ TRIB. '[N']] &gt; 0,     ROUND(NC[ TRIB. '[N']]*0.15,    2),    0)</f>
        <v>0</v>
      </c>
      <c r="AI14" s="20">
        <f>IF(NC[LUCRO TRIB. DT] &gt; 0,     ROUND(NC[LUCRO TRIB. DT]*0.2,    2)  -  SUMPRODUCT(N(NC[DATA BASE]=NC[[#This Row],[DATA BASE]]),    NC[IRRF FONTE]),    0)</f>
        <v>0</v>
      </c>
      <c r="AJ14" s="19">
        <f>NC[IR '[N']] + NC[IR DEVIDO DT]</f>
        <v>0</v>
      </c>
      <c r="AK14" s="19">
        <f>IF(AND(NC[U] = "U",NC[IR DEVIDO] &gt; 0), NC[IR DEVIDO] + 8.9, 0)</f>
        <v>0</v>
      </c>
      <c r="AL14" s="19">
        <f>NC[LUCRO '[N']]  + NC[LUCRO TRIB. DT] - NC[RESGATE]</f>
        <v>0</v>
      </c>
    </row>
    <row r="15" spans="1:38" x14ac:dyDescent="0.2">
      <c r="A15" s="13">
        <v>14</v>
      </c>
      <c r="B15" s="13"/>
      <c r="C15" s="13" t="s">
        <v>32</v>
      </c>
      <c r="D15" s="13" t="s">
        <v>26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5" s="15">
        <f>NC[QTDE]*NC[PREÇO]</f>
        <v>106</v>
      </c>
      <c r="M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15">
        <f>SETUP!$E$3*SUMPRODUCT(N(NC[DATA]=NC[[#This Row],[DATA]]),N(NC[ID]&lt;=NC[[#This Row],[ID]]))</f>
        <v>44.7</v>
      </c>
      <c r="R15" s="15">
        <f>TRUNC(NC[CORRETAGEM]*SETUP!$F$3,2)</f>
        <v>0.89</v>
      </c>
      <c r="S15" s="15">
        <f>ROUND(NC[CORRETAGEM]*SETUP!$G$3,2)</f>
        <v>1.74</v>
      </c>
      <c r="T15" s="15">
        <f>NC[VALOR LÍQUIDO DAS OPERAÇÕES]-NC[TAXA DE LIQUIDAÇÃO]-NC[EMOLUMENTOS]-NC[TAXA DE REGISTRO]-NC[CORRETAGEM]-NC[ISS]-IF(NC['[D/N']]="D",    0,    NC[OUTRAS BOVESPA])</f>
        <v>545.89</v>
      </c>
      <c r="U15" s="15">
        <f>IF(AND(NC['[D/N']]="D",    NC[T]="CV"),    ROUND(NC[LÍQUIDO BASE]*0.01, 2),    0)</f>
        <v>0</v>
      </c>
      <c r="V15" s="15">
        <f>IF(NC[PREÇO] &gt; 0,    NC[LÍQUIDO BASE]-SUMPRODUCT(N(NC[DATA]=NC[[#This Row],[DATA]]),    NC[IRRF FONTE]),    0)</f>
        <v>545.89</v>
      </c>
      <c r="W15" s="20">
        <f>NC[LÍQUIDO]-SUMPRODUCT(N(NC[DATA]=NC[[#This Row],[DATA]]),N(NC[ID]=(NC[[#This Row],[ID]]-1)),NC[LÍQUIDO])</f>
        <v>90.079999999999984</v>
      </c>
      <c r="X15" s="15">
        <f>IF(NC[T] = "VC", ABS(NC[VALOR P/ OP]) / NC[QTDE], NC[VALOR P/ OP]/NC[QTDE])</f>
        <v>0.90079999999999982</v>
      </c>
      <c r="Y15" s="15">
        <f>TRUNC(IF(OR(NC[T]="CV",NC[T]="VV"),     L15*SETUP!$H$3,     0),2)</f>
        <v>0</v>
      </c>
      <c r="Z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B1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2.0900000000000252</v>
      </c>
      <c r="AD15" s="15">
        <f>IF(NC[LUCRO TMP] &lt;&gt; 0, NC[LUCRO TMP] - SUMPRODUCT(N(NC[ATIVO]=NC[[#This Row],[ATIVO]]),N(NC['[D/N']]="N"),N(NC[ID]&lt;NC[[#This Row],[ID]]),N(NC[PAR]=NC[[#This Row],[PAR]]), NC[LUCRO TMP]), 0)</f>
        <v>2.0900000000000252</v>
      </c>
      <c r="AE15" s="15">
        <f>IF(NC[U] = "U", SUMPRODUCT(N(NC[ID]&lt;=NC[[#This Row],[ID]]),N(NC[DATA BASE]=NC[[#This Row],[DATA BASE]]), N(NC['[D/N']] = "N"),    NC[LUCRO P/ OP]), 0)</f>
        <v>0</v>
      </c>
      <c r="AF15" s="15">
        <f>IF(NC[U] = "U",NC[LUCRO '[N']] + SUMPRODUCT(N(MONTH(NC[DATA BASE])&lt;MONTH(NC[[#This Row],[DATA BASE]]) ), NC[LUCRO '[N']]),0)</f>
        <v>0</v>
      </c>
      <c r="AG15" s="15">
        <f>IF(NC[U] = "U", SUMPRODUCT(N(NC[DATA BASE]=NC[[#This Row],[DATA BASE]]), N(NC['[D/N']] = "D"),    NC[LUCRO P/ OP]), 0)</f>
        <v>0</v>
      </c>
      <c r="AH15" s="20">
        <f>IF(NC[ TRIB. '[N']] &gt; 0,     ROUND(NC[ TRIB. '[N']]*0.15,    2),    0)</f>
        <v>0</v>
      </c>
      <c r="AI15" s="20">
        <f>IF(NC[LUCRO TRIB. DT] &gt; 0,     ROUND(NC[LUCRO TRIB. DT]*0.2,    2)  -  SUMPRODUCT(N(NC[DATA BASE]=NC[[#This Row],[DATA BASE]]),    NC[IRRF FONTE]),    0)</f>
        <v>0</v>
      </c>
      <c r="AJ15" s="19">
        <f>NC[IR '[N']] + NC[IR DEVIDO DT]</f>
        <v>0</v>
      </c>
      <c r="AK15" s="19">
        <f>IF(AND(NC[U] = "U",NC[IR DEVIDO] &gt; 0), NC[IR DEVIDO] + 8.9, 0)</f>
        <v>0</v>
      </c>
      <c r="AL15" s="19">
        <f>NC[LUCRO '[N']]  + NC[LUCRO TRIB. DT] - NC[RESGATE]</f>
        <v>0</v>
      </c>
    </row>
    <row r="16" spans="1:38" ht="11.25" customHeight="1" x14ac:dyDescent="0.2">
      <c r="A16" s="13">
        <v>15</v>
      </c>
      <c r="B16" s="13"/>
      <c r="C16" s="13" t="s">
        <v>55</v>
      </c>
      <c r="D16" s="13" t="s">
        <v>25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15">
        <f>NC[QTDE]*NC[PREÇO]</f>
        <v>420</v>
      </c>
      <c r="M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O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15">
        <f>SETUP!$E$3*SUMPRODUCT(N(NC[DATA]=NC[[#This Row],[DATA]]),N(NC[ID]&lt;=NC[[#This Row],[ID]]))</f>
        <v>14.9</v>
      </c>
      <c r="R16" s="15">
        <f>TRUNC(NC[CORRETAGEM]*SETUP!$F$3,2)</f>
        <v>0.28999999999999998</v>
      </c>
      <c r="S16" s="15">
        <f>ROUND(NC[CORRETAGEM]*SETUP!$G$3,2)</f>
        <v>0.57999999999999996</v>
      </c>
      <c r="T16" s="15">
        <f>NC[VALOR LÍQUIDO DAS OPERAÇÕES]-NC[TAXA DE LIQUIDAÇÃO]-NC[EMOLUMENTOS]-NC[TAXA DE REGISTRO]-NC[CORRETAGEM]-NC[ISS]-IF(NC['[D/N']]="D",    0,    NC[OUTRAS BOVESPA])</f>
        <v>-436.32</v>
      </c>
      <c r="U16" s="15">
        <f>IF(AND(NC['[D/N']]="D",    NC[T]="CV"),    ROUND(NC[LÍQUIDO BASE]*0.01, 2),    0)</f>
        <v>0</v>
      </c>
      <c r="V16" s="15">
        <f>IF(NC[PREÇO] &gt; 0,    NC[LÍQUIDO BASE]-SUMPRODUCT(N(NC[DATA]=NC[[#This Row],[DATA]]),    NC[IRRF FONTE]),    0)</f>
        <v>-436.32</v>
      </c>
      <c r="W16" s="20">
        <f>NC[LÍQUIDO]-SUMPRODUCT(N(NC[DATA]=NC[[#This Row],[DATA]]),N(NC[ID]=(NC[[#This Row],[ID]]-1)),NC[LÍQUIDO])</f>
        <v>-436.32</v>
      </c>
      <c r="X16" s="15">
        <f>IF(NC[T] = "VC", ABS(NC[VALOR P/ OP]) / NC[QTDE], NC[VALOR P/ OP]/NC[QTDE])</f>
        <v>-0.62331428571428571</v>
      </c>
      <c r="Y16" s="15">
        <f>TRUNC(IF(OR(NC[T]="CV",NC[T]="VV"),     L16*SETUP!$H$3,     0),2)</f>
        <v>0</v>
      </c>
      <c r="Z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B1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6" s="15">
        <f>IF(NC[LUCRO TMP] &lt;&gt; 0, NC[LUCRO TMP] - SUMPRODUCT(N(NC[ATIVO]=NC[[#This Row],[ATIVO]]),N(NC['[D/N']]="N"),N(NC[ID]&lt;NC[[#This Row],[ID]]),N(NC[PAR]=NC[[#This Row],[PAR]]), NC[LUCRO TMP]), 0)</f>
        <v>0</v>
      </c>
      <c r="AE16" s="15">
        <f>IF(NC[U] = "U", SUMPRODUCT(N(NC[ID]&lt;=NC[[#This Row],[ID]]),N(NC[DATA BASE]=NC[[#This Row],[DATA BASE]]), N(NC['[D/N']] = "N"),    NC[LUCRO P/ OP]), 0)</f>
        <v>0</v>
      </c>
      <c r="AF16" s="15">
        <f>IF(NC[U] = "U",NC[LUCRO '[N']] + SUMPRODUCT(N(MONTH(NC[DATA BASE])&lt;MONTH(NC[[#This Row],[DATA BASE]]) ), NC[LUCRO '[N']]),0)</f>
        <v>0</v>
      </c>
      <c r="AG16" s="15">
        <f>IF(NC[U] = "U", SUMPRODUCT(N(NC[DATA BASE]=NC[[#This Row],[DATA BASE]]), N(NC['[D/N']] = "D"),    NC[LUCRO P/ OP]), 0)</f>
        <v>0</v>
      </c>
      <c r="AH16" s="20">
        <f>IF(NC[ TRIB. '[N']] &gt; 0,     ROUND(NC[ TRIB. '[N']]*0.15,    2),    0)</f>
        <v>0</v>
      </c>
      <c r="AI16" s="20">
        <f>IF(NC[LUCRO TRIB. DT] &gt; 0,     ROUND(NC[LUCRO TRIB. DT]*0.2,    2)  -  SUMPRODUCT(N(NC[DATA BASE]=NC[[#This Row],[DATA BASE]]),    NC[IRRF FONTE]),    0)</f>
        <v>0</v>
      </c>
      <c r="AJ16" s="19">
        <f>NC[IR '[N']] + NC[IR DEVIDO DT]</f>
        <v>0</v>
      </c>
      <c r="AK16" s="20">
        <f>IF(AND(NC[U] = "U",NC[IR DEVIDO] &gt; 0), NC[IR DEVIDO] + 8.9, 0)</f>
        <v>0</v>
      </c>
      <c r="AL16" s="19">
        <f>NC[LUCRO '[N']]  + NC[LUCRO TRIB. DT] - NC[RESGATE]</f>
        <v>0</v>
      </c>
    </row>
    <row r="17" spans="1:38" ht="11.25" customHeight="1" x14ac:dyDescent="0.2">
      <c r="A17" s="13">
        <v>16</v>
      </c>
      <c r="B17" s="13"/>
      <c r="C17" s="13" t="s">
        <v>56</v>
      </c>
      <c r="D17" s="13" t="s">
        <v>25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7" s="15">
        <f>NC[QTDE]*NC[PREÇO]</f>
        <v>442</v>
      </c>
      <c r="M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15">
        <f>SETUP!$E$3*SUMPRODUCT(N(NC[DATA]=NC[[#This Row],[DATA]]),N(NC[ID]&lt;=NC[[#This Row],[ID]]))</f>
        <v>14.9</v>
      </c>
      <c r="R17" s="15">
        <f>TRUNC(NC[CORRETAGEM]*SETUP!$F$3,2)</f>
        <v>0.28999999999999998</v>
      </c>
      <c r="S17" s="15">
        <f>ROUND(NC[CORRETAGEM]*SETUP!$G$3,2)</f>
        <v>0.57999999999999996</v>
      </c>
      <c r="T17" s="15">
        <f>NC[VALOR LÍQUIDO DAS OPERAÇÕES]-NC[TAXA DE LIQUIDAÇÃO]-NC[EMOLUMENTOS]-NC[TAXA DE REGISTRO]-NC[CORRETAGEM]-NC[ISS]-IF(NC['[D/N']]="D",    0,    NC[OUTRAS BOVESPA])</f>
        <v>-458.35</v>
      </c>
      <c r="U17" s="15">
        <f>IF(AND(NC['[D/N']]="D",    NC[T]="CV"),    ROUND(NC[LÍQUIDO BASE]*0.01, 2),    0)</f>
        <v>0</v>
      </c>
      <c r="V17" s="15">
        <f>IF(NC[PREÇO] &gt; 0,    NC[LÍQUIDO BASE]-SUMPRODUCT(N(NC[DATA]=NC[[#This Row],[DATA]]),    NC[IRRF FONTE]),    0)</f>
        <v>-458.35</v>
      </c>
      <c r="W17" s="20">
        <f>NC[LÍQUIDO]-SUMPRODUCT(N(NC[DATA]=NC[[#This Row],[DATA]]),N(NC[ID]=(NC[[#This Row],[ID]]-1)),NC[LÍQUIDO])</f>
        <v>-458.35</v>
      </c>
      <c r="X17" s="15">
        <f>IF(NC[T] = "VC", ABS(NC[VALOR P/ OP]) / NC[QTDE], NC[VALOR P/ OP]/NC[QTDE])</f>
        <v>-0.26961764705882352</v>
      </c>
      <c r="Y17" s="15">
        <f>TRUNC(IF(OR(NC[T]="CV",NC[T]="VV"),     L17*SETUP!$H$3,     0),2)</f>
        <v>0</v>
      </c>
      <c r="Z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B1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7" s="15">
        <f>IF(NC[LUCRO TMP] &lt;&gt; 0, NC[LUCRO TMP] - SUMPRODUCT(N(NC[ATIVO]=NC[[#This Row],[ATIVO]]),N(NC['[D/N']]="N"),N(NC[ID]&lt;NC[[#This Row],[ID]]),N(NC[PAR]=NC[[#This Row],[PAR]]), NC[LUCRO TMP]), 0)</f>
        <v>0</v>
      </c>
      <c r="AE17" s="15">
        <f>IF(NC[U] = "U", SUMPRODUCT(N(NC[ID]&lt;=NC[[#This Row],[ID]]),N(NC[DATA BASE]=NC[[#This Row],[DATA BASE]]), N(NC['[D/N']] = "N"),    NC[LUCRO P/ OP]), 0)</f>
        <v>0</v>
      </c>
      <c r="AF17" s="15">
        <f>IF(NC[U] = "U",NC[LUCRO '[N']] + SUMPRODUCT(N(MONTH(NC[DATA BASE])&lt;MONTH(NC[[#This Row],[DATA BASE]]) ), NC[LUCRO '[N']]),0)</f>
        <v>0</v>
      </c>
      <c r="AG17" s="15">
        <f>IF(NC[U] = "U", SUMPRODUCT(N(NC[DATA BASE]=NC[[#This Row],[DATA BASE]]), N(NC['[D/N']] = "D"),    NC[LUCRO P/ OP]), 0)</f>
        <v>0</v>
      </c>
      <c r="AH17" s="20">
        <f>IF(NC[ TRIB. '[N']] &gt; 0,     ROUND(NC[ TRIB. '[N']]*0.15,    2),    0)</f>
        <v>0</v>
      </c>
      <c r="AI17" s="20">
        <f>IF(NC[LUCRO TRIB. DT] &gt; 0,     ROUND(NC[LUCRO TRIB. DT]*0.2,    2)  -  SUMPRODUCT(N(NC[DATA BASE]=NC[[#This Row],[DATA BASE]]),    NC[IRRF FONTE]),    0)</f>
        <v>0</v>
      </c>
      <c r="AJ17" s="19">
        <f>NC[IR '[N']] + NC[IR DEVIDO DT]</f>
        <v>0</v>
      </c>
      <c r="AK17" s="20">
        <f>IF(AND(NC[U] = "U",NC[IR DEVIDO] &gt; 0), NC[IR DEVIDO] + 8.9, 0)</f>
        <v>0</v>
      </c>
      <c r="AL17" s="19">
        <f>NC[LUCRO '[N']]  + NC[LUCRO TRIB. DT] - NC[RESGATE]</f>
        <v>0</v>
      </c>
    </row>
    <row r="18" spans="1:38" ht="11.25" customHeight="1" x14ac:dyDescent="0.2">
      <c r="A18" s="13">
        <v>17</v>
      </c>
      <c r="B18" s="13"/>
      <c r="C18" s="13" t="s">
        <v>55</v>
      </c>
      <c r="D18" s="13" t="s">
        <v>26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15">
        <f>NC[QTDE]*NC[PREÇO]</f>
        <v>119.00000000000001</v>
      </c>
      <c r="M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O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15">
        <f>SETUP!$E$3*SUMPRODUCT(N(NC[DATA]=NC[[#This Row],[DATA]]),N(NC[ID]&lt;=NC[[#This Row],[ID]]))</f>
        <v>14.9</v>
      </c>
      <c r="R18" s="15">
        <f>TRUNC(NC[CORRETAGEM]*SETUP!$F$3,2)</f>
        <v>0.28999999999999998</v>
      </c>
      <c r="S18" s="15">
        <f>ROUND(NC[CORRETAGEM]*SETUP!$G$3,2)</f>
        <v>0.57999999999999996</v>
      </c>
      <c r="T18" s="15">
        <f>NC[VALOR LÍQUIDO DAS OPERAÇÕES]-NC[TAXA DE LIQUIDAÇÃO]-NC[EMOLUMENTOS]-NC[TAXA DE REGISTRO]-NC[CORRETAGEM]-NC[ISS]-IF(NC['[D/N']]="D",    0,    NC[OUTRAS BOVESPA])</f>
        <v>103.08</v>
      </c>
      <c r="U18" s="15">
        <f>IF(AND(NC['[D/N']]="D",    NC[T]="CV"),    ROUND(NC[LÍQUIDO BASE]*0.01, 2),    0)</f>
        <v>0</v>
      </c>
      <c r="V18" s="15">
        <f>IF(NC[PREÇO] &gt; 0,    NC[LÍQUIDO BASE]-SUMPRODUCT(N(NC[DATA]=NC[[#This Row],[DATA]]),    NC[IRRF FONTE]),    0)</f>
        <v>103.08</v>
      </c>
      <c r="W18" s="20">
        <f>NC[LÍQUIDO]-SUMPRODUCT(N(NC[DATA]=NC[[#This Row],[DATA]]),N(NC[ID]=(NC[[#This Row],[ID]]-1)),NC[LÍQUIDO])</f>
        <v>103.08</v>
      </c>
      <c r="X18" s="15">
        <f>IF(NC[T] = "VC", ABS(NC[VALOR P/ OP]) / NC[QTDE], NC[VALOR P/ OP]/NC[QTDE])</f>
        <v>0.14725714285714286</v>
      </c>
      <c r="Y18" s="15">
        <f>TRUNC(IF(OR(NC[T]="CV",NC[T]="VV"),     L18*SETUP!$H$3,     0),2)</f>
        <v>0</v>
      </c>
      <c r="Z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B18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-333.24</v>
      </c>
      <c r="AD18" s="15">
        <f>IF(NC[LUCRO TMP] &lt;&gt; 0, NC[LUCRO TMP] - SUMPRODUCT(N(NC[ATIVO]=NC[[#This Row],[ATIVO]]),N(NC['[D/N']]="N"),N(NC[ID]&lt;NC[[#This Row],[ID]]),N(NC[PAR]=NC[[#This Row],[PAR]]), NC[LUCRO TMP]), 0)</f>
        <v>-333.24</v>
      </c>
      <c r="AE18" s="15">
        <f>IF(NC[U] = "U", SUMPRODUCT(N(NC[ID]&lt;=NC[[#This Row],[ID]]),N(NC[DATA BASE]=NC[[#This Row],[DATA BASE]]), N(NC['[D/N']] = "N"),    NC[LUCRO P/ OP]), 0)</f>
        <v>0</v>
      </c>
      <c r="AF18" s="15">
        <f>IF(NC[U] = "U",NC[LUCRO '[N']] + SUMPRODUCT(N(MONTH(NC[DATA BASE])&lt;MONTH(NC[[#This Row],[DATA BASE]]) ), NC[LUCRO '[N']]),0)</f>
        <v>0</v>
      </c>
      <c r="AG18" s="15">
        <f>IF(NC[U] = "U", SUMPRODUCT(N(NC[DATA BASE]=NC[[#This Row],[DATA BASE]]), N(NC['[D/N']] = "D"),    NC[LUCRO P/ OP]), 0)</f>
        <v>0</v>
      </c>
      <c r="AH18" s="20">
        <f>IF(NC[ TRIB. '[N']] &gt; 0,     ROUND(NC[ TRIB. '[N']]*0.15,    2),    0)</f>
        <v>0</v>
      </c>
      <c r="AI18" s="20">
        <f>IF(NC[LUCRO TRIB. DT] &gt; 0,     ROUND(NC[LUCRO TRIB. DT]*0.2,    2)  -  SUMPRODUCT(N(NC[DATA BASE]=NC[[#This Row],[DATA BASE]]),    NC[IRRF FONTE]),    0)</f>
        <v>0</v>
      </c>
      <c r="AJ18" s="19">
        <f>NC[IR '[N']] + NC[IR DEVIDO DT]</f>
        <v>0</v>
      </c>
      <c r="AK18" s="20">
        <f>IF(AND(NC[U] = "U",NC[IR DEVIDO] &gt; 0), NC[IR DEVIDO] + 8.9, 0)</f>
        <v>0</v>
      </c>
      <c r="AL18" s="19">
        <f>NC[LUCRO '[N']]  + NC[LUCRO TRIB. DT] - NC[RESGATE]</f>
        <v>0</v>
      </c>
    </row>
    <row r="19" spans="1:38" ht="11.25" customHeight="1" x14ac:dyDescent="0.2">
      <c r="A19" s="13">
        <v>18</v>
      </c>
      <c r="B19" s="13"/>
      <c r="C19" s="13" t="s">
        <v>56</v>
      </c>
      <c r="D19" s="13" t="s">
        <v>26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9" s="15">
        <f>NC[QTDE]*NC[PREÇO]</f>
        <v>136</v>
      </c>
      <c r="M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O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15">
        <f>SETUP!$E$3*SUMPRODUCT(N(NC[DATA]=NC[[#This Row],[DATA]]),N(NC[ID]&lt;=NC[[#This Row],[ID]]))</f>
        <v>14.9</v>
      </c>
      <c r="R19" s="15">
        <f>TRUNC(NC[CORRETAGEM]*SETUP!$F$3,2)</f>
        <v>0.28999999999999998</v>
      </c>
      <c r="S19" s="15">
        <f>ROUND(NC[CORRETAGEM]*SETUP!$G$3,2)</f>
        <v>0.57999999999999996</v>
      </c>
      <c r="T19" s="15">
        <f>NC[VALOR LÍQUIDO DAS OPERAÇÕES]-NC[TAXA DE LIQUIDAÇÃO]-NC[EMOLUMENTOS]-NC[TAXA DE REGISTRO]-NC[CORRETAGEM]-NC[ISS]-IF(NC['[D/N']]="D",    0,    NC[OUTRAS BOVESPA])</f>
        <v>120.05999999999997</v>
      </c>
      <c r="U19" s="15">
        <f>IF(AND(NC['[D/N']]="D",    NC[T]="CV"),    ROUND(NC[LÍQUIDO BASE]*0.01, 2),    0)</f>
        <v>0</v>
      </c>
      <c r="V19" s="15">
        <f>IF(NC[PREÇO] &gt; 0,    NC[LÍQUIDO BASE]-SUMPRODUCT(N(NC[DATA]=NC[[#This Row],[DATA]]),    NC[IRRF FONTE]),    0)</f>
        <v>120.05999999999997</v>
      </c>
      <c r="W19" s="20">
        <f>NC[LÍQUIDO]-SUMPRODUCT(N(NC[DATA]=NC[[#This Row],[DATA]]),N(NC[ID]=(NC[[#This Row],[ID]]-1)),NC[LÍQUIDO])</f>
        <v>120.05999999999997</v>
      </c>
      <c r="X19" s="15">
        <f>IF(NC[T] = "VC", ABS(NC[VALOR P/ OP]) / NC[QTDE], NC[VALOR P/ OP]/NC[QTDE])</f>
        <v>7.0623529411764696E-2</v>
      </c>
      <c r="Y19" s="15">
        <f>TRUNC(IF(OR(NC[T]="CV",NC[T]="VV"),     L19*SETUP!$H$3,     0),2)</f>
        <v>0</v>
      </c>
      <c r="Z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B19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-338.29</v>
      </c>
      <c r="AD19" s="15">
        <f>IF(NC[LUCRO TMP] &lt;&gt; 0, NC[LUCRO TMP] - SUMPRODUCT(N(NC[ATIVO]=NC[[#This Row],[ATIVO]]),N(NC['[D/N']]="N"),N(NC[ID]&lt;NC[[#This Row],[ID]]),N(NC[PAR]=NC[[#This Row],[PAR]]), NC[LUCRO TMP]), 0)</f>
        <v>-338.29</v>
      </c>
      <c r="AE19" s="15">
        <f>IF(NC[U] = "U", SUMPRODUCT(N(NC[ID]&lt;=NC[[#This Row],[ID]]),N(NC[DATA BASE]=NC[[#This Row],[DATA BASE]]), N(NC['[D/N']] = "N"),    NC[LUCRO P/ OP]), 0)</f>
        <v>0</v>
      </c>
      <c r="AF19" s="15">
        <f>IF(NC[U] = "U",NC[LUCRO '[N']] + SUMPRODUCT(N(MONTH(NC[DATA BASE])&lt;MONTH(NC[[#This Row],[DATA BASE]]) ), NC[LUCRO '[N']]),0)</f>
        <v>0</v>
      </c>
      <c r="AG19" s="15">
        <f>IF(NC[U] = "U", SUMPRODUCT(N(NC[DATA BASE]=NC[[#This Row],[DATA BASE]]), N(NC['[D/N']] = "D"),    NC[LUCRO P/ OP]), 0)</f>
        <v>0</v>
      </c>
      <c r="AH19" s="20">
        <f>IF(NC[ TRIB. '[N']] &gt; 0,     ROUND(NC[ TRIB. '[N']]*0.15,    2),    0)</f>
        <v>0</v>
      </c>
      <c r="AI19" s="20">
        <f>IF(NC[LUCRO TRIB. DT] &gt; 0,     ROUND(NC[LUCRO TRIB. DT]*0.2,    2)  -  SUMPRODUCT(N(NC[DATA BASE]=NC[[#This Row],[DATA BASE]]),    NC[IRRF FONTE]),    0)</f>
        <v>0</v>
      </c>
      <c r="AJ19" s="19">
        <f>NC[IR '[N']] + NC[IR DEVIDO DT]</f>
        <v>0</v>
      </c>
      <c r="AK19" s="20">
        <f>IF(AND(NC[U] = "U",NC[IR DEVIDO] &gt; 0), NC[IR DEVIDO] + 8.9, 0)</f>
        <v>0</v>
      </c>
      <c r="AL19" s="19">
        <f>NC[LUCRO '[N']]  + NC[LUCRO TRIB. DT] - NC[RESGATE]</f>
        <v>0</v>
      </c>
    </row>
    <row r="20" spans="1:38" ht="11.25" customHeight="1" x14ac:dyDescent="0.2">
      <c r="A20" s="13">
        <v>19</v>
      </c>
      <c r="B20" s="13" t="s">
        <v>54</v>
      </c>
      <c r="C20" s="13" t="s">
        <v>57</v>
      </c>
      <c r="D20" s="13" t="s">
        <v>25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15">
        <f>NC[QTDE]*NC[PREÇO]</f>
        <v>456</v>
      </c>
      <c r="M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15">
        <f>SETUP!$E$3*SUMPRODUCT(N(NC[DATA]=NC[[#This Row],[DATA]]),N(NC[ID]&lt;=NC[[#This Row],[ID]]))</f>
        <v>29.8</v>
      </c>
      <c r="R20" s="15">
        <f>TRUNC(NC[CORRETAGEM]*SETUP!$F$3,2)</f>
        <v>0.59</v>
      </c>
      <c r="S20" s="15">
        <f>ROUND(NC[CORRETAGEM]*SETUP!$G$3,2)</f>
        <v>1.1599999999999999</v>
      </c>
      <c r="T20" s="15">
        <f>NC[VALOR LÍQUIDO DAS OPERAÇÕES]-NC[TAXA DE LIQUIDAÇÃO]-NC[EMOLUMENTOS]-NC[TAXA DE REGISTRO]-NC[CORRETAGEM]-NC[ISS]-IF(NC['[D/N']]="D",    0,    NC[OUTRAS BOVESPA])</f>
        <v>-352.33000000000004</v>
      </c>
      <c r="U20" s="15">
        <f>IF(AND(NC['[D/N']]="D",    NC[T]="CV"),    ROUND(NC[LÍQUIDO BASE]*0.01, 2),    0)</f>
        <v>0</v>
      </c>
      <c r="V20" s="15">
        <f>IF(NC[PREÇO] &gt; 0,    NC[LÍQUIDO BASE]-SUMPRODUCT(N(NC[DATA]=NC[[#This Row],[DATA]]),    NC[IRRF FONTE]),    0)</f>
        <v>-352.33000000000004</v>
      </c>
      <c r="W20" s="20">
        <f>NC[LÍQUIDO]-SUMPRODUCT(N(NC[DATA]=NC[[#This Row],[DATA]]),N(NC[ID]=(NC[[#This Row],[ID]]-1)),NC[LÍQUIDO])</f>
        <v>-472.39</v>
      </c>
      <c r="X20" s="15">
        <f>IF(NC[T] = "VC", ABS(NC[VALOR P/ OP]) / NC[QTDE], NC[VALOR P/ OP]/NC[QTDE])</f>
        <v>-0.24862631578947367</v>
      </c>
      <c r="Y20" s="15">
        <f>TRUNC(IF(OR(NC[T]="CV",NC[T]="VV"),     L20*SETUP!$H$3,     0),2)</f>
        <v>0</v>
      </c>
      <c r="Z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B20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0" s="15">
        <f>IF(NC[LUCRO TMP] &lt;&gt; 0, NC[LUCRO TMP] - SUMPRODUCT(N(NC[ATIVO]=NC[[#This Row],[ATIVO]]),N(NC['[D/N']]="N"),N(NC[ID]&lt;NC[[#This Row],[ID]]),N(NC[PAR]=NC[[#This Row],[PAR]]), NC[LUCRO TMP]), 0)</f>
        <v>0</v>
      </c>
      <c r="AE20" s="15">
        <f>IF(NC[U] = "U", SUMPRODUCT(N(NC[ID]&lt;=NC[[#This Row],[ID]]),N(NC[DATA BASE]=NC[[#This Row],[DATA BASE]]), N(NC['[D/N']] = "N"),    NC[LUCRO P/ OP]), 0)</f>
        <v>-656.81000000000017</v>
      </c>
      <c r="AF20" s="15">
        <f>IF(NC[U] = "U",NC[LUCRO '[N']] + SUMPRODUCT(N(MONTH(NC[DATA BASE])&lt;MONTH(NC[[#This Row],[DATA BASE]]) ), NC[LUCRO '[N']]),0)</f>
        <v>-656.81000000000017</v>
      </c>
      <c r="AG20" s="15">
        <f>IF(NC[U] = "U", SUMPRODUCT(N(NC[DATA BASE]=NC[[#This Row],[DATA BASE]]), N(NC['[D/N']] = "D"),    NC[LUCRO P/ OP]), 0)</f>
        <v>478.50999999999988</v>
      </c>
      <c r="AH20" s="20">
        <f>IF(NC[ TRIB. '[N']] &gt; 0,     ROUND(NC[ TRIB. '[N']]*0.15,    2),    0)</f>
        <v>0</v>
      </c>
      <c r="AI20" s="20">
        <f>IF(NC[LUCRO TRIB. DT] &gt; 0,     ROUND(NC[LUCRO TRIB. DT]*0.2,    2)  -  SUMPRODUCT(N(NC[DATA BASE]=NC[[#This Row],[DATA BASE]]),    NC[IRRF FONTE]),    0)</f>
        <v>90.92</v>
      </c>
      <c r="AJ20" s="19">
        <f>NC[IR '[N']] + NC[IR DEVIDO DT]</f>
        <v>90.92</v>
      </c>
      <c r="AK20" s="20">
        <f>IF(AND(NC[U] = "U",NC[IR DEVIDO] &gt; 0), NC[IR DEVIDO] + 8.9, 0)</f>
        <v>99.820000000000007</v>
      </c>
      <c r="AL20" s="19">
        <f>NC[LUCRO '[N']]  + NC[LUCRO TRIB. DT] - NC[RESGATE]</f>
        <v>-278.12000000000029</v>
      </c>
    </row>
    <row r="21" spans="1:38" x14ac:dyDescent="0.2">
      <c r="A21" s="13">
        <v>20</v>
      </c>
      <c r="B21" s="13"/>
      <c r="C21" s="13" t="s">
        <v>32</v>
      </c>
      <c r="D21" s="13" t="s">
        <v>25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1" s="15">
        <f>NC[QTDE]*NC[PREÇO]</f>
        <v>456</v>
      </c>
      <c r="M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N2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Q21" s="15">
        <f>SETUP!$E$3*SUMPRODUCT(N(NC[DATA]=NC[[#This Row],[DATA]]),N(NC[ID]&lt;=NC[[#This Row],[ID]]))</f>
        <v>14.9</v>
      </c>
      <c r="R21" s="15">
        <f>TRUNC(NC[CORRETAGEM]*SETUP!$F$3,2)</f>
        <v>0.28999999999999998</v>
      </c>
      <c r="S21" s="15">
        <f>ROUND(NC[CORRETAGEM]*SETUP!$G$3,2)</f>
        <v>0.57999999999999996</v>
      </c>
      <c r="T21" s="15">
        <f>NC[VALOR LÍQUIDO DAS OPERAÇÕES]-NC[TAXA DE LIQUIDAÇÃO]-NC[EMOLUMENTOS]-NC[TAXA DE REGISTRO]-NC[CORRETAGEM]-NC[ISS]-IF(NC['[D/N']]="D",    0,    NC[OUTRAS BOVESPA])</f>
        <v>-472.36</v>
      </c>
      <c r="U21" s="15">
        <f>IF(AND(NC['[D/N']]="D",    NC[T]="CV"),    ROUND(NC[LÍQUIDO BASE]*0.01, 2),    0)</f>
        <v>0</v>
      </c>
      <c r="V21" s="15">
        <f>IF(NC[PREÇO] &gt; 0,    NC[LÍQUIDO BASE]-SUMPRODUCT(N(NC[DATA]=NC[[#This Row],[DATA]]),    NC[IRRF FONTE]),    0)</f>
        <v>-472.36</v>
      </c>
      <c r="W21" s="20">
        <f>NC[LÍQUIDO]-SUMPRODUCT(N(NC[DATA]=NC[[#This Row],[DATA]]),N(NC[ID]=(NC[[#This Row],[ID]]-1)),NC[LÍQUIDO])</f>
        <v>-472.36</v>
      </c>
      <c r="X21" s="15">
        <f>IF(NC[T] = "VC", ABS(NC[VALOR P/ OP]) / NC[QTDE], NC[VALOR P/ OP]/NC[QTDE])</f>
        <v>-0.39363333333333334</v>
      </c>
      <c r="Y21" s="15">
        <f>TRUNC(IF(OR(NC[T]="CV",NC[T]="VV"),     L21*SETUP!$H$3,     0),2)</f>
        <v>0</v>
      </c>
      <c r="Z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A2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B2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1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1" s="15">
        <f>IF(NC[LUCRO TMP] &lt;&gt; 0, NC[LUCRO TMP] - SUMPRODUCT(N(NC[ATIVO]=NC[[#This Row],[ATIVO]]),N(NC['[D/N']]="N"),N(NC[ID]&lt;NC[[#This Row],[ID]]),N(NC[PAR]=NC[[#This Row],[PAR]]), NC[LUCRO TMP]), 0)</f>
        <v>0</v>
      </c>
      <c r="AE21" s="15">
        <f>IF(NC[U] = "U", SUMPRODUCT(N(NC[ID]&lt;=NC[[#This Row],[ID]]),N(NC[DATA BASE]=NC[[#This Row],[DATA BASE]]), N(NC['[D/N']] = "N"),    NC[LUCRO P/ OP]), 0)</f>
        <v>0</v>
      </c>
      <c r="AF21" s="15">
        <f>IF(NC[U] = "U",NC[LUCRO '[N']] + SUMPRODUCT(N(MONTH(NC[DATA BASE])&lt;MONTH(NC[[#This Row],[DATA BASE]]) ), NC[LUCRO '[N']]),0)</f>
        <v>0</v>
      </c>
      <c r="AG21" s="15">
        <f>IF(NC[U] = "U", SUMPRODUCT(N(NC[DATA BASE]=NC[[#This Row],[DATA BASE]]), N(NC['[D/N']] = "D"),    NC[LUCRO P/ OP]), 0)</f>
        <v>0</v>
      </c>
      <c r="AH21" s="20">
        <f>IF(NC[ TRIB. '[N']] &gt; 0,     ROUND(NC[ TRIB. '[N']]*0.15,    2),    0)</f>
        <v>0</v>
      </c>
      <c r="AI21" s="20">
        <f>IF(NC[LUCRO TRIB. DT] &gt; 0,     ROUND(NC[LUCRO TRIB. DT]*0.2,    2)  -  SUMPRODUCT(N(NC[DATA BASE]=NC[[#This Row],[DATA BASE]]),    NC[IRRF FONTE]),    0)</f>
        <v>0</v>
      </c>
      <c r="AJ21" s="19">
        <f>NC[IR '[N']] + NC[IR DEVIDO DT]</f>
        <v>0</v>
      </c>
      <c r="AK21" s="20">
        <f>IF(AND(NC[U] = "U",NC[IR DEVIDO] &gt; 0), NC[IR DEVIDO] + 8.9, 0)</f>
        <v>0</v>
      </c>
      <c r="AL21" s="20">
        <f>NC[LUCRO '[N']]  + NC[LUCRO TRIB. DT] - NC[RESGATE]</f>
        <v>0</v>
      </c>
    </row>
    <row r="22" spans="1:38" ht="11.25" customHeight="1" x14ac:dyDescent="0.2">
      <c r="A22" s="13">
        <v>21</v>
      </c>
      <c r="B22" s="13"/>
      <c r="C22" s="13" t="s">
        <v>56</v>
      </c>
      <c r="D22" s="13" t="s">
        <v>25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2" s="15">
        <f>NC[QTDE]*NC[PREÇO]</f>
        <v>480</v>
      </c>
      <c r="M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N2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O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P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22" s="15">
        <f>SETUP!$E$3*SUMPRODUCT(N(NC[DATA]=NC[[#This Row],[DATA]]),N(NC[ID]&lt;=NC[[#This Row],[ID]]))</f>
        <v>14.9</v>
      </c>
      <c r="R22" s="15">
        <f>TRUNC(NC[CORRETAGEM]*SETUP!$F$3,2)</f>
        <v>0.28999999999999998</v>
      </c>
      <c r="S22" s="15">
        <f>ROUND(NC[CORRETAGEM]*SETUP!$G$3,2)</f>
        <v>0.57999999999999996</v>
      </c>
      <c r="T22" s="15">
        <f>NC[VALOR LÍQUIDO DAS OPERAÇÕES]-NC[TAXA DE LIQUIDAÇÃO]-NC[EMOLUMENTOS]-NC[TAXA DE REGISTRO]-NC[CORRETAGEM]-NC[ISS]-IF(NC['[D/N']]="D",    0,    NC[OUTRAS BOVESPA])</f>
        <v>-496.4</v>
      </c>
      <c r="U22" s="15">
        <f>IF(AND(NC['[D/N']]="D",    NC[T]="CV"),    ROUND(NC[LÍQUIDO BASE]*0.01, 2),    0)</f>
        <v>0</v>
      </c>
      <c r="V22" s="15">
        <f>IF(NC[PREÇO] &gt; 0,    NC[LÍQUIDO BASE]-SUMPRODUCT(N(NC[DATA]=NC[[#This Row],[DATA]]),    NC[IRRF FONTE]),    0)</f>
        <v>-496.4</v>
      </c>
      <c r="W22" s="20">
        <f>NC[LÍQUIDO]-SUMPRODUCT(N(NC[DATA]=NC[[#This Row],[DATA]]),N(NC[ID]=(NC[[#This Row],[ID]]-1)),NC[LÍQUIDO])</f>
        <v>-496.4</v>
      </c>
      <c r="X22" s="15">
        <f>IF(NC[T] = "VC", ABS(NC[VALOR P/ OP]) / NC[QTDE], NC[VALOR P/ OP]/NC[QTDE])</f>
        <v>-0.16546666666666665</v>
      </c>
      <c r="Y22" s="15">
        <f>TRUNC(IF(OR(NC[T]="CV",NC[T]="VV"),     L22*SETUP!$H$3,     0),2)</f>
        <v>0</v>
      </c>
      <c r="Z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A2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B2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2" s="15">
        <f>IF(NC[LUCRO TMP] &lt;&gt; 0, NC[LUCRO TMP] - SUMPRODUCT(N(NC[ATIVO]=NC[[#This Row],[ATIVO]]),N(NC['[D/N']]="N"),N(NC[ID]&lt;NC[[#This Row],[ID]]),N(NC[PAR]=NC[[#This Row],[PAR]]), NC[LUCRO TMP]), 0)</f>
        <v>0</v>
      </c>
      <c r="AE22" s="15">
        <f>IF(NC[U] = "U", SUMPRODUCT(N(NC[ID]&lt;=NC[[#This Row],[ID]]),N(NC[DATA BASE]=NC[[#This Row],[DATA BASE]]), N(NC['[D/N']] = "N"),    NC[LUCRO P/ OP]), 0)</f>
        <v>0</v>
      </c>
      <c r="AF22" s="15">
        <f>IF(NC[U] = "U",NC[LUCRO '[N']] + SUMPRODUCT(N(MONTH(NC[DATA BASE])&lt;MONTH(NC[[#This Row],[DATA BASE]]) ), NC[LUCRO '[N']]),0)</f>
        <v>0</v>
      </c>
      <c r="AG22" s="15">
        <f>IF(NC[U] = "U", SUMPRODUCT(N(NC[DATA BASE]=NC[[#This Row],[DATA BASE]]), N(NC['[D/N']] = "D"),    NC[LUCRO P/ OP]), 0)</f>
        <v>0</v>
      </c>
      <c r="AH22" s="20">
        <f>IF(NC[ TRIB. '[N']] &gt; 0,     ROUND(NC[ TRIB. '[N']]*0.15,    2),    0)</f>
        <v>0</v>
      </c>
      <c r="AI22" s="20">
        <f>IF(NC[LUCRO TRIB. DT] &gt; 0,     ROUND(NC[LUCRO TRIB. DT]*0.2,    2)  -  SUMPRODUCT(N(NC[DATA BASE]=NC[[#This Row],[DATA BASE]]),    NC[IRRF FONTE]),    0)</f>
        <v>0</v>
      </c>
      <c r="AJ22" s="19">
        <f>NC[IR '[N']] + NC[IR DEVIDO DT]</f>
        <v>0</v>
      </c>
      <c r="AK22" s="20">
        <f>IF(AND(NC[U] = "U",NC[IR DEVIDO] &gt; 0), NC[IR DEVIDO] + 8.9, 0)</f>
        <v>0</v>
      </c>
      <c r="AL22" s="20">
        <f>NC[LUCRO '[N']]  + NC[LUCRO TRIB. DT] - NC[RESGATE]</f>
        <v>0</v>
      </c>
    </row>
    <row r="23" spans="1:38" ht="11.25" customHeight="1" x14ac:dyDescent="0.2">
      <c r="A23" s="13">
        <v>22</v>
      </c>
      <c r="B23" s="13"/>
      <c r="C23" s="13" t="s">
        <v>57</v>
      </c>
      <c r="D23" s="13" t="s">
        <v>26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3" s="15">
        <f>NC[QTDE]*NC[PREÇO]</f>
        <v>171</v>
      </c>
      <c r="M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N2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3" s="15">
        <f>SETUP!$E$3*SUMPRODUCT(N(NC[DATA]=NC[[#This Row],[DATA]]),N(NC[ID]&lt;=NC[[#This Row],[ID]]))</f>
        <v>14.9</v>
      </c>
      <c r="R23" s="15">
        <f>TRUNC(NC[CORRETAGEM]*SETUP!$F$3,2)</f>
        <v>0.28999999999999998</v>
      </c>
      <c r="S23" s="15">
        <f>ROUND(NC[CORRETAGEM]*SETUP!$G$3,2)</f>
        <v>0.57999999999999996</v>
      </c>
      <c r="T23" s="15">
        <f>NC[VALOR LÍQUIDO DAS OPERAÇÕES]-NC[TAXA DE LIQUIDAÇÃO]-NC[EMOLUMENTOS]-NC[TAXA DE REGISTRO]-NC[CORRETAGEM]-NC[ISS]-IF(NC['[D/N']]="D",    0,    NC[OUTRAS BOVESPA])</f>
        <v>155.01999999999998</v>
      </c>
      <c r="U23" s="15">
        <f>IF(AND(NC['[D/N']]="D",    NC[T]="CV"),    ROUND(NC[LÍQUIDO BASE]*0.01, 2),    0)</f>
        <v>0</v>
      </c>
      <c r="V23" s="15">
        <f>IF(NC[PREÇO] &gt; 0,    NC[LÍQUIDO BASE]-SUMPRODUCT(N(NC[DATA]=NC[[#This Row],[DATA]]),    NC[IRRF FONTE]),    0)</f>
        <v>155.01999999999998</v>
      </c>
      <c r="W23" s="20">
        <f>NC[LÍQUIDO]-SUMPRODUCT(N(NC[DATA]=NC[[#This Row],[DATA]]),N(NC[ID]=(NC[[#This Row],[ID]]-1)),NC[LÍQUIDO])</f>
        <v>155.01999999999998</v>
      </c>
      <c r="X23" s="15">
        <f>IF(NC[T] = "VC", ABS(NC[VALOR P/ OP]) / NC[QTDE], NC[VALOR P/ OP]/NC[QTDE])</f>
        <v>8.1589473684210517E-2</v>
      </c>
      <c r="Y23" s="15">
        <f>TRUNC(IF(OR(NC[T]="CV",NC[T]="VV"),     L23*SETUP!$H$3,     0),2)</f>
        <v>0</v>
      </c>
      <c r="Z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B2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8.1589473684210517E-2</v>
      </c>
      <c r="AC2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-317.37</v>
      </c>
      <c r="AD23" s="15">
        <f>IF(NC[LUCRO TMP] &lt;&gt; 0, NC[LUCRO TMP] - SUMPRODUCT(N(NC[ATIVO]=NC[[#This Row],[ATIVO]]),N(NC['[D/N']]="N"),N(NC[ID]&lt;NC[[#This Row],[ID]]),N(NC[PAR]=NC[[#This Row],[PAR]]), NC[LUCRO TMP]), 0)</f>
        <v>-317.37</v>
      </c>
      <c r="AE23" s="15">
        <f>IF(NC[U] = "U", SUMPRODUCT(N(NC[ID]&lt;=NC[[#This Row],[ID]]),N(NC[DATA BASE]=NC[[#This Row],[DATA BASE]]), N(NC['[D/N']] = "N"),    NC[LUCRO P/ OP]), 0)</f>
        <v>0</v>
      </c>
      <c r="AF23" s="15">
        <f>IF(NC[U] = "U",NC[LUCRO '[N']] + SUMPRODUCT(N(MONTH(NC[DATA BASE])&lt;MONTH(NC[[#This Row],[DATA BASE]]) ), NC[LUCRO '[N']]),0)</f>
        <v>0</v>
      </c>
      <c r="AG23" s="15">
        <f>IF(NC[U] = "U", SUMPRODUCT(N(NC[DATA BASE]=NC[[#This Row],[DATA BASE]]), N(NC['[D/N']] = "D"),    NC[LUCRO P/ OP]), 0)</f>
        <v>0</v>
      </c>
      <c r="AH23" s="20">
        <f>IF(NC[ TRIB. '[N']] &gt; 0,     ROUND(NC[ TRIB. '[N']]*0.15,    2),    0)</f>
        <v>0</v>
      </c>
      <c r="AI23" s="20">
        <f>IF(NC[LUCRO TRIB. DT] &gt; 0,     ROUND(NC[LUCRO TRIB. DT]*0.2,    2)  -  SUMPRODUCT(N(NC[DATA BASE]=NC[[#This Row],[DATA BASE]]),    NC[IRRF FONTE]),    0)</f>
        <v>0</v>
      </c>
      <c r="AJ23" s="19">
        <f>NC[IR '[N']] + NC[IR DEVIDO DT]</f>
        <v>0</v>
      </c>
      <c r="AK23" s="20">
        <f>IF(AND(NC[U] = "U",NC[IR DEVIDO] &gt; 0), NC[IR DEVIDO] + 8.9, 0)</f>
        <v>0</v>
      </c>
      <c r="AL23" s="20">
        <f>NC[LUCRO '[N']]  + NC[LUCRO TRIB. DT] - NC[RESGATE]</f>
        <v>0</v>
      </c>
    </row>
    <row r="24" spans="1:38" x14ac:dyDescent="0.2">
      <c r="A24" s="13">
        <v>23</v>
      </c>
      <c r="B24" s="13"/>
      <c r="C24" s="13" t="s">
        <v>32</v>
      </c>
      <c r="D24" s="13" t="s">
        <v>26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4" s="15">
        <f>NC[QTDE]*NC[PREÇO]</f>
        <v>65</v>
      </c>
      <c r="M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N2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O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24" s="15">
        <f>SETUP!$E$3*SUMPRODUCT(N(NC[DATA]=NC[[#This Row],[DATA]]),N(NC[ID]&lt;=NC[[#This Row],[ID]]))</f>
        <v>14.9</v>
      </c>
      <c r="R24" s="15">
        <f>TRUNC(NC[CORRETAGEM]*SETUP!$F$3,2)</f>
        <v>0.28999999999999998</v>
      </c>
      <c r="S24" s="15">
        <f>ROUND(NC[CORRETAGEM]*SETUP!$G$3,2)</f>
        <v>0.57999999999999996</v>
      </c>
      <c r="T24" s="15">
        <f>NC[VALOR LÍQUIDO DAS OPERAÇÕES]-NC[TAXA DE LIQUIDAÇÃO]-NC[EMOLUMENTOS]-NC[TAXA DE REGISTRO]-NC[CORRETAGEM]-NC[ISS]-IF(NC['[D/N']]="D",    0,    NC[OUTRAS BOVESPA])</f>
        <v>49.16</v>
      </c>
      <c r="U24" s="15">
        <f>IF(AND(NC['[D/N']]="D",    NC[T]="CV"),    ROUND(NC[LÍQUIDO BASE]*0.01, 2),    0)</f>
        <v>0</v>
      </c>
      <c r="V24" s="15">
        <f>IF(NC[PREÇO] &gt; 0,    NC[LÍQUIDO BASE]-SUMPRODUCT(N(NC[DATA]=NC[[#This Row],[DATA]]),    NC[IRRF FONTE]),    0)</f>
        <v>49.16</v>
      </c>
      <c r="W24" s="20">
        <f>NC[LÍQUIDO]-SUMPRODUCT(N(NC[DATA]=NC[[#This Row],[DATA]]),N(NC[ID]=(NC[[#This Row],[ID]]-1)),NC[LÍQUIDO])</f>
        <v>49.16</v>
      </c>
      <c r="X24" s="15">
        <f>IF(NC[T] = "VC", ABS(NC[VALOR P/ OP]) / NC[QTDE], NC[VALOR P/ OP]/NC[QTDE])</f>
        <v>3.7815384615384612E-2</v>
      </c>
      <c r="Y24" s="15">
        <f>TRUNC(IF(OR(NC[T]="CV",NC[T]="VV"),     L24*SETUP!$H$3,     0),2)</f>
        <v>0</v>
      </c>
      <c r="Z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B2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3.7815384615384612E-2</v>
      </c>
      <c r="AC24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-509.09999999999997</v>
      </c>
      <c r="AD24" s="15">
        <f>IF(NC[LUCRO TMP] &lt;&gt; 0, NC[LUCRO TMP] - SUMPRODUCT(N(NC[ATIVO]=NC[[#This Row],[ATIVO]]),N(NC['[D/N']]="N"),N(NC[ID]&lt;NC[[#This Row],[ID]]),N(NC[PAR]=NC[[#This Row],[PAR]]), NC[LUCRO TMP]), 0)</f>
        <v>-511.19</v>
      </c>
      <c r="AE24" s="15">
        <f>IF(NC[U] = "U", SUMPRODUCT(N(NC[ID]&lt;=NC[[#This Row],[ID]]),N(NC[DATA BASE]=NC[[#This Row],[DATA BASE]]), N(NC['[D/N']] = "N"),    NC[LUCRO P/ OP]), 0)</f>
        <v>0</v>
      </c>
      <c r="AF24" s="15">
        <f>IF(NC[U] = "U",NC[LUCRO '[N']] + SUMPRODUCT(N(MONTH(NC[DATA BASE])&lt;MONTH(NC[[#This Row],[DATA BASE]]) ), NC[LUCRO '[N']]),0)</f>
        <v>0</v>
      </c>
      <c r="AG24" s="15">
        <f>IF(NC[U] = "U", SUMPRODUCT(N(NC[DATA BASE]=NC[[#This Row],[DATA BASE]]), N(NC['[D/N']] = "D"),    NC[LUCRO P/ OP]), 0)</f>
        <v>0</v>
      </c>
      <c r="AH24" s="20">
        <f>IF(NC[ TRIB. '[N']] &gt; 0,     ROUND(NC[ TRIB. '[N']]*0.15,    2),    0)</f>
        <v>0</v>
      </c>
      <c r="AI24" s="20">
        <f>IF(NC[LUCRO TRIB. DT] &gt; 0,     ROUND(NC[LUCRO TRIB. DT]*0.2,    2)  -  SUMPRODUCT(N(NC[DATA BASE]=NC[[#This Row],[DATA BASE]]),    NC[IRRF FONTE]),    0)</f>
        <v>0</v>
      </c>
      <c r="AJ24" s="19">
        <f>NC[IR '[N']] + NC[IR DEVIDO DT]</f>
        <v>0</v>
      </c>
      <c r="AK24" s="20">
        <f>IF(AND(NC[U] = "U",NC[IR DEVIDO] &gt; 0), NC[IR DEVIDO] + 8.9, 0)</f>
        <v>0</v>
      </c>
      <c r="AL24" s="20">
        <f>NC[LUCRO '[N']]  + NC[LUCRO TRIB. DT] - NC[RESGATE]</f>
        <v>0</v>
      </c>
    </row>
    <row r="25" spans="1:38" ht="11.25" customHeight="1" x14ac:dyDescent="0.2">
      <c r="A25" s="13">
        <v>24</v>
      </c>
      <c r="B25" s="13"/>
      <c r="C25" s="13" t="s">
        <v>61</v>
      </c>
      <c r="D25" s="13" t="s">
        <v>25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5" s="15">
        <f>NC[QTDE]*NC[PREÇO]</f>
        <v>400</v>
      </c>
      <c r="M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N2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O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P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Q25" s="15">
        <f>SETUP!$E$3*SUMPRODUCT(N(NC[DATA]=NC[[#This Row],[DATA]]),N(NC[ID]&lt;=NC[[#This Row],[ID]]))</f>
        <v>14.9</v>
      </c>
      <c r="R25" s="15">
        <f>TRUNC(NC[CORRETAGEM]*SETUP!$F$3,2)</f>
        <v>0.28999999999999998</v>
      </c>
      <c r="S25" s="15">
        <f>ROUND(NC[CORRETAGEM]*SETUP!$G$3,2)</f>
        <v>0.57999999999999996</v>
      </c>
      <c r="T25" s="15">
        <f>NC[VALOR LÍQUIDO DAS OPERAÇÕES]-NC[TAXA DE LIQUIDAÇÃO]-NC[EMOLUMENTOS]-NC[TAXA DE REGISTRO]-NC[CORRETAGEM]-NC[ISS]-IF(NC['[D/N']]="D",    0,    NC[OUTRAS BOVESPA])</f>
        <v>-416.28999999999996</v>
      </c>
      <c r="U25" s="15">
        <f>IF(AND(NC['[D/N']]="D",    NC[T]="CV"),    ROUND(NC[LÍQUIDO BASE]*0.01, 2),    0)</f>
        <v>0</v>
      </c>
      <c r="V25" s="15">
        <f>IF(NC[PREÇO] &gt; 0,    NC[LÍQUIDO BASE]-SUMPRODUCT(N(NC[DATA]=NC[[#This Row],[DATA]]),    NC[IRRF FONTE]),    0)</f>
        <v>-416.28999999999996</v>
      </c>
      <c r="W25" s="20">
        <f>NC[LÍQUIDO]-SUMPRODUCT(N(NC[DATA]=NC[[#This Row],[DATA]]),N(NC[ID]=(NC[[#This Row],[ID]]-1)),NC[LÍQUIDO])</f>
        <v>-416.28999999999996</v>
      </c>
      <c r="X25" s="15">
        <f>IF(NC[T] = "VC", ABS(NC[VALOR P/ OP]) / NC[QTDE], NC[VALOR P/ OP]/NC[QTDE])</f>
        <v>-0.52036249999999995</v>
      </c>
      <c r="Y25" s="15">
        <f>TRUNC(IF(OR(NC[T]="CV",NC[T]="VV"),     L25*SETUP!$H$3,     0),2)</f>
        <v>0</v>
      </c>
      <c r="Z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2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B2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5" s="15">
        <f>IF(NC[LUCRO TMP] &lt;&gt; 0, NC[LUCRO TMP] - SUMPRODUCT(N(NC[ATIVO]=NC[[#This Row],[ATIVO]]),N(NC['[D/N']]="N"),N(NC[ID]&lt;NC[[#This Row],[ID]]),N(NC[PAR]=NC[[#This Row],[PAR]]), NC[LUCRO TMP]), 0)</f>
        <v>0</v>
      </c>
      <c r="AE25" s="15">
        <f>IF(NC[U] = "U", SUMPRODUCT(N(NC[ID]&lt;=NC[[#This Row],[ID]]),N(NC[DATA BASE]=NC[[#This Row],[DATA BASE]]), N(NC['[D/N']] = "N"),    NC[LUCRO P/ OP]), 0)</f>
        <v>0</v>
      </c>
      <c r="AF25" s="15">
        <f>IF(NC[U] = "U",NC[LUCRO '[N']] + SUMPRODUCT(N(MONTH(NC[DATA BASE])&lt;MONTH(NC[[#This Row],[DATA BASE]]) ), NC[LUCRO '[N']]),0)</f>
        <v>0</v>
      </c>
      <c r="AG25" s="15">
        <f>IF(NC[U] = "U", SUMPRODUCT(N(NC[DATA BASE]=NC[[#This Row],[DATA BASE]]), N(NC['[D/N']] = "D"),    NC[LUCRO P/ OP]), 0)</f>
        <v>0</v>
      </c>
      <c r="AH25" s="20">
        <f>IF(NC[ TRIB. '[N']] &gt; 0,     ROUND(NC[ TRIB. '[N']]*0.15,    2),    0)</f>
        <v>0</v>
      </c>
      <c r="AI25" s="20">
        <f>IF(NC[LUCRO TRIB. DT] &gt; 0,     ROUND(NC[LUCRO TRIB. DT]*0.2,    2)  -  SUMPRODUCT(N(NC[DATA BASE]=NC[[#This Row],[DATA BASE]]),    NC[IRRF FONTE]),    0)</f>
        <v>0</v>
      </c>
      <c r="AJ25" s="19">
        <f>NC[IR '[N']] + NC[IR DEVIDO DT]</f>
        <v>0</v>
      </c>
      <c r="AK25" s="20">
        <f>IF(AND(NC[U] = "U",NC[IR DEVIDO] &gt; 0), NC[IR DEVIDO] + 8.9, 0)</f>
        <v>0</v>
      </c>
      <c r="AL25" s="20">
        <f>NC[LUCRO '[N']]  + NC[LUCRO TRIB. DT] - NC[RESGATE]</f>
        <v>0</v>
      </c>
    </row>
    <row r="26" spans="1:38" ht="11.25" customHeight="1" x14ac:dyDescent="0.2">
      <c r="A26" s="13">
        <v>25</v>
      </c>
      <c r="B26" s="13"/>
      <c r="C26" s="13" t="s">
        <v>61</v>
      </c>
      <c r="D26" s="13" t="s">
        <v>26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6" s="15">
        <f>NC[QTDE]*NC[PREÇO]</f>
        <v>800</v>
      </c>
      <c r="M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800</v>
      </c>
      <c r="N2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0.22</v>
      </c>
      <c r="O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0.28999999999999998</v>
      </c>
      <c r="P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0.55000000000000004</v>
      </c>
      <c r="Q26" s="15">
        <f>SETUP!$E$3*SUMPRODUCT(N(NC[DATA]=NC[[#This Row],[DATA]]),N(NC[ID]&lt;=NC[[#This Row],[ID]]))</f>
        <v>14.9</v>
      </c>
      <c r="R26" s="15">
        <f>TRUNC(NC[CORRETAGEM]*SETUP!$F$3,2)</f>
        <v>0.28999999999999998</v>
      </c>
      <c r="S26" s="15">
        <f>ROUND(NC[CORRETAGEM]*SETUP!$G$3,2)</f>
        <v>0.57999999999999996</v>
      </c>
      <c r="T26" s="15">
        <f>NC[VALOR LÍQUIDO DAS OPERAÇÕES]-NC[TAXA DE LIQUIDAÇÃO]-NC[EMOLUMENTOS]-NC[TAXA DE REGISTRO]-NC[CORRETAGEM]-NC[ISS]-IF(NC['[D/N']]="D",    0,    NC[OUTRAS BOVESPA])</f>
        <v>783.17000000000007</v>
      </c>
      <c r="U26" s="15">
        <f>IF(AND(NC['[D/N']]="D",    NC[T]="CV"),    ROUND(NC[LÍQUIDO BASE]*0.01, 2),    0)</f>
        <v>0</v>
      </c>
      <c r="V26" s="15">
        <f>IF(NC[PREÇO] &gt; 0,    NC[LÍQUIDO BASE]-SUMPRODUCT(N(NC[DATA]=NC[[#This Row],[DATA]]),    NC[IRRF FONTE]),    0)</f>
        <v>783.17000000000007</v>
      </c>
      <c r="W26" s="20">
        <f>NC[LÍQUIDO]-SUMPRODUCT(N(NC[DATA]=NC[[#This Row],[DATA]]),N(NC[ID]=(NC[[#This Row],[ID]]-1)),NC[LÍQUIDO])</f>
        <v>783.17000000000007</v>
      </c>
      <c r="X26" s="15">
        <f>IF(NC[T] = "VC", ABS(NC[VALOR P/ OP]) / NC[QTDE], NC[VALOR P/ OP]/NC[QTDE])</f>
        <v>0.97896250000000007</v>
      </c>
      <c r="Y26" s="15">
        <f>TRUNC(IF(OR(NC[T]="CV",NC[T]="VV"),     L26*SETUP!$H$3,     0),2)</f>
        <v>0.04</v>
      </c>
      <c r="Z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B2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0.97896250000000007</v>
      </c>
      <c r="AC2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366.88000000000011</v>
      </c>
      <c r="AD26" s="15">
        <f>IF(NC[LUCRO TMP] &lt;&gt; 0, NC[LUCRO TMP] - SUMPRODUCT(N(NC[ATIVO]=NC[[#This Row],[ATIVO]]),N(NC['[D/N']]="N"),N(NC[ID]&lt;NC[[#This Row],[ID]]),N(NC[PAR]=NC[[#This Row],[PAR]]), NC[LUCRO TMP]), 0)</f>
        <v>366.88000000000011</v>
      </c>
      <c r="AE26" s="15">
        <f>IF(NC[U] = "U", SUMPRODUCT(N(NC[ID]&lt;=NC[[#This Row],[ID]]),N(NC[DATA BASE]=NC[[#This Row],[DATA BASE]]), N(NC['[D/N']] = "N"),    NC[LUCRO P/ OP]), 0)</f>
        <v>0</v>
      </c>
      <c r="AF26" s="15">
        <f>IF(NC[U] = "U",NC[LUCRO '[N']] + SUMPRODUCT(N(MONTH(NC[DATA BASE])&lt;MONTH(NC[[#This Row],[DATA BASE]]) ), NC[LUCRO '[N']]),0)</f>
        <v>0</v>
      </c>
      <c r="AG26" s="15">
        <f>IF(NC[U] = "U", SUMPRODUCT(N(NC[DATA BASE]=NC[[#This Row],[DATA BASE]]), N(NC['[D/N']] = "D"),    NC[LUCRO P/ OP]), 0)</f>
        <v>0</v>
      </c>
      <c r="AH26" s="20">
        <f>IF(NC[ TRIB. '[N']] &gt; 0,     ROUND(NC[ TRIB. '[N']]*0.15,    2),    0)</f>
        <v>0</v>
      </c>
      <c r="AI26" s="20">
        <f>IF(NC[LUCRO TRIB. DT] &gt; 0,     ROUND(NC[LUCRO TRIB. DT]*0.2,    2)  -  SUMPRODUCT(N(NC[DATA BASE]=NC[[#This Row],[DATA BASE]]),    NC[IRRF FONTE]),    0)</f>
        <v>0</v>
      </c>
      <c r="AJ26" s="19">
        <f>NC[IR '[N']] + NC[IR DEVIDO DT]</f>
        <v>0</v>
      </c>
      <c r="AK26" s="20">
        <f>IF(AND(NC[U] = "U",NC[IR DEVIDO] &gt; 0), NC[IR DEVIDO] + 8.9, 0)</f>
        <v>0</v>
      </c>
      <c r="AL26" s="20">
        <f>NC[LUCRO '[N']]  + NC[LUCRO TRIB. DT] - NC[RESGATE]</f>
        <v>0</v>
      </c>
    </row>
    <row r="27" spans="1:38" ht="11.25" customHeight="1" x14ac:dyDescent="0.2">
      <c r="A27" s="13">
        <v>26</v>
      </c>
      <c r="B27" s="13"/>
      <c r="C27" s="13" t="s">
        <v>56</v>
      </c>
      <c r="D27" s="13" t="s">
        <v>26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7" s="15">
        <f>NC[QTDE]*NC[PREÇO]</f>
        <v>0</v>
      </c>
      <c r="M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2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27" s="15">
        <f>SETUP!$E$3*SUMPRODUCT(N(NC[DATA]=NC[[#This Row],[DATA]]),N(NC[ID]&lt;=NC[[#This Row],[ID]]))</f>
        <v>14.9</v>
      </c>
      <c r="R27" s="15">
        <f>TRUNC(NC[CORRETAGEM]*SETUP!$F$3,2)</f>
        <v>0.28999999999999998</v>
      </c>
      <c r="S27" s="15">
        <f>ROUND(NC[CORRETAGEM]*SETUP!$G$3,2)</f>
        <v>0.57999999999999996</v>
      </c>
      <c r="T27" s="15">
        <f>NC[VALOR LÍQUIDO DAS OPERAÇÕES]-NC[TAXA DE LIQUIDAÇÃO]-NC[EMOLUMENTOS]-NC[TAXA DE REGISTRO]-NC[CORRETAGEM]-NC[ISS]-IF(NC['[D/N']]="D",    0,    NC[OUTRAS BOVESPA])</f>
        <v>-15.77</v>
      </c>
      <c r="U27" s="15">
        <f>IF(AND(NC['[D/N']]="D",    NC[T]="CV"),    ROUND(NC[LÍQUIDO BASE]*0.01, 2),    0)</f>
        <v>0</v>
      </c>
      <c r="V27" s="15">
        <f>IF(NC[PREÇO] &gt; 0,    NC[LÍQUIDO BASE]-SUMPRODUCT(N(NC[DATA]=NC[[#This Row],[DATA]]),    NC[IRRF FONTE]),    0)</f>
        <v>0</v>
      </c>
      <c r="W27" s="20">
        <f>NC[LÍQUIDO]-SUMPRODUCT(N(NC[DATA]=NC[[#This Row],[DATA]]),N(NC[ID]=(NC[[#This Row],[ID]]-1)),NC[LÍQUIDO])</f>
        <v>0</v>
      </c>
      <c r="X27" s="15">
        <f>IF(NC[T] = "VC", ABS(NC[VALOR P/ OP]) / NC[QTDE], NC[VALOR P/ OP]/NC[QTDE])</f>
        <v>0</v>
      </c>
      <c r="Y27" s="15">
        <f>TRUNC(IF(OR(NC[T]="CV",NC[T]="VV"),     L27*SETUP!$H$3,     0),2)</f>
        <v>0</v>
      </c>
      <c r="Z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B2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-496.4</v>
      </c>
      <c r="AD27" s="15">
        <f>IF(NC[LUCRO TMP] &lt;&gt; 0, NC[LUCRO TMP] - SUMPRODUCT(N(NC[ATIVO]=NC[[#This Row],[ATIVO]]),N(NC['[D/N']]="N"),N(NC[ID]&lt;NC[[#This Row],[ID]]),N(NC[PAR]=NC[[#This Row],[PAR]]), NC[LUCRO TMP]), 0)</f>
        <v>-496.4</v>
      </c>
      <c r="AE27" s="15">
        <f>IF(NC[U] = "U", SUMPRODUCT(N(NC[ID]&lt;=NC[[#This Row],[ID]]),N(NC[DATA BASE]=NC[[#This Row],[DATA BASE]]), N(NC['[D/N']] = "N"),    NC[LUCRO P/ OP]), 0)</f>
        <v>0</v>
      </c>
      <c r="AF27" s="15">
        <f>IF(NC[U] = "U",NC[LUCRO '[N']] + SUMPRODUCT(N(MONTH(NC[DATA BASE])&lt;MONTH(NC[[#This Row],[DATA BASE]]) ), NC[LUCRO '[N']]),0)</f>
        <v>0</v>
      </c>
      <c r="AG27" s="15">
        <f>IF(NC[U] = "U", SUMPRODUCT(N(NC[DATA BASE]=NC[[#This Row],[DATA BASE]]), N(NC['[D/N']] = "D"),    NC[LUCRO P/ OP]), 0)</f>
        <v>0</v>
      </c>
      <c r="AH27" s="20">
        <f>IF(NC[ TRIB. '[N']] &gt; 0,     ROUND(NC[ TRIB. '[N']]*0.15,    2),    0)</f>
        <v>0</v>
      </c>
      <c r="AI27" s="20">
        <f>IF(NC[LUCRO TRIB. DT] &gt; 0,     ROUND(NC[LUCRO TRIB. DT]*0.2,    2)  -  SUMPRODUCT(N(NC[DATA BASE]=NC[[#This Row],[DATA BASE]]),    NC[IRRF FONTE]),    0)</f>
        <v>0</v>
      </c>
      <c r="AJ27" s="19">
        <f>NC[IR '[N']] + NC[IR DEVIDO DT]</f>
        <v>0</v>
      </c>
      <c r="AK27" s="20">
        <f>IF(AND(NC[U] = "U",NC[IR DEVIDO] &gt; 0), NC[IR DEVIDO] + 8.9, 0)</f>
        <v>0</v>
      </c>
      <c r="AL27" s="20">
        <f>NC[LUCRO '[N']]  + NC[LUCRO TRIB. DT] - NC[RESGATE]</f>
        <v>0</v>
      </c>
    </row>
    <row r="28" spans="1:38" ht="11.25" customHeight="1" x14ac:dyDescent="0.2">
      <c r="A28" s="13">
        <v>27</v>
      </c>
      <c r="B28" s="32"/>
      <c r="C28" s="32" t="s">
        <v>71</v>
      </c>
      <c r="D28" s="32" t="s">
        <v>25</v>
      </c>
      <c r="E28" s="33">
        <v>41022</v>
      </c>
      <c r="F28" s="32">
        <v>100</v>
      </c>
      <c r="G28" s="30">
        <v>0.75</v>
      </c>
      <c r="H28" s="32" t="s">
        <v>6</v>
      </c>
      <c r="I28" s="33">
        <f>WORKDAY(NC[[#This Row],[DATA]],1,0)</f>
        <v>41023</v>
      </c>
      <c r="J28" s="34">
        <f>EOMONTH(NC[[#This Row],[DATA DE LIQUIDAÇÃO]],0)</f>
        <v>41029</v>
      </c>
      <c r="K28" s="32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8" s="30">
        <f>NC[QTDE]*NC[PREÇO]</f>
        <v>75</v>
      </c>
      <c r="M28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-75</v>
      </c>
      <c r="N28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28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8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Q28" s="30">
        <f>SETUP!$E$3*SUMPRODUCT(N(NC[DATA]=NC[[#This Row],[DATA]]),N(NC[ID]&lt;=NC[[#This Row],[ID]]))</f>
        <v>14.9</v>
      </c>
      <c r="R28" s="30">
        <f>TRUNC(NC[CORRETAGEM]*SETUP!$F$3,2)</f>
        <v>0.28999999999999998</v>
      </c>
      <c r="S28" s="30">
        <f>ROUND(NC[CORRETAGEM]*SETUP!$G$3,2)</f>
        <v>0.57999999999999996</v>
      </c>
      <c r="T28" s="30">
        <f>NC[VALOR LÍQUIDO DAS OPERAÇÕES]-NC[TAXA DE LIQUIDAÇÃO]-NC[EMOLUMENTOS]-NC[TAXA DE REGISTRO]-NC[CORRETAGEM]-NC[ISS]-IF(NC['[D/N']]="D",    0,    NC[OUTRAS BOVESPA])</f>
        <v>-90.86</v>
      </c>
      <c r="U28" s="30">
        <f>IF(AND(NC['[D/N']]="D",    NC[T]="CV"),    ROUND(NC[LÍQUIDO BASE]*0.01, 2),    0)</f>
        <v>0</v>
      </c>
      <c r="V28" s="15">
        <f>IF(NC[PREÇO] &gt; 0,    NC[LÍQUIDO BASE]-SUMPRODUCT(N(NC[DATA]=NC[[#This Row],[DATA]]),    NC[IRRF FONTE]),    0)</f>
        <v>-90.86</v>
      </c>
      <c r="W28" s="35">
        <f>NC[LÍQUIDO]-SUMPRODUCT(N(NC[DATA]=NC[[#This Row],[DATA]]),N(NC[ID]=(NC[[#This Row],[ID]]-1)),NC[LÍQUIDO])</f>
        <v>-90.86</v>
      </c>
      <c r="X28" s="30">
        <f>IF(NC[T] = "VC", ABS(NC[VALOR P/ OP]) / NC[QTDE], NC[VALOR P/ OP]/NC[QTDE])</f>
        <v>-0.90859999999999996</v>
      </c>
      <c r="Y28" s="30">
        <f>TRUNC(IF(OR(NC[T]="CV",NC[T]="VV"),     L28*SETUP!$H$3,     0),2)</f>
        <v>0</v>
      </c>
      <c r="Z28" s="32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28" s="3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B28" s="3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8" s="3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8" s="30">
        <f>IF(NC[LUCRO TMP] &lt;&gt; 0, NC[LUCRO TMP] - SUMPRODUCT(N(NC[ATIVO]=NC[[#This Row],[ATIVO]]),N(NC['[D/N']]="N"),N(NC[ID]&lt;NC[[#This Row],[ID]]),N(NC[PAR]=NC[[#This Row],[PAR]]), NC[LUCRO TMP]), 0)</f>
        <v>0</v>
      </c>
      <c r="AE28" s="30">
        <f>IF(NC[U] = "U", SUMPRODUCT(N(NC[ID]&lt;=NC[[#This Row],[ID]]),N(NC[DATA BASE]=NC[[#This Row],[DATA BASE]]), N(NC['[D/N']] = "N"),    NC[LUCRO P/ OP]), 0)</f>
        <v>0</v>
      </c>
      <c r="AF28" s="15">
        <f>IF(NC[U] = "U",NC[LUCRO '[N']] + SUMPRODUCT(N(MONTH(NC[DATA BASE])&lt;MONTH(NC[[#This Row],[DATA BASE]]) ), NC[LUCRO '[N']]),0)</f>
        <v>0</v>
      </c>
      <c r="AG28" s="30">
        <f>IF(NC[U] = "U", SUMPRODUCT(N(NC[DATA BASE]=NC[[#This Row],[DATA BASE]]), N(NC['[D/N']] = "D"),    NC[LUCRO P/ OP]), 0)</f>
        <v>0</v>
      </c>
      <c r="AH28" s="35">
        <f>IF(NC[ TRIB. '[N']] &gt; 0,     ROUND(NC[ TRIB. '[N']]*0.15,    2),    0)</f>
        <v>0</v>
      </c>
      <c r="AI28" s="35">
        <f>IF(NC[LUCRO TRIB. DT] &gt; 0,     ROUND(NC[LUCRO TRIB. DT]*0.2,    2)  -  SUMPRODUCT(N(NC[DATA BASE]=NC[[#This Row],[DATA BASE]]),    NC[IRRF FONTE]),    0)</f>
        <v>0</v>
      </c>
      <c r="AJ28" s="37">
        <f>NC[IR '[N']] + NC[IR DEVIDO DT]</f>
        <v>0</v>
      </c>
      <c r="AK28" s="35">
        <f>IF(AND(NC[U] = "U",NC[IR DEVIDO] &gt; 0), NC[IR DEVIDO] + 8.9, 0)</f>
        <v>0</v>
      </c>
      <c r="AL28" s="35">
        <f>NC[LUCRO '[N']]  + NC[LUCRO TRIB. DT] - NC[RESGATE]</f>
        <v>0</v>
      </c>
    </row>
    <row r="29" spans="1:38" ht="11.25" customHeight="1" x14ac:dyDescent="0.2">
      <c r="A29" s="13">
        <v>28</v>
      </c>
      <c r="B29" s="32"/>
      <c r="C29" s="32" t="s">
        <v>72</v>
      </c>
      <c r="D29" s="32" t="s">
        <v>73</v>
      </c>
      <c r="E29" s="33">
        <v>41022</v>
      </c>
      <c r="F29" s="32">
        <v>100</v>
      </c>
      <c r="G29" s="30">
        <v>1.93</v>
      </c>
      <c r="H29" s="32" t="s">
        <v>6</v>
      </c>
      <c r="I29" s="33">
        <f>WORKDAY(NC[[#This Row],[DATA]],1,0)</f>
        <v>41023</v>
      </c>
      <c r="J29" s="34">
        <f>EOMONTH(NC[[#This Row],[DATA DE LIQUIDAÇÃO]],0)</f>
        <v>41029</v>
      </c>
      <c r="K29" s="32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9" s="30">
        <f>NC[QTDE]*NC[PREÇO]</f>
        <v>193</v>
      </c>
      <c r="M29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118</v>
      </c>
      <c r="N29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O29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P29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0.18</v>
      </c>
      <c r="Q29" s="30">
        <f>SETUP!$E$3*SUMPRODUCT(N(NC[DATA]=NC[[#This Row],[DATA]]),N(NC[ID]&lt;=NC[[#This Row],[ID]]))</f>
        <v>29.8</v>
      </c>
      <c r="R29" s="30">
        <f>TRUNC(NC[CORRETAGEM]*SETUP!$F$3,2)</f>
        <v>0.59</v>
      </c>
      <c r="S29" s="30">
        <f>ROUND(NC[CORRETAGEM]*SETUP!$G$3,2)</f>
        <v>1.1599999999999999</v>
      </c>
      <c r="T29" s="30">
        <f>NC[VALOR LÍQUIDO DAS OPERAÇÕES]-NC[TAXA DE LIQUIDAÇÃO]-NC[EMOLUMENTOS]-NC[TAXA DE REGISTRO]-NC[CORRETAGEM]-NC[ISS]-IF(NC['[D/N']]="D",    0,    NC[OUTRAS BOVESPA])</f>
        <v>86.11</v>
      </c>
      <c r="U29" s="30">
        <f>IF(AND(NC['[D/N']]="D",    NC[T]="CV"),    ROUND(NC[LÍQUIDO BASE]*0.01, 2),    0)</f>
        <v>0</v>
      </c>
      <c r="V29" s="15">
        <f>IF(NC[PREÇO] &gt; 0,    NC[LÍQUIDO BASE]-SUMPRODUCT(N(NC[DATA]=NC[[#This Row],[DATA]]),    NC[IRRF FONTE]),    0)</f>
        <v>86.11</v>
      </c>
      <c r="W29" s="35">
        <f>NC[LÍQUIDO]-SUMPRODUCT(N(NC[DATA]=NC[[#This Row],[DATA]]),N(NC[ID]=(NC[[#This Row],[ID]]-1)),NC[LÍQUIDO])</f>
        <v>176.97</v>
      </c>
      <c r="X29" s="30">
        <f>IF(NC[T] = "VC", ABS(NC[VALOR P/ OP]) / NC[QTDE], NC[VALOR P/ OP]/NC[QTDE])</f>
        <v>1.7697000000000001</v>
      </c>
      <c r="Y29" s="30">
        <f>TRUNC(IF(OR(NC[T]="CV",NC[T]="VV"),     L29*SETUP!$H$3,     0),2)</f>
        <v>0</v>
      </c>
      <c r="Z29" s="32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A29" s="3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29" s="3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1.7697000000000001</v>
      </c>
      <c r="AC29" s="3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9" s="30">
        <f>IF(NC[LUCRO TMP] &lt;&gt; 0, NC[LUCRO TMP] - SUMPRODUCT(N(NC[ATIVO]=NC[[#This Row],[ATIVO]]),N(NC['[D/N']]="N"),N(NC[ID]&lt;NC[[#This Row],[ID]]),N(NC[PAR]=NC[[#This Row],[PAR]]), NC[LUCRO TMP]), 0)</f>
        <v>0</v>
      </c>
      <c r="AE29" s="30">
        <f>IF(NC[U] = "U", SUMPRODUCT(N(NC[ID]&lt;=NC[[#This Row],[ID]]),N(NC[DATA BASE]=NC[[#This Row],[DATA BASE]]), N(NC['[D/N']] = "N"),    NC[LUCRO P/ OP]), 0)</f>
        <v>0</v>
      </c>
      <c r="AF29" s="15">
        <f>IF(NC[U] = "U",NC[LUCRO '[N']] + SUMPRODUCT(N(MONTH(NC[DATA BASE])&lt;MONTH(NC[[#This Row],[DATA BASE]]) ), NC[LUCRO '[N']]),0)</f>
        <v>0</v>
      </c>
      <c r="AG29" s="30">
        <f>IF(NC[U] = "U", SUMPRODUCT(N(NC[DATA BASE]=NC[[#This Row],[DATA BASE]]), N(NC['[D/N']] = "D"),    NC[LUCRO P/ OP]), 0)</f>
        <v>0</v>
      </c>
      <c r="AH29" s="35">
        <f>IF(NC[ TRIB. '[N']] &gt; 0,     ROUND(NC[ TRIB. '[N']]*0.15,    2),    0)</f>
        <v>0</v>
      </c>
      <c r="AI29" s="35">
        <f>IF(NC[LUCRO TRIB. DT] &gt; 0,     ROUND(NC[LUCRO TRIB. DT]*0.2,    2)  -  SUMPRODUCT(N(NC[DATA BASE]=NC[[#This Row],[DATA BASE]]),    NC[IRRF FONTE]),    0)</f>
        <v>0</v>
      </c>
      <c r="AJ29" s="37">
        <f>NC[IR '[N']] + NC[IR DEVIDO DT]</f>
        <v>0</v>
      </c>
      <c r="AK29" s="35">
        <f>IF(AND(NC[U] = "U",NC[IR DEVIDO] &gt; 0), NC[IR DEVIDO] + 8.9, 0)</f>
        <v>0</v>
      </c>
      <c r="AL29" s="35">
        <f>NC[LUCRO '[N']]  + NC[LUCRO TRIB. DT] - NC[RESGATE]</f>
        <v>0</v>
      </c>
    </row>
    <row r="30" spans="1:38" ht="11.25" customHeight="1" x14ac:dyDescent="0.2">
      <c r="A30" s="13">
        <v>29</v>
      </c>
      <c r="B30" s="32" t="s">
        <v>54</v>
      </c>
      <c r="C30" s="32" t="s">
        <v>66</v>
      </c>
      <c r="D30" s="32" t="s">
        <v>25</v>
      </c>
      <c r="E30" s="33">
        <v>41026</v>
      </c>
      <c r="F30" s="32">
        <v>300</v>
      </c>
      <c r="G30" s="30">
        <v>0.32</v>
      </c>
      <c r="H30" s="32" t="s">
        <v>6</v>
      </c>
      <c r="I30" s="33">
        <f>WORKDAY(NC[[#This Row],[DATA]],1,0)</f>
        <v>41029</v>
      </c>
      <c r="J30" s="34">
        <f>EOMONTH(NC[[#This Row],[DATA DE LIQUIDAÇÃO]],0)</f>
        <v>41029</v>
      </c>
      <c r="K30" s="32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0" s="30">
        <f>NC[QTDE]*NC[PREÇO]</f>
        <v>96</v>
      </c>
      <c r="M30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-96</v>
      </c>
      <c r="N30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30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30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Q30" s="30">
        <f>SETUP!$E$3*SUMPRODUCT(N(NC[DATA]=NC[[#This Row],[DATA]]),N(NC[ID]&lt;=NC[[#This Row],[ID]]))</f>
        <v>14.9</v>
      </c>
      <c r="R30" s="30">
        <f>TRUNC(NC[CORRETAGEM]*SETUP!$F$3,2)</f>
        <v>0.28999999999999998</v>
      </c>
      <c r="S30" s="30">
        <f>ROUND(NC[CORRETAGEM]*SETUP!$G$3,2)</f>
        <v>0.57999999999999996</v>
      </c>
      <c r="T30" s="30">
        <f>NC[VALOR LÍQUIDO DAS OPERAÇÕES]-NC[TAXA DE LIQUIDAÇÃO]-NC[EMOLUMENTOS]-NC[TAXA DE REGISTRO]-NC[CORRETAGEM]-NC[ISS]-IF(NC['[D/N']]="D",    0,    NC[OUTRAS BOVESPA])</f>
        <v>-111.88000000000001</v>
      </c>
      <c r="U30" s="30">
        <f>IF(AND(NC['[D/N']]="D",    NC[T]="CV"),    ROUND(NC[LÍQUIDO BASE]*0.01, 2),    0)</f>
        <v>0</v>
      </c>
      <c r="V30" s="15">
        <f>IF(NC[PREÇO] &gt; 0,    NC[LÍQUIDO BASE]-SUMPRODUCT(N(NC[DATA]=NC[[#This Row],[DATA]]),    NC[IRRF FONTE]),    0)</f>
        <v>-111.88000000000001</v>
      </c>
      <c r="W30" s="35">
        <f>NC[LÍQUIDO]-SUMPRODUCT(N(NC[DATA]=NC[[#This Row],[DATA]]),N(NC[ID]=(NC[[#This Row],[ID]]-1)),NC[LÍQUIDO])</f>
        <v>-111.88000000000001</v>
      </c>
      <c r="X30" s="30">
        <f>IF(NC[T] = "VC", ABS(NC[VALOR P/ OP]) / NC[QTDE], NC[VALOR P/ OP]/NC[QTDE])</f>
        <v>-0.37293333333333334</v>
      </c>
      <c r="Y30" s="30">
        <f>TRUNC(IF(OR(NC[T]="CV",NC[T]="VV"),     L30*SETUP!$H$3,     0),2)</f>
        <v>0</v>
      </c>
      <c r="Z30" s="32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A30" s="3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B30" s="3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0" s="3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0" s="30">
        <f>IF(NC[LUCRO TMP] &lt;&gt; 0, NC[LUCRO TMP] - SUMPRODUCT(N(NC[ATIVO]=NC[[#This Row],[ATIVO]]),N(NC['[D/N']]="N"),N(NC[ID]&lt;NC[[#This Row],[ID]]),N(NC[PAR]=NC[[#This Row],[PAR]]), NC[LUCRO TMP]), 0)</f>
        <v>0</v>
      </c>
      <c r="AE30" s="30">
        <f>IF(NC[U] = "U", SUMPRODUCT(N(NC[ID]&lt;=NC[[#This Row],[ID]]),N(NC[DATA BASE]=NC[[#This Row],[DATA BASE]]), N(NC['[D/N']] = "N"),    NC[LUCRO P/ OP]), 0)</f>
        <v>-958.07999999999981</v>
      </c>
      <c r="AF30" s="15">
        <f>IF(NC[U] = "U",NC[LUCRO '[N']] + SUMPRODUCT(N(MONTH(NC[DATA BASE])&lt;MONTH(NC[[#This Row],[DATA BASE]]) ), NC[LUCRO '[N']]),0)</f>
        <v>-1614.8899999999999</v>
      </c>
      <c r="AG30" s="30">
        <f>IF(NC[U] = "U", SUMPRODUCT(N(NC[DATA BASE]=NC[[#This Row],[DATA BASE]]), N(NC['[D/N']] = "D"),    NC[LUCRO P/ OP]), 0)</f>
        <v>0</v>
      </c>
      <c r="AH30" s="35">
        <f>IF(NC[ TRIB. '[N']] &gt; 0,     ROUND(NC[ TRIB. '[N']]*0.15,    2),    0)</f>
        <v>0</v>
      </c>
      <c r="AI30" s="35">
        <f>IF(NC[LUCRO TRIB. DT] &gt; 0,     ROUND(NC[LUCRO TRIB. DT]*0.2,    2)  -  SUMPRODUCT(N(NC[DATA BASE]=NC[[#This Row],[DATA BASE]]),    NC[IRRF FONTE]),    0)</f>
        <v>0</v>
      </c>
      <c r="AJ30" s="37">
        <f>NC[IR '[N']] + NC[IR DEVIDO DT]</f>
        <v>0</v>
      </c>
      <c r="AK30" s="35">
        <f>IF(AND(NC[U] = "U",NC[IR DEVIDO] &gt; 0), NC[IR DEVIDO] + 8.9, 0)</f>
        <v>0</v>
      </c>
      <c r="AL30" s="35">
        <f>NC[LUCRO '[N']]  + NC[LUCRO TRIB. DT] - NC[RESGATE]</f>
        <v>-958.07999999999981</v>
      </c>
    </row>
    <row r="31" spans="1:38" ht="11.25" customHeight="1" x14ac:dyDescent="0.2">
      <c r="A31" s="13">
        <v>30</v>
      </c>
      <c r="B31" s="13"/>
      <c r="C31" s="13" t="s">
        <v>66</v>
      </c>
      <c r="D31" s="13" t="s">
        <v>26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1" s="15">
        <f>NC[QTDE]*NC[PREÇO]</f>
        <v>192</v>
      </c>
      <c r="M3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192</v>
      </c>
      <c r="N3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3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P3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0.13</v>
      </c>
      <c r="Q31" s="15">
        <f>SETUP!$E$3*SUMPRODUCT(N(NC[DATA]=NC[[#This Row],[DATA]]),N(NC[ID]&lt;=NC[[#This Row],[ID]]))</f>
        <v>14.9</v>
      </c>
      <c r="R31" s="15">
        <f>TRUNC(NC[CORRETAGEM]*SETUP!$F$3,2)</f>
        <v>0.28999999999999998</v>
      </c>
      <c r="S31" s="15">
        <f>ROUND(NC[CORRETAGEM]*SETUP!$G$3,2)</f>
        <v>0.57999999999999996</v>
      </c>
      <c r="T31" s="15">
        <f>NC[VALOR LÍQUIDO DAS OPERAÇÕES]-NC[TAXA DE LIQUIDAÇÃO]-NC[EMOLUMENTOS]-NC[TAXA DE REGISTRO]-NC[CORRETAGEM]-NC[ISS]-IF(NC['[D/N']]="D",    0,    NC[OUTRAS BOVESPA])</f>
        <v>175.98</v>
      </c>
      <c r="U31" s="15">
        <f>IF(AND(NC['[D/N']]="D",    NC[T]="CV"),    ROUND(NC[LÍQUIDO BASE]*0.01, 2),    0)</f>
        <v>0</v>
      </c>
      <c r="V31" s="15">
        <f>IF(NC[PREÇO] &gt; 0,    NC[LÍQUIDO BASE]-SUMPRODUCT(N(NC[DATA]=NC[[#This Row],[DATA]]),    NC[IRRF FONTE]),    0)</f>
        <v>175.98</v>
      </c>
      <c r="W31" s="20">
        <f>NC[LÍQUIDO]-SUMPRODUCT(N(NC[DATA]=NC[[#This Row],[DATA]]),N(NC[ID]=(NC[[#This Row],[ID]]-1)),NC[LÍQUIDO])</f>
        <v>175.98</v>
      </c>
      <c r="X31" s="15">
        <f>IF(NC[T] = "VC", ABS(NC[VALOR P/ OP]) / NC[QTDE], NC[VALOR P/ OP]/NC[QTDE])</f>
        <v>0.58660000000000001</v>
      </c>
      <c r="Y31" s="15">
        <f>TRUNC(IF(OR(NC[T]="CV",NC[T]="VV"),     L31*SETUP!$H$3,     0),2)</f>
        <v>0</v>
      </c>
      <c r="Z3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B3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0.58660000000000001</v>
      </c>
      <c r="AC31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64.099999999999994</v>
      </c>
      <c r="AD31" s="15">
        <f>IF(NC[LUCRO TMP] &lt;&gt; 0, NC[LUCRO TMP] - SUMPRODUCT(N(NC[ATIVO]=NC[[#This Row],[ATIVO]]),N(NC['[D/N']]="N"),N(NC[ID]&lt;NC[[#This Row],[ID]]),N(NC[PAR]=NC[[#This Row],[PAR]]), NC[LUCRO TMP]), 0)</f>
        <v>64.099999999999994</v>
      </c>
      <c r="AE31" s="15">
        <f>IF(NC[U] = "U", SUMPRODUCT(N(NC[ID]&lt;=NC[[#This Row],[ID]]),N(NC[DATA BASE]=NC[[#This Row],[DATA BASE]]), N(NC['[D/N']] = "N"),    NC[LUCRO P/ OP]), 0)</f>
        <v>0</v>
      </c>
      <c r="AF31" s="15">
        <f>IF(NC[U] = "U",NC[LUCRO '[N']] + SUMPRODUCT(N(MONTH(NC[DATA BASE])&lt;MONTH(NC[[#This Row],[DATA BASE]]) ), NC[LUCRO '[N']]),0)</f>
        <v>0</v>
      </c>
      <c r="AG31" s="15">
        <f>IF(NC[U] = "U", SUMPRODUCT(N(NC[DATA BASE]=NC[[#This Row],[DATA BASE]]), N(NC['[D/N']] = "D"),    NC[LUCRO P/ OP]), 0)</f>
        <v>0</v>
      </c>
      <c r="AH31" s="20">
        <f>IF(NC[ TRIB. '[N']] &gt; 0,     ROUND(NC[ TRIB. '[N']]*0.15,    2),    0)</f>
        <v>0</v>
      </c>
      <c r="AI31" s="20">
        <f>IF(NC[LUCRO TRIB. DT] &gt; 0,     ROUND(NC[LUCRO TRIB. DT]*0.2,    2)  -  SUMPRODUCT(N(NC[DATA BASE]=NC[[#This Row],[DATA BASE]]),    NC[IRRF FONTE]),    0)</f>
        <v>0</v>
      </c>
      <c r="AJ31" s="19">
        <f>NC[IR '[N']] + NC[IR DEVIDO DT]</f>
        <v>0</v>
      </c>
      <c r="AK31" s="20">
        <f>IF(AND(NC[U] = "U",NC[IR DEVIDO] &gt; 0), NC[IR DEVIDO] + 8.9, 0)</f>
        <v>0</v>
      </c>
      <c r="AL31" s="20">
        <f>NC[LUCRO '[N']]  + NC[LUCRO TRIB. DT] - NC[RESGATE]</f>
        <v>0</v>
      </c>
    </row>
    <row r="32" spans="1:38" ht="11.25" customHeight="1" x14ac:dyDescent="0.2">
      <c r="A32" s="13">
        <v>31</v>
      </c>
      <c r="B32" s="13"/>
      <c r="C32" s="13" t="s">
        <v>83</v>
      </c>
      <c r="D32" s="13" t="s">
        <v>25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2" s="15">
        <f>NC[QTDE]*NC[PREÇO]</f>
        <v>108</v>
      </c>
      <c r="M3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-108</v>
      </c>
      <c r="N3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3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3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Q32" s="15">
        <f>SETUP!$E$3*SUMPRODUCT(N(NC[DATA]=NC[[#This Row],[DATA]]),N(NC[ID]&lt;=NC[[#This Row],[ID]]))</f>
        <v>14.9</v>
      </c>
      <c r="R32" s="15">
        <f>TRUNC(NC[CORRETAGEM]*SETUP!$F$3,2)</f>
        <v>0.28999999999999998</v>
      </c>
      <c r="S32" s="15">
        <f>ROUND(NC[CORRETAGEM]*SETUP!$G$3,2)</f>
        <v>0.57999999999999996</v>
      </c>
      <c r="T32" s="15">
        <f>NC[VALOR LÍQUIDO DAS OPERAÇÕES]-NC[TAXA DE LIQUIDAÇÃO]-NC[EMOLUMENTOS]-NC[TAXA DE REGISTRO]-NC[CORRETAGEM]-NC[ISS]-IF(NC['[D/N']]="D",    0,    NC[OUTRAS BOVESPA])</f>
        <v>-123.89</v>
      </c>
      <c r="U32" s="15">
        <f>IF(AND(NC['[D/N']]="D",    NC[T]="CV"),    ROUND(NC[LÍQUIDO BASE]*0.01, 2),    0)</f>
        <v>0</v>
      </c>
      <c r="V32" s="15">
        <f>IF(NC[PREÇO] &gt; 0,    NC[LÍQUIDO BASE]-SUMPRODUCT(N(NC[DATA]=NC[[#This Row],[DATA]]),    NC[IRRF FONTE]),    0)</f>
        <v>-123.89</v>
      </c>
      <c r="W32" s="20">
        <f>NC[LÍQUIDO]-SUMPRODUCT(N(NC[DATA]=NC[[#This Row],[DATA]]),N(NC[ID]=(NC[[#This Row],[ID]]-1)),NC[LÍQUIDO])</f>
        <v>-123.89</v>
      </c>
      <c r="X32" s="15">
        <f>IF(NC[T] = "VC", ABS(NC[VALOR P/ OP]) / NC[QTDE], NC[VALOR P/ OP]/NC[QTDE])</f>
        <v>-0.30972500000000003</v>
      </c>
      <c r="Y32" s="15">
        <f>TRUNC(IF(OR(NC[T]="CV",NC[T]="VV"),     L32*SETUP!$H$3,     0),2)</f>
        <v>0</v>
      </c>
      <c r="Z3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B3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2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2" s="15">
        <f>IF(NC[LUCRO TMP] &lt;&gt; 0, NC[LUCRO TMP] - SUMPRODUCT(N(NC[ATIVO]=NC[[#This Row],[ATIVO]]),N(NC['[D/N']]="N"),N(NC[ID]&lt;NC[[#This Row],[ID]]),N(NC[PAR]=NC[[#This Row],[PAR]]), NC[LUCRO TMP]), 0)</f>
        <v>0</v>
      </c>
      <c r="AE32" s="15">
        <f>IF(NC[U] = "U", SUMPRODUCT(N(NC[ID]&lt;=NC[[#This Row],[ID]]),N(NC[DATA BASE]=NC[[#This Row],[DATA BASE]]), N(NC['[D/N']] = "N"),    NC[LUCRO P/ OP]), 0)</f>
        <v>0</v>
      </c>
      <c r="AF32" s="15">
        <f>IF(NC[U] = "U",NC[LUCRO '[N']] + SUMPRODUCT(N(MONTH(NC[DATA BASE])&lt;MONTH(NC[[#This Row],[DATA BASE]]) ), NC[LUCRO '[N']]),0)</f>
        <v>0</v>
      </c>
      <c r="AG32" s="15">
        <f>IF(NC[U] = "U", SUMPRODUCT(N(NC[DATA BASE]=NC[[#This Row],[DATA BASE]]), N(NC['[D/N']] = "D"),    NC[LUCRO P/ OP]), 0)</f>
        <v>0</v>
      </c>
      <c r="AH32" s="20">
        <f>IF(NC[ TRIB. '[N']] &gt; 0,     ROUND(NC[ TRIB. '[N']]*0.15,    2),    0)</f>
        <v>0</v>
      </c>
      <c r="AI32" s="20">
        <f>IF(NC[LUCRO TRIB. DT] &gt; 0,     ROUND(NC[LUCRO TRIB. DT]*0.2,    2)  -  SUMPRODUCT(N(NC[DATA BASE]=NC[[#This Row],[DATA BASE]]),    NC[IRRF FONTE]),    0)</f>
        <v>0</v>
      </c>
      <c r="AJ32" s="19">
        <f>NC[IR '[N']] + NC[IR DEVIDO DT]</f>
        <v>0</v>
      </c>
      <c r="AK32" s="20">
        <f>IF(AND(NC[U] = "U",NC[IR DEVIDO] &gt; 0), NC[IR DEVIDO] + 8.9, 0)</f>
        <v>0</v>
      </c>
      <c r="AL32" s="20">
        <f>NC[LUCRO '[N']]  + NC[LUCRO TRIB. DT] - NC[RESGATE]</f>
        <v>0</v>
      </c>
    </row>
    <row r="33" spans="1:38" x14ac:dyDescent="0.2">
      <c r="A33" s="13">
        <v>32</v>
      </c>
      <c r="B33" s="13"/>
      <c r="C33" s="13" t="s">
        <v>86</v>
      </c>
      <c r="D33" s="13" t="s">
        <v>25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3" s="15">
        <f>NC[QTDE]*NC[PREÇO]</f>
        <v>30</v>
      </c>
      <c r="M3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-30</v>
      </c>
      <c r="N3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3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33" s="15">
        <f>SETUP!$E$3*SUMPRODUCT(N(NC[DATA]=NC[[#This Row],[DATA]]),N(NC[ID]&lt;=NC[[#This Row],[ID]]))</f>
        <v>14.9</v>
      </c>
      <c r="R33" s="15">
        <f>TRUNC(NC[CORRETAGEM]*SETUP!$F$3,2)</f>
        <v>0.28999999999999998</v>
      </c>
      <c r="S33" s="15">
        <f>ROUND(NC[CORRETAGEM]*SETUP!$G$3,2)</f>
        <v>0.57999999999999996</v>
      </c>
      <c r="T33" s="15">
        <f>NC[VALOR LÍQUIDO DAS OPERAÇÕES]-NC[TAXA DE LIQUIDAÇÃO]-NC[EMOLUMENTOS]-NC[TAXA DE REGISTRO]-NC[CORRETAGEM]-NC[ISS]-IF(NC['[D/N']]="D",    0,    NC[OUTRAS BOVESPA])</f>
        <v>-45.8</v>
      </c>
      <c r="U33" s="15">
        <f>IF(AND(NC['[D/N']]="D",    NC[T]="CV"),    ROUND(NC[LÍQUIDO BASE]*0.01, 2),    0)</f>
        <v>0</v>
      </c>
      <c r="V33" s="15">
        <f>IF(NC[PREÇO] &gt; 0,    NC[LÍQUIDO BASE]-SUMPRODUCT(N(NC[DATA]=NC[[#This Row],[DATA]]),    NC[IRRF FONTE]),    0)</f>
        <v>-45.8</v>
      </c>
      <c r="W33" s="20">
        <f>NC[LÍQUIDO]-SUMPRODUCT(N(NC[DATA]=NC[[#This Row],[DATA]]),N(NC[ID]=(NC[[#This Row],[ID]]-1)),NC[LÍQUIDO])</f>
        <v>-45.8</v>
      </c>
      <c r="X33" s="15">
        <f>IF(NC[T] = "VC", ABS(NC[VALOR P/ OP]) / NC[QTDE], NC[VALOR P/ OP]/NC[QTDE])</f>
        <v>-0.45799999999999996</v>
      </c>
      <c r="Y33" s="15">
        <f>TRUNC(IF(OR(NC[T]="CV",NC[T]="VV"),     L33*SETUP!$H$3,     0),2)</f>
        <v>0</v>
      </c>
      <c r="Z3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3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B3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3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3" s="15">
        <f>IF(NC[LUCRO TMP] &lt;&gt; 0, NC[LUCRO TMP] - SUMPRODUCT(N(NC[ATIVO]=NC[[#This Row],[ATIVO]]),N(NC['[D/N']]="N"),N(NC[ID]&lt;NC[[#This Row],[ID]]),N(NC[PAR]=NC[[#This Row],[PAR]]), NC[LUCRO TMP]), 0)</f>
        <v>0</v>
      </c>
      <c r="AE33" s="15">
        <f>IF(NC[U] = "U", SUMPRODUCT(N(NC[ID]&lt;=NC[[#This Row],[ID]]),N(NC[DATA BASE]=NC[[#This Row],[DATA BASE]]), N(NC['[D/N']] = "N"),    NC[LUCRO P/ OP]), 0)</f>
        <v>0</v>
      </c>
      <c r="AF33" s="15">
        <f>IF(NC[U] = "U",NC[LUCRO '[N']] + SUMPRODUCT(N(MONTH(NC[DATA BASE])&lt;MONTH(NC[[#This Row],[DATA BASE]]) ), NC[LUCRO '[N']]),0)</f>
        <v>0</v>
      </c>
      <c r="AG33" s="15">
        <f>IF(NC[U] = "U", SUMPRODUCT(N(NC[DATA BASE]=NC[[#This Row],[DATA BASE]]), N(NC['[D/N']] = "D"),    NC[LUCRO P/ OP]), 0)</f>
        <v>0</v>
      </c>
      <c r="AH33" s="20">
        <f>IF(NC[ TRIB. '[N']] &gt; 0,     ROUND(NC[ TRIB. '[N']]*0.15,    2),    0)</f>
        <v>0</v>
      </c>
      <c r="AI33" s="20">
        <f>IF(NC[LUCRO TRIB. DT] &gt; 0,     ROUND(NC[LUCRO TRIB. DT]*0.2,    2)  -  SUMPRODUCT(N(NC[DATA BASE]=NC[[#This Row],[DATA BASE]]),    NC[IRRF FONTE]),    0)</f>
        <v>0</v>
      </c>
      <c r="AJ33" s="19">
        <f>NC[IR '[N']] + NC[IR DEVIDO DT]</f>
        <v>0</v>
      </c>
      <c r="AK33" s="20">
        <f>IF(AND(NC[U] = "U",NC[IR DEVIDO] &gt; 0), NC[IR DEVIDO] + 8.9, 0)</f>
        <v>0</v>
      </c>
      <c r="AL33" s="20">
        <f>NC[LUCRO '[N']]  + NC[LUCRO TRIB. DT] - NC[RESGATE]</f>
        <v>0</v>
      </c>
    </row>
    <row r="34" spans="1:38" x14ac:dyDescent="0.2">
      <c r="A34" s="13">
        <v>33</v>
      </c>
      <c r="B34" s="13" t="s">
        <v>54</v>
      </c>
      <c r="C34" s="13" t="s">
        <v>87</v>
      </c>
      <c r="D34" s="13" t="s">
        <v>73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4" s="15">
        <f>NC[QTDE]*NC[PREÇO]</f>
        <v>152</v>
      </c>
      <c r="M3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122</v>
      </c>
      <c r="N3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3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3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Q34" s="15">
        <f>SETUP!$E$3*SUMPRODUCT(N(NC[DATA]=NC[[#This Row],[DATA]]),N(NC[ID]&lt;=NC[[#This Row],[ID]]))</f>
        <v>29.8</v>
      </c>
      <c r="R34" s="15">
        <f>TRUNC(NC[CORRETAGEM]*SETUP!$F$3,2)</f>
        <v>0.59</v>
      </c>
      <c r="S34" s="15">
        <f>ROUND(NC[CORRETAGEM]*SETUP!$G$3,2)</f>
        <v>1.1599999999999999</v>
      </c>
      <c r="T34" s="15">
        <f>NC[VALOR LÍQUIDO DAS OPERAÇÕES]-NC[TAXA DE LIQUIDAÇÃO]-NC[EMOLUMENTOS]-NC[TAXA DE REGISTRO]-NC[CORRETAGEM]-NC[ISS]-IF(NC['[D/N']]="D",    0,    NC[OUTRAS BOVESPA])</f>
        <v>90.22</v>
      </c>
      <c r="U34" s="15">
        <f>IF(AND(NC['[D/N']]="D",    NC[T]="CV"),    ROUND(NC[LÍQUIDO BASE]*0.01, 2),    0)</f>
        <v>0</v>
      </c>
      <c r="V34" s="15">
        <f>IF(NC[PREÇO] &gt; 0,    NC[LÍQUIDO BASE]-SUMPRODUCT(N(NC[DATA]=NC[[#This Row],[DATA]]),    NC[IRRF FONTE]),    0)</f>
        <v>90.22</v>
      </c>
      <c r="W34" s="20">
        <f>NC[LÍQUIDO]-SUMPRODUCT(N(NC[DATA]=NC[[#This Row],[DATA]]),N(NC[ID]=(NC[[#This Row],[ID]]-1)),NC[LÍQUIDO])</f>
        <v>136.01999999999998</v>
      </c>
      <c r="X34" s="15">
        <f>IF(NC[T] = "VC", ABS(NC[VALOR P/ OP]) / NC[QTDE], NC[VALOR P/ OP]/NC[QTDE])</f>
        <v>1.3601999999999999</v>
      </c>
      <c r="Y34" s="15">
        <f>TRUNC(IF(OR(NC[T]="CV",NC[T]="VV"),     L34*SETUP!$H$3,     0),2)</f>
        <v>0</v>
      </c>
      <c r="Z3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A3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3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1.3601999999999999</v>
      </c>
      <c r="AC34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4" s="15">
        <f>IF(NC[LUCRO TMP] &lt;&gt; 0, NC[LUCRO TMP] - SUMPRODUCT(N(NC[ATIVO]=NC[[#This Row],[ATIVO]]),N(NC['[D/N']]="N"),N(NC[ID]&lt;NC[[#This Row],[ID]]),N(NC[PAR]=NC[[#This Row],[PAR]]), NC[LUCRO TMP]), 0)</f>
        <v>0</v>
      </c>
      <c r="AE34" s="15">
        <f>IF(NC[U] = "U", SUMPRODUCT(N(NC[ID]&lt;=NC[[#This Row],[ID]]),N(NC[DATA BASE]=NC[[#This Row],[DATA BASE]]), N(NC['[D/N']] = "N"),    NC[LUCRO P/ OP]), 0)</f>
        <v>64.099999999999994</v>
      </c>
      <c r="AF34" s="15">
        <f>IF(NC[U] = "U",NC[LUCRO '[N']] + SUMPRODUCT(N(MONTH(NC[DATA BASE])&lt;MONTH(NC[[#This Row],[DATA BASE]]) ), NC[LUCRO '[N']]),0)</f>
        <v>-1550.79</v>
      </c>
      <c r="AG34" s="15">
        <f>IF(NC[U] = "U", SUMPRODUCT(N(NC[DATA BASE]=NC[[#This Row],[DATA BASE]]), N(NC['[D/N']] = "D"),    NC[LUCRO P/ OP]), 0)</f>
        <v>0</v>
      </c>
      <c r="AH34" s="20">
        <f>IF(NC[ TRIB. '[N']] &gt; 0,     ROUND(NC[ TRIB. '[N']]*0.15,    2),    0)</f>
        <v>0</v>
      </c>
      <c r="AI34" s="20">
        <f>IF(NC[LUCRO TRIB. DT] &gt; 0,     ROUND(NC[LUCRO TRIB. DT]*0.2,    2)  -  SUMPRODUCT(N(NC[DATA BASE]=NC[[#This Row],[DATA BASE]]),    NC[IRRF FONTE]),    0)</f>
        <v>0</v>
      </c>
      <c r="AJ34" s="19">
        <f>NC[IR '[N']] + NC[IR DEVIDO DT]</f>
        <v>0</v>
      </c>
      <c r="AK34" s="20">
        <f>IF(AND(NC[U] = "U",NC[IR DEVIDO] &gt; 0), NC[IR DEVIDO] + 8.9, 0)</f>
        <v>0</v>
      </c>
      <c r="AL34" s="20">
        <f>NC[LUCRO '[N']]  + NC[LUCRO TRIB. DT] - NC[RESGATE]</f>
        <v>64.099999999999994</v>
      </c>
    </row>
    <row r="35" spans="1:38" x14ac:dyDescent="0.2">
      <c r="A35" s="13">
        <v>34</v>
      </c>
      <c r="B35" s="32"/>
      <c r="C35" s="32" t="s">
        <v>71</v>
      </c>
      <c r="D35" s="32" t="s">
        <v>26</v>
      </c>
      <c r="E35" s="33">
        <v>41046</v>
      </c>
      <c r="F35" s="32">
        <v>100</v>
      </c>
      <c r="G35" s="30">
        <v>0</v>
      </c>
      <c r="H35" s="32" t="s">
        <v>6</v>
      </c>
      <c r="I35" s="33">
        <f>WORKDAY(NC[[#This Row],[DATA]],1,0)</f>
        <v>41047</v>
      </c>
      <c r="J35" s="34">
        <f>EOMONTH(NC[[#This Row],[DATA DE LIQUIDAÇÃO]],0)</f>
        <v>41060</v>
      </c>
      <c r="K35" s="32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5" s="30">
        <f>NC[QTDE]*NC[PREÇO]</f>
        <v>0</v>
      </c>
      <c r="M35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35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5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35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35" s="30">
        <f>SETUP!$E$3*SUMPRODUCT(N(NC[DATA]=NC[[#This Row],[DATA]]),N(NC[ID]&lt;=NC[[#This Row],[ID]]))</f>
        <v>14.9</v>
      </c>
      <c r="R35" s="30">
        <f>TRUNC(NC[CORRETAGEM]*SETUP!$F$3,2)</f>
        <v>0.28999999999999998</v>
      </c>
      <c r="S35" s="30">
        <f>ROUND(NC[CORRETAGEM]*SETUP!$G$3,2)</f>
        <v>0.57999999999999996</v>
      </c>
      <c r="T35" s="30">
        <f>NC[VALOR LÍQUIDO DAS OPERAÇÕES]-NC[TAXA DE LIQUIDAÇÃO]-NC[EMOLUMENTOS]-NC[TAXA DE REGISTRO]-NC[CORRETAGEM]-NC[ISS]-IF(NC['[D/N']]="D",    0,    NC[OUTRAS BOVESPA])</f>
        <v>-15.77</v>
      </c>
      <c r="U35" s="30">
        <f>IF(AND(NC['[D/N']]="D",    NC[T]="CV"),    ROUND(NC[LÍQUIDO BASE]*0.01, 2),    0)</f>
        <v>0</v>
      </c>
      <c r="V35" s="15">
        <f>IF(NC[PREÇO] &gt; 0,    NC[LÍQUIDO BASE]-SUMPRODUCT(N(NC[DATA]=NC[[#This Row],[DATA]]),    NC[IRRF FONTE]),    0)</f>
        <v>0</v>
      </c>
      <c r="W35" s="35">
        <f>NC[LÍQUIDO]-SUMPRODUCT(N(NC[DATA]=NC[[#This Row],[DATA]]),N(NC[ID]=(NC[[#This Row],[ID]]-1)),NC[LÍQUIDO])</f>
        <v>0</v>
      </c>
      <c r="X35" s="30">
        <f>IF(NC[T] = "VC", ABS(NC[VALOR P/ OP]) / NC[QTDE], NC[VALOR P/ OP]/NC[QTDE])</f>
        <v>0</v>
      </c>
      <c r="Y35" s="30">
        <f>TRUNC(IF(OR(NC[T]="CV",NC[T]="VV"),     L35*SETUP!$H$3,     0),2)</f>
        <v>0</v>
      </c>
      <c r="Z35" s="32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5" s="3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B35" s="3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5" s="3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-90.86</v>
      </c>
      <c r="AD35" s="30">
        <f>IF(NC[LUCRO TMP] &lt;&gt; 0, NC[LUCRO TMP] - SUMPRODUCT(N(NC[ATIVO]=NC[[#This Row],[ATIVO]]),N(NC['[D/N']]="N"),N(NC[ID]&lt;NC[[#This Row],[ID]]),N(NC[PAR]=NC[[#This Row],[PAR]]), NC[LUCRO TMP]), 0)</f>
        <v>-90.86</v>
      </c>
      <c r="AE35" s="30">
        <f>IF(NC[U] = "U", SUMPRODUCT(N(NC[ID]&lt;=NC[[#This Row],[ID]]),N(NC[DATA BASE]=NC[[#This Row],[DATA BASE]]), N(NC['[D/N']] = "N"),    NC[LUCRO P/ OP]), 0)</f>
        <v>0</v>
      </c>
      <c r="AF35" s="15">
        <f>IF(NC[U] = "U",NC[LUCRO '[N']] + SUMPRODUCT(N(MONTH(NC[DATA BASE])&lt;MONTH(NC[[#This Row],[DATA BASE]]) ), NC[LUCRO '[N']]),0)</f>
        <v>0</v>
      </c>
      <c r="AG35" s="30">
        <f>IF(NC[U] = "U", SUMPRODUCT(N(NC[DATA BASE]=NC[[#This Row],[DATA BASE]]), N(NC['[D/N']] = "D"),    NC[LUCRO P/ OP]), 0)</f>
        <v>0</v>
      </c>
      <c r="AH35" s="35">
        <f>IF(NC[ TRIB. '[N']] &gt; 0,     ROUND(NC[ TRIB. '[N']]*0.15,    2),    0)</f>
        <v>0</v>
      </c>
      <c r="AI35" s="35">
        <f>IF(NC[LUCRO TRIB. DT] &gt; 0,     ROUND(NC[LUCRO TRIB. DT]*0.2,    2)  -  SUMPRODUCT(N(NC[DATA BASE]=NC[[#This Row],[DATA BASE]]),    NC[IRRF FONTE]),    0)</f>
        <v>0</v>
      </c>
      <c r="AJ35" s="37">
        <f>NC[IR '[N']] + NC[IR DEVIDO DT]</f>
        <v>0</v>
      </c>
      <c r="AK35" s="35">
        <f>IF(AND(NC[U] = "U",NC[IR DEVIDO] &gt; 0), NC[IR DEVIDO] + 8.9, 0)</f>
        <v>0</v>
      </c>
      <c r="AL35" s="35">
        <f>NC[LUCRO '[N']]  + NC[LUCRO TRIB. DT] - NC[RESGATE]</f>
        <v>0</v>
      </c>
    </row>
    <row r="36" spans="1:38" x14ac:dyDescent="0.2">
      <c r="A36" s="13">
        <v>35</v>
      </c>
      <c r="B36" s="13" t="s">
        <v>54</v>
      </c>
      <c r="C36" s="32" t="s">
        <v>72</v>
      </c>
      <c r="D36" s="32" t="s">
        <v>74</v>
      </c>
      <c r="E36" s="33">
        <v>41046</v>
      </c>
      <c r="F36" s="32">
        <v>100</v>
      </c>
      <c r="G36" s="30">
        <v>0.16</v>
      </c>
      <c r="H36" s="32" t="s">
        <v>6</v>
      </c>
      <c r="I36" s="33">
        <f>WORKDAY(NC[[#This Row],[DATA]],1,0)</f>
        <v>41047</v>
      </c>
      <c r="J36" s="34">
        <f>EOMONTH(NC[[#This Row],[DATA DE LIQUIDAÇÃO]],0)</f>
        <v>41060</v>
      </c>
      <c r="K36" s="32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6" s="30">
        <f>NC[QTDE]*NC[PREÇO]</f>
        <v>16</v>
      </c>
      <c r="M36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</v>
      </c>
      <c r="N36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6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36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0.01</v>
      </c>
      <c r="Q36" s="30">
        <f>SETUP!$E$3*SUMPRODUCT(N(NC[DATA]=NC[[#This Row],[DATA]]),N(NC[ID]&lt;=NC[[#This Row],[ID]]))</f>
        <v>29.8</v>
      </c>
      <c r="R36" s="30">
        <f>TRUNC(NC[CORRETAGEM]*SETUP!$F$3,2)</f>
        <v>0.59</v>
      </c>
      <c r="S36" s="30">
        <f>ROUND(NC[CORRETAGEM]*SETUP!$G$3,2)</f>
        <v>1.1599999999999999</v>
      </c>
      <c r="T36" s="30">
        <f>NC[VALOR LÍQUIDO DAS OPERAÇÕES]-NC[TAXA DE LIQUIDAÇÃO]-NC[EMOLUMENTOS]-NC[TAXA DE REGISTRO]-NC[CORRETAGEM]-NC[ISS]-IF(NC['[D/N']]="D",    0,    NC[OUTRAS BOVESPA])</f>
        <v>-47.56</v>
      </c>
      <c r="U36" s="30">
        <f>IF(AND(NC['[D/N']]="D",    NC[T]="CV"),    ROUND(NC[LÍQUIDO BASE]*0.01, 2),    0)</f>
        <v>0</v>
      </c>
      <c r="V36" s="15">
        <f>IF(NC[PREÇO] &gt; 0,    NC[LÍQUIDO BASE]-SUMPRODUCT(N(NC[DATA]=NC[[#This Row],[DATA]]),    NC[IRRF FONTE]),    0)</f>
        <v>-47.56</v>
      </c>
      <c r="W36" s="35">
        <f>NC[LÍQUIDO]-SUMPRODUCT(N(NC[DATA]=NC[[#This Row],[DATA]]),N(NC[ID]=(NC[[#This Row],[ID]]-1)),NC[LÍQUIDO])</f>
        <v>-47.56</v>
      </c>
      <c r="X36" s="30">
        <f>IF(NC[T] = "VC", ABS(NC[VALOR P/ OP]) / NC[QTDE], NC[VALOR P/ OP]/NC[QTDE])</f>
        <v>0.47560000000000002</v>
      </c>
      <c r="Y36" s="30">
        <f>TRUNC(IF(OR(NC[T]="CV",NC[T]="VV"),     L36*SETUP!$H$3,     0),2)</f>
        <v>0</v>
      </c>
      <c r="Z36" s="32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6" s="3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0.47560000000000002</v>
      </c>
      <c r="AB36" s="3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1.7697000000000001</v>
      </c>
      <c r="AC36" s="3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129.41</v>
      </c>
      <c r="AD36" s="30">
        <f>IF(NC[LUCRO TMP] &lt;&gt; 0, NC[LUCRO TMP] - SUMPRODUCT(N(NC[ATIVO]=NC[[#This Row],[ATIVO]]),N(NC['[D/N']]="N"),N(NC[ID]&lt;NC[[#This Row],[ID]]),N(NC[PAR]=NC[[#This Row],[PAR]]), NC[LUCRO TMP]), 0)</f>
        <v>129.41</v>
      </c>
      <c r="AE36" s="30">
        <f>IF(NC[U] = "U", SUMPRODUCT(N(NC[ID]&lt;=NC[[#This Row],[ID]]),N(NC[DATA BASE]=NC[[#This Row],[DATA BASE]]), N(NC['[D/N']] = "N"),    NC[LUCRO P/ OP]), 0)</f>
        <v>102.64999999999999</v>
      </c>
      <c r="AF36" s="15">
        <f>IF(NC[U] = "U",NC[LUCRO '[N']] + SUMPRODUCT(N(MONTH(NC[DATA BASE])&lt;MONTH(NC[[#This Row],[DATA BASE]]) ), NC[LUCRO '[N']]),0)</f>
        <v>-1512.2399999999998</v>
      </c>
      <c r="AG36" s="30">
        <f>IF(NC[U] = "U", SUMPRODUCT(N(NC[DATA BASE]=NC[[#This Row],[DATA BASE]]), N(NC['[D/N']] = "D"),    NC[LUCRO P/ OP]), 0)</f>
        <v>0</v>
      </c>
      <c r="AH36" s="35">
        <f>IF(NC[ TRIB. '[N']] &gt; 0,     ROUND(NC[ TRIB. '[N']]*0.15,    2),    0)</f>
        <v>0</v>
      </c>
      <c r="AI36" s="35">
        <f>IF(NC[LUCRO TRIB. DT] &gt; 0,     ROUND(NC[LUCRO TRIB. DT]*0.2,    2)  -  SUMPRODUCT(N(NC[DATA BASE]=NC[[#This Row],[DATA BASE]]),    NC[IRRF FONTE]),    0)</f>
        <v>0</v>
      </c>
      <c r="AJ36" s="37">
        <f>NC[IR '[N']] + NC[IR DEVIDO DT]</f>
        <v>0</v>
      </c>
      <c r="AK36" s="35">
        <f>IF(AND(NC[U] = "U",NC[IR DEVIDO] &gt; 0), NC[IR DEVIDO] + 8.9, 0)</f>
        <v>0</v>
      </c>
      <c r="AL36" s="35">
        <f>NC[LUCRO '[N']]  + NC[LUCRO TRIB. DT] - NC[RESGATE]</f>
        <v>102.64999999999999</v>
      </c>
    </row>
    <row r="37" spans="1:38" x14ac:dyDescent="0.2">
      <c r="A37" s="13">
        <v>36</v>
      </c>
      <c r="B37" s="13"/>
      <c r="C37" s="13" t="s">
        <v>86</v>
      </c>
      <c r="D37" s="13" t="s">
        <v>26</v>
      </c>
      <c r="E37" s="33">
        <v>41047</v>
      </c>
      <c r="F37" s="13">
        <v>100</v>
      </c>
      <c r="G37" s="30">
        <v>0.09</v>
      </c>
      <c r="H37" s="13" t="s">
        <v>6</v>
      </c>
      <c r="I37" s="14">
        <f>WORKDAY(NC[[#This Row],[DATA]],1,0)</f>
        <v>41050</v>
      </c>
      <c r="J37" s="22">
        <f>EOMONTH(NC[[#This Row],[DATA DE LIQUIDAÇÃO]],0)</f>
        <v>41060</v>
      </c>
      <c r="K3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7" s="15">
        <f>NC[QTDE]*NC[PREÇO]</f>
        <v>9</v>
      </c>
      <c r="M3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</v>
      </c>
      <c r="N3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3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37" s="15">
        <f>SETUP!$E$3*SUMPRODUCT(N(NC[DATA]=NC[[#This Row],[DATA]]),N(NC[ID]&lt;=NC[[#This Row],[ID]]))</f>
        <v>14.9</v>
      </c>
      <c r="R37" s="15">
        <f>TRUNC(NC[CORRETAGEM]*SETUP!$F$3,2)</f>
        <v>0.28999999999999998</v>
      </c>
      <c r="S37" s="15">
        <f>ROUND(NC[CORRETAGEM]*SETUP!$G$3,2)</f>
        <v>0.57999999999999996</v>
      </c>
      <c r="T37" s="15">
        <f>NC[VALOR LÍQUIDO DAS OPERAÇÕES]-NC[TAXA DE LIQUIDAÇÃO]-NC[EMOLUMENTOS]-NC[TAXA DE REGISTRO]-NC[CORRETAGEM]-NC[ISS]-IF(NC['[D/N']]="D",    0,    NC[OUTRAS BOVESPA])</f>
        <v>-6.7700000000000005</v>
      </c>
      <c r="U37" s="15">
        <f>IF(AND(NC['[D/N']]="D",    NC[T]="CV"),    ROUND(NC[LÍQUIDO BASE]*0.01, 2),    0)</f>
        <v>0</v>
      </c>
      <c r="V37" s="15">
        <f>IF(NC[PREÇO] &gt; 0,    NC[LÍQUIDO BASE]-SUMPRODUCT(N(NC[DATA]=NC[[#This Row],[DATA]]),    NC[IRRF FONTE]),    0)</f>
        <v>-6.7700000000000005</v>
      </c>
      <c r="W37" s="20">
        <f>NC[LÍQUIDO]-SUMPRODUCT(N(NC[DATA]=NC[[#This Row],[DATA]]),N(NC[ID]=(NC[[#This Row],[ID]]-1)),NC[LÍQUIDO])</f>
        <v>-6.7700000000000005</v>
      </c>
      <c r="X37" s="15">
        <f>IF(NC[T] = "VC", ABS(NC[VALOR P/ OP]) / NC[QTDE], NC[VALOR P/ OP]/NC[QTDE])</f>
        <v>-6.770000000000001E-2</v>
      </c>
      <c r="Y37" s="15">
        <f>TRUNC(IF(OR(NC[T]="CV",NC[T]="VV"),     L37*SETUP!$H$3,     0),2)</f>
        <v>0</v>
      </c>
      <c r="Z3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B3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-6.770000000000001E-2</v>
      </c>
      <c r="AC37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-52.569999999999993</v>
      </c>
      <c r="AD37" s="15">
        <f>IF(NC[LUCRO TMP] &lt;&gt; 0, NC[LUCRO TMP] - SUMPRODUCT(N(NC[ATIVO]=NC[[#This Row],[ATIVO]]),N(NC['[D/N']]="N"),N(NC[ID]&lt;NC[[#This Row],[ID]]),N(NC[PAR]=NC[[#This Row],[PAR]]), NC[LUCRO TMP]), 0)</f>
        <v>-52.569999999999993</v>
      </c>
      <c r="AE37" s="15">
        <f>IF(NC[U] = "U", SUMPRODUCT(N(NC[ID]&lt;=NC[[#This Row],[ID]]),N(NC[DATA BASE]=NC[[#This Row],[DATA BASE]]), N(NC['[D/N']] = "N"),    NC[LUCRO P/ OP]), 0)</f>
        <v>0</v>
      </c>
      <c r="AF37" s="15">
        <f>IF(NC[U] = "U",NC[LUCRO '[N']] + SUMPRODUCT(N(MONTH(NC[DATA BASE])&lt;MONTH(NC[[#This Row],[DATA BASE]]) ), NC[LUCRO '[N']]),0)</f>
        <v>0</v>
      </c>
      <c r="AG37" s="15">
        <f>IF(NC[U] = "U", SUMPRODUCT(N(NC[DATA BASE]=NC[[#This Row],[DATA BASE]]), N(NC['[D/N']] = "D"),    NC[LUCRO P/ OP]), 0)</f>
        <v>0</v>
      </c>
      <c r="AH37" s="20">
        <f>IF(NC[ TRIB. '[N']] &gt; 0,     ROUND(NC[ TRIB. '[N']]*0.15,    2),    0)</f>
        <v>0</v>
      </c>
      <c r="AI37" s="20">
        <f>IF(NC[LUCRO TRIB. DT] &gt; 0,     ROUND(NC[LUCRO TRIB. DT]*0.2,    2)  -  SUMPRODUCT(N(NC[DATA BASE]=NC[[#This Row],[DATA BASE]]),    NC[IRRF FONTE]),    0)</f>
        <v>0</v>
      </c>
      <c r="AJ37" s="19">
        <f>NC[IR '[N']] + NC[IR DEVIDO DT]</f>
        <v>0</v>
      </c>
      <c r="AK37" s="20">
        <f>IF(AND(NC[U] = "U",NC[IR DEVIDO] &gt; 0), NC[IR DEVIDO] + 8.9, 0)</f>
        <v>0</v>
      </c>
      <c r="AL37" s="20">
        <f>NC[LUCRO '[N']]  + NC[LUCRO TRIB. DT] - NC[RESGATE]</f>
        <v>0</v>
      </c>
    </row>
    <row r="38" spans="1:38" x14ac:dyDescent="0.2">
      <c r="A38" s="13">
        <v>37</v>
      </c>
      <c r="B38" s="13" t="s">
        <v>54</v>
      </c>
      <c r="C38" s="13" t="s">
        <v>87</v>
      </c>
      <c r="D38" s="13" t="s">
        <v>74</v>
      </c>
      <c r="E38" s="33">
        <v>41047</v>
      </c>
      <c r="F38" s="13">
        <v>100</v>
      </c>
      <c r="G38" s="15">
        <v>0.87</v>
      </c>
      <c r="H38" s="13" t="s">
        <v>6</v>
      </c>
      <c r="I38" s="14">
        <f>WORKDAY(NC[[#This Row],[DATA]],1,0)</f>
        <v>41050</v>
      </c>
      <c r="J38" s="22">
        <f>EOMONTH(NC[[#This Row],[DATA DE LIQUIDAÇÃO]],0)</f>
        <v>41060</v>
      </c>
      <c r="K3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8" s="15">
        <f>NC[QTDE]*NC[PREÇO]</f>
        <v>87</v>
      </c>
      <c r="M3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-78</v>
      </c>
      <c r="N3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3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3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Q38" s="15">
        <f>SETUP!$E$3*SUMPRODUCT(N(NC[DATA]=NC[[#This Row],[DATA]]),N(NC[ID]&lt;=NC[[#This Row],[ID]]))</f>
        <v>29.8</v>
      </c>
      <c r="R38" s="15">
        <f>TRUNC(NC[CORRETAGEM]*SETUP!$F$3,2)</f>
        <v>0.59</v>
      </c>
      <c r="S38" s="15">
        <f>ROUND(NC[CORRETAGEM]*SETUP!$G$3,2)</f>
        <v>1.1599999999999999</v>
      </c>
      <c r="T38" s="15">
        <f>NC[VALOR LÍQUIDO DAS OPERAÇÕES]-NC[TAXA DE LIQUIDAÇÃO]-NC[EMOLUMENTOS]-NC[TAXA DE REGISTRO]-NC[CORRETAGEM]-NC[ISS]-IF(NC['[D/N']]="D",    0,    NC[OUTRAS BOVESPA])</f>
        <v>-109.66</v>
      </c>
      <c r="U38" s="15">
        <f>IF(AND(NC['[D/N']]="D",    NC[T]="CV"),    ROUND(NC[LÍQUIDO BASE]*0.01, 2),    0)</f>
        <v>0</v>
      </c>
      <c r="V38" s="15">
        <f>IF(NC[PREÇO] &gt; 0,    NC[LÍQUIDO BASE]-SUMPRODUCT(N(NC[DATA]=NC[[#This Row],[DATA]]),    NC[IRRF FONTE]),    0)</f>
        <v>-109.66</v>
      </c>
      <c r="W38" s="20">
        <f>NC[LÍQUIDO]-SUMPRODUCT(N(NC[DATA]=NC[[#This Row],[DATA]]),N(NC[ID]=(NC[[#This Row],[ID]]-1)),NC[LÍQUIDO])</f>
        <v>-102.89</v>
      </c>
      <c r="X38" s="15">
        <f>IF(NC[T] = "VC", ABS(NC[VALOR P/ OP]) / NC[QTDE], NC[VALOR P/ OP]/NC[QTDE])</f>
        <v>1.0288999999999999</v>
      </c>
      <c r="Y38" s="15">
        <f>TRUNC(IF(OR(NC[T]="CV",NC[T]="VV"),     L38*SETUP!$H$3,     0),2)</f>
        <v>0</v>
      </c>
      <c r="Z3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8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1.0288999999999999</v>
      </c>
      <c r="AB38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1.3601999999999999</v>
      </c>
      <c r="AC38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33.129999999999995</v>
      </c>
      <c r="AD38" s="15">
        <f>IF(NC[LUCRO TMP] &lt;&gt; 0, NC[LUCRO TMP] - SUMPRODUCT(N(NC[ATIVO]=NC[[#This Row],[ATIVO]]),N(NC['[D/N']]="N"),N(NC[ID]&lt;NC[[#This Row],[ID]]),N(NC[PAR]=NC[[#This Row],[PAR]]), NC[LUCRO TMP]), 0)</f>
        <v>33.129999999999995</v>
      </c>
      <c r="AE38" s="15">
        <f>IF(NC[U] = "U", SUMPRODUCT(N(NC[ID]&lt;=NC[[#This Row],[ID]]),N(NC[DATA BASE]=NC[[#This Row],[DATA BASE]]), N(NC['[D/N']] = "N"),    NC[LUCRO P/ OP]), 0)</f>
        <v>83.21</v>
      </c>
      <c r="AF38" s="15">
        <f>IF(NC[U] = "U",NC[LUCRO '[N']] + SUMPRODUCT(N(MONTH(NC[DATA BASE])&lt;MONTH(NC[[#This Row],[DATA BASE]]) ), NC[LUCRO '[N']]),0)</f>
        <v>-1531.6799999999998</v>
      </c>
      <c r="AG38" s="15">
        <f>IF(NC[U] = "U", SUMPRODUCT(N(NC[DATA BASE]=NC[[#This Row],[DATA BASE]]), N(NC['[D/N']] = "D"),    NC[LUCRO P/ OP]), 0)</f>
        <v>0</v>
      </c>
      <c r="AH38" s="20">
        <f>IF(NC[ TRIB. '[N']] &gt; 0,     ROUND(NC[ TRIB. '[N']]*0.15,    2),    0)</f>
        <v>0</v>
      </c>
      <c r="AI38" s="20">
        <f>IF(NC[LUCRO TRIB. DT] &gt; 0,     ROUND(NC[LUCRO TRIB. DT]*0.2,    2)  -  SUMPRODUCT(N(NC[DATA BASE]=NC[[#This Row],[DATA BASE]]),    NC[IRRF FONTE]),    0)</f>
        <v>0</v>
      </c>
      <c r="AJ38" s="19">
        <f>NC[IR '[N']] + NC[IR DEVIDO DT]</f>
        <v>0</v>
      </c>
      <c r="AK38" s="20">
        <f>IF(AND(NC[U] = "U",NC[IR DEVIDO] &gt; 0), NC[IR DEVIDO] + 8.9, 0)</f>
        <v>0</v>
      </c>
      <c r="AL38" s="20">
        <f>NC[LUCRO '[N']]  + NC[LUCRO TRIB. DT] - NC[RESGATE]</f>
        <v>83.21</v>
      </c>
    </row>
    <row r="39" spans="1:38" x14ac:dyDescent="0.2">
      <c r="A39" s="13">
        <v>38</v>
      </c>
      <c r="B39" s="13" t="s">
        <v>54</v>
      </c>
      <c r="C39" s="13" t="s">
        <v>83</v>
      </c>
      <c r="D39" s="13" t="s">
        <v>26</v>
      </c>
      <c r="E39" s="14">
        <v>41050</v>
      </c>
      <c r="F39" s="13">
        <v>400</v>
      </c>
      <c r="G39" s="15">
        <v>0</v>
      </c>
      <c r="H39" s="13" t="s">
        <v>6</v>
      </c>
      <c r="I39" s="14">
        <f>WORKDAY(NC[[#This Row],[DATA]],1,0)</f>
        <v>41051</v>
      </c>
      <c r="J39" s="22">
        <f>EOMONTH(NC[[#This Row],[DATA DE LIQUIDAÇÃO]],0)</f>
        <v>41060</v>
      </c>
      <c r="K3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9" s="15">
        <f>NC[QTDE]*NC[PREÇO]</f>
        <v>0</v>
      </c>
      <c r="M3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3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3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39" s="15">
        <f>SETUP!$E$3*SUMPRODUCT(N(NC[DATA]=NC[[#This Row],[DATA]]),N(NC[ID]&lt;=NC[[#This Row],[ID]]))</f>
        <v>14.9</v>
      </c>
      <c r="R39" s="15">
        <f>TRUNC(NC[CORRETAGEM]*SETUP!$F$3,2)</f>
        <v>0.28999999999999998</v>
      </c>
      <c r="S39" s="15">
        <f>ROUND(NC[CORRETAGEM]*SETUP!$G$3,2)</f>
        <v>0.57999999999999996</v>
      </c>
      <c r="T39" s="15">
        <f>NC[VALOR LÍQUIDO DAS OPERAÇÕES]-NC[TAXA DE LIQUIDAÇÃO]-NC[EMOLUMENTOS]-NC[TAXA DE REGISTRO]-NC[CORRETAGEM]-NC[ISS]-IF(NC['[D/N']]="D",    0,    NC[OUTRAS BOVESPA])</f>
        <v>-15.77</v>
      </c>
      <c r="U39" s="15">
        <f>IF(AND(NC['[D/N']]="D",    NC[T]="CV"),    ROUND(NC[LÍQUIDO BASE]*0.01, 2),    0)</f>
        <v>0</v>
      </c>
      <c r="V39" s="15">
        <f>IF(NC[PREÇO] &gt; 0,    NC[LÍQUIDO BASE]-SUMPRODUCT(N(NC[DATA]=NC[[#This Row],[DATA]]),    NC[IRRF FONTE]),    0)</f>
        <v>0</v>
      </c>
      <c r="W39" s="20">
        <f>NC[LÍQUIDO]-SUMPRODUCT(N(NC[DATA]=NC[[#This Row],[DATA]]),N(NC[ID]=(NC[[#This Row],[ID]]-1)),NC[LÍQUIDO])</f>
        <v>0</v>
      </c>
      <c r="X39" s="15">
        <f>IF(NC[T] = "VC", ABS(NC[VALOR P/ OP]) / NC[QTDE], NC[VALOR P/ OP]/NC[QTDE])</f>
        <v>0</v>
      </c>
      <c r="Y39" s="15">
        <f>TRUNC(IF(OR(NC[T]="CV",NC[T]="VV"),     L39*SETUP!$H$3,     0),2)</f>
        <v>0</v>
      </c>
      <c r="Z3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9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B39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9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-123.89000000000001</v>
      </c>
      <c r="AD39" s="15">
        <f>IF(NC[LUCRO TMP] &lt;&gt; 0, NC[LUCRO TMP] - SUMPRODUCT(N(NC[ATIVO]=NC[[#This Row],[ATIVO]]),N(NC['[D/N']]="N"),N(NC[ID]&lt;NC[[#This Row],[ID]]),N(NC[PAR]=NC[[#This Row],[PAR]]), NC[LUCRO TMP]), 0)</f>
        <v>-123.89000000000001</v>
      </c>
      <c r="AE39" s="15">
        <f>IF(NC[U] = "U", SUMPRODUCT(N(NC[ID]&lt;=NC[[#This Row],[ID]]),N(NC[DATA BASE]=NC[[#This Row],[DATA BASE]]), N(NC['[D/N']] = "N"),    NC[LUCRO P/ OP]), 0)</f>
        <v>-40.680000000000021</v>
      </c>
      <c r="AF39" s="15">
        <f>IF(NC[U] = "U",NC[LUCRO '[N']] + SUMPRODUCT(N(MONTH(NC[DATA BASE])&lt;MONTH(NC[[#This Row],[DATA BASE]]) ), NC[LUCRO '[N']]),0)</f>
        <v>-1655.57</v>
      </c>
      <c r="AG39" s="15">
        <f>IF(NC[U] = "U", SUMPRODUCT(N(NC[DATA BASE]=NC[[#This Row],[DATA BASE]]), N(NC['[D/N']] = "D"),    NC[LUCRO P/ OP]), 0)</f>
        <v>0</v>
      </c>
      <c r="AH39" s="20">
        <f>IF(NC[ TRIB. '[N']] &gt; 0,     ROUND(NC[ TRIB. '[N']]*0.15,    2),    0)</f>
        <v>0</v>
      </c>
      <c r="AI39" s="20">
        <f>IF(NC[LUCRO TRIB. DT] &gt; 0,     ROUND(NC[LUCRO TRIB. DT]*0.2,    2)  -  SUMPRODUCT(N(NC[DATA BASE]=NC[[#This Row],[DATA BASE]]),    NC[IRRF FONTE]),    0)</f>
        <v>0</v>
      </c>
      <c r="AJ39" s="19">
        <f>NC[IR '[N']] + NC[IR DEVIDO DT]</f>
        <v>0</v>
      </c>
      <c r="AK39" s="20">
        <f>IF(AND(NC[U] = "U",NC[IR DEVIDO] &gt; 0), NC[IR DEVIDO] + 8.9, 0)</f>
        <v>0</v>
      </c>
      <c r="AL39" s="20">
        <f>NC[LUCRO '[N']]  + NC[LUCRO TRIB. DT] - NC[RESGATE]</f>
        <v>-40.680000000000021</v>
      </c>
    </row>
    <row r="40" spans="1:38" x14ac:dyDescent="0.2">
      <c r="A40" s="13">
        <v>39</v>
      </c>
      <c r="B40" s="13"/>
      <c r="C40" s="13" t="s">
        <v>106</v>
      </c>
      <c r="D40" s="13" t="s">
        <v>25</v>
      </c>
      <c r="E40" s="14">
        <v>41051</v>
      </c>
      <c r="F40" s="13">
        <v>700</v>
      </c>
      <c r="G40" s="15">
        <v>2.29</v>
      </c>
      <c r="H40" s="13" t="s">
        <v>6</v>
      </c>
      <c r="I40" s="14">
        <f>WORKDAY(NC[[#This Row],[DATA]],1,0)</f>
        <v>41052</v>
      </c>
      <c r="J40" s="22">
        <f>EOMONTH(NC[[#This Row],[DATA DE LIQUIDAÇÃO]],0)</f>
        <v>41060</v>
      </c>
      <c r="K4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0" s="15">
        <f>NC[QTDE]*NC[PREÇO]</f>
        <v>1603</v>
      </c>
      <c r="M4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-1603</v>
      </c>
      <c r="N4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0.44</v>
      </c>
      <c r="O4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0.59</v>
      </c>
      <c r="P4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1.1100000000000001</v>
      </c>
      <c r="Q40" s="15">
        <f>SETUP!$E$3*SUMPRODUCT(N(NC[DATA]=NC[[#This Row],[DATA]]),N(NC[ID]&lt;=NC[[#This Row],[ID]]))</f>
        <v>14.9</v>
      </c>
      <c r="R40" s="15">
        <f>TRUNC(NC[CORRETAGEM]*SETUP!$F$3,2)</f>
        <v>0.28999999999999998</v>
      </c>
      <c r="S40" s="15">
        <f>ROUND(NC[CORRETAGEM]*SETUP!$G$3,2)</f>
        <v>0.57999999999999996</v>
      </c>
      <c r="T40" s="15">
        <f>NC[VALOR LÍQUIDO DAS OPERAÇÕES]-NC[TAXA DE LIQUIDAÇÃO]-NC[EMOLUMENTOS]-NC[TAXA DE REGISTRO]-NC[CORRETAGEM]-NC[ISS]-IF(NC['[D/N']]="D",    0,    NC[OUTRAS BOVESPA])</f>
        <v>-1620.9099999999999</v>
      </c>
      <c r="U40" s="15">
        <f>IF(AND(NC['[D/N']]="D",    NC[T]="CV"),    ROUND(NC[LÍQUIDO BASE]*0.01, 2),    0)</f>
        <v>0</v>
      </c>
      <c r="V40" s="15">
        <f>IF(NC[PREÇO] &gt; 0,    NC[LÍQUIDO BASE]-SUMPRODUCT(N(NC[DATA]=NC[[#This Row],[DATA]]),    NC[IRRF FONTE]),    0)</f>
        <v>-1620.9099999999999</v>
      </c>
      <c r="W40" s="20">
        <f>NC[LÍQUIDO]-SUMPRODUCT(N(NC[DATA]=NC[[#This Row],[DATA]]),N(NC[ID]=(NC[[#This Row],[ID]]-1)),NC[LÍQUIDO])</f>
        <v>-1620.9099999999999</v>
      </c>
      <c r="X40" s="15">
        <f>IF(NC[T] = "VC", ABS(NC[VALOR P/ OP]) / NC[QTDE], NC[VALOR P/ OP]/NC[QTDE])</f>
        <v>-2.3155857142857141</v>
      </c>
      <c r="Y40" s="15">
        <f>TRUNC(IF(OR(NC[T]="CV",NC[T]="VV"),     L40*SETUP!$H$3,     0),2)</f>
        <v>0</v>
      </c>
      <c r="Z4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40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2.3155857142857141</v>
      </c>
      <c r="AB40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0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0" s="15">
        <f>IF(NC[LUCRO TMP] &lt;&gt; 0, NC[LUCRO TMP] - SUMPRODUCT(N(NC[ATIVO]=NC[[#This Row],[ATIVO]]),N(NC['[D/N']]="N"),N(NC[ID]&lt;NC[[#This Row],[ID]]),N(NC[PAR]=NC[[#This Row],[PAR]]), NC[LUCRO TMP]), 0)</f>
        <v>0</v>
      </c>
      <c r="AE40" s="15">
        <f>IF(NC[U] = "U", SUMPRODUCT(N(NC[ID]&lt;=NC[[#This Row],[ID]]),N(NC[DATA BASE]=NC[[#This Row],[DATA BASE]]), N(NC['[D/N']] = "N"),    NC[LUCRO P/ OP]), 0)</f>
        <v>0</v>
      </c>
      <c r="AF40" s="15">
        <f>IF(NC[U] = "U",NC[LUCRO '[N']] + SUMPRODUCT(N(MONTH(NC[DATA BASE])&lt;MONTH(NC[[#This Row],[DATA BASE]]) ), NC[LUCRO '[N']]),0)</f>
        <v>0</v>
      </c>
      <c r="AG40" s="15">
        <f>IF(NC[U] = "U", SUMPRODUCT(N(NC[DATA BASE]=NC[[#This Row],[DATA BASE]]), N(NC['[D/N']] = "D"),    NC[LUCRO P/ OP]), 0)</f>
        <v>0</v>
      </c>
      <c r="AH40" s="20">
        <f>IF(NC[ TRIB. '[N']] &gt; 0,     ROUND(NC[ TRIB. '[N']]*0.15,    2),    0)</f>
        <v>0</v>
      </c>
      <c r="AI40" s="20">
        <f>IF(NC[LUCRO TRIB. DT] &gt; 0,     ROUND(NC[LUCRO TRIB. DT]*0.2,    2)  -  SUMPRODUCT(N(NC[DATA BASE]=NC[[#This Row],[DATA BASE]]),    NC[IRRF FONTE]),    0)</f>
        <v>0</v>
      </c>
      <c r="AJ40" s="19">
        <f>NC[IR '[N']] + NC[IR DEVIDO DT]</f>
        <v>0</v>
      </c>
      <c r="AK40" s="20">
        <f>IF(AND(NC[U] = "U",NC[IR DEVIDO] &gt; 0), NC[IR DEVIDO] + 8.9, 0)</f>
        <v>0</v>
      </c>
      <c r="AL40" s="20">
        <f>NC[LUCRO '[N']]  + NC[LUCRO TRIB. DT] - NC[RESGATE]</f>
        <v>0</v>
      </c>
    </row>
    <row r="41" spans="1:38" x14ac:dyDescent="0.2">
      <c r="A41" s="13">
        <v>40</v>
      </c>
      <c r="B41" s="13"/>
      <c r="C41" s="13" t="s">
        <v>107</v>
      </c>
      <c r="D41" s="13" t="s">
        <v>73</v>
      </c>
      <c r="E41" s="14">
        <v>41051</v>
      </c>
      <c r="F41" s="13">
        <v>1400</v>
      </c>
      <c r="G41" s="15">
        <v>1.53</v>
      </c>
      <c r="H41" s="13" t="s">
        <v>6</v>
      </c>
      <c r="I41" s="14">
        <f>WORKDAY(NC[[#This Row],[DATA]],1,0)</f>
        <v>41052</v>
      </c>
      <c r="J41" s="22">
        <f>EOMONTH(NC[[#This Row],[DATA DE LIQUIDAÇÃO]],0)</f>
        <v>41060</v>
      </c>
      <c r="K4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1" s="15">
        <f>NC[QTDE]*NC[PREÇO]</f>
        <v>2142</v>
      </c>
      <c r="M4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539</v>
      </c>
      <c r="N4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1.02</v>
      </c>
      <c r="O4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1.38</v>
      </c>
      <c r="P4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2.6</v>
      </c>
      <c r="Q41" s="15">
        <f>SETUP!$E$3*SUMPRODUCT(N(NC[DATA]=NC[[#This Row],[DATA]]),N(NC[ID]&lt;=NC[[#This Row],[ID]]))</f>
        <v>29.8</v>
      </c>
      <c r="R41" s="15">
        <f>TRUNC(NC[CORRETAGEM]*SETUP!$F$3,2)</f>
        <v>0.59</v>
      </c>
      <c r="S41" s="15">
        <f>ROUND(NC[CORRETAGEM]*SETUP!$G$3,2)</f>
        <v>1.1599999999999999</v>
      </c>
      <c r="T41" s="15">
        <f>NC[VALOR LÍQUIDO DAS OPERAÇÕES]-NC[TAXA DE LIQUIDAÇÃO]-NC[EMOLUMENTOS]-NC[TAXA DE REGISTRO]-NC[CORRETAGEM]-NC[ISS]-IF(NC['[D/N']]="D",    0,    NC[OUTRAS BOVESPA])</f>
        <v>502.45</v>
      </c>
      <c r="U41" s="15">
        <f>IF(AND(NC['[D/N']]="D",    NC[T]="CV"),    ROUND(NC[LÍQUIDO BASE]*0.01, 2),    0)</f>
        <v>0</v>
      </c>
      <c r="V41" s="15">
        <f>IF(NC[PREÇO] &gt; 0,    NC[LÍQUIDO BASE]-SUMPRODUCT(N(NC[DATA]=NC[[#This Row],[DATA]]),    NC[IRRF FONTE]),    0)</f>
        <v>502.45</v>
      </c>
      <c r="W41" s="20">
        <f>NC[LÍQUIDO]-SUMPRODUCT(N(NC[DATA]=NC[[#This Row],[DATA]]),N(NC[ID]=(NC[[#This Row],[ID]]-1)),NC[LÍQUIDO])</f>
        <v>2123.3599999999997</v>
      </c>
      <c r="X41" s="15">
        <f>IF(NC[T] = "VC", ABS(NC[VALOR P/ OP]) / NC[QTDE], NC[VALOR P/ OP]/NC[QTDE])</f>
        <v>1.516685714285714</v>
      </c>
      <c r="Y41" s="15">
        <f>TRUNC(IF(OR(NC[T]="CV",NC[T]="VV"),     L41*SETUP!$H$3,     0),2)</f>
        <v>0.1</v>
      </c>
      <c r="Z4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-1400</v>
      </c>
      <c r="AA4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4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1.516685714285714</v>
      </c>
      <c r="AC41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1" s="15">
        <f>IF(NC[LUCRO TMP] &lt;&gt; 0, NC[LUCRO TMP] - SUMPRODUCT(N(NC[ATIVO]=NC[[#This Row],[ATIVO]]),N(NC['[D/N']]="N"),N(NC[ID]&lt;NC[[#This Row],[ID]]),N(NC[PAR]=NC[[#This Row],[PAR]]), NC[LUCRO TMP]), 0)</f>
        <v>0</v>
      </c>
      <c r="AE41" s="15">
        <f>IF(NC[U] = "U", SUMPRODUCT(N(NC[ID]&lt;=NC[[#This Row],[ID]]),N(NC[DATA BASE]=NC[[#This Row],[DATA BASE]]), N(NC['[D/N']] = "N"),    NC[LUCRO P/ OP]), 0)</f>
        <v>0</v>
      </c>
      <c r="AF41" s="15">
        <f>IF(NC[U] = "U",NC[LUCRO '[N']] + SUMPRODUCT(N(MONTH(NC[DATA BASE])&lt;MONTH(NC[[#This Row],[DATA BASE]]) ), NC[LUCRO '[N']]),0)</f>
        <v>0</v>
      </c>
      <c r="AG41" s="15">
        <f>IF(NC[U] = "U", SUMPRODUCT(N(NC[DATA BASE]=NC[[#This Row],[DATA BASE]]), N(NC['[D/N']] = "D"),    NC[LUCRO P/ OP]), 0)</f>
        <v>0</v>
      </c>
      <c r="AH41" s="20">
        <f>IF(NC[ TRIB. '[N']] &gt; 0,     ROUND(NC[ TRIB. '[N']]*0.15,    2),    0)</f>
        <v>0</v>
      </c>
      <c r="AI41" s="20">
        <f>IF(NC[LUCRO TRIB. DT] &gt; 0,     ROUND(NC[LUCRO TRIB. DT]*0.2,    2)  -  SUMPRODUCT(N(NC[DATA BASE]=NC[[#This Row],[DATA BASE]]),    NC[IRRF FONTE]),    0)</f>
        <v>0</v>
      </c>
      <c r="AJ41" s="19">
        <f>NC[IR '[N']] + NC[IR DEVIDO DT]</f>
        <v>0</v>
      </c>
      <c r="AK41" s="20">
        <f>IF(AND(NC[U] = "U",NC[IR DEVIDO] &gt; 0), NC[IR DEVIDO] + 8.9, 0)</f>
        <v>0</v>
      </c>
      <c r="AL41" s="20">
        <f>NC[LUCRO '[N']]  + NC[LUCRO TRIB. DT] - NC[RESGATE]</f>
        <v>0</v>
      </c>
    </row>
    <row r="42" spans="1:38" x14ac:dyDescent="0.2">
      <c r="A42" s="13">
        <v>41</v>
      </c>
      <c r="B42" s="13"/>
      <c r="C42" s="13" t="s">
        <v>94</v>
      </c>
      <c r="D42" s="13" t="s">
        <v>25</v>
      </c>
      <c r="E42" s="14">
        <v>41051</v>
      </c>
      <c r="F42" s="13">
        <v>700</v>
      </c>
      <c r="G42" s="15">
        <v>0.84</v>
      </c>
      <c r="H42" s="13" t="s">
        <v>6</v>
      </c>
      <c r="I42" s="14">
        <f>WORKDAY(NC[[#This Row],[DATA]],1,0)</f>
        <v>41052</v>
      </c>
      <c r="J42" s="22">
        <f>EOMONTH(NC[[#This Row],[DATA DE LIQUIDAÇÃO]],0)</f>
        <v>41060</v>
      </c>
      <c r="K4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2" s="15">
        <f>NC[QTDE]*NC[PREÇO]</f>
        <v>588</v>
      </c>
      <c r="M4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-49</v>
      </c>
      <c r="N4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1.19</v>
      </c>
      <c r="O4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</v>
      </c>
      <c r="P4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3.01</v>
      </c>
      <c r="Q42" s="15">
        <f>SETUP!$E$3*SUMPRODUCT(N(NC[DATA]=NC[[#This Row],[DATA]]),N(NC[ID]&lt;=NC[[#This Row],[ID]]))</f>
        <v>44.7</v>
      </c>
      <c r="R42" s="15">
        <f>TRUNC(NC[CORRETAGEM]*SETUP!$F$3,2)</f>
        <v>0.89</v>
      </c>
      <c r="S42" s="15">
        <f>ROUND(NC[CORRETAGEM]*SETUP!$G$3,2)</f>
        <v>1.74</v>
      </c>
      <c r="T42" s="15">
        <f>NC[VALOR LÍQUIDO DAS OPERAÇÕES]-NC[TAXA DE LIQUIDAÇÃO]-NC[EMOLUMENTOS]-NC[TAXA DE REGISTRO]-NC[CORRETAGEM]-NC[ISS]-IF(NC['[D/N']]="D",    0,    NC[OUTRAS BOVESPA])</f>
        <v>-102.13</v>
      </c>
      <c r="U42" s="15">
        <f>IF(AND(NC['[D/N']]="D",    NC[T]="CV"),    ROUND(NC[LÍQUIDO BASE]*0.01, 2),    0)</f>
        <v>0</v>
      </c>
      <c r="V42" s="15">
        <f>IF(NC[PREÇO] &gt; 0,    NC[LÍQUIDO BASE]-SUMPRODUCT(N(NC[DATA]=NC[[#This Row],[DATA]]),    NC[IRRF FONTE]),    0)</f>
        <v>-102.13</v>
      </c>
      <c r="W42" s="20">
        <f>NC[LÍQUIDO]-SUMPRODUCT(N(NC[DATA]=NC[[#This Row],[DATA]]),N(NC[ID]=(NC[[#This Row],[ID]]-1)),NC[LÍQUIDO])</f>
        <v>-604.57999999999993</v>
      </c>
      <c r="X42" s="15">
        <f>IF(NC[T] = "VC", ABS(NC[VALOR P/ OP]) / NC[QTDE], NC[VALOR P/ OP]/NC[QTDE])</f>
        <v>-0.86368571428571417</v>
      </c>
      <c r="Y42" s="15">
        <f>TRUNC(IF(OR(NC[T]="CV",NC[T]="VV"),     L42*SETUP!$H$3,     0),2)</f>
        <v>0</v>
      </c>
      <c r="Z4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4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0.86368571428571417</v>
      </c>
      <c r="AB4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2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2" s="15">
        <f>IF(NC[LUCRO TMP] &lt;&gt; 0, NC[LUCRO TMP] - SUMPRODUCT(N(NC[ATIVO]=NC[[#This Row],[ATIVO]]),N(NC['[D/N']]="N"),N(NC[ID]&lt;NC[[#This Row],[ID]]),N(NC[PAR]=NC[[#This Row],[PAR]]), NC[LUCRO TMP]), 0)</f>
        <v>0</v>
      </c>
      <c r="AE42" s="15">
        <f>IF(NC[U] = "U", SUMPRODUCT(N(NC[ID]&lt;=NC[[#This Row],[ID]]),N(NC[DATA BASE]=NC[[#This Row],[DATA BASE]]), N(NC['[D/N']] = "N"),    NC[LUCRO P/ OP]), 0)</f>
        <v>0</v>
      </c>
      <c r="AF42" s="15">
        <f>IF(NC[U] = "U",NC[LUCRO '[N']] + SUMPRODUCT(N(MONTH(NC[DATA BASE])&lt;MONTH(NC[[#This Row],[DATA BASE]]) ), NC[LUCRO '[N']]),0)</f>
        <v>0</v>
      </c>
      <c r="AG42" s="15">
        <f>IF(NC[U] = "U", SUMPRODUCT(N(NC[DATA BASE]=NC[[#This Row],[DATA BASE]]), N(NC['[D/N']] = "D"),    NC[LUCRO P/ OP]), 0)</f>
        <v>0</v>
      </c>
      <c r="AH42" s="20">
        <f>IF(NC[ TRIB. '[N']] &gt; 0,     ROUND(NC[ TRIB. '[N']]*0.15,    2),    0)</f>
        <v>0</v>
      </c>
      <c r="AI42" s="20">
        <f>IF(NC[LUCRO TRIB. DT] &gt; 0,     ROUND(NC[LUCRO TRIB. DT]*0.2,    2)  -  SUMPRODUCT(N(NC[DATA BASE]=NC[[#This Row],[DATA BASE]]),    NC[IRRF FONTE]),    0)</f>
        <v>0</v>
      </c>
      <c r="AJ42" s="19">
        <f>NC[IR '[N']] + NC[IR DEVIDO DT]</f>
        <v>0</v>
      </c>
      <c r="AK42" s="20">
        <f>IF(AND(NC[U] = "U",NC[IR DEVIDO] &gt; 0), NC[IR DEVIDO] + 8.9, 0)</f>
        <v>0</v>
      </c>
      <c r="AL42" s="20">
        <f>NC[LUCRO '[N']]  + NC[LUCRO TRIB. DT] - NC[RESGATE]</f>
        <v>0</v>
      </c>
    </row>
    <row r="43" spans="1:38" x14ac:dyDescent="0.2">
      <c r="A43" s="13">
        <v>42</v>
      </c>
      <c r="B43" s="13"/>
      <c r="C43" s="13" t="s">
        <v>106</v>
      </c>
      <c r="D43" s="13" t="s">
        <v>26</v>
      </c>
      <c r="E43" s="14">
        <v>41052</v>
      </c>
      <c r="F43" s="13">
        <v>700</v>
      </c>
      <c r="G43" s="15">
        <v>2.0099999999999998</v>
      </c>
      <c r="H43" s="13" t="s">
        <v>6</v>
      </c>
      <c r="I43" s="14">
        <f>WORKDAY(NC[[#This Row],[DATA]],1,0)</f>
        <v>41053</v>
      </c>
      <c r="J43" s="22">
        <f>EOMONTH(NC[[#This Row],[DATA DE LIQUIDAÇÃO]],0)</f>
        <v>41060</v>
      </c>
      <c r="K4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3" s="15">
        <f>NC[QTDE]*NC[PREÇO]</f>
        <v>1406.9999999999998</v>
      </c>
      <c r="M4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1406.9999999999998</v>
      </c>
      <c r="N4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0.38</v>
      </c>
      <c r="O4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0.52</v>
      </c>
      <c r="P4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0.97</v>
      </c>
      <c r="Q43" s="15">
        <f>SETUP!$E$3*SUMPRODUCT(N(NC[DATA]=NC[[#This Row],[DATA]]),N(NC[ID]&lt;=NC[[#This Row],[ID]]))</f>
        <v>14.9</v>
      </c>
      <c r="R43" s="15">
        <f>TRUNC(NC[CORRETAGEM]*SETUP!$F$3,2)</f>
        <v>0.28999999999999998</v>
      </c>
      <c r="S43" s="15">
        <f>ROUND(NC[CORRETAGEM]*SETUP!$G$3,2)</f>
        <v>0.57999999999999996</v>
      </c>
      <c r="T43" s="15">
        <f>NC[VALOR LÍQUIDO DAS OPERAÇÕES]-NC[TAXA DE LIQUIDAÇÃO]-NC[EMOLUMENTOS]-NC[TAXA DE REGISTRO]-NC[CORRETAGEM]-NC[ISS]-IF(NC['[D/N']]="D",    0,    NC[OUTRAS BOVESPA])</f>
        <v>1389.3599999999997</v>
      </c>
      <c r="U43" s="15">
        <f>IF(AND(NC['[D/N']]="D",    NC[T]="CV"),    ROUND(NC[LÍQUIDO BASE]*0.01, 2),    0)</f>
        <v>0</v>
      </c>
      <c r="V43" s="15">
        <f>IF(NC[PREÇO] &gt; 0,    NC[LÍQUIDO BASE]-SUMPRODUCT(N(NC[DATA]=NC[[#This Row],[DATA]]),    NC[IRRF FONTE]),    0)</f>
        <v>1389.3599999999997</v>
      </c>
      <c r="W43" s="20">
        <f>NC[LÍQUIDO]-SUMPRODUCT(N(NC[DATA]=NC[[#This Row],[DATA]]),N(NC[ID]=(NC[[#This Row],[ID]]-1)),NC[LÍQUIDO])</f>
        <v>1389.3599999999997</v>
      </c>
      <c r="X43" s="15">
        <f>IF(NC[T] = "VC", ABS(NC[VALOR P/ OP]) / NC[QTDE], NC[VALOR P/ OP]/NC[QTDE])</f>
        <v>1.9847999999999995</v>
      </c>
      <c r="Y43" s="15">
        <f>TRUNC(IF(OR(NC[T]="CV",NC[T]="VV"),     L43*SETUP!$H$3,     0),2)</f>
        <v>7.0000000000000007E-2</v>
      </c>
      <c r="Z4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2.3155857142857141</v>
      </c>
      <c r="AB4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1.9847999999999995</v>
      </c>
      <c r="AC43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-231.55000000000027</v>
      </c>
      <c r="AD43" s="15">
        <f>IF(NC[LUCRO TMP] &lt;&gt; 0, NC[LUCRO TMP] - SUMPRODUCT(N(NC[ATIVO]=NC[[#This Row],[ATIVO]]),N(NC['[D/N']]="N"),N(NC[ID]&lt;NC[[#This Row],[ID]]),N(NC[PAR]=NC[[#This Row],[PAR]]), NC[LUCRO TMP]), 0)</f>
        <v>-231.55000000000027</v>
      </c>
      <c r="AE43" s="15">
        <f>IF(NC[U] = "U", SUMPRODUCT(N(NC[ID]&lt;=NC[[#This Row],[ID]]),N(NC[DATA BASE]=NC[[#This Row],[DATA BASE]]), N(NC['[D/N']] = "N"),    NC[LUCRO P/ OP]), 0)</f>
        <v>0</v>
      </c>
      <c r="AF43" s="15">
        <f>IF(NC[U] = "U",NC[LUCRO '[N']] + SUMPRODUCT(N(MONTH(NC[DATA BASE])&lt;MONTH(NC[[#This Row],[DATA BASE]]) ), NC[LUCRO '[N']]),0)</f>
        <v>0</v>
      </c>
      <c r="AG43" s="15">
        <f>IF(NC[U] = "U", SUMPRODUCT(N(NC[DATA BASE]=NC[[#This Row],[DATA BASE]]), N(NC['[D/N']] = "D"),    NC[LUCRO P/ OP]), 0)</f>
        <v>0</v>
      </c>
      <c r="AH43" s="20">
        <f>IF(NC[ TRIB. '[N']] &gt; 0,     ROUND(NC[ TRIB. '[N']]*0.15,    2),    0)</f>
        <v>0</v>
      </c>
      <c r="AI43" s="20">
        <f>IF(NC[LUCRO TRIB. DT] &gt; 0,     ROUND(NC[LUCRO TRIB. DT]*0.2,    2)  -  SUMPRODUCT(N(NC[DATA BASE]=NC[[#This Row],[DATA BASE]]),    NC[IRRF FONTE]),    0)</f>
        <v>0</v>
      </c>
      <c r="AJ43" s="19">
        <f>NC[IR '[N']] + NC[IR DEVIDO DT]</f>
        <v>0</v>
      </c>
      <c r="AK43" s="20">
        <f>IF(AND(NC[U] = "U",NC[IR DEVIDO] &gt; 0), NC[IR DEVIDO] + 8.9, 0)</f>
        <v>0</v>
      </c>
      <c r="AL43" s="20">
        <f>NC[LUCRO '[N']]  + NC[LUCRO TRIB. DT] - NC[RESGATE]</f>
        <v>0</v>
      </c>
    </row>
    <row r="44" spans="1:38" x14ac:dyDescent="0.2">
      <c r="A44" s="13">
        <v>43</v>
      </c>
      <c r="B44" s="13"/>
      <c r="C44" s="13" t="s">
        <v>107</v>
      </c>
      <c r="D44" s="13" t="s">
        <v>74</v>
      </c>
      <c r="E44" s="14">
        <v>41052</v>
      </c>
      <c r="F44" s="13">
        <v>1400</v>
      </c>
      <c r="G44" s="15">
        <v>1.01</v>
      </c>
      <c r="H44" s="13" t="s">
        <v>6</v>
      </c>
      <c r="I44" s="14">
        <f>WORKDAY(NC[[#This Row],[DATA]],1,0)</f>
        <v>41053</v>
      </c>
      <c r="J44" s="22">
        <f>EOMONTH(NC[[#This Row],[DATA DE LIQUIDAÇÃO]],0)</f>
        <v>41060</v>
      </c>
      <c r="K4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4" s="15">
        <f>NC[QTDE]*NC[PREÇO]</f>
        <v>1414</v>
      </c>
      <c r="M4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-7.0000000000002274</v>
      </c>
      <c r="N4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0.77</v>
      </c>
      <c r="O4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1.04</v>
      </c>
      <c r="P4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1.96</v>
      </c>
      <c r="Q44" s="15">
        <f>SETUP!$E$3*SUMPRODUCT(N(NC[DATA]=NC[[#This Row],[DATA]]),N(NC[ID]&lt;=NC[[#This Row],[ID]]))</f>
        <v>29.8</v>
      </c>
      <c r="R44" s="15">
        <f>TRUNC(NC[CORRETAGEM]*SETUP!$F$3,2)</f>
        <v>0.59</v>
      </c>
      <c r="S44" s="15">
        <f>ROUND(NC[CORRETAGEM]*SETUP!$G$3,2)</f>
        <v>1.1599999999999999</v>
      </c>
      <c r="T44" s="15">
        <f>NC[VALOR LÍQUIDO DAS OPERAÇÕES]-NC[TAXA DE LIQUIDAÇÃO]-NC[EMOLUMENTOS]-NC[TAXA DE REGISTRO]-NC[CORRETAGEM]-NC[ISS]-IF(NC['[D/N']]="D",    0,    NC[OUTRAS BOVESPA])</f>
        <v>-42.320000000000228</v>
      </c>
      <c r="U44" s="15">
        <f>IF(AND(NC['[D/N']]="D",    NC[T]="CV"),    ROUND(NC[LÍQUIDO BASE]*0.01, 2),    0)</f>
        <v>0</v>
      </c>
      <c r="V44" s="15">
        <f>IF(NC[PREÇO] &gt; 0,    NC[LÍQUIDO BASE]-SUMPRODUCT(N(NC[DATA]=NC[[#This Row],[DATA]]),    NC[IRRF FONTE]),    0)</f>
        <v>-42.320000000000228</v>
      </c>
      <c r="W44" s="20">
        <f>NC[LÍQUIDO]-SUMPRODUCT(N(NC[DATA]=NC[[#This Row],[DATA]]),N(NC[ID]=(NC[[#This Row],[ID]]-1)),NC[LÍQUIDO])</f>
        <v>-1431.6799999999998</v>
      </c>
      <c r="X44" s="15">
        <f>IF(NC[T] = "VC", ABS(NC[VALOR P/ OP]) / NC[QTDE], NC[VALOR P/ OP]/NC[QTDE])</f>
        <v>1.0226285714285712</v>
      </c>
      <c r="Y44" s="15">
        <f>TRUNC(IF(OR(NC[T]="CV",NC[T]="VV"),     L44*SETUP!$H$3,     0),2)</f>
        <v>0</v>
      </c>
      <c r="Z4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1.0226285714285712</v>
      </c>
      <c r="AB4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1.516685714285714</v>
      </c>
      <c r="AC44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691.67999999999984</v>
      </c>
      <c r="AD44" s="15">
        <f>IF(NC[LUCRO TMP] &lt;&gt; 0, NC[LUCRO TMP] - SUMPRODUCT(N(NC[ATIVO]=NC[[#This Row],[ATIVO]]),N(NC['[D/N']]="N"),N(NC[ID]&lt;NC[[#This Row],[ID]]),N(NC[PAR]=NC[[#This Row],[PAR]]), NC[LUCRO TMP]), 0)</f>
        <v>691.67999999999984</v>
      </c>
      <c r="AE44" s="15">
        <f>IF(NC[U] = "U", SUMPRODUCT(N(NC[ID]&lt;=NC[[#This Row],[ID]]),N(NC[DATA BASE]=NC[[#This Row],[DATA BASE]]), N(NC['[D/N']] = "N"),    NC[LUCRO P/ OP]), 0)</f>
        <v>0</v>
      </c>
      <c r="AF44" s="15">
        <f>IF(NC[U] = "U",NC[LUCRO '[N']] + SUMPRODUCT(N(MONTH(NC[DATA BASE])&lt;MONTH(NC[[#This Row],[DATA BASE]]) ), NC[LUCRO '[N']]),0)</f>
        <v>0</v>
      </c>
      <c r="AG44" s="15">
        <f>IF(NC[U] = "U", SUMPRODUCT(N(NC[DATA BASE]=NC[[#This Row],[DATA BASE]]), N(NC['[D/N']] = "D"),    NC[LUCRO P/ OP]), 0)</f>
        <v>0</v>
      </c>
      <c r="AH44" s="20">
        <f>IF(NC[ TRIB. '[N']] &gt; 0,     ROUND(NC[ TRIB. '[N']]*0.15,    2),    0)</f>
        <v>0</v>
      </c>
      <c r="AI44" s="20">
        <f>IF(NC[LUCRO TRIB. DT] &gt; 0,     ROUND(NC[LUCRO TRIB. DT]*0.2,    2)  -  SUMPRODUCT(N(NC[DATA BASE]=NC[[#This Row],[DATA BASE]]),    NC[IRRF FONTE]),    0)</f>
        <v>0</v>
      </c>
      <c r="AJ44" s="19">
        <f>NC[IR '[N']] + NC[IR DEVIDO DT]</f>
        <v>0</v>
      </c>
      <c r="AK44" s="20">
        <f>IF(AND(NC[U] = "U",NC[IR DEVIDO] &gt; 0), NC[IR DEVIDO] + 8.9, 0)</f>
        <v>0</v>
      </c>
      <c r="AL44" s="20">
        <f>NC[LUCRO '[N']]  + NC[LUCRO TRIB. DT] - NC[RESGATE]</f>
        <v>0</v>
      </c>
    </row>
    <row r="45" spans="1:38" x14ac:dyDescent="0.2">
      <c r="A45" s="13">
        <v>44</v>
      </c>
      <c r="B45" s="13" t="s">
        <v>54</v>
      </c>
      <c r="C45" s="13" t="s">
        <v>94</v>
      </c>
      <c r="D45" s="13" t="s">
        <v>26</v>
      </c>
      <c r="E45" s="14">
        <v>41052</v>
      </c>
      <c r="F45" s="13">
        <v>700</v>
      </c>
      <c r="G45" s="15">
        <v>0.01</v>
      </c>
      <c r="H45" s="13" t="s">
        <v>6</v>
      </c>
      <c r="I45" s="14">
        <f>WORKDAY(NC[[#This Row],[DATA]],1,0)</f>
        <v>41053</v>
      </c>
      <c r="J45" s="22">
        <f>EOMONTH(NC[[#This Row],[DATA DE LIQUIDAÇÃO]],0)</f>
        <v>41060</v>
      </c>
      <c r="K4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5" s="15">
        <f>NC[QTDE]*NC[PREÇO]</f>
        <v>7</v>
      </c>
      <c r="M4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4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0.77</v>
      </c>
      <c r="O4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1.04</v>
      </c>
      <c r="P4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1.96</v>
      </c>
      <c r="Q45" s="15">
        <f>SETUP!$E$3*SUMPRODUCT(N(NC[DATA]=NC[[#This Row],[DATA]]),N(NC[ID]&lt;=NC[[#This Row],[ID]]))</f>
        <v>44.7</v>
      </c>
      <c r="R45" s="15">
        <f>TRUNC(NC[CORRETAGEM]*SETUP!$F$3,2)</f>
        <v>0.89</v>
      </c>
      <c r="S45" s="15">
        <f>ROUND(NC[CORRETAGEM]*SETUP!$G$3,2)</f>
        <v>1.74</v>
      </c>
      <c r="T45" s="15">
        <f>NC[VALOR LÍQUIDO DAS OPERAÇÕES]-NC[TAXA DE LIQUIDAÇÃO]-NC[EMOLUMENTOS]-NC[TAXA DE REGISTRO]-NC[CORRETAGEM]-NC[ISS]-IF(NC['[D/N']]="D",    0,    NC[OUTRAS BOVESPA])</f>
        <v>-51.100000000000009</v>
      </c>
      <c r="U45" s="15">
        <f>IF(AND(NC['[D/N']]="D",    NC[T]="CV"),    ROUND(NC[LÍQUIDO BASE]*0.01, 2),    0)</f>
        <v>0</v>
      </c>
      <c r="V45" s="15">
        <f>IF(NC[PREÇO] &gt; 0,    NC[LÍQUIDO BASE]-SUMPRODUCT(N(NC[DATA]=NC[[#This Row],[DATA]]),    NC[IRRF FONTE]),    0)</f>
        <v>-51.100000000000009</v>
      </c>
      <c r="W45" s="20">
        <f>NC[LÍQUIDO]-SUMPRODUCT(N(NC[DATA]=NC[[#This Row],[DATA]]),N(NC[ID]=(NC[[#This Row],[ID]]-1)),NC[LÍQUIDO])</f>
        <v>-8.7799999999997809</v>
      </c>
      <c r="X45" s="15">
        <f>IF(NC[T] = "VC", ABS(NC[VALOR P/ OP]) / NC[QTDE], NC[VALOR P/ OP]/NC[QTDE])</f>
        <v>-1.254285714285683E-2</v>
      </c>
      <c r="Y45" s="15">
        <f>TRUNC(IF(OR(NC[T]="CV",NC[T]="VV"),     L45*SETUP!$H$3,     0),2)</f>
        <v>0</v>
      </c>
      <c r="Z4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P/ OP])) - ABS(SUMPRODUCT(N(NC[ATIVO]=NC[[#This Row],[ATIVO]]),N(NC[T]="CV"),N(NC['[D/N']]="N"),N(NC[ID]&lt;NC[[#This Row],[ID]]),N(NC[PAR]=NC[[#This Row],[PAR]]),NC[VALOR P/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0.86368571428571417</v>
      </c>
      <c r="AB4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-1.254285714285683E-2</v>
      </c>
      <c r="AC45" s="3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-613.35999999999967</v>
      </c>
      <c r="AD45" s="15">
        <f>IF(NC[LUCRO TMP] &lt;&gt; 0, NC[LUCRO TMP] - SUMPRODUCT(N(NC[ATIVO]=NC[[#This Row],[ATIVO]]),N(NC['[D/N']]="N"),N(NC[ID]&lt;NC[[#This Row],[ID]]),N(NC[PAR]=NC[[#This Row],[PAR]]), NC[LUCRO TMP]), 0)</f>
        <v>-613.35999999999967</v>
      </c>
      <c r="AE45" s="15">
        <f>IF(NC[U] = "U", SUMPRODUCT(N(NC[ID]&lt;=NC[[#This Row],[ID]]),N(NC[DATA BASE]=NC[[#This Row],[DATA BASE]]), N(NC['[D/N']] = "N"),    NC[LUCRO P/ OP]), 0)</f>
        <v>-193.91000000000014</v>
      </c>
      <c r="AF45" s="15">
        <f>IF(NC[U] = "U",NC[LUCRO '[N']] + SUMPRODUCT(N(MONTH(NC[DATA BASE])&lt;MONTH(NC[[#This Row],[DATA BASE]]) ), NC[LUCRO '[N']]),0)</f>
        <v>-1808.8</v>
      </c>
      <c r="AG45" s="15">
        <f>IF(NC[U] = "U", SUMPRODUCT(N(NC[DATA BASE]=NC[[#This Row],[DATA BASE]]), N(NC['[D/N']] = "D"),    NC[LUCRO P/ OP]), 0)</f>
        <v>0</v>
      </c>
      <c r="AH45" s="20">
        <f>IF(NC[ TRIB. '[N']] &gt; 0,     ROUND(NC[ TRIB. '[N']]*0.15,    2),    0)</f>
        <v>0</v>
      </c>
      <c r="AI45" s="20">
        <f>IF(NC[LUCRO TRIB. DT] &gt; 0,     ROUND(NC[LUCRO TRIB. DT]*0.2,    2)  -  SUMPRODUCT(N(NC[DATA BASE]=NC[[#This Row],[DATA BASE]]),    NC[IRRF FONTE]),    0)</f>
        <v>0</v>
      </c>
      <c r="AJ45" s="19">
        <f>NC[IR '[N']] + NC[IR DEVIDO DT]</f>
        <v>0</v>
      </c>
      <c r="AK45" s="20">
        <f>IF(AND(NC[U] = "U",NC[IR DEVIDO] &gt; 0), NC[IR DEVIDO] + 8.9, 0)</f>
        <v>0</v>
      </c>
      <c r="AL45" s="20">
        <f>NC[LUCRO '[N']]  + NC[LUCRO TRIB. DT] - NC[RESGATE]</f>
        <v>-193.91000000000014</v>
      </c>
    </row>
    <row r="46" spans="1:38" x14ac:dyDescent="0.2">
      <c r="A46" s="40">
        <f>SUBTOTAL(104,NC[ID])</f>
        <v>44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15"/>
      <c r="U46" s="40"/>
      <c r="V46" s="15"/>
      <c r="W46" s="15"/>
      <c r="X46" s="40"/>
      <c r="Y46" s="15">
        <f>SUBTOTAL(109,NC[IRRF])</f>
        <v>0.29000000000000004</v>
      </c>
      <c r="Z46" s="15"/>
      <c r="AA46" s="40"/>
      <c r="AB46" s="40"/>
      <c r="AC46" s="15"/>
      <c r="AD46" s="15">
        <f>SUBTOTAL(109,NC[LUCRO P/ OP])</f>
        <v>-1330.2900000000002</v>
      </c>
      <c r="AE46" s="15"/>
      <c r="AF46" s="15"/>
      <c r="AG46" s="31"/>
      <c r="AH46" s="15"/>
      <c r="AI46" s="15"/>
      <c r="AJ46" s="41"/>
      <c r="AK46" s="41"/>
      <c r="AL46" s="42">
        <f>SUBTOTAL(109,NC[LUCRO LÍQUIDO])</f>
        <v>-1220.8300000000002</v>
      </c>
    </row>
    <row r="47" spans="1:38" x14ac:dyDescent="0.2">
      <c r="AD47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7"/>
  <sheetViews>
    <sheetView workbookViewId="0">
      <selection activeCell="D6" sqref="D6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 x14ac:dyDescent="0.2">
      <c r="A1" s="24" t="s">
        <v>62</v>
      </c>
      <c r="B1" s="24" t="s">
        <v>69</v>
      </c>
      <c r="C1" s="26" t="s">
        <v>63</v>
      </c>
      <c r="D1" s="26" t="s">
        <v>64</v>
      </c>
      <c r="E1" s="26" t="s">
        <v>65</v>
      </c>
      <c r="F1" s="26" t="s">
        <v>70</v>
      </c>
      <c r="G1" s="26" t="s">
        <v>1</v>
      </c>
      <c r="H1" s="26" t="s">
        <v>67</v>
      </c>
      <c r="I1" s="26" t="s">
        <v>68</v>
      </c>
      <c r="J1" s="26" t="s">
        <v>91</v>
      </c>
    </row>
    <row r="2" spans="1:10" x14ac:dyDescent="0.2">
      <c r="A2" s="7" t="s">
        <v>94</v>
      </c>
      <c r="B2" s="25">
        <v>873.38</v>
      </c>
      <c r="C2" s="25">
        <v>38.090000000000003</v>
      </c>
      <c r="D2" s="25">
        <v>0.81</v>
      </c>
      <c r="E2" s="44">
        <f>38</f>
        <v>38</v>
      </c>
      <c r="F2" s="28">
        <f>ROUNDDOWN(Tabela2[APLICAÇÃO]/Tabela2[PREÇO OPÇÃO], 0)</f>
        <v>1078</v>
      </c>
      <c r="G2" s="28">
        <f>Tabela2[QTDE TMP] - MOD(Tabela2[QTDE TMP], 100)</f>
        <v>1000</v>
      </c>
      <c r="H2" s="25">
        <f>Tabela2[EXERCÍCIO] + (Tabela2[PREÇO OPÇÃO] * 2)</f>
        <v>39.71</v>
      </c>
      <c r="I2" s="27">
        <f>Tabela2[TARGET 100%] / Tabela2[PREÇO AÇÃO] - 1</f>
        <v>4.4999999999999929E-2</v>
      </c>
      <c r="J2" s="25">
        <f>Tabela2[PREÇO OPÇÃO] * Tabela2[QTDE] - 30</f>
        <v>780</v>
      </c>
    </row>
    <row r="3" spans="1:10" x14ac:dyDescent="0.2">
      <c r="A3" s="7" t="s">
        <v>92</v>
      </c>
      <c r="B3" s="25">
        <v>873.38</v>
      </c>
      <c r="C3" s="25">
        <v>39.090000000000003</v>
      </c>
      <c r="D3" s="25">
        <v>0.4</v>
      </c>
      <c r="E3" s="44">
        <f>38</f>
        <v>38</v>
      </c>
      <c r="F3" s="28">
        <f>ROUNDDOWN(Tabela2[APLICAÇÃO]/Tabela2[PREÇO OPÇÃO], 0)</f>
        <v>2183</v>
      </c>
      <c r="G3" s="28">
        <f>Tabela2[QTDE TMP] - MOD(Tabela2[QTDE TMP], 100)</f>
        <v>2100</v>
      </c>
      <c r="H3" s="25">
        <f>Tabela2[EXERCÍCIO] + (Tabela2[PREÇO OPÇÃO] * 2)</f>
        <v>39.89</v>
      </c>
      <c r="I3" s="27">
        <f>Tabela2[TARGET 100%] / Tabela2[PREÇO AÇÃO] - 1</f>
        <v>4.9736842105263079E-2</v>
      </c>
      <c r="J3" s="25">
        <f>Tabela2[PREÇO OPÇÃO] * Tabela2[QTDE] - 30</f>
        <v>810</v>
      </c>
    </row>
    <row r="4" spans="1:10" x14ac:dyDescent="0.2">
      <c r="A4" s="7" t="s">
        <v>72</v>
      </c>
      <c r="B4" s="25">
        <v>873.38</v>
      </c>
      <c r="C4" s="25">
        <v>40.090000000000003</v>
      </c>
      <c r="D4" s="25">
        <v>0.14000000000000001</v>
      </c>
      <c r="E4" s="44">
        <f>38</f>
        <v>38</v>
      </c>
      <c r="F4" s="28">
        <f>ROUNDDOWN(Tabela2[APLICAÇÃO]/Tabela2[PREÇO OPÇÃO], 0)</f>
        <v>6238</v>
      </c>
      <c r="G4" s="28">
        <f>Tabela2[QTDE TMP] - MOD(Tabela2[QTDE TMP], 100)</f>
        <v>6200</v>
      </c>
      <c r="H4" s="25">
        <f>Tabela2[EXERCÍCIO] + (Tabela2[PREÇO OPÇÃO] * 2)</f>
        <v>40.370000000000005</v>
      </c>
      <c r="I4" s="27">
        <f>Tabela2[TARGET 100%] / Tabela2[PREÇO AÇÃO] - 1</f>
        <v>6.2368421052631628E-2</v>
      </c>
      <c r="J4" s="25">
        <f>Tabela2[PREÇO OPÇÃO] * Tabela2[QTDE] - 30</f>
        <v>838.00000000000011</v>
      </c>
    </row>
    <row r="5" spans="1:10" x14ac:dyDescent="0.2">
      <c r="A5" s="7" t="s">
        <v>93</v>
      </c>
      <c r="B5" s="25">
        <v>873.38</v>
      </c>
      <c r="C5" s="25">
        <v>39.229999999999997</v>
      </c>
      <c r="D5" s="25">
        <v>0.35</v>
      </c>
      <c r="E5" s="44">
        <f>38</f>
        <v>38</v>
      </c>
      <c r="F5" s="28">
        <f>ROUNDDOWN(Tabela2[APLICAÇÃO]/Tabela2[PREÇO OPÇÃO], 0)</f>
        <v>2495</v>
      </c>
      <c r="G5" s="28">
        <f>Tabela2[QTDE TMP] - MOD(Tabela2[QTDE TMP], 100)</f>
        <v>2400</v>
      </c>
      <c r="H5" s="25">
        <f>Tabela2[EXERCÍCIO] + (Tabela2[PREÇO OPÇÃO] * 2)</f>
        <v>39.93</v>
      </c>
      <c r="I5" s="27">
        <f>Tabela2[TARGET 100%] / Tabela2[PREÇO AÇÃO] - 1</f>
        <v>5.0789473684210495E-2</v>
      </c>
      <c r="J5" s="25">
        <f>Tabela2[PREÇO OPÇÃO] * Tabela2[QTDE] - 30</f>
        <v>810</v>
      </c>
    </row>
    <row r="6" spans="1:10" x14ac:dyDescent="0.2">
      <c r="A6" s="7" t="s">
        <v>71</v>
      </c>
      <c r="B6" s="25">
        <v>873.38</v>
      </c>
      <c r="C6" s="25">
        <v>42.09</v>
      </c>
      <c r="D6" s="25">
        <v>0.02</v>
      </c>
      <c r="E6" s="25">
        <f>38</f>
        <v>38</v>
      </c>
      <c r="F6" s="28">
        <f>ROUNDDOWN(Tabela2[APLICAÇÃO]/Tabela2[PREÇO OPÇÃO], 0)</f>
        <v>43669</v>
      </c>
      <c r="G6" s="28">
        <f>Tabela2[QTDE TMP] - MOD(Tabela2[QTDE TMP], 100)</f>
        <v>43600</v>
      </c>
      <c r="H6" s="25">
        <f>Tabela2[EXERCÍCIO] + (Tabela2[PREÇO OPÇÃO] * 2)</f>
        <v>42.13</v>
      </c>
      <c r="I6" s="27">
        <f>Tabela2[TARGET 100%] / Tabela2[PREÇO AÇÃO] - 1</f>
        <v>0.10868421052631594</v>
      </c>
      <c r="J6" s="25">
        <f>Tabela2[PREÇO OPÇÃO] * Tabela2[QTDE] - 30</f>
        <v>842</v>
      </c>
    </row>
    <row r="7" spans="1:10" x14ac:dyDescent="0.2">
      <c r="A7" s="7" t="s">
        <v>15</v>
      </c>
      <c r="B7" s="29"/>
      <c r="C7" s="29"/>
      <c r="D7" s="29"/>
      <c r="E7" s="29"/>
      <c r="F7" s="29"/>
      <c r="G7" s="29"/>
      <c r="H7" s="29"/>
      <c r="I7" s="29"/>
      <c r="J7" s="2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I8" sqref="I8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9" width="15.5703125" style="7" bestFit="1" customWidth="1"/>
    <col min="10" max="10" width="9.28515625" style="7" hidden="1" customWidth="1"/>
    <col min="11" max="11" width="9.28515625" style="7" bestFit="1" customWidth="1"/>
    <col min="12" max="12" width="10.42578125" style="7" bestFit="1" customWidth="1"/>
    <col min="13" max="13" width="9.85546875" style="7" bestFit="1" customWidth="1"/>
    <col min="14" max="14" width="10.42578125" style="7" bestFit="1" customWidth="1"/>
    <col min="15" max="15" width="9.85546875" style="7" bestFit="1" customWidth="1"/>
    <col min="16" max="16384" width="11.5703125" style="7"/>
  </cols>
  <sheetData>
    <row r="1" spans="1:15" x14ac:dyDescent="0.2">
      <c r="A1" s="24" t="s">
        <v>62</v>
      </c>
      <c r="B1" s="24" t="s">
        <v>69</v>
      </c>
      <c r="C1" s="24" t="s">
        <v>65</v>
      </c>
      <c r="D1" s="26" t="s">
        <v>79</v>
      </c>
      <c r="E1" s="26" t="s">
        <v>80</v>
      </c>
      <c r="F1" s="26" t="s">
        <v>77</v>
      </c>
      <c r="G1" s="26" t="s">
        <v>78</v>
      </c>
      <c r="H1" s="26" t="s">
        <v>81</v>
      </c>
      <c r="I1" s="26" t="s">
        <v>82</v>
      </c>
      <c r="J1" s="26" t="s">
        <v>70</v>
      </c>
      <c r="K1" s="26" t="s">
        <v>1</v>
      </c>
      <c r="L1" s="26" t="s">
        <v>88</v>
      </c>
      <c r="M1" s="26" t="s">
        <v>89</v>
      </c>
      <c r="N1" s="26" t="s">
        <v>84</v>
      </c>
      <c r="O1" s="26" t="s">
        <v>85</v>
      </c>
    </row>
    <row r="2" spans="1:15" x14ac:dyDescent="0.2">
      <c r="A2" s="7" t="s">
        <v>90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Tabela24[PREÇO VENDA]-Tabela24[PREÇO COMPRA]</f>
        <v>1.18</v>
      </c>
      <c r="I2" s="25">
        <f>(0.01 - Tabela24[PREÇO COMPRA]) + (Tabela24[PREÇO VENDA] - (Tabela24[EXERC. COMPRA]-Tabela24[EXERC. VENDA]+0.01))</f>
        <v>-0.81999999999999984</v>
      </c>
      <c r="J2" s="28">
        <f>ROUNDDOWN(Tabela24[APLICAÇÃO]/ABS(Tabela24[PERDA P/ OPÇÃO]), 0)</f>
        <v>121</v>
      </c>
      <c r="K2" s="28">
        <f>Tabela24[QTDE TMP] - MOD(Tabela24[QTDE TMP], 100)</f>
        <v>100</v>
      </c>
      <c r="L2" s="25">
        <f>(Tabela24[QTDE]*Tabela24[LUCRO P/ OPÇÃO] - 60)</f>
        <v>58</v>
      </c>
      <c r="M2" s="25">
        <f>Tabela24[QTDE]*Tabela24[PERDA P/ OPÇÃO] - 60</f>
        <v>-142</v>
      </c>
      <c r="N2" s="27">
        <f>Tabela24[EXERC. VENDA]/Tabela24[PREÇO AÇÃO]-1</f>
        <v>2.3226135783563029E-2</v>
      </c>
      <c r="O2" s="43">
        <f>Tabela24[LUCRO*]/ABS(Tabela24[PERDA*])</f>
        <v>0.40845070422535212</v>
      </c>
    </row>
    <row r="3" spans="1:15" x14ac:dyDescent="0.2">
      <c r="A3" s="7" t="s">
        <v>76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Tabela24[PREÇO VENDA]-Tabela24[PREÇO COMPRA]</f>
        <v>1.22</v>
      </c>
      <c r="I3" s="25">
        <f>(0.01 - Tabela24[PREÇO COMPRA]) + (Tabela24[PREÇO VENDA] - (Tabela24[EXERC. COMPRA]-Tabela24[EXERC. VENDA]+0.01))</f>
        <v>-0.7799999999999998</v>
      </c>
      <c r="J3" s="28">
        <f>ROUNDDOWN(Tabela24[APLICAÇÃO]/ABS(Tabela24[PERDA P/ OPÇÃO]), 0)</f>
        <v>128</v>
      </c>
      <c r="K3" s="28">
        <f>Tabela24[QTDE TMP] - MOD(Tabela24[QTDE TMP], 100)</f>
        <v>100</v>
      </c>
      <c r="L3" s="25">
        <f>(Tabela24[QTDE]*Tabela24[LUCRO P/ OPÇÃO] - 60)</f>
        <v>62</v>
      </c>
      <c r="M3" s="25">
        <f>Tabela24[QTDE]*Tabela24[PERDA P/ OPÇÃO] - 60</f>
        <v>-138</v>
      </c>
      <c r="N3" s="27">
        <f>Tabela24[EXERC. VENDA]/Tabela24[PREÇO AÇÃO]-1</f>
        <v>-5.9292476332835187E-2</v>
      </c>
      <c r="O3" s="43">
        <f>Tabela24[LUCRO*]/ABS(Tabela24[PERDA*])</f>
        <v>0.44927536231884058</v>
      </c>
    </row>
    <row r="4" spans="1:15" x14ac:dyDescent="0.2">
      <c r="A4" s="7" t="s">
        <v>15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B6" sqref="B6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4" width="11.7109375" style="25" bestFit="1" customWidth="1"/>
    <col min="5" max="5" width="11.5703125" style="7" bestFit="1" customWidth="1"/>
    <col min="6" max="6" width="11.7109375" style="7" bestFit="1" customWidth="1"/>
    <col min="7" max="7" width="11.5703125" style="7" bestFit="1" customWidth="1"/>
    <col min="8" max="8" width="10.85546875" style="7" bestFit="1" customWidth="1"/>
    <col min="9" max="9" width="10.7109375" style="7" bestFit="1" customWidth="1"/>
    <col min="10" max="10" width="11" style="7" customWidth="1"/>
    <col min="11" max="12" width="9.7109375" style="7" hidden="1" customWidth="1"/>
    <col min="13" max="13" width="12.140625" style="7" bestFit="1" customWidth="1"/>
    <col min="14" max="14" width="11" style="7" hidden="1" customWidth="1"/>
    <col min="15" max="15" width="7.7109375" style="7" bestFit="1" customWidth="1"/>
    <col min="16" max="17" width="9.85546875" style="7" bestFit="1" customWidth="1"/>
    <col min="18" max="18" width="8.42578125" style="7" bestFit="1" customWidth="1"/>
    <col min="19" max="19" width="9.85546875" style="7" bestFit="1" customWidth="1"/>
    <col min="20" max="16384" width="11.5703125" style="7"/>
  </cols>
  <sheetData>
    <row r="1" spans="1:19" x14ac:dyDescent="0.2">
      <c r="A1" s="24" t="s">
        <v>62</v>
      </c>
      <c r="B1" s="24" t="s">
        <v>69</v>
      </c>
      <c r="C1" s="24" t="s">
        <v>65</v>
      </c>
      <c r="D1" s="26" t="s">
        <v>95</v>
      </c>
      <c r="E1" s="26" t="s">
        <v>96</v>
      </c>
      <c r="F1" s="26" t="s">
        <v>99</v>
      </c>
      <c r="G1" s="26" t="s">
        <v>100</v>
      </c>
      <c r="H1" s="26" t="s">
        <v>98</v>
      </c>
      <c r="I1" s="26" t="s">
        <v>97</v>
      </c>
      <c r="J1" s="26" t="s">
        <v>102</v>
      </c>
      <c r="K1" s="26" t="s">
        <v>103</v>
      </c>
      <c r="L1" s="26" t="s">
        <v>104</v>
      </c>
      <c r="M1" s="26" t="s">
        <v>105</v>
      </c>
      <c r="N1" s="26" t="s">
        <v>70</v>
      </c>
      <c r="O1" s="26" t="s">
        <v>1</v>
      </c>
      <c r="P1" s="26" t="s">
        <v>88</v>
      </c>
      <c r="Q1" s="26" t="s">
        <v>89</v>
      </c>
      <c r="R1" s="26" t="s">
        <v>101</v>
      </c>
      <c r="S1" s="26" t="s">
        <v>85</v>
      </c>
    </row>
    <row r="2" spans="1:19" x14ac:dyDescent="0.2">
      <c r="A2" s="7" t="s">
        <v>76</v>
      </c>
      <c r="B2" s="25">
        <v>100</v>
      </c>
      <c r="C2" s="25">
        <v>19.72</v>
      </c>
      <c r="D2" s="25">
        <v>17.88</v>
      </c>
      <c r="E2" s="25">
        <v>1.94</v>
      </c>
      <c r="F2" s="25">
        <v>18.88</v>
      </c>
      <c r="G2" s="25">
        <v>1.03</v>
      </c>
      <c r="H2" s="25">
        <v>19.71</v>
      </c>
      <c r="I2" s="25">
        <v>0.47</v>
      </c>
      <c r="J2" s="25">
        <f>((Tabela245[PREÇO VD] - 0.01) * 2) + ((Tabela245[EXERC. VD] - Tabela245[EXERC. CP 1] + 0.01) - Tabela245[PREÇO CP 1]) + (0.01 - Tabela245[PREÇO CP 2])</f>
        <v>0.65000000000000013</v>
      </c>
      <c r="K2" s="25">
        <f>(0.01 - Tabela245[PREÇO CP 1]) + ((Tabela245[PREÇO VD] - 0.01) * 2) + (0.01 - Tabela245[PREÇO CP 2])</f>
        <v>-0.34999999999999987</v>
      </c>
      <c r="L2" s="25">
        <f>((Tabela245[EXERC. CP 2] - Tabela245[EXERC. CP 1] + 0.01) - Tabela245[PREÇO CP 1]) + ((Tabela245[PREÇO VD] - (Tabela245[EXERC. CP 2] - Tabela245[EXERC. VD] + 0.01)) * 2) + (0.01 - Tabela245[PREÇO CP 2])</f>
        <v>-0.18000000000000171</v>
      </c>
      <c r="M2" s="25">
        <f>IF(Tabela245[PERDA 1] &gt; Tabela245[PERDA 2], Tabela245[PERDA 2], Tabela245[PERDA 1])</f>
        <v>-0.34999999999999987</v>
      </c>
      <c r="N2" s="28">
        <f>ROUNDDOWN(Tabela245[APLICAÇÃO]/ABS(Tabela245[PERDA MÁX]), 0)</f>
        <v>285</v>
      </c>
      <c r="O2" s="28">
        <f>Tabela245[QTDE TMP] - MOD(Tabela245[QTDE TMP], 100)</f>
        <v>200</v>
      </c>
      <c r="P2" s="25">
        <f>(Tabela245[QTDE]*Tabela245[LUCRO UNI.] - 90)</f>
        <v>40.000000000000028</v>
      </c>
      <c r="Q2" s="25">
        <f>Tabela245[QTDE]*Tabela245[PERDA MÁX] - 90</f>
        <v>-159.99999999999997</v>
      </c>
      <c r="R2" s="27">
        <f>Tabela245[EXERC. VD] / Tabela245[PREÇO AÇÃO] - 1</f>
        <v>-4.2596348884381352E-2</v>
      </c>
      <c r="S2" s="43">
        <f>Tabela245[LUCRO*]/ABS(Tabela245[PERDA*])</f>
        <v>0.25000000000000022</v>
      </c>
    </row>
    <row r="3" spans="1:19" x14ac:dyDescent="0.2">
      <c r="A3" s="7" t="s">
        <v>76</v>
      </c>
      <c r="B3" s="25">
        <v>100</v>
      </c>
      <c r="C3" s="25">
        <v>19.72</v>
      </c>
      <c r="D3" s="25">
        <v>19.71</v>
      </c>
      <c r="E3" s="25">
        <v>0.47</v>
      </c>
      <c r="F3" s="25">
        <v>20.88</v>
      </c>
      <c r="G3" s="25">
        <v>0.11</v>
      </c>
      <c r="H3" s="25">
        <v>21.88</v>
      </c>
      <c r="I3" s="25">
        <v>0.04</v>
      </c>
      <c r="J3" s="25">
        <f>((Tabela245[PREÇO VD] - 0.01) * 2) + ((Tabela245[EXERC. VD] - Tabela245[EXERC. CP 1] + 0.01) - Tabela245[PREÇO CP 1]) + (0.01 - Tabela245[PREÇO CP 2])</f>
        <v>0.87999999999999812</v>
      </c>
      <c r="K3" s="25">
        <f>(0.01 - Tabela245[PREÇO CP 1]) + ((Tabela245[PREÇO VD] - 0.01) * 2) + (0.01 - Tabela245[PREÇO CP 2])</f>
        <v>-0.28999999999999992</v>
      </c>
      <c r="L3" s="25">
        <f>((Tabela245[EXERC. CP 2] - Tabela245[EXERC. CP 1] + 0.01) - Tabela245[PREÇO CP 1]) + ((Tabela245[PREÇO VD] - (Tabela245[EXERC. CP 2] - Tabela245[EXERC. VD] + 0.01)) * 2) + (0.01 - Tabela245[PREÇO CP 2])</f>
        <v>-0.12000000000000208</v>
      </c>
      <c r="M3" s="25">
        <f>IF(Tabela245[PERDA 1] &gt; Tabela245[PERDA 2], Tabela245[PERDA 2], Tabela245[PERDA 1])</f>
        <v>-0.28999999999999992</v>
      </c>
      <c r="N3" s="28">
        <f>ROUNDDOWN(Tabela245[APLICAÇÃO]/ABS(Tabela245[PERDA MÁX]), 0)</f>
        <v>344</v>
      </c>
      <c r="O3" s="28">
        <f>Tabela245[QTDE TMP] - MOD(Tabela245[QTDE TMP], 100)</f>
        <v>300</v>
      </c>
      <c r="P3" s="44">
        <f>(Tabela245[QTDE]*Tabela245[LUCRO UNI.] - 90)</f>
        <v>173.99999999999943</v>
      </c>
      <c r="Q3" s="25">
        <f>Tabela245[QTDE]*Tabela245[PERDA MÁX] - 90</f>
        <v>-176.99999999999997</v>
      </c>
      <c r="R3" s="27">
        <f>Tabela245[EXERC. VD] / Tabela245[PREÇO AÇÃO] - 1</f>
        <v>5.8823529411764719E-2</v>
      </c>
      <c r="S3" s="43">
        <f>Tabela245[LUCRO*]/ABS(Tabela245[PERDA*])</f>
        <v>0.98305084745762406</v>
      </c>
    </row>
    <row r="4" spans="1:19" x14ac:dyDescent="0.2">
      <c r="A4" s="7" t="s">
        <v>90</v>
      </c>
      <c r="B4" s="25">
        <v>100</v>
      </c>
      <c r="C4" s="25">
        <v>38.1</v>
      </c>
      <c r="D4" s="25">
        <v>38.090000000000003</v>
      </c>
      <c r="E4" s="25">
        <v>0.92</v>
      </c>
      <c r="F4" s="25">
        <v>39.229999999999997</v>
      </c>
      <c r="G4" s="25">
        <v>0.39</v>
      </c>
      <c r="H4" s="25">
        <v>40.090000000000003</v>
      </c>
      <c r="I4" s="25">
        <v>0.17</v>
      </c>
      <c r="J4" s="25">
        <f>((Tabela245[PREÇO VD] - 0.01) * 2) + ((Tabela245[EXERC. VD] - Tabela245[EXERC. CP 1] + 0.01) - Tabela245[PREÇO CP 1]) + (0.01 - Tabela245[PREÇO CP 2])</f>
        <v>0.82999999999999341</v>
      </c>
      <c r="K4" s="25">
        <f>(0.01 - Tabela245[PREÇO CP 1]) + ((Tabela245[PREÇO VD] - 0.01) * 2) + (0.01 - Tabela245[PREÇO CP 2])</f>
        <v>-0.31000000000000005</v>
      </c>
      <c r="L4" s="25">
        <f>((Tabela245[EXERC. CP 2] - Tabela245[EXERC. CP 1] + 0.01) - Tabela245[PREÇO CP 1]) + ((Tabela245[PREÇO VD] - (Tabela245[EXERC. CP 2] - Tabela245[EXERC. VD] + 0.01)) * 2) + (0.01 - Tabela245[PREÇO CP 2])</f>
        <v>-3.0000000000013211E-2</v>
      </c>
      <c r="M4" s="25">
        <f>IF(Tabela245[PERDA 1] &gt; Tabela245[PERDA 2], Tabela245[PERDA 2], Tabela245[PERDA 1])</f>
        <v>-0.31000000000000005</v>
      </c>
      <c r="N4" s="28">
        <f>ROUNDDOWN(Tabela245[APLICAÇÃO]/ABS(Tabela245[PERDA MÁX]), 0)</f>
        <v>322</v>
      </c>
      <c r="O4" s="28">
        <f>Tabela245[QTDE TMP] - MOD(Tabela245[QTDE TMP], 100)</f>
        <v>300</v>
      </c>
      <c r="P4" s="44">
        <f>(Tabela245[QTDE]*Tabela245[LUCRO UNI.] - 90)</f>
        <v>158.99999999999801</v>
      </c>
      <c r="Q4" s="25">
        <f>Tabela245[QTDE]*Tabela245[PERDA MÁX] - 90</f>
        <v>-183</v>
      </c>
      <c r="R4" s="27">
        <f>Tabela245[EXERC. VD] / Tabela245[PREÇO AÇÃO] - 1</f>
        <v>2.965879265091842E-2</v>
      </c>
      <c r="S4" s="43">
        <f>Tabela245[LUCRO*]/ABS(Tabela245[PERDA*])</f>
        <v>0.86885245901638253</v>
      </c>
    </row>
    <row r="5" spans="1:19" x14ac:dyDescent="0.2">
      <c r="A5" s="7" t="s">
        <v>90</v>
      </c>
      <c r="B5" s="25">
        <v>70</v>
      </c>
      <c r="C5" s="25">
        <v>38.090000000000003</v>
      </c>
      <c r="D5" s="25">
        <v>36.090000000000003</v>
      </c>
      <c r="E5" s="25">
        <v>2.29</v>
      </c>
      <c r="F5" s="25">
        <v>37.090000000000003</v>
      </c>
      <c r="G5" s="25">
        <v>1.53</v>
      </c>
      <c r="H5" s="25">
        <v>38.090000000000003</v>
      </c>
      <c r="I5" s="25">
        <v>0.84</v>
      </c>
      <c r="J5" s="25">
        <f>((Tabela245[PREÇO VD] - 0.01) * 2) + ((Tabela245[EXERC. VD] - Tabela245[EXERC. CP 1] + 0.01) - Tabela245[PREÇO CP 1]) + (0.01 - Tabela245[PREÇO CP 2])</f>
        <v>0.93</v>
      </c>
      <c r="K5" s="25">
        <f>(0.01 - Tabela245[PREÇO CP 1]) + ((Tabela245[PREÇO VD] - 0.01) * 2) + (0.01 - Tabela245[PREÇO CP 2])</f>
        <v>-7.0000000000000173E-2</v>
      </c>
      <c r="L5" s="25">
        <f>((Tabela245[EXERC. CP 2] - Tabela245[EXERC. CP 1] + 0.01) - Tabela245[PREÇO CP 1]) + ((Tabela245[PREÇO VD] - (Tabela245[EXERC. CP 2] - Tabela245[EXERC. VD] + 0.01)) * 2) + (0.01 - Tabela245[PREÇO CP 2])</f>
        <v>-7.0000000000000173E-2</v>
      </c>
      <c r="M5" s="25">
        <f>IF(Tabela245[PERDA 1] &gt; Tabela245[PERDA 2], Tabela245[PERDA 2], Tabela245[PERDA 1])</f>
        <v>-7.0000000000000173E-2</v>
      </c>
      <c r="N5" s="28">
        <f>ROUNDDOWN(Tabela245[APLICAÇÃO]/ABS(Tabela245[PERDA MÁX]), 0)</f>
        <v>999</v>
      </c>
      <c r="O5" s="28">
        <f>Tabela245[QTDE TMP] - MOD(Tabela245[QTDE TMP], 100)</f>
        <v>900</v>
      </c>
      <c r="P5" s="44">
        <f>(Tabela245[QTDE]*Tabela245[LUCRO UNI.] - 90)</f>
        <v>747</v>
      </c>
      <c r="Q5" s="25">
        <f>Tabela245[QTDE]*Tabela245[PERDA MÁX] - 90</f>
        <v>-153.00000000000017</v>
      </c>
      <c r="R5" s="27">
        <f>Tabela245[EXERC. VD] / Tabela245[PREÇO AÇÃO] - 1</f>
        <v>-2.6253609871357275E-2</v>
      </c>
      <c r="S5" s="43">
        <f>Tabela245[LUCRO*]/ABS(Tabela245[PERDA*])</f>
        <v>4.8823529411764648</v>
      </c>
    </row>
    <row r="6" spans="1:19" x14ac:dyDescent="0.2">
      <c r="A6" s="7" t="s">
        <v>90</v>
      </c>
      <c r="B6" s="25">
        <v>800</v>
      </c>
      <c r="C6" s="25">
        <v>38.229999999999997</v>
      </c>
      <c r="D6" s="25">
        <v>38.090000000000003</v>
      </c>
      <c r="E6" s="25"/>
      <c r="F6" s="25">
        <v>39.229999999999997</v>
      </c>
      <c r="G6" s="25"/>
      <c r="H6" s="25"/>
      <c r="I6" s="25"/>
      <c r="J6" s="25">
        <f>((Tabela245[PREÇO VD] - 0.01) * 2) + ((Tabela245[EXERC. VD] - Tabela245[EXERC. CP 1] + 0.01) - Tabela245[PREÇO CP 1]) + (0.01 - Tabela245[PREÇO CP 2])</f>
        <v>1.1399999999999935</v>
      </c>
      <c r="K6" s="25">
        <f>(0.01 - Tabela245[PREÇO CP 1]) + ((Tabela245[PREÇO VD] - 0.01) * 2) + (0.01 - Tabela245[PREÇO CP 2])</f>
        <v>0</v>
      </c>
      <c r="L6" s="25">
        <f>((Tabela245[EXERC. CP 2] - Tabela245[EXERC. CP 1] + 0.01) - Tabela245[PREÇO CP 1]) + ((Tabela245[PREÇO VD] - (Tabela245[EXERC. CP 2] - Tabela245[EXERC. VD] + 0.01)) * 2) + (0.01 - Tabela245[PREÇO CP 2])</f>
        <v>40.36999999999999</v>
      </c>
      <c r="M6" s="25">
        <f>IF(Tabela245[PERDA 1] &gt; Tabela245[PERDA 2], Tabela245[PERDA 2], Tabela245[PERDA 1])</f>
        <v>0</v>
      </c>
      <c r="N6" s="28" t="e">
        <f>ROUNDDOWN(Tabela245[APLICAÇÃO]/ABS(Tabela245[PERDA MÁX]), 0)</f>
        <v>#DIV/0!</v>
      </c>
      <c r="O6" s="28" t="e">
        <f>Tabela245[QTDE TMP] - MOD(Tabela245[QTDE TMP], 100)</f>
        <v>#DIV/0!</v>
      </c>
      <c r="P6" s="44" t="e">
        <f>(Tabela245[QTDE]*Tabela245[LUCRO UNI.] - 90)</f>
        <v>#DIV/0!</v>
      </c>
      <c r="Q6" s="25" t="e">
        <f>Tabela245[QTDE]*Tabela245[PERDA MÁX] - 90</f>
        <v>#DIV/0!</v>
      </c>
      <c r="R6" s="27">
        <f>Tabela245[EXERC. VD] / Tabela245[PREÇO AÇÃO] - 1</f>
        <v>2.6157467957101721E-2</v>
      </c>
      <c r="S6" s="43" t="e">
        <f>Tabela245[LUCRO*]/ABS(Tabela245[PERDA*])</f>
        <v>#DIV/0!</v>
      </c>
    </row>
    <row r="7" spans="1:19" x14ac:dyDescent="0.2">
      <c r="A7" s="7" t="s">
        <v>15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9" spans="1:19" x14ac:dyDescent="0.2">
      <c r="E9" s="23">
        <f>-O5*I5</f>
        <v>-756</v>
      </c>
      <c r="F9" s="7">
        <f>0.01*O5</f>
        <v>9</v>
      </c>
    </row>
    <row r="10" spans="1:19" x14ac:dyDescent="0.2">
      <c r="E10" s="23">
        <f>O5*G5*2</f>
        <v>2754</v>
      </c>
      <c r="F10" s="7">
        <f>-0.01*O5*2</f>
        <v>-18</v>
      </c>
    </row>
    <row r="11" spans="1:19" x14ac:dyDescent="0.2">
      <c r="E11" s="23">
        <f>-O5*E5</f>
        <v>-2061</v>
      </c>
      <c r="F11" s="7">
        <f>(F5-D5+0.01)*O5</f>
        <v>909</v>
      </c>
    </row>
    <row r="12" spans="1:19" x14ac:dyDescent="0.2">
      <c r="F12" s="7">
        <v>-90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C7" sqref="C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47" t="s">
        <v>7</v>
      </c>
      <c r="B1" s="47"/>
      <c r="C1" s="47" t="s">
        <v>8</v>
      </c>
      <c r="D1" s="47"/>
      <c r="E1" s="46" t="s">
        <v>9</v>
      </c>
      <c r="F1" s="46" t="s">
        <v>4</v>
      </c>
      <c r="G1" s="46" t="s">
        <v>10</v>
      </c>
      <c r="H1" s="46" t="s">
        <v>11</v>
      </c>
      <c r="I1" s="46" t="s">
        <v>24</v>
      </c>
    </row>
    <row r="2" spans="1:9" x14ac:dyDescent="0.2">
      <c r="A2" s="3" t="s">
        <v>12</v>
      </c>
      <c r="B2" s="3" t="s">
        <v>13</v>
      </c>
      <c r="C2" s="3" t="s">
        <v>12</v>
      </c>
      <c r="D2" s="3" t="s">
        <v>13</v>
      </c>
      <c r="E2" s="46"/>
      <c r="F2" s="46"/>
      <c r="G2" s="46"/>
      <c r="H2" s="46"/>
      <c r="I2" s="46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 x14ac:dyDescent="0.2">
      <c r="A4" s="45" t="s">
        <v>27</v>
      </c>
      <c r="B4" s="45"/>
      <c r="C4" s="45"/>
      <c r="D4" s="45"/>
      <c r="E4" s="45"/>
      <c r="F4" s="45"/>
    </row>
    <row r="5" spans="1:9" x14ac:dyDescent="0.2">
      <c r="A5" s="45" t="s">
        <v>7</v>
      </c>
      <c r="B5" s="45"/>
      <c r="C5" s="45"/>
      <c r="D5" s="45" t="s">
        <v>8</v>
      </c>
      <c r="E5" s="45"/>
      <c r="F5" s="45"/>
    </row>
    <row r="6" spans="1:9" x14ac:dyDescent="0.2">
      <c r="A6" s="18" t="s">
        <v>12</v>
      </c>
      <c r="B6" s="18" t="s">
        <v>13</v>
      </c>
      <c r="C6" s="18" t="s">
        <v>28</v>
      </c>
      <c r="D6" s="18" t="s">
        <v>12</v>
      </c>
      <c r="E6" s="18" t="s">
        <v>13</v>
      </c>
      <c r="F6" s="18" t="s">
        <v>28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NOTAS</vt:lpstr>
      <vt:lpstr>VOLAT-TENDENCIA</vt:lpstr>
      <vt:lpstr>TRAVA BAIXA</vt:lpstr>
      <vt:lpstr>BORBOLETA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2012-05-13T20:01:11Z</dcterms:modified>
</cp:coreProperties>
</file>