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0" windowWidth="9270" windowHeight="930" activeTab="1"/>
  </bookViews>
  <sheets>
    <sheet name="Instaforex" sheetId="1" r:id="rId1"/>
    <sheet name="Pokerstars" sheetId="2" r:id="rId2"/>
    <sheet name="888" sheetId="3" r:id="rId3"/>
    <sheet name="Totais" sheetId="4" r:id="rId4"/>
    <sheet name="ROI Poker" sheetId="5" r:id="rId5"/>
    <sheet name="trades" sheetId="6" r:id="rId6"/>
  </sheets>
  <calcPr calcId="124519"/>
</workbook>
</file>

<file path=xl/calcChain.xml><?xml version="1.0" encoding="utf-8"?>
<calcChain xmlns="http://schemas.openxmlformats.org/spreadsheetml/2006/main">
  <c r="G9" i="2"/>
  <c r="K2" i="6"/>
  <c r="K3"/>
  <c r="K4"/>
  <c r="K5"/>
  <c r="K6"/>
  <c r="K7"/>
  <c r="K8"/>
  <c r="K9"/>
  <c r="K10"/>
  <c r="J2"/>
  <c r="J3"/>
  <c r="J4"/>
  <c r="J5"/>
  <c r="J6"/>
  <c r="J7"/>
  <c r="J8"/>
  <c r="J9"/>
  <c r="J10"/>
  <c r="O3"/>
  <c r="O4"/>
  <c r="O5"/>
  <c r="O6"/>
  <c r="O7"/>
  <c r="O8"/>
  <c r="O9"/>
  <c r="O10"/>
  <c r="N3"/>
  <c r="N4"/>
  <c r="N5"/>
  <c r="N6"/>
  <c r="N7"/>
  <c r="N8"/>
  <c r="N9"/>
  <c r="N10"/>
  <c r="L2"/>
  <c r="O2" s="1"/>
  <c r="L3"/>
  <c r="L4"/>
  <c r="L5"/>
  <c r="L6"/>
  <c r="L7"/>
  <c r="L8"/>
  <c r="L9"/>
  <c r="L10"/>
  <c r="N2"/>
  <c r="E10" i="2"/>
  <c r="B10"/>
  <c r="I2" i="6"/>
  <c r="I3"/>
  <c r="I4"/>
  <c r="I5"/>
  <c r="I6"/>
  <c r="I7"/>
  <c r="I8"/>
  <c r="I9"/>
  <c r="I10"/>
  <c r="H2"/>
  <c r="H3"/>
  <c r="H4"/>
  <c r="H5"/>
  <c r="H6"/>
  <c r="H7"/>
  <c r="H8"/>
  <c r="H9"/>
  <c r="H10"/>
  <c r="D8" i="5"/>
  <c r="E8"/>
  <c r="C8" i="4"/>
  <c r="D8" i="3"/>
  <c r="F8"/>
  <c r="G8"/>
  <c r="C10" i="1"/>
  <c r="E2"/>
  <c r="H2"/>
  <c r="G2"/>
  <c r="B3"/>
  <c r="E3" s="1"/>
  <c r="B9" i="5"/>
  <c r="C9"/>
  <c r="E2"/>
  <c r="E3"/>
  <c r="D2"/>
  <c r="D3"/>
  <c r="D4"/>
  <c r="D5"/>
  <c r="D6"/>
  <c r="D7"/>
  <c r="D9" s="1"/>
  <c r="E4"/>
  <c r="E5"/>
  <c r="E7"/>
  <c r="E6"/>
  <c r="A9"/>
  <c r="B2" i="4"/>
  <c r="C2"/>
  <c r="D2" s="1"/>
  <c r="B3" s="1"/>
  <c r="C3"/>
  <c r="C4"/>
  <c r="C5"/>
  <c r="C6"/>
  <c r="C7"/>
  <c r="C9" s="1"/>
  <c r="G2" i="3"/>
  <c r="G3"/>
  <c r="G4"/>
  <c r="G5"/>
  <c r="D2" i="2"/>
  <c r="F2"/>
  <c r="G2"/>
  <c r="D3"/>
  <c r="F3"/>
  <c r="G3"/>
  <c r="A9" i="4"/>
  <c r="E2"/>
  <c r="A9" i="3"/>
  <c r="D2"/>
  <c r="A10" i="2"/>
  <c r="A10" i="1"/>
  <c r="M10" i="6" l="1"/>
  <c r="M9"/>
  <c r="M8"/>
  <c r="M7"/>
  <c r="M6"/>
  <c r="M5"/>
  <c r="M4"/>
  <c r="M3"/>
  <c r="M2"/>
  <c r="H3" i="1"/>
  <c r="G3"/>
  <c r="B4" s="1"/>
  <c r="E9" i="5"/>
  <c r="D3" i="4"/>
  <c r="B4" s="1"/>
  <c r="F2" i="3"/>
  <c r="D3" s="1"/>
  <c r="E4" i="1" l="1"/>
  <c r="H4"/>
  <c r="G4"/>
  <c r="D4" i="4"/>
  <c r="B5" s="1"/>
  <c r="E3"/>
  <c r="F3" i="3"/>
  <c r="D4" s="1"/>
  <c r="D4" i="2"/>
  <c r="G4" s="1"/>
  <c r="B5" i="1" l="1"/>
  <c r="D5" i="4"/>
  <c r="B6" s="1"/>
  <c r="E4"/>
  <c r="F4" i="3"/>
  <c r="D5" s="1"/>
  <c r="F4" i="2"/>
  <c r="D5" s="1"/>
  <c r="G5" s="1"/>
  <c r="E5" i="1" l="1"/>
  <c r="H5"/>
  <c r="G5"/>
  <c r="D6" i="4"/>
  <c r="B7" s="1"/>
  <c r="E5"/>
  <c r="F5" i="3"/>
  <c r="D6" s="1"/>
  <c r="G6" s="1"/>
  <c r="F5" i="2"/>
  <c r="D6" s="1"/>
  <c r="G6" s="1"/>
  <c r="B6" i="1" l="1"/>
  <c r="D7" i="4"/>
  <c r="B8" s="1"/>
  <c r="E6"/>
  <c r="F6" i="3"/>
  <c r="D7" s="1"/>
  <c r="G7" s="1"/>
  <c r="F6" i="2"/>
  <c r="D8" i="4" l="1"/>
  <c r="E8"/>
  <c r="E6" i="1"/>
  <c r="H6"/>
  <c r="G6"/>
  <c r="D7" i="2"/>
  <c r="G7" s="1"/>
  <c r="E7" i="4"/>
  <c r="E9" s="1"/>
  <c r="D9" s="1"/>
  <c r="G9" i="3"/>
  <c r="F9" s="1"/>
  <c r="F7"/>
  <c r="F7" i="2"/>
  <c r="D8" s="1"/>
  <c r="F8" l="1"/>
  <c r="D9" s="1"/>
  <c r="F9" s="1"/>
  <c r="G8"/>
  <c r="G10" s="1"/>
  <c r="F10" s="1"/>
  <c r="B7" i="1"/>
  <c r="F10"/>
  <c r="D10" s="1"/>
  <c r="E10" s="1"/>
  <c r="G7" l="1"/>
  <c r="B8" s="1"/>
  <c r="E7"/>
  <c r="H7"/>
  <c r="E8" l="1"/>
  <c r="G8"/>
  <c r="B9" s="1"/>
  <c r="H8"/>
  <c r="E9" l="1"/>
  <c r="G9"/>
  <c r="H9"/>
  <c r="H10" s="1"/>
  <c r="G10" s="1"/>
</calcChain>
</file>

<file path=xl/sharedStrings.xml><?xml version="1.0" encoding="utf-8"?>
<sst xmlns="http://schemas.openxmlformats.org/spreadsheetml/2006/main" count="59" uniqueCount="37">
  <si>
    <t>Data</t>
  </si>
  <si>
    <t>Depósito</t>
  </si>
  <si>
    <t>Retirada</t>
  </si>
  <si>
    <t>Lucro</t>
  </si>
  <si>
    <t>%Rentabilidade</t>
  </si>
  <si>
    <t>Saldo</t>
  </si>
  <si>
    <t>Capital</t>
  </si>
  <si>
    <t>Buy-In</t>
  </si>
  <si>
    <t>Prize</t>
  </si>
  <si>
    <t>Profit</t>
  </si>
  <si>
    <t>%ROI</t>
  </si>
  <si>
    <t>Saldo Anterior</t>
  </si>
  <si>
    <t>Saldo Final</t>
  </si>
  <si>
    <t>%ROI/Mês</t>
  </si>
  <si>
    <t>%Rent/Mês</t>
  </si>
  <si>
    <t>Forex</t>
  </si>
  <si>
    <t>Tick Value</t>
  </si>
  <si>
    <t>AUDUSD</t>
  </si>
  <si>
    <t>Point Value</t>
  </si>
  <si>
    <t>Point</t>
  </si>
  <si>
    <t>Patrimonio</t>
  </si>
  <si>
    <t>Risk</t>
  </si>
  <si>
    <t>Spread</t>
  </si>
  <si>
    <t>EURGBP</t>
  </si>
  <si>
    <t>EURJPY</t>
  </si>
  <si>
    <t>EURUSD</t>
  </si>
  <si>
    <t>A</t>
  </si>
  <si>
    <t>B</t>
  </si>
  <si>
    <t>C</t>
  </si>
  <si>
    <t>D</t>
  </si>
  <si>
    <t>Tick</t>
  </si>
  <si>
    <t>C Start</t>
  </si>
  <si>
    <t>A Start</t>
  </si>
  <si>
    <t>B Start</t>
  </si>
  <si>
    <t>B Vol</t>
  </si>
  <si>
    <t>A Vol</t>
  </si>
  <si>
    <t>C Vol</t>
  </si>
</sst>
</file>

<file path=xl/styles.xml><?xml version="1.0" encoding="utf-8"?>
<styleSheet xmlns="http://schemas.openxmlformats.org/spreadsheetml/2006/main">
  <numFmts count="4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_(* #,##0.00000_);_(* \(#,##0.000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0" fontId="2" fillId="0" borderId="0" xfId="0" applyFont="1"/>
    <xf numFmtId="17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 applyFont="1"/>
    <xf numFmtId="44" fontId="0" fillId="0" borderId="0" xfId="2" applyFont="1"/>
    <xf numFmtId="164" fontId="2" fillId="0" borderId="0" xfId="2" applyNumberFormat="1" applyFont="1"/>
    <xf numFmtId="164" fontId="0" fillId="0" borderId="0" xfId="2" applyNumberFormat="1" applyFont="1"/>
    <xf numFmtId="164" fontId="0" fillId="0" borderId="0" xfId="0" applyNumberFormat="1" applyBorder="1"/>
    <xf numFmtId="164" fontId="0" fillId="0" borderId="0" xfId="1" applyNumberFormat="1" applyFont="1" applyBorder="1"/>
    <xf numFmtId="10" fontId="0" fillId="0" borderId="0" xfId="1" applyNumberFormat="1" applyFont="1" applyBorder="1"/>
    <xf numFmtId="164" fontId="0" fillId="0" borderId="0" xfId="0" applyNumberFormat="1" applyFont="1"/>
    <xf numFmtId="164" fontId="0" fillId="0" borderId="0" xfId="2" applyNumberFormat="1" applyFont="1" applyBorder="1"/>
    <xf numFmtId="0" fontId="0" fillId="0" borderId="0" xfId="2" applyNumberFormat="1" applyFont="1"/>
    <xf numFmtId="0" fontId="0" fillId="0" borderId="0" xfId="0" applyNumberFormat="1"/>
    <xf numFmtId="0" fontId="0" fillId="0" borderId="0" xfId="1" applyNumberFormat="1" applyFont="1"/>
    <xf numFmtId="0" fontId="0" fillId="0" borderId="0" xfId="0" applyBorder="1"/>
    <xf numFmtId="44" fontId="0" fillId="0" borderId="0" xfId="2" applyFont="1" applyBorder="1"/>
    <xf numFmtId="0" fontId="0" fillId="0" borderId="0" xfId="1" applyNumberFormat="1" applyFont="1" applyBorder="1"/>
    <xf numFmtId="0" fontId="0" fillId="0" borderId="0" xfId="2" applyNumberFormat="1" applyFont="1" applyBorder="1"/>
    <xf numFmtId="0" fontId="0" fillId="0" borderId="0" xfId="0" applyNumberFormat="1" applyBorder="1"/>
    <xf numFmtId="165" fontId="2" fillId="0" borderId="0" xfId="3" applyNumberFormat="1" applyFont="1"/>
    <xf numFmtId="165" fontId="0" fillId="0" borderId="0" xfId="3" applyNumberFormat="1" applyFont="1"/>
    <xf numFmtId="165" fontId="0" fillId="0" borderId="0" xfId="3" applyNumberFormat="1" applyFont="1" applyBorder="1"/>
    <xf numFmtId="43" fontId="0" fillId="0" borderId="0" xfId="3" applyFont="1"/>
    <xf numFmtId="43" fontId="0" fillId="0" borderId="0" xfId="3" applyFont="1" applyBorder="1"/>
    <xf numFmtId="165" fontId="0" fillId="0" borderId="0" xfId="0" applyNumberFormat="1"/>
    <xf numFmtId="165" fontId="0" fillId="0" borderId="0" xfId="0" applyNumberFormat="1" applyBorder="1"/>
    <xf numFmtId="43" fontId="3" fillId="0" borderId="0" xfId="3" applyFont="1"/>
  </cellXfs>
  <cellStyles count="4">
    <cellStyle name="Moeda" xfId="2" builtinId="4"/>
    <cellStyle name="Normal" xfId="0" builtinId="0"/>
    <cellStyle name="Porcentagem" xfId="1" builtinId="5"/>
    <cellStyle name="Separador de milhares" xfId="3" builtinId="3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_(* #,##0.00000_);_(* \(#,##0.00000\);_(* &quot;-&quot;??_);_(@_)"/>
    </dxf>
    <dxf>
      <numFmt numFmtId="165" formatCode="_(* #,##0.00000_);_(* \(#,##0.00000\);_(* &quot;-&quot;??_);_(@_)"/>
    </dxf>
    <dxf>
      <numFmt numFmtId="165" formatCode="_(* #,##0.00000_);_(* \(#,##0.00000\);_(* &quot;-&quot;??_);_(@_)"/>
    </dxf>
    <dxf>
      <numFmt numFmtId="0" formatCode="General"/>
    </dxf>
    <dxf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10" totalsRowCount="1" headerRowDxfId="71">
  <autoFilter ref="A1:H9">
    <filterColumn colId="1"/>
  </autoFilter>
  <tableColumns count="8">
    <tableColumn id="1" name="Data" totalsRowFunction="count" dataDxfId="70"/>
    <tableColumn id="8" name="Saldo Anterior" dataDxfId="69" totalsRowDxfId="6" dataCellStyle="Moeda">
      <calculatedColumnFormula>G1</calculatedColumnFormula>
    </tableColumn>
    <tableColumn id="2" name="Depósito" totalsRowFunction="custom" dataDxfId="68" totalsRowDxfId="5">
      <totalsRowFormula>SUBTOTAL(109,[Depósito])-SUBTOTAL(109,[Retirada])</totalsRowFormula>
    </tableColumn>
    <tableColumn id="3" name="Retirada" totalsRowFunction="custom" dataDxfId="67" totalsRowDxfId="4" dataCellStyle="Porcentagem">
      <totalsRowFormula>Tabela1[[#Totals],[Lucro]]/Tabela1[[#Totals],[Depósito]]</totalsRowFormula>
    </tableColumn>
    <tableColumn id="4" name="Capital" totalsRowFunction="custom" dataDxfId="66" totalsRowDxfId="3" dataCellStyle="Porcentagem">
      <calculatedColumnFormula>Tabela1[[#This Row],[Saldo Anterior]]+Tabela1[[#This Row],[Depósito]]</calculatedColumnFormula>
      <totalsRowFormula>(1+Tabela1[[#Totals],[Retirada]])^(1/Tabela1[[#Totals],[Data]])-1</totalsRowFormula>
    </tableColumn>
    <tableColumn id="5" name="Lucro" totalsRowFunction="sum" dataDxfId="65" totalsRowDxfId="2"/>
    <tableColumn id="6" name="Saldo Final" totalsRowFunction="custom" dataDxfId="64" totalsRowDxfId="1" dataCellStyle="Porcentagem">
      <calculatedColumnFormula>Tabela1[[#This Row],[Saldo Anterior]]+Tabela1[[#This Row],[Depósito]]+Tabela1[[#This Row],[Lucro]]-Tabela1[[#This Row],[Retirada]]</calculatedColumnFormula>
      <totalsRowFormula>(1+Tabela1[[#Totals],[%Rentabilidade]])^(1/Tabela1[[#Totals],[Data]])-1</totalsRowFormula>
    </tableColumn>
    <tableColumn id="7" name="%Rentabilidade" totalsRowFunction="custom" dataDxfId="63" totalsRowDxfId="0" dataCellStyle="Porcentagem">
      <calculatedColumnFormula>IF(Tabela1[[#This Row],[Saldo Anterior]]=0,Tabela1[[#This Row],[Lucro]]/Tabela1[[#This Row],[Depósito]],Tabela1[[#This Row],[Lucro]]/Tabela1[[#This Row],[Saldo Anterior]])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G10" totalsRowCount="1" headerRowDxfId="62">
  <autoFilter ref="A1:G9"/>
  <tableColumns count="7">
    <tableColumn id="1" name="Data" totalsRowFunction="count" dataDxfId="61"/>
    <tableColumn id="2" name="Depósito" totalsRowFunction="custom" dataDxfId="60" totalsRowDxfId="16">
      <totalsRowFormula>SUBTOTAL(109,[Depósito])-SUBTOTAL(109,[Retirada])</totalsRowFormula>
    </tableColumn>
    <tableColumn id="3" name="Retirada" dataDxfId="59"/>
    <tableColumn id="4" name="Capital" dataDxfId="58">
      <calculatedColumnFormula>B2+F1</calculatedColumnFormula>
    </tableColumn>
    <tableColumn id="5" name="Lucro" totalsRowFunction="sum" dataDxfId="57" totalsRowDxfId="15"/>
    <tableColumn id="6" name="Saldo" totalsRowFunction="custom" dataDxfId="56" totalsRowDxfId="14" dataCellStyle="Porcentagem">
      <calculatedColumnFormula>D2+E2-C2</calculatedColumnFormula>
      <totalsRowFormula>(1+Tabela13[[#Totals],[%Rentabilidade]])^(1/Tabela13[[#Totals],[Data]])-1</totalsRowFormula>
    </tableColumn>
    <tableColumn id="7" name="%Rentabilidade" totalsRowFunction="custom" dataDxfId="55" totalsRowDxfId="13" dataCellStyle="Porcentagem">
      <calculatedColumnFormula>IF(Tabela13[[#This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a14" displayName="Tabela14" ref="A1:G9" totalsRowCount="1" headerRowDxfId="54">
  <autoFilter ref="A1:G8"/>
  <tableColumns count="7">
    <tableColumn id="1" name="Data" totalsRowFunction="count" dataDxfId="53"/>
    <tableColumn id="2" name="Depósito" dataDxfId="52"/>
    <tableColumn id="3" name="Retirada" dataDxfId="51"/>
    <tableColumn id="4" name="Capital" dataDxfId="50">
      <calculatedColumnFormula>B2+F1</calculatedColumnFormula>
    </tableColumn>
    <tableColumn id="5" name="Lucro" dataDxfId="49"/>
    <tableColumn id="6" name="Saldo" totalsRowFunction="custom" dataDxfId="48" totalsRowDxfId="8" dataCellStyle="Porcentagem">
      <calculatedColumnFormula>D2+E2-C2</calculatedColumnFormula>
      <totalsRowFormula>(1+Tabela14[[#Totals],[%Rentabilidade]])^(1/Tabela14[[#Totals],[Data]])-1</totalsRowFormula>
    </tableColumn>
    <tableColumn id="7" name="%Rentabilidade" totalsRowFunction="custom" dataDxfId="47" totalsRowDxfId="7" dataCellStyle="Porcentagem">
      <calculatedColumnFormula>IF(Tabela14[[#This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a15" displayName="Tabela15" ref="A1:E9" totalsRowCount="1" headerRowDxfId="46">
  <autoFilter ref="A1:E8"/>
  <tableColumns count="5">
    <tableColumn id="1" name="Data" totalsRowFunction="count" dataDxfId="45"/>
    <tableColumn id="4" name="Capital" dataDxfId="44">
      <calculatedColumnFormula>Tabela1[[#This Row],[Depósito]]+Tabela13[[#This Row],[Depósito]]+Tabela14[[#This Row],[Depósito]]-(Tabela1[[#This Row],[Retirada]]+Tabela13[[#This Row],[Retirada]]+Tabela14[[#This Row],[Retirada]])+D1</calculatedColumnFormula>
    </tableColumn>
    <tableColumn id="5" name="Lucro" totalsRowFunction="sum" dataDxfId="43" totalsRowDxfId="42">
      <calculatedColumnFormula>Tabela1[[#This Row],[Lucro]]+Tabela13[[#This Row],[Lucro]]+Tabela14[[#This Row],[Lucro]]</calculatedColumnFormula>
    </tableColumn>
    <tableColumn id="6" name="Saldo" totalsRowFunction="custom" dataDxfId="41" totalsRowDxfId="40" dataCellStyle="Porcentagem">
      <calculatedColumnFormula>B2+C2</calculatedColumnFormula>
      <totalsRowFormula>(1+Tabela15[[#Totals],[%Rentabilidade]])^(1/Tabela15[[#Totals],[Data]])-1</totalsRowFormula>
    </tableColumn>
    <tableColumn id="7" name="%Rentabilidade" totalsRowFunction="custom" dataDxfId="39" totalsRowDxfId="38" dataCellStyle="Porcentagem">
      <calculatedColumnFormula>C2/B2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ela16" displayName="Tabela16" ref="A1:E9" totalsRowCount="1" headerRowDxfId="37">
  <autoFilter ref="A1:E8">
    <filterColumn colId="1"/>
  </autoFilter>
  <tableColumns count="5">
    <tableColumn id="1" name="Data" totalsRowFunction="count" dataDxfId="36"/>
    <tableColumn id="5" name="Prize" totalsRowFunction="sum" dataDxfId="35" totalsRowDxfId="12"/>
    <tableColumn id="2" name="Buy-In" totalsRowFunction="sum" dataDxfId="34" totalsRowDxfId="11"/>
    <tableColumn id="4" name="Profit" totalsRowFunction="sum" dataDxfId="33" totalsRowDxfId="10">
      <calculatedColumnFormula>Tabela16[[#This Row],[Prize]]-Tabela16[[#This Row],[Buy-In]]</calculatedColumnFormula>
    </tableColumn>
    <tableColumn id="7" name="%ROI" totalsRowFunction="average" dataDxfId="32" totalsRowDxfId="9" dataCellStyle="Porcentagem">
      <calculatedColumnFormula>IF(Tabela16[[#This Row],[Buy-In]]&lt;&gt;0,Tabela16[[#This Row],[Profit]]/Tabela16[[#This Row],[Buy-In]],"")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O10" totalsRowShown="0" headerRowDxfId="31">
  <autoFilter ref="A1:O10">
    <filterColumn colId="0"/>
    <filterColumn colId="1"/>
    <filterColumn colId="2"/>
    <filterColumn colId="3"/>
    <filterColumn colId="4"/>
    <filterColumn colId="5"/>
    <filterColumn colId="7"/>
    <filterColumn colId="8"/>
    <filterColumn colId="9"/>
    <filterColumn colId="10"/>
    <filterColumn colId="11"/>
    <filterColumn colId="12"/>
    <filterColumn colId="13"/>
    <filterColumn colId="14"/>
  </autoFilter>
  <tableColumns count="15">
    <tableColumn id="9" name="Patrimonio" dataCellStyle="Moeda"/>
    <tableColumn id="8" name="Risk" dataDxfId="30" dataCellStyle="Porcentagem"/>
    <tableColumn id="14" name="A" dataDxfId="29" dataCellStyle="Porcentagem"/>
    <tableColumn id="13" name="B" dataDxfId="28" dataCellStyle="Moeda"/>
    <tableColumn id="5" name="C" dataDxfId="27" dataCellStyle="Separador de milhares"/>
    <tableColumn id="4" name="D" dataDxfId="26" dataCellStyle="Separador de milhares"/>
    <tableColumn id="1" name="Forex"/>
    <tableColumn id="2" name="Tick" dataDxfId="25" dataCellStyle="Separador de milhares">
      <calculatedColumnFormula>SUMPRODUCT(N(Tabela7[Forex]=Tabela6[[#This Row],[Forex]]),Tabela7[Tick Value])</calculatedColumnFormula>
    </tableColumn>
    <tableColumn id="3" name="Point" dataDxfId="24">
      <calculatedColumnFormula>SUMPRODUCT(N(Tabela7[Forex]=Tabela6[[#This Row],[Forex]]),Tabela7[Point Value])</calculatedColumnFormula>
    </tableColumn>
    <tableColumn id="19" name="A Start" dataDxfId="23">
      <calculatedColumnFormula>IF([C]&lt;[D],[D]-(ABS([A]-[D])/16),[D]+(ABS([A]-[D])/16))</calculatedColumnFormula>
    </tableColumn>
    <tableColumn id="18" name="B Start" dataDxfId="22">
      <calculatedColumnFormula>IF([C]&lt;[D],[D]-(ABS([B]-[D])/4.5),[D]+(ABS([B]-[D])/4.5))</calculatedColumnFormula>
    </tableColumn>
    <tableColumn id="7" name="C Start" dataDxfId="21" dataCellStyle="Separador de milhares">
      <calculatedColumnFormula>IF([C]&lt;[D],[D]-(ABS([C]-[D])/7),[D]+(ABS([C]-[D])/7))</calculatedColumnFormula>
    </tableColumn>
    <tableColumn id="20" name="A Vol" dataDxfId="20" dataCellStyle="Separador de milhares">
      <calculatedColumnFormula>ROUNDDOWN(([Patrimonio]*[Risk])/((ABS([D]-[A Start])/[Point])*[Tick]),2)</calculatedColumnFormula>
    </tableColumn>
    <tableColumn id="21" name="B Vol" dataDxfId="19" dataCellStyle="Separador de milhares">
      <calculatedColumnFormula>ROUNDDOWN(([Patrimonio]*[Risk])/((ABS([D]-[B Start])/[Point])*[Tick]),2)</calculatedColumnFormula>
    </tableColumn>
    <tableColumn id="22" name="C Vol" dataDxfId="18" dataCellStyle="Separador de milhares">
      <calculatedColumnFormula>ROUNDDOWN(([Patrimonio]*[Risk])/((ABS([D]-[C Start])/[Point])*[Tick]),2)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ela7" displayName="Tabela7" ref="Q1:T10" totalsRowShown="0" headerRowDxfId="17">
  <autoFilter ref="Q1:T10">
    <filterColumn colId="3"/>
  </autoFilter>
  <tableColumns count="4">
    <tableColumn id="1" name="Forex"/>
    <tableColumn id="2" name="Tick Value"/>
    <tableColumn id="3" name="Point Value"/>
    <tableColumn id="4" name="Sprea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15" sqref="G15"/>
    </sheetView>
  </sheetViews>
  <sheetFormatPr defaultRowHeight="15"/>
  <cols>
    <col min="2" max="2" width="17.42578125" style="9" bestFit="1" customWidth="1"/>
    <col min="3" max="3" width="11.140625" bestFit="1" customWidth="1"/>
    <col min="4" max="4" width="10.5703125" bestFit="1" customWidth="1"/>
    <col min="5" max="5" width="10.28515625" bestFit="1" customWidth="1"/>
    <col min="6" max="6" width="8.7109375" bestFit="1" customWidth="1"/>
    <col min="7" max="7" width="12.7109375" bestFit="1" customWidth="1"/>
    <col min="8" max="8" width="17.28515625" bestFit="1" customWidth="1"/>
  </cols>
  <sheetData>
    <row r="1" spans="1:8">
      <c r="A1" s="2" t="s">
        <v>0</v>
      </c>
      <c r="B1" s="8" t="s">
        <v>11</v>
      </c>
      <c r="C1" s="2" t="s">
        <v>1</v>
      </c>
      <c r="D1" s="2" t="s">
        <v>2</v>
      </c>
      <c r="E1" s="2" t="s">
        <v>6</v>
      </c>
      <c r="F1" s="2" t="s">
        <v>3</v>
      </c>
      <c r="G1" s="2" t="s">
        <v>12</v>
      </c>
      <c r="H1" s="2" t="s">
        <v>4</v>
      </c>
    </row>
    <row r="2" spans="1:8">
      <c r="A2" s="3">
        <v>42064</v>
      </c>
      <c r="B2" s="9">
        <v>0</v>
      </c>
      <c r="C2" s="4">
        <v>100</v>
      </c>
      <c r="D2" s="4">
        <v>0</v>
      </c>
      <c r="E2" s="4">
        <f>Tabela1[[#This Row],[Saldo Anterior]]+Tabela1[[#This Row],[Depósito]]</f>
        <v>100</v>
      </c>
      <c r="F2" s="4">
        <v>1.1499999999999999</v>
      </c>
      <c r="G2" s="4">
        <f>Tabela1[[#This Row],[Saldo Anterior]]+Tabela1[[#This Row],[Depósito]]+Tabela1[[#This Row],[Lucro]]-Tabela1[[#This Row],[Retirada]]</f>
        <v>101.15</v>
      </c>
      <c r="H2" s="5">
        <f>IF(Tabela1[[#This Row],[Saldo Anterior]]=0,Tabela1[[#This Row],[Lucro]]/Tabela1[[#This Row],[Depósito]],Tabela1[[#This Row],[Lucro]]/Tabela1[[#This Row],[Saldo Anterior]])</f>
        <v>1.15E-2</v>
      </c>
    </row>
    <row r="3" spans="1:8">
      <c r="A3" s="3">
        <v>42095</v>
      </c>
      <c r="B3" s="9">
        <f t="shared" ref="B3:B7" si="0">G2</f>
        <v>101.15</v>
      </c>
      <c r="C3" s="4">
        <v>100</v>
      </c>
      <c r="D3" s="4">
        <v>0</v>
      </c>
      <c r="E3" s="4">
        <f>Tabela1[[#This Row],[Saldo Anterior]]+Tabela1[[#This Row],[Depósito]]</f>
        <v>201.15</v>
      </c>
      <c r="F3" s="4">
        <v>16.37</v>
      </c>
      <c r="G3" s="4">
        <f>Tabela1[[#This Row],[Saldo Anterior]]+Tabela1[[#This Row],[Depósito]]+Tabela1[[#This Row],[Lucro]]-Tabela1[[#This Row],[Retirada]]</f>
        <v>217.52</v>
      </c>
      <c r="H3" s="5">
        <f>IF(Tabela1[[#This Row],[Saldo Anterior]]=0,Tabela1[[#This Row],[Lucro]]/Tabela1[[#This Row],[Depósito]],Tabela1[[#This Row],[Lucro]]/Tabela1[[#This Row],[Saldo Anterior]])</f>
        <v>0.16183885318833416</v>
      </c>
    </row>
    <row r="4" spans="1:8">
      <c r="A4" s="3">
        <v>42125</v>
      </c>
      <c r="B4" s="9">
        <f t="shared" si="0"/>
        <v>217.52</v>
      </c>
      <c r="C4" s="4">
        <v>0</v>
      </c>
      <c r="D4" s="4">
        <v>0</v>
      </c>
      <c r="E4" s="4">
        <f>Tabela1[[#This Row],[Saldo Anterior]]+Tabela1[[#This Row],[Depósito]]</f>
        <v>217.52</v>
      </c>
      <c r="F4" s="4">
        <v>14.64</v>
      </c>
      <c r="G4" s="4">
        <f>Tabela1[[#This Row],[Saldo Anterior]]+Tabela1[[#This Row],[Depósito]]+Tabela1[[#This Row],[Lucro]]-Tabela1[[#This Row],[Retirada]]</f>
        <v>232.16000000000003</v>
      </c>
      <c r="H4" s="5">
        <f>IF(Tabela1[[#This Row],[Saldo Anterior]]=0,Tabela1[[#This Row],[Lucro]]/Tabela1[[#This Row],[Depósito]],Tabela1[[#This Row],[Lucro]]/Tabela1[[#This Row],[Saldo Anterior]])</f>
        <v>6.730415593968371E-2</v>
      </c>
    </row>
    <row r="5" spans="1:8">
      <c r="A5" s="3">
        <v>42156</v>
      </c>
      <c r="B5" s="9">
        <f t="shared" si="0"/>
        <v>232.16000000000003</v>
      </c>
      <c r="C5" s="4">
        <v>0</v>
      </c>
      <c r="D5" s="4">
        <v>206.77</v>
      </c>
      <c r="E5" s="4">
        <f>Tabela1[[#This Row],[Saldo Anterior]]+Tabela1[[#This Row],[Depósito]]</f>
        <v>232.16000000000003</v>
      </c>
      <c r="F5" s="4">
        <v>-25.39</v>
      </c>
      <c r="G5" s="4">
        <f>Tabela1[[#This Row],[Saldo Anterior]]+Tabela1[[#This Row],[Depósito]]+Tabela1[[#This Row],[Lucro]]-Tabela1[[#This Row],[Retirada]]</f>
        <v>0</v>
      </c>
      <c r="H5" s="5">
        <f>IF(Tabela1[[#This Row],[Saldo Anterior]]=0,Tabela1[[#This Row],[Lucro]]/Tabela1[[#This Row],[Depósito]],Tabela1[[#This Row],[Lucro]]/Tabela1[[#This Row],[Saldo Anterior]])</f>
        <v>-0.10936423156443831</v>
      </c>
    </row>
    <row r="6" spans="1:8">
      <c r="A6" s="3">
        <v>42186</v>
      </c>
      <c r="B6" s="9">
        <f t="shared" si="0"/>
        <v>0</v>
      </c>
      <c r="C6" s="4">
        <v>275</v>
      </c>
      <c r="D6" s="4">
        <v>0</v>
      </c>
      <c r="E6" s="4">
        <f>Tabela1[[#This Row],[Saldo Anterior]]+Tabela1[[#This Row],[Depósito]]</f>
        <v>275</v>
      </c>
      <c r="F6" s="4">
        <v>0.55000000000000004</v>
      </c>
      <c r="G6" s="4">
        <f>Tabela1[[#This Row],[Saldo Anterior]]+Tabela1[[#This Row],[Depósito]]+Tabela1[[#This Row],[Lucro]]-Tabela1[[#This Row],[Retirada]]</f>
        <v>275.55</v>
      </c>
      <c r="H6" s="5">
        <f>IF(Tabela1[[#This Row],[Saldo Anterior]]=0,Tabela1[[#This Row],[Lucro]]/Tabela1[[#This Row],[Depósito]],Tabela1[[#This Row],[Lucro]]/Tabela1[[#This Row],[Saldo Anterior]])</f>
        <v>2E-3</v>
      </c>
    </row>
    <row r="7" spans="1:8">
      <c r="A7" s="3">
        <v>42217</v>
      </c>
      <c r="B7" s="9">
        <f t="shared" si="0"/>
        <v>275.55</v>
      </c>
      <c r="C7" s="4">
        <v>100</v>
      </c>
      <c r="D7" s="4">
        <v>0</v>
      </c>
      <c r="E7" s="4">
        <f>Tabela1[[#This Row],[Saldo Anterior]]+Tabela1[[#This Row],[Depósito]]</f>
        <v>375.55</v>
      </c>
      <c r="F7" s="4">
        <v>15.18</v>
      </c>
      <c r="G7" s="4">
        <f>Tabela1[[#This Row],[Saldo Anterior]]+Tabela1[[#This Row],[Depósito]]+Tabela1[[#This Row],[Lucro]]-Tabela1[[#This Row],[Retirada]]</f>
        <v>390.73</v>
      </c>
      <c r="H7" s="5">
        <f>IF(Tabela1[[#This Row],[Saldo Anterior]]=0,Tabela1[[#This Row],[Lucro]]/Tabela1[[#This Row],[Depósito]],Tabela1[[#This Row],[Lucro]]/Tabela1[[#This Row],[Saldo Anterior]])</f>
        <v>5.5089820359281436E-2</v>
      </c>
    </row>
    <row r="8" spans="1:8">
      <c r="A8" s="3">
        <v>42248</v>
      </c>
      <c r="B8" s="14">
        <f>G7</f>
        <v>390.73</v>
      </c>
      <c r="C8" s="10">
        <v>0</v>
      </c>
      <c r="D8" s="11">
        <v>98</v>
      </c>
      <c r="E8" s="11">
        <f>Tabela1[[#This Row],[Saldo Anterior]]+Tabela1[[#This Row],[Depósito]]</f>
        <v>390.73</v>
      </c>
      <c r="F8" s="10">
        <v>12.26</v>
      </c>
      <c r="G8" s="11">
        <f>Tabela1[[#This Row],[Saldo Anterior]]+Tabela1[[#This Row],[Depósito]]+Tabela1[[#This Row],[Lucro]]-Tabela1[[#This Row],[Retirada]]</f>
        <v>304.99</v>
      </c>
      <c r="H8" s="12">
        <f>IF(Tabela1[[#This Row],[Saldo Anterior]]=0,Tabela1[[#This Row],[Lucro]]/Tabela1[[#This Row],[Depósito]],Tabela1[[#This Row],[Lucro]]/Tabela1[[#This Row],[Saldo Anterior]])</f>
        <v>3.1377165817828165E-2</v>
      </c>
    </row>
    <row r="9" spans="1:8">
      <c r="A9" s="3">
        <v>42278</v>
      </c>
      <c r="B9" s="14">
        <f>G8</f>
        <v>304.99</v>
      </c>
      <c r="C9" s="10"/>
      <c r="D9" s="11"/>
      <c r="E9" s="11">
        <f>Tabela1[[#This Row],[Saldo Anterior]]+Tabela1[[#This Row],[Depósito]]</f>
        <v>304.99</v>
      </c>
      <c r="F9" s="10">
        <v>-0.28999999999999998</v>
      </c>
      <c r="G9" s="11">
        <f>Tabela1[[#This Row],[Saldo Anterior]]+Tabela1[[#This Row],[Depósito]]+Tabela1[[#This Row],[Lucro]]-Tabela1[[#This Row],[Retirada]]</f>
        <v>304.7</v>
      </c>
      <c r="H9" s="12">
        <f>IF(Tabela1[[#This Row],[Saldo Anterior]]=0,Tabela1[[#This Row],[Lucro]]/Tabela1[[#This Row],[Depósito]],Tabela1[[#This Row],[Lucro]]/Tabela1[[#This Row],[Saldo Anterior]])</f>
        <v>-9.508508475687727E-4</v>
      </c>
    </row>
    <row r="10" spans="1:8">
      <c r="A10">
        <f>SUBTOTAL(103,[Data])</f>
        <v>8</v>
      </c>
      <c r="B10" s="13"/>
      <c r="C10" s="4">
        <f>SUBTOTAL(109,[Depósito])-SUBTOTAL(109,[Retirada])</f>
        <v>270.23</v>
      </c>
      <c r="D10" s="6">
        <f>Tabela1[[#Totals],[Lucro]]/Tabela1[[#Totals],[Depósito]]</f>
        <v>0.12755800614291529</v>
      </c>
      <c r="E10" s="6">
        <f>(1+Tabela1[[#Totals],[Retirada]])^(1/Tabela1[[#Totals],[Data]])-1</f>
        <v>1.5119946821561037E-2</v>
      </c>
      <c r="F10" s="4">
        <f>SUBTOTAL(109,[Lucro])</f>
        <v>34.47</v>
      </c>
      <c r="G10" s="6">
        <f>(1+Tabela1[[#Totals],[%Rentabilidade]])^(1/Tabela1[[#Totals],[Data]])-1</f>
        <v>2.4843862518347581E-2</v>
      </c>
      <c r="H10" s="6">
        <f>SUMPRODUCT(PRODUCT([%Rentabilidade]+1)-1)</f>
        <v>0.21691890168618522</v>
      </c>
    </row>
    <row r="11" spans="1:8">
      <c r="D11" s="4"/>
    </row>
    <row r="12" spans="1:8">
      <c r="D12" t="s">
        <v>10</v>
      </c>
      <c r="E12" t="s">
        <v>13</v>
      </c>
      <c r="G12" t="s">
        <v>14</v>
      </c>
    </row>
    <row r="13" spans="1:8">
      <c r="G13" s="5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F13" sqref="F13"/>
    </sheetView>
  </sheetViews>
  <sheetFormatPr defaultRowHeight="15"/>
  <cols>
    <col min="2" max="2" width="11" customWidth="1"/>
    <col min="3" max="3" width="10.42578125" customWidth="1"/>
    <col min="4" max="6" width="9.7109375" bestFit="1" customWidth="1"/>
    <col min="7" max="7" width="17.2851562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5</v>
      </c>
      <c r="G1" s="2" t="s">
        <v>4</v>
      </c>
    </row>
    <row r="2" spans="1:7">
      <c r="A2" s="3">
        <v>42064</v>
      </c>
      <c r="B2" s="4">
        <v>0</v>
      </c>
      <c r="C2" s="4">
        <v>0</v>
      </c>
      <c r="D2" s="4">
        <f>B2</f>
        <v>0</v>
      </c>
      <c r="E2" s="4">
        <v>0</v>
      </c>
      <c r="F2" s="4">
        <f>D2+E2-C2</f>
        <v>0</v>
      </c>
      <c r="G2" s="5">
        <f>IF(Tabela13[[#This Row],[Lucro]]&lt;&gt;0,E2/D2,0)</f>
        <v>0</v>
      </c>
    </row>
    <row r="3" spans="1:7">
      <c r="A3" s="3">
        <v>42095</v>
      </c>
      <c r="B3" s="4">
        <v>0</v>
      </c>
      <c r="C3" s="4">
        <v>0</v>
      </c>
      <c r="D3" s="4">
        <f>B3+F2</f>
        <v>0</v>
      </c>
      <c r="E3" s="4">
        <v>0</v>
      </c>
      <c r="F3" s="4">
        <f t="shared" ref="F3:F7" si="0">D3+E3-C3</f>
        <v>0</v>
      </c>
      <c r="G3" s="5">
        <f>IF(Tabela13[[#This Row],[Lucro]]&lt;&gt;0,E3/D3,0)</f>
        <v>0</v>
      </c>
    </row>
    <row r="4" spans="1:7">
      <c r="A4" s="3">
        <v>42125</v>
      </c>
      <c r="B4" s="4">
        <v>64.06</v>
      </c>
      <c r="C4" s="4">
        <v>0</v>
      </c>
      <c r="D4" s="4">
        <f>B4+F3</f>
        <v>64.06</v>
      </c>
      <c r="E4" s="4">
        <v>-7.48</v>
      </c>
      <c r="F4" s="4">
        <f t="shared" si="0"/>
        <v>56.58</v>
      </c>
      <c r="G4" s="5">
        <f>IF(Tabela13[[#This Row],[Lucro]]&lt;&gt;0,E4/D4,0)</f>
        <v>-0.11676553231345614</v>
      </c>
    </row>
    <row r="5" spans="1:7">
      <c r="A5" s="3">
        <v>42156</v>
      </c>
      <c r="B5" s="4">
        <v>296.33</v>
      </c>
      <c r="C5" s="4">
        <v>0</v>
      </c>
      <c r="D5" s="4">
        <f t="shared" ref="D5:D7" si="1">B5+F4</f>
        <v>352.90999999999997</v>
      </c>
      <c r="E5" s="4">
        <v>-88.09</v>
      </c>
      <c r="F5" s="4">
        <f t="shared" si="0"/>
        <v>264.81999999999994</v>
      </c>
      <c r="G5" s="5">
        <f>IF(Tabela13[[#This Row],[Lucro]]&lt;&gt;0,E5/D5,0)</f>
        <v>-0.24961038225043217</v>
      </c>
    </row>
    <row r="6" spans="1:7">
      <c r="A6" s="3">
        <v>42186</v>
      </c>
      <c r="B6" s="4">
        <v>0</v>
      </c>
      <c r="C6" s="4">
        <v>150</v>
      </c>
      <c r="D6" s="4">
        <f t="shared" si="1"/>
        <v>264.81999999999994</v>
      </c>
      <c r="E6" s="4">
        <v>-74.66</v>
      </c>
      <c r="F6" s="4">
        <f t="shared" si="0"/>
        <v>40.15999999999994</v>
      </c>
      <c r="G6" s="5">
        <f>IF(Tabela13[[#This Row],[Lucro]]&lt;&gt;0,E6/D6,0)</f>
        <v>-0.28192734687712412</v>
      </c>
    </row>
    <row r="7" spans="1:7">
      <c r="A7" s="3">
        <v>42217</v>
      </c>
      <c r="B7" s="4">
        <v>0</v>
      </c>
      <c r="C7" s="4">
        <v>0</v>
      </c>
      <c r="D7" s="4">
        <f t="shared" si="1"/>
        <v>40.15999999999994</v>
      </c>
      <c r="E7" s="4">
        <v>6.52</v>
      </c>
      <c r="F7" s="4">
        <f t="shared" si="0"/>
        <v>46.679999999999936</v>
      </c>
      <c r="G7" s="5">
        <f>IF(Tabela13[[#This Row],[Lucro]]&lt;&gt;0,E7/D7,0)</f>
        <v>0.162350597609562</v>
      </c>
    </row>
    <row r="8" spans="1:7">
      <c r="A8" s="3">
        <v>42248</v>
      </c>
      <c r="B8" s="10">
        <v>0</v>
      </c>
      <c r="C8" s="10">
        <v>10</v>
      </c>
      <c r="D8" s="10">
        <f>B8+F7</f>
        <v>46.679999999999936</v>
      </c>
      <c r="E8" s="10">
        <v>-12.46</v>
      </c>
      <c r="F8" s="11">
        <f>D8+E8-C8</f>
        <v>24.219999999999935</v>
      </c>
      <c r="G8" s="12">
        <f>IF(Tabela13[[#This Row],[Lucro]]&lt;&gt;0,E8/D8,0)</f>
        <v>-0.26692373607540743</v>
      </c>
    </row>
    <row r="9" spans="1:7">
      <c r="A9" s="3">
        <v>42278</v>
      </c>
      <c r="B9" s="10"/>
      <c r="C9" s="10"/>
      <c r="D9" s="10">
        <f>B9+F8</f>
        <v>24.219999999999935</v>
      </c>
      <c r="E9" s="10"/>
      <c r="F9" s="11">
        <f>D9+E9-C9</f>
        <v>24.219999999999935</v>
      </c>
      <c r="G9" s="12">
        <f>IF(Tabela13[[#This Row],[Lucro]]&lt;&gt;0,E9/D9,0)</f>
        <v>0</v>
      </c>
    </row>
    <row r="10" spans="1:7">
      <c r="A10">
        <f>SUBTOTAL(103,[Data])</f>
        <v>8</v>
      </c>
      <c r="B10" s="4">
        <f>SUBTOTAL(109,[Depósito])-SUBTOTAL(109,[Retirada])</f>
        <v>200.39</v>
      </c>
      <c r="E10" s="4">
        <f>SUBTOTAL(109,[Lucro])</f>
        <v>-176.17000000000002</v>
      </c>
      <c r="F10" s="6">
        <f>(1+Tabela13[[#Totals],[%Rentabilidade]])^(1/Tabela13[[#Totals],[Data]])-1</f>
        <v>-0.10669001317392468</v>
      </c>
      <c r="G10" s="6">
        <f>SUMPRODUCT(PRODUCT([%Rentabilidade]+1)-1)</f>
        <v>-0.5944751111333586</v>
      </c>
    </row>
    <row r="11" spans="1:7">
      <c r="C11" s="4"/>
    </row>
    <row r="12" spans="1:7">
      <c r="E12" s="4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B9" sqref="B9"/>
    </sheetView>
  </sheetViews>
  <sheetFormatPr defaultRowHeight="15"/>
  <cols>
    <col min="2" max="2" width="11" customWidth="1"/>
    <col min="3" max="3" width="10.42578125" customWidth="1"/>
    <col min="7" max="7" width="17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5</v>
      </c>
      <c r="G1" s="2" t="s">
        <v>4</v>
      </c>
    </row>
    <row r="2" spans="1:7">
      <c r="A2" s="3">
        <v>42064</v>
      </c>
      <c r="B2" s="4">
        <v>0</v>
      </c>
      <c r="C2" s="4">
        <v>0</v>
      </c>
      <c r="D2" s="4">
        <f>B2</f>
        <v>0</v>
      </c>
      <c r="E2" s="4">
        <v>0</v>
      </c>
      <c r="F2" s="4">
        <f>D2+E2-C2</f>
        <v>0</v>
      </c>
      <c r="G2" s="5">
        <f>IF(Tabela14[[#This Row],[Lucro]]&lt;&gt;0,E2/D2,0)</f>
        <v>0</v>
      </c>
    </row>
    <row r="3" spans="1:7">
      <c r="A3" s="3">
        <v>42095</v>
      </c>
      <c r="B3" s="4">
        <v>0</v>
      </c>
      <c r="C3" s="4">
        <v>0</v>
      </c>
      <c r="D3" s="4">
        <f>B3+F2</f>
        <v>0</v>
      </c>
      <c r="E3" s="4">
        <v>0</v>
      </c>
      <c r="F3" s="4">
        <f t="shared" ref="F3:F7" si="0">D3+E3-C3</f>
        <v>0</v>
      </c>
      <c r="G3" s="5">
        <f>IF(Tabela14[[#This Row],[Lucro]]&lt;&gt;0,E3/D3,0)</f>
        <v>0</v>
      </c>
    </row>
    <row r="4" spans="1:7">
      <c r="A4" s="3">
        <v>42125</v>
      </c>
      <c r="B4" s="4">
        <v>0</v>
      </c>
      <c r="C4" s="4">
        <v>0</v>
      </c>
      <c r="D4" s="4">
        <f t="shared" ref="D4:D7" si="1">B4+F3</f>
        <v>0</v>
      </c>
      <c r="E4" s="4">
        <v>0</v>
      </c>
      <c r="F4" s="4">
        <f t="shared" si="0"/>
        <v>0</v>
      </c>
      <c r="G4" s="5">
        <f>IF(Tabela14[[#This Row],[Lucro]]&lt;&gt;0,E4/D4,0)</f>
        <v>0</v>
      </c>
    </row>
    <row r="5" spans="1:7">
      <c r="A5" s="3">
        <v>42156</v>
      </c>
      <c r="B5" s="4">
        <v>0</v>
      </c>
      <c r="C5" s="4">
        <v>0</v>
      </c>
      <c r="D5" s="4">
        <f t="shared" si="1"/>
        <v>0</v>
      </c>
      <c r="E5" s="4">
        <v>0</v>
      </c>
      <c r="F5" s="4">
        <f t="shared" si="0"/>
        <v>0</v>
      </c>
      <c r="G5" s="5">
        <f>IF(Tabela14[[#This Row],[Lucro]]&lt;&gt;0,E5/D5,0)</f>
        <v>0</v>
      </c>
    </row>
    <row r="6" spans="1:7">
      <c r="A6" s="3">
        <v>42186</v>
      </c>
      <c r="B6" s="4">
        <v>50</v>
      </c>
      <c r="C6" s="4">
        <v>0</v>
      </c>
      <c r="D6" s="4">
        <f t="shared" si="1"/>
        <v>50</v>
      </c>
      <c r="E6" s="4">
        <v>-47.64</v>
      </c>
      <c r="F6" s="4">
        <f t="shared" si="0"/>
        <v>2.3599999999999994</v>
      </c>
      <c r="G6" s="5">
        <f>IF(Tabela14[[#This Row],[Lucro]]&lt;&gt;0,E6/D6,0)</f>
        <v>-0.95279999999999998</v>
      </c>
    </row>
    <row r="7" spans="1:7">
      <c r="A7" s="3">
        <v>42217</v>
      </c>
      <c r="B7" s="4">
        <v>0</v>
      </c>
      <c r="C7" s="4">
        <v>0</v>
      </c>
      <c r="D7" s="4">
        <f t="shared" si="1"/>
        <v>2.3599999999999994</v>
      </c>
      <c r="E7" s="4">
        <v>-2.12</v>
      </c>
      <c r="F7" s="4">
        <f t="shared" si="0"/>
        <v>0.23999999999999932</v>
      </c>
      <c r="G7" s="5">
        <f>IF(Tabela14[[#This Row],[Lucro]]&lt;&gt;0,E7/D7,0)</f>
        <v>-0.89830508474576298</v>
      </c>
    </row>
    <row r="8" spans="1:7">
      <c r="A8" s="3">
        <v>42248</v>
      </c>
      <c r="B8" s="10">
        <v>10</v>
      </c>
      <c r="C8" s="10"/>
      <c r="D8" s="10">
        <f>B8+F7</f>
        <v>10.239999999999998</v>
      </c>
      <c r="E8" s="10">
        <v>-2.78</v>
      </c>
      <c r="F8" s="11">
        <f>D8+E8-C8</f>
        <v>7.4599999999999991</v>
      </c>
      <c r="G8" s="12">
        <f>IF(Tabela14[[#This Row],[Lucro]]&lt;&gt;0,E8/D8,0)</f>
        <v>-0.271484375</v>
      </c>
    </row>
    <row r="9" spans="1:7">
      <c r="A9">
        <f>SUBTOTAL(103,[Data])</f>
        <v>7</v>
      </c>
      <c r="F9" s="6">
        <f>(1+Tabela14[[#Totals],[%Rentabilidade]])^(1/Tabela14[[#Totals],[Data]])-1</f>
        <v>-0.55424404033307983</v>
      </c>
      <c r="G9" s="6">
        <f>SUMPRODUCT(PRODUCT([%Rentabilidade]+1)-1)</f>
        <v>-0.99650312500000005</v>
      </c>
    </row>
    <row r="10" spans="1:7">
      <c r="C10" s="4"/>
      <c r="G10" s="1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14" sqref="E14"/>
    </sheetView>
  </sheetViews>
  <sheetFormatPr defaultRowHeight="15"/>
  <cols>
    <col min="2" max="4" width="9.7109375" bestFit="1" customWidth="1"/>
    <col min="5" max="5" width="17" customWidth="1"/>
  </cols>
  <sheetData>
    <row r="1" spans="1:5">
      <c r="A1" s="2" t="s">
        <v>0</v>
      </c>
      <c r="B1" s="2" t="s">
        <v>6</v>
      </c>
      <c r="C1" s="2" t="s">
        <v>3</v>
      </c>
      <c r="D1" s="2" t="s">
        <v>5</v>
      </c>
      <c r="E1" s="2" t="s">
        <v>4</v>
      </c>
    </row>
    <row r="2" spans="1:5">
      <c r="A2" s="3">
        <v>42064</v>
      </c>
      <c r="B2" s="4">
        <f>Tabela1[[#This Row],[Depósito]]+Tabela13[[#This Row],[Depósito]]+Tabela14[[#This Row],[Depósito]]-(Tabela1[[#This Row],[Retirada]]+Tabela13[[#This Row],[Retirada]]+Tabela14[[#This Row],[Retirada]])</f>
        <v>100</v>
      </c>
      <c r="C2" s="4">
        <f>Tabela1[[#This Row],[Lucro]]+Tabela13[[#This Row],[Lucro]]+Tabela14[[#This Row],[Lucro]]</f>
        <v>1.1499999999999999</v>
      </c>
      <c r="D2" s="4">
        <f t="shared" ref="D2:D7" si="0">B2+C2</f>
        <v>101.15</v>
      </c>
      <c r="E2" s="5">
        <f>C2/B2</f>
        <v>1.15E-2</v>
      </c>
    </row>
    <row r="3" spans="1:5">
      <c r="A3" s="3">
        <v>42095</v>
      </c>
      <c r="B3" s="4">
        <f>Tabela1[[#This Row],[Depósito]]+Tabela13[[#This Row],[Depósito]]+Tabela14[[#This Row],[Depósito]]-(Tabela1[[#This Row],[Retirada]]+Tabela13[[#This Row],[Retirada]]+Tabela14[[#This Row],[Retirada]])+D2</f>
        <v>201.15</v>
      </c>
      <c r="C3" s="4">
        <f>Tabela1[[#This Row],[Lucro]]+Tabela13[[#This Row],[Lucro]]+Tabela14[[#This Row],[Lucro]]</f>
        <v>16.37</v>
      </c>
      <c r="D3" s="4">
        <f t="shared" si="0"/>
        <v>217.52</v>
      </c>
      <c r="E3" s="5">
        <f t="shared" ref="E3:E7" si="1">C3/B3</f>
        <v>8.1382053194133733E-2</v>
      </c>
    </row>
    <row r="4" spans="1:5">
      <c r="A4" s="3">
        <v>42125</v>
      </c>
      <c r="B4" s="4">
        <f>Tabela1[[#This Row],[Depósito]]+Tabela13[[#This Row],[Depósito]]+Tabela14[[#This Row],[Depósito]]-(Tabela1[[#This Row],[Retirada]]+Tabela13[[#This Row],[Retirada]]+Tabela14[[#This Row],[Retirada]])+D3</f>
        <v>281.58000000000004</v>
      </c>
      <c r="C4" s="4">
        <f>Tabela1[[#This Row],[Lucro]]+Tabela13[[#This Row],[Lucro]]+Tabela14[[#This Row],[Lucro]]</f>
        <v>7.16</v>
      </c>
      <c r="D4" s="4">
        <f t="shared" si="0"/>
        <v>288.74000000000007</v>
      </c>
      <c r="E4" s="5">
        <f t="shared" si="1"/>
        <v>2.5427942325449246E-2</v>
      </c>
    </row>
    <row r="5" spans="1:5">
      <c r="A5" s="3">
        <v>42156</v>
      </c>
      <c r="B5" s="4">
        <f>Tabela1[[#This Row],[Depósito]]+Tabela13[[#This Row],[Depósito]]+Tabela14[[#This Row],[Depósito]]-(Tabela1[[#This Row],[Retirada]]+Tabela13[[#This Row],[Retirada]]+Tabela14[[#This Row],[Retirada]])+D4</f>
        <v>378.30000000000007</v>
      </c>
      <c r="C5" s="4">
        <f>Tabela1[[#This Row],[Lucro]]+Tabela13[[#This Row],[Lucro]]+Tabela14[[#This Row],[Lucro]]</f>
        <v>-113.48</v>
      </c>
      <c r="D5" s="4">
        <f t="shared" si="0"/>
        <v>264.82000000000005</v>
      </c>
      <c r="E5" s="5">
        <f t="shared" si="1"/>
        <v>-0.29997356595294733</v>
      </c>
    </row>
    <row r="6" spans="1:5">
      <c r="A6" s="3">
        <v>42186</v>
      </c>
      <c r="B6" s="4">
        <f>Tabela1[[#This Row],[Depósito]]+Tabela13[[#This Row],[Depósito]]+Tabela14[[#This Row],[Depósito]]-(Tabela1[[#This Row],[Retirada]]+Tabela13[[#This Row],[Retirada]]+Tabela14[[#This Row],[Retirada]])+D5</f>
        <v>439.82000000000005</v>
      </c>
      <c r="C6" s="4">
        <f>Tabela1[[#This Row],[Lucro]]+Tabela13[[#This Row],[Lucro]]+Tabela14[[#This Row],[Lucro]]</f>
        <v>-121.75</v>
      </c>
      <c r="D6" s="4">
        <f t="shared" si="0"/>
        <v>318.07000000000005</v>
      </c>
      <c r="E6" s="5">
        <f t="shared" si="1"/>
        <v>-0.27681778909553906</v>
      </c>
    </row>
    <row r="7" spans="1:5">
      <c r="A7" s="3">
        <v>42217</v>
      </c>
      <c r="B7" s="4">
        <f>Tabela1[[#This Row],[Depósito]]+Tabela13[[#This Row],[Depósito]]+Tabela14[[#This Row],[Depósito]]-(Tabela1[[#This Row],[Retirada]]+Tabela13[[#This Row],[Retirada]]+Tabela14[[#This Row],[Retirada]])+D6</f>
        <v>418.07000000000005</v>
      </c>
      <c r="C7" s="4">
        <f>Tabela1[[#This Row],[Lucro]]+Tabela13[[#This Row],[Lucro]]+Tabela14[[#This Row],[Lucro]]</f>
        <v>19.579999999999998</v>
      </c>
      <c r="D7" s="4">
        <f t="shared" si="0"/>
        <v>437.65000000000003</v>
      </c>
      <c r="E7" s="5">
        <f t="shared" si="1"/>
        <v>4.6834262204893909E-2</v>
      </c>
    </row>
    <row r="8" spans="1:5">
      <c r="A8" s="3">
        <v>42248</v>
      </c>
      <c r="B8" s="10">
        <f>Tabela1[[#This Row],[Depósito]]+Tabela13[[#This Row],[Depósito]]+Tabela14[[#This Row],[Depósito]]-(Tabela1[[#This Row],[Retirada]]+Tabela13[[#This Row],[Retirada]]+Tabela14[[#This Row],[Retirada]])+D7</f>
        <v>339.65000000000003</v>
      </c>
      <c r="C8" s="10">
        <f>Tabela1[[#This Row],[Lucro]]+Tabela13[[#This Row],[Lucro]]+Tabela14[[#This Row],[Lucro]]</f>
        <v>-2.9800000000000009</v>
      </c>
      <c r="D8" s="11">
        <f>B8+C8</f>
        <v>336.67</v>
      </c>
      <c r="E8" s="12">
        <f>C8/B8</f>
        <v>-8.7737376711320494E-3</v>
      </c>
    </row>
    <row r="9" spans="1:5">
      <c r="A9">
        <f>SUBTOTAL(103,[Data])</f>
        <v>7</v>
      </c>
      <c r="C9" s="4">
        <f>SUBTOTAL(109,[Lucro])</f>
        <v>-193.95000000000002</v>
      </c>
      <c r="D9" s="6">
        <f>(1+Tabela15[[#Totals],[%Rentabilidade]])^(1/Tabela15[[#Totals],[Data]])-1</f>
        <v>-7.2785014106907964E-2</v>
      </c>
      <c r="E9" s="6">
        <f>SUMPRODUCT(PRODUCT([%Rentabilidade]+1)-1)</f>
        <v>-0.41079951540781401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8" sqref="E8"/>
    </sheetView>
  </sheetViews>
  <sheetFormatPr defaultRowHeight="15"/>
  <cols>
    <col min="2" max="2" width="11.140625" bestFit="1" customWidth="1"/>
    <col min="3" max="3" width="10.5703125" bestFit="1" customWidth="1"/>
    <col min="4" max="4" width="17.28515625" bestFit="1" customWidth="1"/>
    <col min="5" max="5" width="8.7109375" bestFit="1" customWidth="1"/>
  </cols>
  <sheetData>
    <row r="1" spans="1:5">
      <c r="A1" s="2" t="s">
        <v>0</v>
      </c>
      <c r="B1" s="2" t="s">
        <v>8</v>
      </c>
      <c r="C1" s="2" t="s">
        <v>7</v>
      </c>
      <c r="D1" s="2" t="s">
        <v>9</v>
      </c>
      <c r="E1" s="2" t="s">
        <v>10</v>
      </c>
    </row>
    <row r="2" spans="1:5">
      <c r="A2" s="3">
        <v>42064</v>
      </c>
      <c r="B2" s="4">
        <v>0</v>
      </c>
      <c r="C2" s="4">
        <v>0</v>
      </c>
      <c r="D2" s="4">
        <f>Tabela16[[#This Row],[Prize]]-Tabela16[[#This Row],[Buy-In]]</f>
        <v>0</v>
      </c>
      <c r="E2" s="5" t="str">
        <f>IF(Tabela16[[#This Row],[Buy-In]]&lt;&gt;0,Tabela16[[#This Row],[Profit]]/Tabela16[[#This Row],[Buy-In]],"")</f>
        <v/>
      </c>
    </row>
    <row r="3" spans="1:5">
      <c r="A3" s="3">
        <v>42095</v>
      </c>
      <c r="B3" s="4">
        <v>0</v>
      </c>
      <c r="C3" s="4">
        <v>0</v>
      </c>
      <c r="D3" s="4">
        <f>Tabela16[[#This Row],[Prize]]-Tabela16[[#This Row],[Buy-In]]</f>
        <v>0</v>
      </c>
      <c r="E3" s="5" t="str">
        <f>IF(Tabela16[[#This Row],[Buy-In]]&lt;&gt;0,Tabela16[[#This Row],[Profit]]/Tabela16[[#This Row],[Buy-In]],"")</f>
        <v/>
      </c>
    </row>
    <row r="4" spans="1:5">
      <c r="A4" s="3">
        <v>42125</v>
      </c>
      <c r="B4" s="4">
        <v>3.99</v>
      </c>
      <c r="C4" s="4">
        <v>11.47</v>
      </c>
      <c r="D4" s="4">
        <f>Tabela16[[#This Row],[Prize]]-Tabela16[[#This Row],[Buy-In]]</f>
        <v>-7.48</v>
      </c>
      <c r="E4" s="5">
        <f>IF(Tabela16[[#This Row],[Buy-In]]&lt;&gt;0,Tabela16[[#This Row],[Profit]]/Tabela16[[#This Row],[Buy-In]],"")</f>
        <v>-0.65213600697471663</v>
      </c>
    </row>
    <row r="5" spans="1:5">
      <c r="A5" s="3">
        <v>42156</v>
      </c>
      <c r="B5" s="4">
        <v>121.41</v>
      </c>
      <c r="C5" s="4">
        <v>209.5</v>
      </c>
      <c r="D5" s="4">
        <f>Tabela16[[#This Row],[Prize]]-Tabela16[[#This Row],[Buy-In]]</f>
        <v>-88.09</v>
      </c>
      <c r="E5" s="5">
        <f>IF(Tabela16[[#This Row],[Buy-In]]&lt;&gt;0,Tabela16[[#This Row],[Profit]]/Tabela16[[#This Row],[Buy-In]],"")</f>
        <v>-0.42047732696897377</v>
      </c>
    </row>
    <row r="6" spans="1:5">
      <c r="A6" s="3">
        <v>42186</v>
      </c>
      <c r="B6" s="4">
        <v>235.4</v>
      </c>
      <c r="C6" s="4">
        <v>357.7</v>
      </c>
      <c r="D6" s="4">
        <f>Tabela16[[#This Row],[Prize]]-Tabela16[[#This Row],[Buy-In]]</f>
        <v>-122.29999999999998</v>
      </c>
      <c r="E6" s="5">
        <f>IF(Tabela16[[#This Row],[Buy-In]]&lt;&gt;0,Tabela16[[#This Row],[Profit]]/Tabela16[[#This Row],[Buy-In]],"")</f>
        <v>-0.34190662566396418</v>
      </c>
    </row>
    <row r="7" spans="1:5">
      <c r="A7" s="3">
        <v>42217</v>
      </c>
      <c r="B7" s="4">
        <v>706.66</v>
      </c>
      <c r="C7" s="4">
        <v>701.26</v>
      </c>
      <c r="D7" s="4">
        <f>Tabela16[[#This Row],[Prize]]-Tabela16[[#This Row],[Buy-In]]</f>
        <v>5.3999999999999773</v>
      </c>
      <c r="E7" s="5">
        <f>IF(Tabela16[[#This Row],[Buy-In]]&lt;&gt;0,Tabela16[[#This Row],[Profit]]/Tabela16[[#This Row],[Buy-In]],"")</f>
        <v>7.7004249493768037E-3</v>
      </c>
    </row>
    <row r="8" spans="1:5">
      <c r="A8" s="3">
        <v>42248</v>
      </c>
      <c r="B8" s="10">
        <v>354.24</v>
      </c>
      <c r="C8" s="10">
        <v>366.7</v>
      </c>
      <c r="D8" s="10">
        <f>Tabela16[[#This Row],[Prize]]-Tabela16[[#This Row],[Buy-In]]</f>
        <v>-12.45999999999998</v>
      </c>
      <c r="E8" s="12">
        <f>IF(Tabela16[[#This Row],[Buy-In]]&lt;&gt;0,Tabela16[[#This Row],[Profit]]/Tabela16[[#This Row],[Buy-In]],"")</f>
        <v>-3.3978729206435722E-2</v>
      </c>
    </row>
    <row r="9" spans="1:5">
      <c r="A9">
        <f>SUBTOTAL(103,[Data])</f>
        <v>7</v>
      </c>
      <c r="B9" s="4">
        <f>SUBTOTAL(109,[Prize])</f>
        <v>1421.7</v>
      </c>
      <c r="C9" s="4">
        <f>SUBTOTAL(109,[Buy-In])</f>
        <v>1646.6299999999999</v>
      </c>
      <c r="D9" s="4">
        <f>SUBTOTAL(109,[Profit])</f>
        <v>-224.93</v>
      </c>
      <c r="E9" s="6">
        <f>SUBTOTAL(101,[%ROI])</f>
        <v>-0.28815965277294275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10"/>
  <sheetViews>
    <sheetView workbookViewId="0">
      <selection activeCell="G7" sqref="G7"/>
    </sheetView>
  </sheetViews>
  <sheetFormatPr defaultRowHeight="15"/>
  <cols>
    <col min="1" max="1" width="13" bestFit="1" customWidth="1"/>
    <col min="2" max="2" width="6.7109375" bestFit="1" customWidth="1"/>
    <col min="3" max="4" width="8" bestFit="1" customWidth="1"/>
    <col min="5" max="6" width="9" style="24" bestFit="1" customWidth="1"/>
    <col min="7" max="7" width="8" bestFit="1" customWidth="1"/>
    <col min="8" max="8" width="9" bestFit="1" customWidth="1"/>
    <col min="9" max="9" width="8" bestFit="1" customWidth="1"/>
    <col min="10" max="11" width="9" bestFit="1" customWidth="1"/>
    <col min="12" max="12" width="10.28515625" style="24" bestFit="1" customWidth="1"/>
    <col min="13" max="13" width="9.28515625" style="26" bestFit="1" customWidth="1"/>
    <col min="14" max="14" width="10" style="24" bestFit="1" customWidth="1"/>
    <col min="15" max="15" width="9.140625" style="24" bestFit="1" customWidth="1"/>
  </cols>
  <sheetData>
    <row r="1" spans="1:20">
      <c r="A1" s="2" t="s">
        <v>20</v>
      </c>
      <c r="B1" s="2" t="s">
        <v>21</v>
      </c>
      <c r="C1" s="2" t="s">
        <v>26</v>
      </c>
      <c r="D1" s="2" t="s">
        <v>27</v>
      </c>
      <c r="E1" s="23" t="s">
        <v>28</v>
      </c>
      <c r="F1" s="23" t="s">
        <v>29</v>
      </c>
      <c r="G1" s="2" t="s">
        <v>15</v>
      </c>
      <c r="H1" s="23" t="s">
        <v>30</v>
      </c>
      <c r="I1" s="2" t="s">
        <v>19</v>
      </c>
      <c r="J1" s="2" t="s">
        <v>32</v>
      </c>
      <c r="K1" s="2" t="s">
        <v>33</v>
      </c>
      <c r="L1" s="23" t="s">
        <v>31</v>
      </c>
      <c r="M1" s="30" t="s">
        <v>35</v>
      </c>
      <c r="N1" s="30" t="s">
        <v>34</v>
      </c>
      <c r="O1" s="30" t="s">
        <v>36</v>
      </c>
      <c r="Q1" s="2" t="s">
        <v>15</v>
      </c>
      <c r="R1" s="2" t="s">
        <v>16</v>
      </c>
      <c r="S1" s="2" t="s">
        <v>18</v>
      </c>
      <c r="T1" s="2" t="s">
        <v>22</v>
      </c>
    </row>
    <row r="2" spans="1:20">
      <c r="A2" s="7">
        <v>395.2</v>
      </c>
      <c r="B2" s="5">
        <v>5.0000000000000001E-3</v>
      </c>
      <c r="C2" s="16">
        <v>1.1086</v>
      </c>
      <c r="D2" s="15">
        <v>1.1159699999999999</v>
      </c>
      <c r="E2" s="24">
        <v>1.1120300000000001</v>
      </c>
      <c r="F2" s="24">
        <v>1.1228</v>
      </c>
      <c r="G2" t="s">
        <v>25</v>
      </c>
      <c r="H2" s="24">
        <f>SUMPRODUCT(N(Tabela7[Forex]=Tabela6[[#This Row],[Forex]]),Tabela7[Tick Value])</f>
        <v>0.1</v>
      </c>
      <c r="I2" s="16">
        <f>SUMPRODUCT(N(Tabela7[Forex]=Tabela6[[#This Row],[Forex]]),Tabela7[Point Value])</f>
        <v>1.0000000000000001E-5</v>
      </c>
      <c r="J2" s="24">
        <f>IF([C]&lt;[D],[D]-(ABS([A]-[D])/16),[D]+(ABS([A]-[D])/16))</f>
        <v>1.1219125000000001</v>
      </c>
      <c r="K2" s="24">
        <f>IF([C]&lt;[D],[D]-(ABS([B]-[D])/4.5),[D]+(ABS([B]-[D])/4.5))</f>
        <v>1.1212822222222223</v>
      </c>
      <c r="L2" s="24">
        <f>IF([C]&lt;[D],[D]-(ABS([C]-[D])/7),[D]+(ABS([C]-[D])/7))</f>
        <v>1.1212614285714286</v>
      </c>
      <c r="M2" s="26">
        <f>ROUNDDOWN(([Patrimonio]*[Risk])/((ABS([D]-[A Start])/[Point])*[Tick]),2)</f>
        <v>0.22</v>
      </c>
      <c r="N2" s="26">
        <f>ROUNDDOWN(([Patrimonio]*[Risk])/((ABS([D]-[B Start])/[Point])*[Tick]),2)</f>
        <v>0.13</v>
      </c>
      <c r="O2" s="26">
        <f>ROUNDDOWN(([Patrimonio]*[Risk])/((ABS([D]-[C Start])/[Point])*[Tick]),2)</f>
        <v>0.12</v>
      </c>
      <c r="Q2" t="s">
        <v>17</v>
      </c>
      <c r="R2">
        <v>0.1</v>
      </c>
      <c r="S2">
        <v>1.0000000000000001E-5</v>
      </c>
      <c r="T2">
        <v>30</v>
      </c>
    </row>
    <row r="3" spans="1:20">
      <c r="A3" s="7"/>
      <c r="B3" s="5"/>
      <c r="C3" s="16"/>
      <c r="D3" s="15"/>
      <c r="H3" s="24">
        <f>SUMPRODUCT(N(Tabela7[Forex]=Tabela6[[#This Row],[Forex]]),Tabela7[Tick Value])</f>
        <v>0</v>
      </c>
      <c r="I3" s="16">
        <f>SUMPRODUCT(N(Tabela7[Forex]=Tabela6[[#This Row],[Forex]]),Tabela7[Point Value])</f>
        <v>0</v>
      </c>
      <c r="J3" s="28">
        <f>IF([C]&lt;[D],[D]-(ABS([A]-[D])/16),[D]+(ABS([A]-[D])/16))</f>
        <v>0</v>
      </c>
      <c r="K3" s="28">
        <f>IF([C]&lt;[D],[D]-(ABS([B]-[D])/4.5),[D]+(ABS([B]-[D])/4.5))</f>
        <v>0</v>
      </c>
      <c r="L3" s="24">
        <f>IF([C]&lt;[D],[D]-(ABS([C]-[D])/7),[D]+(ABS([C]-[D])/7))</f>
        <v>0</v>
      </c>
      <c r="M3" s="26" t="e">
        <f>ROUNDDOWN(([Patrimonio]*[Risk])/((ABS([D]-[A Start])/[Point])*[Tick]),2)</f>
        <v>#DIV/0!</v>
      </c>
      <c r="N3" s="24" t="e">
        <f>ROUNDDOWN(([Patrimonio]*[Risk])/((ABS([D]-[B Start])/[Point])*[Tick]),2)</f>
        <v>#DIV/0!</v>
      </c>
      <c r="O3" s="24" t="e">
        <f>ROUNDDOWN(([Patrimonio]*[Risk])/((ABS([D]-[C Start])/[Point])*[Tick]),2)</f>
        <v>#DIV/0!</v>
      </c>
      <c r="Q3" t="s">
        <v>23</v>
      </c>
      <c r="R3">
        <v>0.15373999999999999</v>
      </c>
      <c r="S3">
        <v>1.0000000000000001E-5</v>
      </c>
      <c r="T3">
        <v>30</v>
      </c>
    </row>
    <row r="4" spans="1:20">
      <c r="A4" s="7"/>
      <c r="B4" s="5"/>
      <c r="C4" s="16"/>
      <c r="D4" s="15"/>
      <c r="H4" s="24">
        <f>SUMPRODUCT(N(Tabela7[Forex]=Tabela6[[#This Row],[Forex]]),Tabela7[Tick Value])</f>
        <v>0</v>
      </c>
      <c r="I4" s="16">
        <f>SUMPRODUCT(N(Tabela7[Forex]=Tabela6[[#This Row],[Forex]]),Tabela7[Point Value])</f>
        <v>0</v>
      </c>
      <c r="J4" s="28">
        <f>IF([C]&lt;[D],[D]-(ABS([A]-[D])/16),[D]+(ABS([A]-[D])/16))</f>
        <v>0</v>
      </c>
      <c r="K4" s="28">
        <f>IF([C]&lt;[D],[D]-(ABS([B]-[D])/4.5),[D]+(ABS([B]-[D])/4.5))</f>
        <v>0</v>
      </c>
      <c r="L4" s="24">
        <f>IF([C]&lt;[D],[D]-(ABS([C]-[D])/7),[D]+(ABS([C]-[D])/7))</f>
        <v>0</v>
      </c>
      <c r="M4" s="26" t="e">
        <f>ROUNDDOWN(([Patrimonio]*[Risk])/((ABS([D]-[A Start])/[Point])*[Tick]),2)</f>
        <v>#DIV/0!</v>
      </c>
      <c r="N4" s="24" t="e">
        <f>ROUNDDOWN(([Patrimonio]*[Risk])/((ABS([D]-[B Start])/[Point])*[Tick]),2)</f>
        <v>#DIV/0!</v>
      </c>
      <c r="O4" s="24" t="e">
        <f>ROUNDDOWN(([Patrimonio]*[Risk])/((ABS([D]-[C Start])/[Point])*[Tick]),2)</f>
        <v>#DIV/0!</v>
      </c>
      <c r="Q4" t="s">
        <v>24</v>
      </c>
      <c r="R4">
        <v>8.3000000000000004E-2</v>
      </c>
      <c r="S4">
        <v>1E-3</v>
      </c>
      <c r="T4">
        <v>3</v>
      </c>
    </row>
    <row r="5" spans="1:20">
      <c r="A5" s="7"/>
      <c r="B5" s="5"/>
      <c r="C5" s="17"/>
      <c r="D5" s="15"/>
      <c r="H5" s="24">
        <f>SUMPRODUCT(N(Tabela7[Forex]=Tabela6[[#This Row],[Forex]]),Tabela7[Tick Value])</f>
        <v>0</v>
      </c>
      <c r="I5" s="16">
        <f>SUMPRODUCT(N(Tabela7[Forex]=Tabela6[[#This Row],[Forex]]),Tabela7[Point Value])</f>
        <v>0</v>
      </c>
      <c r="J5" s="28">
        <f>IF([C]&lt;[D],[D]-(ABS([A]-[D])/16),[D]+(ABS([A]-[D])/16))</f>
        <v>0</v>
      </c>
      <c r="K5" s="28">
        <f>IF([C]&lt;[D],[D]-(ABS([B]-[D])/4.5),[D]+(ABS([B]-[D])/4.5))</f>
        <v>0</v>
      </c>
      <c r="L5" s="24">
        <f>IF([C]&lt;[D],[D]-(ABS([C]-[D])/7),[D]+(ABS([C]-[D])/7))</f>
        <v>0</v>
      </c>
      <c r="M5" s="26" t="e">
        <f>ROUNDDOWN(([Patrimonio]*[Risk])/((ABS([D]-[A Start])/[Point])*[Tick]),2)</f>
        <v>#DIV/0!</v>
      </c>
      <c r="N5" s="24" t="e">
        <f>ROUNDDOWN(([Patrimonio]*[Risk])/((ABS([D]-[B Start])/[Point])*[Tick]),2)</f>
        <v>#DIV/0!</v>
      </c>
      <c r="O5" s="24" t="e">
        <f>ROUNDDOWN(([Patrimonio]*[Risk])/((ABS([D]-[C Start])/[Point])*[Tick]),2)</f>
        <v>#DIV/0!</v>
      </c>
      <c r="Q5" t="s">
        <v>25</v>
      </c>
      <c r="R5">
        <v>0.1</v>
      </c>
      <c r="S5">
        <v>1.0000000000000001E-5</v>
      </c>
      <c r="T5">
        <v>30</v>
      </c>
    </row>
    <row r="6" spans="1:20">
      <c r="A6" s="7"/>
      <c r="B6" s="5"/>
      <c r="C6" s="17"/>
      <c r="D6" s="15"/>
      <c r="H6" s="24">
        <f>SUMPRODUCT(N(Tabela7[Forex]=Tabela6[[#This Row],[Forex]]),Tabela7[Tick Value])</f>
        <v>0</v>
      </c>
      <c r="I6" s="16">
        <f>SUMPRODUCT(N(Tabela7[Forex]=Tabela6[[#This Row],[Forex]]),Tabela7[Point Value])</f>
        <v>0</v>
      </c>
      <c r="J6" s="28">
        <f>IF([C]&lt;[D],[D]-(ABS([A]-[D])/16),[D]+(ABS([A]-[D])/16))</f>
        <v>0</v>
      </c>
      <c r="K6" s="28">
        <f>IF([C]&lt;[D],[D]-(ABS([B]-[D])/4.5),[D]+(ABS([B]-[D])/4.5))</f>
        <v>0</v>
      </c>
      <c r="L6" s="24">
        <f>IF([C]&lt;[D],[D]-(ABS([C]-[D])/7),[D]+(ABS([C]-[D])/7))</f>
        <v>0</v>
      </c>
      <c r="M6" s="26" t="e">
        <f>ROUNDDOWN(([Patrimonio]*[Risk])/((ABS([D]-[A Start])/[Point])*[Tick]),2)</f>
        <v>#DIV/0!</v>
      </c>
      <c r="N6" s="24" t="e">
        <f>ROUNDDOWN(([Patrimonio]*[Risk])/((ABS([D]-[B Start])/[Point])*[Tick]),2)</f>
        <v>#DIV/0!</v>
      </c>
      <c r="O6" s="24" t="e">
        <f>ROUNDDOWN(([Patrimonio]*[Risk])/((ABS([D]-[C Start])/[Point])*[Tick]),2)</f>
        <v>#DIV/0!</v>
      </c>
    </row>
    <row r="7" spans="1:20">
      <c r="A7" s="7"/>
      <c r="B7" s="5"/>
      <c r="C7" s="17"/>
      <c r="D7" s="15"/>
      <c r="H7" s="24">
        <f>SUMPRODUCT(N(Tabela7[Forex]=Tabela6[[#This Row],[Forex]]),Tabela7[Tick Value])</f>
        <v>0</v>
      </c>
      <c r="I7" s="16">
        <f>SUMPRODUCT(N(Tabela7[Forex]=Tabela6[[#This Row],[Forex]]),Tabela7[Point Value])</f>
        <v>0</v>
      </c>
      <c r="J7" s="28">
        <f>IF([C]&lt;[D],[D]-(ABS([A]-[D])/16),[D]+(ABS([A]-[D])/16))</f>
        <v>0</v>
      </c>
      <c r="K7" s="28">
        <f>IF([C]&lt;[D],[D]-(ABS([B]-[D])/4.5),[D]+(ABS([B]-[D])/4.5))</f>
        <v>0</v>
      </c>
      <c r="L7" s="24">
        <f>IF([C]&lt;[D],[D]-(ABS([C]-[D])/7),[D]+(ABS([C]-[D])/7))</f>
        <v>0</v>
      </c>
      <c r="M7" s="26" t="e">
        <f>ROUNDDOWN(([Patrimonio]*[Risk])/((ABS([D]-[A Start])/[Point])*[Tick]),2)</f>
        <v>#DIV/0!</v>
      </c>
      <c r="N7" s="24" t="e">
        <f>ROUNDDOWN(([Patrimonio]*[Risk])/((ABS([D]-[B Start])/[Point])*[Tick]),2)</f>
        <v>#DIV/0!</v>
      </c>
      <c r="O7" s="24" t="e">
        <f>ROUNDDOWN(([Patrimonio]*[Risk])/((ABS([D]-[C Start])/[Point])*[Tick]),2)</f>
        <v>#DIV/0!</v>
      </c>
    </row>
    <row r="8" spans="1:20">
      <c r="A8" s="7"/>
      <c r="B8" s="5"/>
      <c r="C8" s="17"/>
      <c r="D8" s="15"/>
      <c r="H8" s="24">
        <f>SUMPRODUCT(N(Tabela7[Forex]=Tabela6[[#This Row],[Forex]]),Tabela7[Tick Value])</f>
        <v>0</v>
      </c>
      <c r="I8" s="16">
        <f>SUMPRODUCT(N(Tabela7[Forex]=Tabela6[[#This Row],[Forex]]),Tabela7[Point Value])</f>
        <v>0</v>
      </c>
      <c r="J8" s="28">
        <f>IF([C]&lt;[D],[D]-(ABS([A]-[D])/16),[D]+(ABS([A]-[D])/16))</f>
        <v>0</v>
      </c>
      <c r="K8" s="28">
        <f>IF([C]&lt;[D],[D]-(ABS([B]-[D])/4.5),[D]+(ABS([B]-[D])/4.5))</f>
        <v>0</v>
      </c>
      <c r="L8" s="24">
        <f>IF([C]&lt;[D],[D]-(ABS([C]-[D])/7),[D]+(ABS([C]-[D])/7))</f>
        <v>0</v>
      </c>
      <c r="M8" s="26" t="e">
        <f>ROUNDDOWN(([Patrimonio]*[Risk])/((ABS([D]-[A Start])/[Point])*[Tick]),2)</f>
        <v>#DIV/0!</v>
      </c>
      <c r="N8" s="24" t="e">
        <f>ROUNDDOWN(([Patrimonio]*[Risk])/((ABS([D]-[B Start])/[Point])*[Tick]),2)</f>
        <v>#DIV/0!</v>
      </c>
      <c r="O8" s="24" t="e">
        <f>ROUNDDOWN(([Patrimonio]*[Risk])/((ABS([D]-[C Start])/[Point])*[Tick]),2)</f>
        <v>#DIV/0!</v>
      </c>
    </row>
    <row r="9" spans="1:20">
      <c r="A9" s="7"/>
      <c r="B9" s="5"/>
      <c r="C9" s="17"/>
      <c r="D9" s="15"/>
      <c r="H9" s="24">
        <f>SUMPRODUCT(N(Tabela7[Forex]=Tabela6[[#This Row],[Forex]]),Tabela7[Tick Value])</f>
        <v>0</v>
      </c>
      <c r="I9" s="16">
        <f>SUMPRODUCT(N(Tabela7[Forex]=Tabela6[[#This Row],[Forex]]),Tabela7[Point Value])</f>
        <v>0</v>
      </c>
      <c r="J9" s="28">
        <f>IF([C]&lt;[D],[D]-(ABS([A]-[D])/16),[D]+(ABS([A]-[D])/16))</f>
        <v>0</v>
      </c>
      <c r="K9" s="28">
        <f>IF([C]&lt;[D],[D]-(ABS([B]-[D])/4.5),[D]+(ABS([B]-[D])/4.5))</f>
        <v>0</v>
      </c>
      <c r="L9" s="24">
        <f>IF([C]&lt;[D],[D]-(ABS([C]-[D])/7),[D]+(ABS([C]-[D])/7))</f>
        <v>0</v>
      </c>
      <c r="M9" s="26" t="e">
        <f>ROUNDDOWN(([Patrimonio]*[Risk])/((ABS([D]-[A Start])/[Point])*[Tick]),2)</f>
        <v>#DIV/0!</v>
      </c>
      <c r="N9" s="24" t="e">
        <f>ROUNDDOWN(([Patrimonio]*[Risk])/((ABS([D]-[B Start])/[Point])*[Tick]),2)</f>
        <v>#DIV/0!</v>
      </c>
      <c r="O9" s="24" t="e">
        <f>ROUNDDOWN(([Patrimonio]*[Risk])/((ABS([D]-[C Start])/[Point])*[Tick]),2)</f>
        <v>#DIV/0!</v>
      </c>
    </row>
    <row r="10" spans="1:20">
      <c r="A10" s="19"/>
      <c r="B10" s="12"/>
      <c r="C10" s="20"/>
      <c r="D10" s="21"/>
      <c r="E10" s="25"/>
      <c r="F10" s="25"/>
      <c r="G10" s="18"/>
      <c r="H10" s="25">
        <f>SUMPRODUCT(N(Tabela7[Forex]=Tabela6[[#This Row],[Forex]]),Tabela7[Tick Value])</f>
        <v>0</v>
      </c>
      <c r="I10" s="22">
        <f>SUMPRODUCT(N(Tabela7[Forex]=Tabela6[[#This Row],[Forex]]),Tabela7[Point Value])</f>
        <v>0</v>
      </c>
      <c r="J10" s="29">
        <f>IF([C]&lt;[D],[D]-(ABS([A]-[D])/16),[D]+(ABS([A]-[D])/16))</f>
        <v>0</v>
      </c>
      <c r="K10" s="29">
        <f>IF([C]&lt;[D],[D]-(ABS([B]-[D])/4.5),[D]+(ABS([B]-[D])/4.5))</f>
        <v>0</v>
      </c>
      <c r="L10" s="25">
        <f>IF([C]&lt;[D],[D]-(ABS([C]-[D])/7),[D]+(ABS([C]-[D])/7))</f>
        <v>0</v>
      </c>
      <c r="M10" s="27" t="e">
        <f>ROUNDDOWN(([Patrimonio]*[Risk])/((ABS([D]-[A Start])/[Point])*[Tick]),2)</f>
        <v>#DIV/0!</v>
      </c>
      <c r="N10" s="25" t="e">
        <f>ROUNDDOWN(([Patrimonio]*[Risk])/((ABS([D]-[B Start])/[Point])*[Tick]),2)</f>
        <v>#DIV/0!</v>
      </c>
      <c r="O10" s="25" t="e">
        <f>ROUNDDOWN(([Patrimonio]*[Risk])/((ABS([D]-[C Start])/[Point])*[Tick]),2)</f>
        <v>#DIV/0!</v>
      </c>
      <c r="Q10" s="18"/>
      <c r="R10" s="18"/>
      <c r="S10" s="18"/>
    </row>
  </sheetData>
  <dataValidations count="1">
    <dataValidation type="list" allowBlank="1" showInputMessage="1" showErrorMessage="1" sqref="G2:G10">
      <formula1>$Q$2:$Q$17</formula1>
    </dataValidation>
  </dataValidation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Instaforex</vt:lpstr>
      <vt:lpstr>Pokerstars</vt:lpstr>
      <vt:lpstr>888</vt:lpstr>
      <vt:lpstr>Totais</vt:lpstr>
      <vt:lpstr>ROI Poker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2015-10-01T13:29:16Z</dcterms:modified>
</cp:coreProperties>
</file>