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60" windowWidth="9630" windowHeight="2355" tabRatio="648" activeTab="9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TRAVA BAIXA NEW" sheetId="6" r:id="rId6"/>
    <sheet name="BORBOLETA" sheetId="5" r:id="rId7"/>
    <sheet name="Plan1" sheetId="7" r:id="rId8"/>
    <sheet name="SETUP" sheetId="2" r:id="rId9"/>
    <sheet name="Plan2" sheetId="10" r:id="rId10"/>
  </sheets>
  <calcPr calcId="124519"/>
</workbook>
</file>

<file path=xl/calcChain.xml><?xml version="1.0" encoding="utf-8"?>
<calcChain xmlns="http://schemas.openxmlformats.org/spreadsheetml/2006/main">
  <c r="B15" i="1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B3"/>
  <c r="B4"/>
  <c r="B5"/>
  <c r="B6"/>
  <c r="B7"/>
  <c r="B8"/>
  <c r="B9"/>
  <c r="B10"/>
  <c r="B11"/>
  <c r="B12"/>
  <c r="B13"/>
  <c r="B14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2"/>
  <c r="F2"/>
  <c r="C3"/>
  <c r="C4"/>
  <c r="C5"/>
  <c r="C6"/>
  <c r="C7"/>
  <c r="C8"/>
  <c r="C9"/>
  <c r="C10"/>
  <c r="C11"/>
  <c r="C12"/>
  <c r="C13"/>
  <c r="C14"/>
  <c r="C15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E28" s="1"/>
  <c r="C29"/>
  <c r="D29" s="1"/>
  <c r="E29" s="1"/>
  <c r="C30"/>
  <c r="D30" s="1"/>
  <c r="C31"/>
  <c r="D31" s="1"/>
  <c r="E31" s="1"/>
  <c r="C32"/>
  <c r="D32" s="1"/>
  <c r="E32" s="1"/>
  <c r="C33"/>
  <c r="D33" s="1"/>
  <c r="C34"/>
  <c r="D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C48"/>
  <c r="D48" s="1"/>
  <c r="E48" s="1"/>
  <c r="C49"/>
  <c r="D49" s="1"/>
  <c r="E49" s="1"/>
  <c r="C50"/>
  <c r="D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2"/>
  <c r="D2" s="1"/>
  <c r="G80"/>
  <c r="G79"/>
  <c r="H80" s="1"/>
  <c r="G77"/>
  <c r="G78"/>
  <c r="H79" s="1"/>
  <c r="H78"/>
  <c r="G76"/>
  <c r="H77" s="1"/>
  <c r="G75"/>
  <c r="H76" s="1"/>
  <c r="G74"/>
  <c r="H75" s="1"/>
  <c r="G73"/>
  <c r="H74" s="1"/>
  <c r="G68"/>
  <c r="G69"/>
  <c r="H69"/>
  <c r="G70"/>
  <c r="H70"/>
  <c r="G71"/>
  <c r="H71"/>
  <c r="G72"/>
  <c r="H73" s="1"/>
  <c r="H72"/>
  <c r="G62"/>
  <c r="G63"/>
  <c r="H63"/>
  <c r="G64"/>
  <c r="H64"/>
  <c r="G65"/>
  <c r="H65"/>
  <c r="G66"/>
  <c r="H66"/>
  <c r="G67"/>
  <c r="H68" s="1"/>
  <c r="H67"/>
  <c r="G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2" s="1"/>
  <c r="H61"/>
  <c r="G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50" s="1"/>
  <c r="H49"/>
  <c r="G33"/>
  <c r="H34" s="1"/>
  <c r="B2" i="3"/>
  <c r="B3"/>
  <c r="B4"/>
  <c r="B5"/>
  <c r="G30" i="10"/>
  <c r="G31"/>
  <c r="H31"/>
  <c r="G32"/>
  <c r="H33" s="1"/>
  <c r="H32"/>
  <c r="G27"/>
  <c r="G28"/>
  <c r="H28"/>
  <c r="G29"/>
  <c r="H30" s="1"/>
  <c r="H29"/>
  <c r="G26"/>
  <c r="H27" s="1"/>
  <c r="G24"/>
  <c r="G25"/>
  <c r="H26" s="1"/>
  <c r="H25"/>
  <c r="G22"/>
  <c r="G23"/>
  <c r="H24" s="1"/>
  <c r="H23"/>
  <c r="G19"/>
  <c r="G20"/>
  <c r="H20"/>
  <c r="G21"/>
  <c r="H22" s="1"/>
  <c r="H21"/>
  <c r="G17"/>
  <c r="G18"/>
  <c r="H19" s="1"/>
  <c r="H18"/>
  <c r="G16"/>
  <c r="H17" s="1"/>
  <c r="K95" i="1"/>
  <c r="L95"/>
  <c r="N95"/>
  <c r="S95"/>
  <c r="AB95"/>
  <c r="AC95"/>
  <c r="AH95"/>
  <c r="AI95"/>
  <c r="AJ95"/>
  <c r="K94"/>
  <c r="L94"/>
  <c r="N94"/>
  <c r="S94"/>
  <c r="AB94"/>
  <c r="AC94"/>
  <c r="AE94"/>
  <c r="AH94"/>
  <c r="AI94"/>
  <c r="AJ94"/>
  <c r="E79" i="10" l="1"/>
  <c r="E78"/>
  <c r="E80"/>
  <c r="E77"/>
  <c r="E76"/>
  <c r="E72"/>
  <c r="E71"/>
  <c r="E70"/>
  <c r="E69"/>
  <c r="E67"/>
  <c r="E66"/>
  <c r="E65"/>
  <c r="E64"/>
  <c r="E63"/>
  <c r="E61"/>
  <c r="E60"/>
  <c r="E59"/>
  <c r="E58"/>
  <c r="E57"/>
  <c r="E27"/>
  <c r="E26"/>
  <c r="E24"/>
  <c r="E22"/>
  <c r="E19"/>
  <c r="E17"/>
  <c r="E47"/>
  <c r="E56"/>
  <c r="E62"/>
  <c r="E68"/>
  <c r="E73"/>
  <c r="E50"/>
  <c r="E34"/>
  <c r="E33"/>
  <c r="E30"/>
  <c r="E74"/>
  <c r="E75"/>
  <c r="E25"/>
  <c r="E23"/>
  <c r="E21"/>
  <c r="E20"/>
  <c r="E18"/>
  <c r="G2"/>
  <c r="D4"/>
  <c r="D3"/>
  <c r="E4" s="1"/>
  <c r="D15"/>
  <c r="E16" s="1"/>
  <c r="D14"/>
  <c r="E15" s="1"/>
  <c r="D13"/>
  <c r="E14" s="1"/>
  <c r="D12"/>
  <c r="E13" s="1"/>
  <c r="D11"/>
  <c r="E12" s="1"/>
  <c r="D10"/>
  <c r="E11" s="1"/>
  <c r="D9"/>
  <c r="E10" s="1"/>
  <c r="D8"/>
  <c r="E9" s="1"/>
  <c r="D7"/>
  <c r="E8" s="1"/>
  <c r="D6"/>
  <c r="D5"/>
  <c r="G15"/>
  <c r="G14"/>
  <c r="G13"/>
  <c r="G12"/>
  <c r="G11"/>
  <c r="G10"/>
  <c r="G9"/>
  <c r="G8"/>
  <c r="G7"/>
  <c r="G6"/>
  <c r="G5"/>
  <c r="G4"/>
  <c r="G3"/>
  <c r="H3" s="1"/>
  <c r="E6" l="1"/>
  <c r="E7"/>
  <c r="E5"/>
  <c r="E3"/>
  <c r="H4"/>
  <c r="H5"/>
  <c r="H6"/>
  <c r="H7"/>
  <c r="H8"/>
  <c r="H9"/>
  <c r="H10"/>
  <c r="H11"/>
  <c r="H12"/>
  <c r="H13"/>
  <c r="H14"/>
  <c r="H15"/>
  <c r="H16"/>
  <c r="N5" i="3" l="1"/>
  <c r="O5" s="1"/>
  <c r="N4"/>
  <c r="O4" s="1"/>
  <c r="N1" l="1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J3" i="6" l="1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AC58" l="1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S54" l="1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7" l="1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AC5" l="1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Q57" l="1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58" l="1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W57" l="1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58" l="1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51" l="1"/>
  <c r="Y61"/>
  <c r="Y34"/>
  <c r="Y17"/>
  <c r="Y13"/>
  <c r="Y10"/>
  <c r="Y11"/>
  <c r="AK4"/>
  <c r="AK57" l="1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57" l="1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58" l="1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G59" i="9" l="1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H58" i="9" l="1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N4" i="4" l="1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3" i="3"/>
  <c r="K2"/>
  <c r="F2" l="1"/>
  <c r="G2" s="1"/>
  <c r="J2" s="1"/>
  <c r="H2"/>
  <c r="I2" s="1"/>
  <c r="L2" i="8" l="1"/>
  <c r="L3"/>
  <c r="L4"/>
  <c r="L5"/>
  <c r="K63" i="1" l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54" l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O95" l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5" i="1" l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X94" i="1" l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 s="1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50" i="1" l="1"/>
  <c r="V47"/>
  <c r="L2" i="7"/>
  <c r="O2" s="1"/>
  <c r="L3"/>
  <c r="O3" s="1"/>
  <c r="L4"/>
  <c r="O4" s="1"/>
  <c r="N2" i="6" l="1"/>
  <c r="I2" l="1"/>
  <c r="O2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Q2" i="5" l="1"/>
  <c r="S2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N2" i="4" l="1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s="1"/>
  <c r="AA95" s="1"/>
  <c r="AE95" s="1"/>
  <c r="AK2" l="1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5" l="1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<sst xmlns="http://schemas.openxmlformats.org/spreadsheetml/2006/main" count="692" uniqueCount="194">
  <si>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</si>
  <si>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</si>
  <si>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</si>
  <si>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</si>
  <si>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</si>
  <si>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</si>
  <si>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</si>
  <si>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</si>
  <si>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</si>
  <si>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</si>
  <si>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</si>
  <si>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</si>
  <si>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</si>
  <si>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</si>
  <si>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</si>
  <si>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</si>
  <si>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</si>
  <si>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</si>
  <si>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</si>
  <si>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</si>
  <si>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</si>
  <si>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</si>
  <si>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</si>
  <si>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</si>
  <si>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</si>
  <si>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</si>
  <si>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</si>
  <si>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</si>
  <si>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</si>
  <si>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</si>
  <si>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</si>
  <si>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</si>
  <si>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</si>
  <si>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</si>
  <si>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</si>
  <si>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</si>
  <si>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</si>
  <si>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</si>
  <si>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</si>
  <si>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</si>
  <si>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</si>
  <si>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</si>
  <si>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</si>
  <si>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</si>
  <si>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</si>
  <si>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</si>
  <si>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</si>
  <si>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</si>
  <si>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</si>
  <si>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</si>
  <si>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</si>
  <si>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</si>
  <si>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</si>
  <si>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</si>
  <si>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</si>
  <si>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</si>
  <si>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</si>
  <si>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</si>
  <si>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</si>
  <si>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</si>
  <si>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</si>
  <si>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</si>
  <si>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</si>
  <si>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</si>
  <si>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</si>
  <si>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</si>
  <si>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</si>
  <si>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</si>
  <si>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</si>
  <si>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</si>
  <si>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</si>
  <si>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</si>
  <si>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</si>
  <si>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</si>
  <si>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</si>
  <si>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</si>
  <si>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</si>
  <si>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</si>
  <si>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</si>
  <si>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</si>
  <si>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</si>
  <si>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</si>
  <si>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</si>
  <si>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</si>
  <si>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</si>
  <si>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</si>
  <si>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</si>
  <si>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</si>
  <si>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</si>
  <si>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</si>
  <si>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</si>
  <si>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</si>
  <si>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</si>
  <si>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</si>
  <si>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</si>
  <si>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</si>
  <si>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</si>
  <si>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</si>
  <si>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</si>
  <si>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</si>
  <si>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</si>
  <si>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</si>
  <si>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</si>
  <si>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</si>
  <si>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</si>
  <si>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</si>
  <si>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</si>
  <si>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</si>
  <si>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</si>
  <si>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</si>
  <si>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</si>
  <si>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</si>
  <si>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</si>
  <si>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</si>
  <si>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</si>
  <si>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</si>
  <si>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</si>
  <si>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</si>
  <si>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</si>
  <si>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</si>
  <si>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</si>
  <si>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</si>
  <si>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</si>
  <si>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</si>
  <si>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</si>
  <si>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</si>
  <si>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</si>
  <si>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</si>
  <si>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</si>
  <si>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</si>
  <si>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</si>
  <si>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</si>
  <si>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</si>
  <si>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</si>
  <si>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</si>
  <si>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</si>
  <si>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</si>
  <si>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</si>
  <si>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</si>
  <si>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</si>
  <si>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</si>
  <si>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</si>
  <si>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</si>
  <si>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</si>
  <si>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</si>
  <si>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</si>
  <si>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</si>
  <si>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</si>
  <si>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</si>
  <si>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</si>
  <si>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</si>
  <si>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</si>
  <si>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</si>
  <si>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</si>
  <si>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</si>
  <si>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</si>
  <si>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</si>
  <si>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</si>
  <si>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</si>
  <si>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</si>
  <si>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</si>
  <si>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</si>
  <si>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</si>
  <si>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</si>
  <si>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</si>
  <si>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</si>
  <si>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</si>
  <si>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</si>
  <si>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</si>
  <si>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</si>
  <si>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</si>
  <si>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</si>
  <si>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</si>
  <si>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</si>
  <si>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</si>
  <si>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</si>
  <si>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</si>
  <si>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</si>
  <si>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</si>
  <si>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</si>
  <si>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</si>
  <si>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</si>
  <si>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</si>
  <si>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</si>
  <si>
    <t>Média</t>
  </si>
  <si>
    <t>DesvPad</t>
  </si>
  <si>
    <t>%DesvPad</t>
  </si>
  <si>
    <t>Variância</t>
  </si>
  <si>
    <t>%Variância</t>
  </si>
  <si>
    <t>petr120m</t>
  </si>
  <si>
    <t>vale120m</t>
  </si>
  <si>
    <t>vale15m</t>
  </si>
  <si>
    <t>petr15m</t>
  </si>
  <si>
    <t>win15m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</si>
</sst>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2" fontId="3" fillId="0" borderId="0" xfId="3" applyNumberFormat="1" applyFont="1" applyBorder="1" applyAlignment="1"/>
    <xf numFmtId="167" fontId="3" fillId="0" borderId="0" xfId="2" applyNumberFormat="1" applyFont="1"/>
    <xf numFmtId="10" fontId="4" fillId="0" borderId="0" xfId="2" applyNumberFormat="1" applyFont="1"/>
    <xf numFmtId="43" fontId="4" fillId="0" borderId="0" xfId="3" applyFont="1"/>
    <xf numFmtId="9" fontId="4" fillId="0" borderId="0" xfId="2" applyFont="1"/>
    <xf numFmtId="9" fontId="3" fillId="0" borderId="0" xfId="2" applyFont="1"/>
    <xf numFmtId="9" fontId="3" fillId="0" borderId="0" xfId="0" applyNumberFormat="1" applyFont="1"/>
    <xf numFmtId="167" fontId="4" fillId="0" borderId="0" xfId="2" applyNumberFormat="1" applyFont="1"/>
    <xf numFmtId="172" fontId="4" fillId="0" borderId="0" xfId="3" applyNumberFormat="1" applyFont="1"/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NC" displayName="NC" ref="A1:AK95" headerRowDxfId="348" dataDxfId="347" totalsRowDxfId="346">
  <autoFilter ref="A1:AK95">
    <filterColumn colId="36"/>
  </autoFilter>
  <sortState ref="A2:AJ89">
    <sortCondition ref="E1:E89"/>
  </sortState>
  <tableColumns count="37">
    <tableColumn id="19" name="ID" totalsRowFunction="max" dataDxfId="345" totalsRowDxfId="344"/>
    <tableColumn id="36" name="U" dataDxfId="343" totalsRowDxfId="342"/>
    <tableColumn id="2" name="ATIVO" dataDxfId="341" totalsRowDxfId="340"/>
    <tableColumn id="3" name="T" dataDxfId="339" totalsRowDxfId="338"/>
    <tableColumn id="4" name="DATA" dataDxfId="337" totalsRowDxfId="336"/>
    <tableColumn id="5" name="QTDE" dataDxfId="335" totalsRowDxfId="334"/>
    <tableColumn id="6" name="PREÇO" totalsRowFunction="custom" dataDxfId="333" totalsRowDxfId="332">
      <totalsRowFormula>NC[[#Totals],[ID]]*14.9</totalsRowFormula>
    </tableColumn>
    <tableColumn id="37" name="PARCIAL" dataDxfId="331" totalsRowDxfId="330"/>
    <tableColumn id="40" name="AJUSTE" dataDxfId="329" totalsRowDxfId="328"/>
    <tableColumn id="7" name="[D/N]" totalsRowFunction="custom" dataDxfId="327" totalsRowDxfId="326">
      <totalsRowFormula>NC[[#Totals],[LUCRO P/ OP]]+NC[[#Totals],[PREÇO]]</totalsRowFormula>
    </tableColumn>
    <tableColumn id="34" name="DATA DE LIQUIDAÇÃO" dataDxfId="325" totalsRowDxfId="324">
      <calculatedColumnFormula>WORKDAY(NC[[#This Row],[DATA]],1,0)</calculatedColumnFormula>
    </tableColumn>
    <tableColumn id="31" name="DATA BASE" dataDxfId="323" totalsRowDxfId="322">
      <calculatedColumnFormula>EOMONTH(NC[[#This Row],[DATA DE LIQUIDAÇÃO]],0)</calculatedColumnFormula>
    </tableColumn>
    <tableColumn id="21" name="PAR" dataDxfId="321" totalsRowDxfId="320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9" totalsRowDxfId="318">
      <calculatedColumnFormula>[QTDE]*[PREÇO]</calculatedColumnFormula>
    </tableColumn>
    <tableColumn id="9" name="VALOR LÍQUIDO DAS OPERAÇÕES" dataDxfId="317" totalsRowDxfId="316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5" totalsRowDxfId="31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3" totalsRowDxfId="312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11" totalsRowDxfId="310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9" totalsRowDxfId="308">
      <calculatedColumnFormula>SETUP!$E$3 * IF([PARCIAL] &gt; 0, [QTDE] / [PARCIAL], 1)</calculatedColumnFormula>
    </tableColumn>
    <tableColumn id="12" name="CORRETAGEM" dataDxfId="307" totalsRowDxfId="306">
      <calculatedColumnFormula>SUMPRODUCT(N([DATA]=NC[[#This Row],[DATA]]),N([ID]&lt;=NC[[#This Row],[ID]]), [CORR])</calculatedColumnFormula>
    </tableColumn>
    <tableColumn id="13" name="ISS" dataDxfId="305" totalsRowDxfId="304">
      <calculatedColumnFormula>TRUNC([CORRETAGEM]*SETUP!$F$3,2)</calculatedColumnFormula>
    </tableColumn>
    <tableColumn id="15" name="OUTRAS BOVESPA" dataDxfId="303" totalsRowDxfId="302">
      <calculatedColumnFormula>ROUND([CORRETAGEM]*SETUP!$G$3,2)</calculatedColumnFormula>
    </tableColumn>
    <tableColumn id="16" name="LÍQUIDO BASE" dataDxfId="301" totalsRowDxfId="300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9" totalsRowDxfId="298">
      <calculatedColumnFormula>IF(AND(['[D/N']]="D",    [T]="CV",    [LÍQUIDO BASE] &gt; 0),    TRUNC([LÍQUIDO BASE]*0.01, 2),    0)</calculatedColumnFormula>
    </tableColumn>
    <tableColumn id="35" name="LÍQUIDO" dataDxfId="297" totalsRowDxfId="296">
      <calculatedColumnFormula>IF([PREÇO] &gt; 0,    [LÍQUIDO BASE]-SUMPRODUCT(N([DATA]=NC[[#This Row],[DATA]]),    [IRRF FONTE]),    0)</calculatedColumnFormula>
    </tableColumn>
    <tableColumn id="17" name="VALOR OP" dataDxfId="295" totalsRowDxfId="294">
      <calculatedColumnFormula>[LÍQUIDO]-SUMPRODUCT(N([DATA]=NC[[#This Row],[DATA]]),N([ID]=(NC[[#This Row],[ID]]-1)),[LÍQUIDO])</calculatedColumnFormula>
    </tableColumn>
    <tableColumn id="18" name="MEDIO P/ OP" dataDxfId="293" totalsRowDxfId="292">
      <calculatedColumnFormula>IF([T] = "VC", ABS([VALOR OP]) / [QTDE], [VALOR OP]/[QTDE])</calculatedColumnFormula>
    </tableColumn>
    <tableColumn id="20" name="IRRF" totalsRowFunction="sum" dataDxfId="291" totalsRowDxfId="290">
      <calculatedColumnFormula>TRUNC(IF(OR([T]="CV",[T]="VV"),     N2*SETUP!$H$3,     0),2)</calculatedColumnFormula>
    </tableColumn>
    <tableColumn id="24" name="SALDO" dataDxfId="289" totalsRowDxfId="288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7" totalsRowDxfId="28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5" totalsRowDxfId="284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3" totalsRowDxfId="282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81" totalsRowDxfId="280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9" totalsRowDxfId="278">
      <calculatedColumnFormula>IF([U] = "U", SUMPRODUCT(N([ID]&lt;=NC[[#This Row],[ID]]),N([DATA BASE]=NC[[#This Row],[DATA BASE]]), N(['[D/N']] = "N"),    [LUCRO P/ OP]), 0)</calculatedColumnFormula>
    </tableColumn>
    <tableColumn id="39" name="LUCRO [D]" dataDxfId="277" totalsRowDxfId="276">
      <calculatedColumnFormula>IF([U] = "U", SUMPRODUCT(N([DATA BASE]=NC[[#This Row],[DATA BASE]]), N(['[D/N']] = "D"),    [LUCRO P/ OP]), 0)</calculatedColumnFormula>
    </tableColumn>
    <tableColumn id="30" name="IRRF DT" dataDxfId="275" totalsRowDxfId="274">
      <calculatedColumnFormula>IF([U] = "U", SUMPRODUCT(N([DATA BASE]=NC[[#This Row],[DATA BASE]]), N(['[D/N']] = "D"),    [IRRF FONTE]), 0)</calculatedColumnFormula>
    </tableColumn>
    <tableColumn id="14" name="Colunas1" dataDxfId="273" totalsRowDxfId="272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1" dataDxfId="270" totalsRowDxfId="269">
  <autoFilter ref="A1:AK61"/>
  <sortState ref="A2:AK61">
    <sortCondition ref="E1:E61"/>
  </sortState>
  <tableColumns count="37">
    <tableColumn id="19" name="ID" totalsRowFunction="max" dataDxfId="268" totalsRowDxfId="267"/>
    <tableColumn id="36" name="U" dataDxfId="266" totalsRowDxfId="265"/>
    <tableColumn id="2" name="ATIVO" dataDxfId="264" totalsRowDxfId="263"/>
    <tableColumn id="3" name="T" dataDxfId="262" totalsRowDxfId="261"/>
    <tableColumn id="4" name="DATA" dataDxfId="260" totalsRowDxfId="259"/>
    <tableColumn id="5" name="QTDE" dataDxfId="258" totalsRowDxfId="257"/>
    <tableColumn id="6" name="PREÇO" dataDxfId="256" totalsRowDxfId="255"/>
    <tableColumn id="37" name="PARCIAL" dataDxfId="254" totalsRowDxfId="253"/>
    <tableColumn id="40" name="AJUSTE" dataDxfId="252" totalsRowDxfId="251"/>
    <tableColumn id="7" name="[D/N]" dataDxfId="250" totalsRowDxfId="249"/>
    <tableColumn id="34" name="DATA DE LIQUIDAÇÃO" dataDxfId="248" totalsRowDxfId="247">
      <calculatedColumnFormula>WORKDAY(NOTAS_80[[#This Row],[DATA]],1,0)</calculatedColumnFormula>
    </tableColumn>
    <tableColumn id="31" name="DATA BASE" dataDxfId="246" totalsRowDxfId="245">
      <calculatedColumnFormula>EOMONTH(NOTAS_80[[#This Row],[DATA DE LIQUIDAÇÃO]],0)</calculatedColumnFormula>
    </tableColumn>
    <tableColumn id="21" name="PAR" dataDxfId="244" totalsRowDxfId="243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42" totalsRowDxfId="241">
      <calculatedColumnFormula>[QTDE]*[PREÇO]</calculatedColumnFormula>
    </tableColumn>
    <tableColumn id="9" name="VALOR LÍQUIDO DAS OPERAÇÕES" dataDxfId="240" totalsRowDxfId="239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38" totalsRowDxfId="237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36" totalsRowDxfId="235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34" totalsRowDxfId="233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32" totalsRowDxfId="231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30" totalsRowDxfId="229">
      <calculatedColumnFormula>TRUNC([CORR BOV] * 20% * IF([PARCIAL] &gt; 0, [QTDE] / [PARCIAL], 1),2)</calculatedColumnFormula>
    </tableColumn>
    <tableColumn id="12" name="CORRETAGEM" dataDxfId="228" totalsRowDxfId="227">
      <calculatedColumnFormula>SUMPRODUCT(N([DATA]=NOTAS_80[[#This Row],[DATA]]),N([ID]&lt;=NOTAS_80[[#This Row],[ID]]), [CORR])</calculatedColumnFormula>
    </tableColumn>
    <tableColumn id="13" name="ISS" dataDxfId="226" totalsRowDxfId="225">
      <calculatedColumnFormula>TRUNC([CORRETAGEM]*SETUP!$F$3,2)</calculatedColumnFormula>
    </tableColumn>
    <tableColumn id="15" name="OUTRAS BOVESPA" dataDxfId="224" totalsRowDxfId="223">
      <calculatedColumnFormula>ROUND([CORRETAGEM]*SETUP!$G$3,2)</calculatedColumnFormula>
    </tableColumn>
    <tableColumn id="16" name="LÍQUIDO BASE" dataDxfId="222" totalsRowDxfId="221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20" totalsRowDxfId="219">
      <calculatedColumnFormula>IF(AND(['[D/N']]="D",    [T]="CV",    [LÍQUIDO BASE] &gt; 0),    TRUNC([LÍQUIDO BASE]*0.01, 2),    0)</calculatedColumnFormula>
    </tableColumn>
    <tableColumn id="35" name="LÍQUIDO" dataDxfId="218" totalsRowDxfId="217">
      <calculatedColumnFormula>IF([PREÇO] &gt; 0,    [LÍQUIDO BASE]-SUMPRODUCT(N([DATA]=NOTAS_80[[#This Row],[DATA]]),    [IRRF FONTE]),    0)</calculatedColumnFormula>
    </tableColumn>
    <tableColumn id="17" name="VALOR OP" dataDxfId="216" totalsRowDxfId="215">
      <calculatedColumnFormula>[LÍQUIDO]-SUMPRODUCT(N([DATA]=NOTAS_80[[#This Row],[DATA]]),N([ID]=(NOTAS_80[[#This Row],[ID]]-1)),[LÍQUIDO])</calculatedColumnFormula>
    </tableColumn>
    <tableColumn id="18" name="MEDIO P/ OP" dataDxfId="214" totalsRowDxfId="213">
      <calculatedColumnFormula>IF([T] = "VC", ABS([VALOR OP]) / [QTDE], [VALOR OP]/[QTDE])</calculatedColumnFormula>
    </tableColumn>
    <tableColumn id="20" name="IRRF" totalsRowFunction="sum" dataDxfId="212" totalsRowDxfId="211">
      <calculatedColumnFormula>TRUNC(IF(OR([T]="CV",[T]="VV"),     N2*SETUP!$H$3,     0),2)</calculatedColumnFormula>
    </tableColumn>
    <tableColumn id="24" name="SALDO" dataDxfId="210" totalsRowDxfId="209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08" totalsRowDxfId="207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06" totalsRowDxfId="20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04" totalsRowDxfId="203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02" totalsRowDxfId="201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00" totalsRowDxfId="199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198" totalsRowDxfId="197">
      <calculatedColumnFormula>IF([U] = "U", SUMPRODUCT(N([DATA BASE]=NOTAS_80[[#This Row],[DATA BASE]]), N(['[D/N']] = "D"),    [LUCRO P/ OP]), 0)</calculatedColumnFormula>
    </tableColumn>
    <tableColumn id="30" name="IRRF DT" dataDxfId="196" totalsRowDxfId="195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194" dataDxfId="193">
  <autoFilter ref="A1:N5"/>
  <tableColumns count="14">
    <tableColumn id="1" name="DATA" totalsRowLabel="Total" dataDxfId="192" totalsRowDxfId="191"/>
    <tableColumn id="2" name="LUCRO [N]" dataDxfId="190" totalsRowDxfId="189"/>
    <tableColumn id="3" name="DEDUÇÃO [N]" dataDxfId="188" totalsRowDxfId="187"/>
    <tableColumn id="8" name="IRRF [N]" dataDxfId="186" totalsRowDxfId="185"/>
    <tableColumn id="4" name="LUCRO [D]" dataDxfId="184" totalsRowDxfId="183"/>
    <tableColumn id="5" name="DEDUÇÃO [D]" dataDxfId="182" totalsRowDxfId="181"/>
    <tableColumn id="9" name="IRRF [D]" dataDxfId="180" totalsRowDxfId="179"/>
    <tableColumn id="6" name="ACC [N]" dataDxfId="178" totalsRowDxfId="177">
      <calculatedColumnFormula>IF([LUCRO '[N']] + [DEDUÇÃO '[N']] &gt; 0, 0, [LUCRO '[N']] + [DEDUÇÃO '[N']])</calculatedColumnFormula>
    </tableColumn>
    <tableColumn id="12" name="ACC [D]" dataDxfId="176" totalsRowDxfId="175">
      <calculatedColumnFormula>IF([LUCRO '[D']] + [DEDUÇÃO '[D']] &gt; 0, 0, [LUCRO '[D']] + [DEDUÇÃO '[D']])</calculatedColumnFormula>
    </tableColumn>
    <tableColumn id="7" name="IR DEVIDO [N]" dataDxfId="174" totalsRowDxfId="173">
      <calculatedColumnFormula>IF([ACC '[N']] = 0, ROUND(([LUCRO '[N']] + [DEDUÇÃO '[N']]) * 15%, 2) - [IRRF '[N']], 0)</calculatedColumnFormula>
    </tableColumn>
    <tableColumn id="10" name="IR DEVIDO [D]" dataDxfId="172" totalsRowDxfId="171">
      <calculatedColumnFormula>IF([ACC '[D']] = 0, ROUND(([LUCRO '[D']] + [DEDUÇÃO '[D']]) * 20%, 2) - [IRRF '[D']], 0)</calculatedColumnFormula>
    </tableColumn>
    <tableColumn id="14" name="IRRF" dataDxfId="170" totalsRowDxfId="169">
      <calculatedColumnFormula>[IRRF '[N']] + [IRRF '[D']]</calculatedColumnFormula>
    </tableColumn>
    <tableColumn id="11" name="IR DEVIDO" dataDxfId="168" totalsRowDxfId="167">
      <calculatedColumnFormula>[IR DEVIDO '[N']] + [IR DEVIDO '[D']]</calculatedColumnFormula>
    </tableColumn>
    <tableColumn id="13" name="LUCRO TOTAL" totalsRowFunction="sum" dataDxfId="166" totalsRowDxfId="165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164" dataDxfId="163">
  <autoFilter ref="A1:K5"/>
  <sortState ref="A2:K4">
    <sortCondition ref="C1:C4"/>
  </sortState>
  <tableColumns count="11">
    <tableColumn id="1" name="PAPEL" totalsRowLabel="Total" dataDxfId="162" totalsRowDxfId="161"/>
    <tableColumn id="10" name="APLICAÇÃO" dataDxfId="0" totalsRowDxfId="160">
      <calculatedColumnFormula>450</calculatedColumnFormula>
    </tableColumn>
    <tableColumn id="2" name="EXERCÍCIO" dataDxfId="159" totalsRowDxfId="158"/>
    <tableColumn id="3" name="PREÇO OPÇÃO" dataDxfId="157" totalsRowDxfId="156"/>
    <tableColumn id="4" name="PREÇO AÇÃO" dataDxfId="155" totalsRowDxfId="154"/>
    <tableColumn id="11" name="QTDE TMP" dataDxfId="153" totalsRowDxfId="152">
      <calculatedColumnFormula>ROUNDDOWN([APLICAÇÃO]/[PREÇO OPÇÃO], 0)</calculatedColumnFormula>
    </tableColumn>
    <tableColumn id="14" name="QTDE" dataDxfId="151" totalsRowDxfId="150">
      <calculatedColumnFormula>[QTDE TMP] - MOD([QTDE TMP], 100)</calculatedColumnFormula>
    </tableColumn>
    <tableColumn id="5" name="TARGET 100%" dataDxfId="149" totalsRowDxfId="148" dataCellStyle="Moeda">
      <calculatedColumnFormula>[EXERCÍCIO] + ([PREÇO OPÇÃO] * 2)</calculatedColumnFormula>
    </tableColumn>
    <tableColumn id="6" name="ALTA 100%" dataDxfId="147" totalsRowDxfId="146">
      <calculatedColumnFormula>[TARGET 100%] / [PREÇO AÇÃO] - 1</calculatedColumnFormula>
    </tableColumn>
    <tableColumn id="12" name="LUCRO* 100%" dataDxfId="145" totalsRowDxfId="144">
      <calculatedColumnFormula>[PREÇO OPÇÃO] * [QTDE]</calculatedColumnFormula>
    </tableColumn>
    <tableColumn id="7" name="GORDURA" dataDxfId="143" totalsRowDxfId="142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41" dataDxfId="140">
  <autoFilter ref="A1:P4"/>
  <tableColumns count="16">
    <tableColumn id="1" name="PAPEL" totalsRowLabel="Total" dataDxfId="139" totalsRowDxfId="138"/>
    <tableColumn id="10" name="RISCO" dataDxfId="137" totalsRowDxfId="136"/>
    <tableColumn id="20" name="PREÇO AÇÃO" dataDxfId="135" totalsRowDxfId="134"/>
    <tableColumn id="7" name="EXERC. VENDA" dataDxfId="133" totalsRowDxfId="132"/>
    <tableColumn id="8" name="PREÇO VENDA" dataDxfId="131" totalsRowDxfId="130"/>
    <tableColumn id="2" name="EXERC. COMPRA" dataDxfId="129" totalsRowDxfId="128"/>
    <tableColumn id="3" name="PREÇO COMPRA" dataDxfId="127" totalsRowDxfId="126"/>
    <tableColumn id="4" name="VOLUME" dataDxfId="125" totalsRowDxfId="124">
      <calculatedColumnFormula>([QTDE] * [PREÇO COMPRA]) + ([QTDE] * [PREÇO VENDA])</calculatedColumnFormula>
    </tableColumn>
    <tableColumn id="18" name="LUCRO P/ OPÇÃO" dataDxfId="123" totalsRowDxfId="122">
      <calculatedColumnFormula>[PREÇO VENDA]-[PREÇO COMPRA]</calculatedColumnFormula>
    </tableColumn>
    <tableColumn id="19" name="PERDA P/ OPÇÃO" dataDxfId="121" totalsRowDxfId="120">
      <calculatedColumnFormula>(0.01 - [PREÇO COMPRA]) + ([PREÇO VENDA] - ([EXERC. COMPRA]-[EXERC. VENDA]+0.01))</calculatedColumnFormula>
    </tableColumn>
    <tableColumn id="11" name="QTDE TMP" dataDxfId="119" totalsRowDxfId="118">
      <calculatedColumnFormula>ROUNDDOWN([RISCO]/ABS([PERDA P/ OPÇÃO]), 0)</calculatedColumnFormula>
    </tableColumn>
    <tableColumn id="14" name="QTDE" dataDxfId="117" totalsRowDxfId="116">
      <calculatedColumnFormula>[QTDE TMP] - MOD([QTDE TMP], 100)</calculatedColumnFormula>
    </tableColumn>
    <tableColumn id="5" name="LUCRO*" dataDxfId="115" totalsRowDxfId="114">
      <calculatedColumnFormula>([QTDE]*[LUCRO P/ OPÇÃO])-32</calculatedColumnFormula>
    </tableColumn>
    <tableColumn id="6" name="PERDA*" dataDxfId="113" totalsRowDxfId="112">
      <calculatedColumnFormula>[QTDE]*[PERDA P/ OPÇÃO]-32</calculatedColumnFormula>
    </tableColumn>
    <tableColumn id="21" name="% QUEDA" dataDxfId="111" totalsRowDxfId="110">
      <calculatedColumnFormula>[EXERC. VENDA]/[PREÇO AÇÃO]-1</calculatedColumnFormula>
    </tableColumn>
    <tableColumn id="22" name="RISCO : 1" dataDxfId="109" totalsRowDxfId="108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3" headerRowDxfId="107" dataDxfId="106">
  <autoFilter ref="A1:O3"/>
  <tableColumns count="15">
    <tableColumn id="1" name="PAPEL" totalsRowLabel="Total" dataDxfId="105" totalsRowDxfId="104"/>
    <tableColumn id="10" name="RISCO" dataDxfId="103" totalsRowDxfId="102"/>
    <tableColumn id="20" name="PREÇO AÇÃO" dataDxfId="101" totalsRowDxfId="100"/>
    <tableColumn id="7" name="EX. VENDA" dataDxfId="99" totalsRowDxfId="98"/>
    <tableColumn id="2" name="EX. COMPRA" dataDxfId="97" totalsRowDxfId="96" dataCellStyle="Moeda"/>
    <tableColumn id="3" name="PR Venda" dataDxfId="95" totalsRowDxfId="94" dataCellStyle="Moeda"/>
    <tableColumn id="16" name="QTDE" dataDxfId="93" totalsRowDxfId="92"/>
    <tableColumn id="13" name="PERDA P/ OPÇÃO" dataDxfId="91" totalsRowDxfId="90">
      <calculatedColumnFormula>([RISCO])/[QTDE]</calculatedColumnFormula>
    </tableColumn>
    <tableColumn id="14" name="Volume" dataDxfId="89" totalsRowDxfId="88">
      <calculatedColumnFormula>[PR Venda] * [QTDE]+[QTDE]*[PR Compra]</calculatedColumnFormula>
    </tableColumn>
    <tableColumn id="15" name="LUCRO UNI" dataDxfId="87" totalsRowDxfId="86">
      <calculatedColumnFormula>[PR Venda]-[PR Compra]</calculatedColumnFormula>
    </tableColumn>
    <tableColumn id="8" name="PR Compra" dataDxfId="85" totalsRowDxfId="84">
      <calculatedColumnFormula>(-[PERDA P/ OPÇÃO] + ([EX. COMPRA] - [EX. VENDA] + 0.01) - 0.01 -[PR Venda])*-1</calculatedColumnFormula>
    </tableColumn>
    <tableColumn id="5" name="LUCRO" dataDxfId="83" totalsRowDxfId="82">
      <calculatedColumnFormula>([QTDE]*[LUCRO UNI])-64</calculatedColumnFormula>
    </tableColumn>
    <tableColumn id="6" name="PERDA" dataDxfId="81" totalsRowDxfId="80">
      <calculatedColumnFormula>-[PERDA P/ OPÇÃO]*[QTDE]-64</calculatedColumnFormula>
    </tableColumn>
    <tableColumn id="21" name="% QUEDA" dataDxfId="79" totalsRowDxfId="78">
      <calculatedColumnFormula>[EX. VENDA]/[PREÇO AÇÃO]-1</calculatedColumnFormula>
    </tableColumn>
    <tableColumn id="22" name="RISCO : 1" dataDxfId="77" totalsRowDxfId="76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75" dataDxfId="74">
  <autoFilter ref="A1:U2"/>
  <tableColumns count="21">
    <tableColumn id="1" name="PAPEL" totalsRowLabel="Total" dataDxfId="73" totalsRowDxfId="72"/>
    <tableColumn id="10" name="BASE" dataDxfId="71" totalsRowDxfId="70"/>
    <tableColumn id="20" name="PR. AÇÃO" dataDxfId="69" totalsRowDxfId="68"/>
    <tableColumn id="2" name="EX. CP 1" dataDxfId="67" totalsRowDxfId="66"/>
    <tableColumn id="3" name="PR CP 1" dataDxfId="65" totalsRowDxfId="64"/>
    <tableColumn id="12" name="EX. VD" dataDxfId="63" totalsRowDxfId="62"/>
    <tableColumn id="13" name="PR VD" dataDxfId="61" totalsRowDxfId="60"/>
    <tableColumn id="8" name="EX. CP 2" dataDxfId="59" totalsRowDxfId="58"/>
    <tableColumn id="7" name="PR CP 2" dataDxfId="57" totalsRowDxfId="56"/>
    <tableColumn id="18" name="LUCRO UNI." dataDxfId="55" totalsRowDxfId="54">
      <calculatedColumnFormula>(([PR VD] - 0.01) * 2) + (([EX. VD] - [EX. CP 1] + 0.01) - [PR CP 1]) + (0.01 - [PR CP 2])</calculatedColumnFormula>
    </tableColumn>
    <tableColumn id="19" name="PERDA 1" dataDxfId="53" totalsRowDxfId="52">
      <calculatedColumnFormula>(0.01 - [PR CP 1]) + (([PR VD] - 0.01) * 2) + (0.01 - [PR CP 2])</calculatedColumnFormula>
    </tableColumn>
    <tableColumn id="15" name="PERDA 2" dataDxfId="51" totalsRowDxfId="50">
      <calculatedColumnFormula>(([EX. CP 2] - [EX. CP 1] + 0.01) - [PR CP 1]) + (([PR VD] - ([EX. CP 2] - [EX. VD] + 0.01)) * 2) + (0.01 - [PR CP 2])</calculatedColumnFormula>
    </tableColumn>
    <tableColumn id="16" name="PERDA" dataDxfId="49" totalsRowDxfId="48">
      <calculatedColumnFormula>IF([PERDA 1] &gt; [PERDA 2], [PERDA 2], [PERDA 1])</calculatedColumnFormula>
    </tableColumn>
    <tableColumn id="11" name="QTDE TMP" dataDxfId="47" totalsRowDxfId="46">
      <calculatedColumnFormula>ROUNDDOWN([BASE]/ABS([PERDA]), 0)</calculatedColumnFormula>
    </tableColumn>
    <tableColumn id="14" name="QTDE" dataDxfId="45" totalsRowDxfId="44">
      <calculatedColumnFormula>[QTDE TMP] - MOD([QTDE TMP], 100)</calculatedColumnFormula>
    </tableColumn>
    <tableColumn id="4" name="QTDE VD" dataDxfId="43" totalsRowDxfId="42">
      <calculatedColumnFormula>Tabela245[[#This Row],[QTDE]]*2</calculatedColumnFormula>
    </tableColumn>
    <tableColumn id="17" name="VOLUME" dataDxfId="41" totalsRowDxfId="40">
      <calculatedColumnFormula>([QTDE]*[PR CP 1] + [QTDE]*[PR CP 2])+[QTDE]*[PR VD] * 2</calculatedColumnFormula>
    </tableColumn>
    <tableColumn id="5" name="LUCRO" dataDxfId="39" totalsRowDxfId="38">
      <calculatedColumnFormula>([QTDE]*[LUCRO UNI.])-48</calculatedColumnFormula>
    </tableColumn>
    <tableColumn id="6" name="PERDA2" dataDxfId="37" totalsRowDxfId="36">
      <calculatedColumnFormula>[QTDE]*[PERDA]-48</calculatedColumnFormula>
    </tableColumn>
    <tableColumn id="21" name="% VAR" dataDxfId="35" totalsRowDxfId="34">
      <calculatedColumnFormula>[EX. VD] / [PR. AÇÃO] - 1</calculatedColumnFormula>
    </tableColumn>
    <tableColumn id="22" name="RISCO : 1" dataDxfId="33" totalsRowDxfId="32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31" dataDxfId="30">
  <autoFilter ref="A1:O5"/>
  <tableColumns count="15">
    <tableColumn id="1" name="PAPEL" totalsRowLabel="Total" dataDxfId="29" totalsRowDxfId="28"/>
    <tableColumn id="10" name="RISCO" dataDxfId="27" totalsRowDxfId="26"/>
    <tableColumn id="20" name="PREÇO AÇÃO" dataDxfId="25" totalsRowDxfId="24"/>
    <tableColumn id="7" name="EX. VENDA" dataDxfId="23" totalsRowDxfId="22"/>
    <tableColumn id="2" name="EX. COMPRA" dataDxfId="21" totalsRowDxfId="20"/>
    <tableColumn id="9" name="PR VENDA" totalsRowDxfId="19"/>
    <tableColumn id="3" name="PR COMPRA" dataDxfId="18" totalsRowDxfId="17"/>
    <tableColumn id="16" name="QTDE" dataDxfId="16" totalsRowDxfId="15"/>
    <tableColumn id="13" name="PERDA P/ OPÇÃO" dataDxfId="14" totalsRowDxfId="13">
      <calculatedColumnFormula>([PR VENDA] - ([EX. COMPRA] - [EX. VENDA] + 0.01)) + (0.01 - ([PR COMPRA]))</calculatedColumnFormula>
    </tableColumn>
    <tableColumn id="14" name="VOLUME" dataDxfId="12" totalsRowDxfId="11">
      <calculatedColumnFormula>[PR COMPRA] * [QTDE]</calculatedColumnFormula>
    </tableColumn>
    <tableColumn id="15" name="LUCRO UNI" dataDxfId="10" totalsRowDxfId="9">
      <calculatedColumnFormula>[PR VENDA]-[PR COMPRA]</calculatedColumnFormula>
    </tableColumn>
    <tableColumn id="5" name="LUCRO*" dataDxfId="8" totalsRowDxfId="7">
      <calculatedColumnFormula>([QTDE]*[LUCRO UNI])</calculatedColumnFormula>
    </tableColumn>
    <tableColumn id="6" name="PERDA*" dataDxfId="6" totalsRowDxfId="5">
      <calculatedColumnFormula>[PERDA P/ OPÇÃO]*[QTDE]</calculatedColumnFormula>
    </tableColumn>
    <tableColumn id="21" name="% QUEDA" dataDxfId="4" totalsRowDxfId="3">
      <calculatedColumnFormula>[EX. VENDA]/[PREÇO AÇÃO]-1</calculatedColumnFormula>
    </tableColumn>
    <tableColumn id="22" name="RISCO : 1" dataDxfId="2" totalsRowDxfId="1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99"/>
  <sheetViews>
    <sheetView workbookViewId="0">
      <pane xSplit="10" ySplit="1" topLeftCell="K77" activePane="bottomRight" state="frozen"/>
      <selection pane="topRight" activeCell="K1" sqref="K1"/>
      <selection pane="bottomLeft" activeCell="A2" sqref="A2"/>
      <selection pane="bottomRight" activeCell="G100" sqref="G10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1000</v>
      </c>
      <c r="G92" s="136">
        <v>0.47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470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-486.38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6">
        <f>[LÍQUIDO]-SUMPRODUCT(N([DATA]=NC[[#This Row],[DATA]]),N([ID]=(NC[[#This Row],[ID]]-1)),[LÍQUIDO])</f>
        <v>-486.38</v>
      </c>
      <c r="AA92" s="136">
        <f>IF([T] = "VC", ABS([VALOR OP]) / [QTDE], [VALOR OP]/[QTDE])</f>
        <v>-0.48637999999999998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-0.48637999999999998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500</v>
      </c>
      <c r="G93" s="136">
        <v>0.65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325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308.81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6">
        <f>[LÍQUIDO]-SUMPRODUCT(N([DATA]=NC[[#This Row],[DATA]]),N([ID]=(NC[[#This Row],[ID]]-1)),[LÍQUIDO])</f>
        <v>308.81</v>
      </c>
      <c r="AA93" s="136">
        <f>IF([T] = "VC", ABS([VALOR OP]) / [QTDE], [VALOR OP]/[QTDE])</f>
        <v>0.61762000000000006</v>
      </c>
      <c r="AB93" s="136">
        <f>TRUNC(IF(OR([T]="CV",[T]="VV"),     N93*SETUP!$H$3,     0),2)</f>
        <v>0.01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6">
        <f>IF([LUCRO TMP] &lt;&gt; 0, [LUCRO TMP] - SUMPRODUCT(N([ATIVO]=NC[[#This Row],[ATIVO]]),N(['[D/N']]="N"),N([ID]&lt;NC[[#This Row],[ID]]),N([PAR]=NC[[#This Row],[PAR]]), [LUCRO TMP]), 0)</f>
        <v>65.620000000000033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0.61762000000000006</v>
      </c>
    </row>
    <row r="94" spans="1:37">
      <c r="A94" s="134">
        <v>93</v>
      </c>
      <c r="B94" s="134"/>
      <c r="C94" s="134" t="s">
        <v>183</v>
      </c>
      <c r="D94" s="134" t="s">
        <v>24</v>
      </c>
      <c r="E94" s="135">
        <v>41758</v>
      </c>
      <c r="F94" s="134">
        <v>800</v>
      </c>
      <c r="G94" s="136">
        <v>0.61</v>
      </c>
      <c r="H94" s="137"/>
      <c r="I94" s="138"/>
      <c r="J94" s="134" t="s">
        <v>6</v>
      </c>
      <c r="K94" s="135">
        <f>WORKDAY(NC[[#This Row],[DATA]],1,0)</f>
        <v>41759</v>
      </c>
      <c r="L94" s="139">
        <f>EOMONTH(NC[[#This Row],[DATA DE LIQUIDAÇÃO]],0)</f>
        <v>41759</v>
      </c>
      <c r="M94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6">
        <f>[QTDE]*[PREÇO]</f>
        <v>488</v>
      </c>
      <c r="O94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-488</v>
      </c>
      <c r="P94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94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94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94" s="136">
        <f>SETUP!$E$3 * IF([PARCIAL] &gt; 0, [QTDE] / [PARCIAL], 1)</f>
        <v>14.9</v>
      </c>
      <c r="T94" s="136">
        <f>SUMPRODUCT(N([DATA]=NC[[#This Row],[DATA]]),N([ID]&lt;=NC[[#This Row],[ID]]), [CORR])</f>
        <v>14.9</v>
      </c>
      <c r="U94" s="136">
        <f>TRUNC([CORRETAGEM]*SETUP!$F$3,2)</f>
        <v>0.28999999999999998</v>
      </c>
      <c r="V94" s="136">
        <f>ROUND([CORRETAGEM]*SETUP!$G$3,2)</f>
        <v>0.57999999999999996</v>
      </c>
      <c r="W94" s="136">
        <f>[VALOR LÍQUIDO DAS OPERAÇÕES]-[TAXA DE LIQUIDAÇÃO]-[EMOLUMENTOS]-[TAXA DE REGISTRO]-[CORRETAGEM]-[ISS]-IF(['[D/N']]="D",    0,    [OUTRAS BOVESPA]) - [AJUSTE]</f>
        <v>-504.40999999999997</v>
      </c>
      <c r="X94" s="136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-504.40999999999997</v>
      </c>
      <c r="Z94" s="136">
        <f>[LÍQUIDO]-SUMPRODUCT(N([DATA]=NC[[#This Row],[DATA]]),N([ID]=(NC[[#This Row],[ID]]-1)),[LÍQUIDO])</f>
        <v>-504.40999999999997</v>
      </c>
      <c r="AA94" s="136">
        <f>IF([T] = "VC", ABS([VALOR OP]) / [QTDE], [VALOR OP]/[QTDE])</f>
        <v>-0.63051249999999992</v>
      </c>
      <c r="AB94" s="136">
        <f>TRUNC(IF(OR([T]="CV",[T]="VV"),     N94*SETUP!$H$3,     0),2)</f>
        <v>0</v>
      </c>
      <c r="AC94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94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0.63051249999999992</v>
      </c>
      <c r="AE94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6">
        <f>IF([LUCRO TMP] &lt;&gt; 0, [LUCRO TMP] - SUMPRODUCT(N([ATIVO]=NC[[#This Row],[ATIVO]]),N(['[D/N']]="N"),N([ID]&lt;NC[[#This Row],[ID]]),N([PAR]=NC[[#This Row],[PAR]]), [LUCRO TMP]), 0)</f>
        <v>0</v>
      </c>
      <c r="AH94" s="136">
        <f>IF([U] = "U", SUMPRODUCT(N([ID]&lt;=NC[[#This Row],[ID]]),N([DATA BASE]=NC[[#This Row],[DATA BASE]]), N(['[D/N']] = "N"),    [LUCRO P/ OP]), 0)</f>
        <v>0</v>
      </c>
      <c r="AI94" s="136">
        <f>IF([U] = "U", SUMPRODUCT(N([DATA BASE]=NC[[#This Row],[DATA BASE]]), N(['[D/N']] = "D"),    [LUCRO P/ OP]), 0)</f>
        <v>0</v>
      </c>
      <c r="AJ94" s="136">
        <f>IF([U] = "U", SUMPRODUCT(N([DATA BASE]=NC[[#This Row],[DATA BASE]]), N(['[D/N']] = "D"),    [IRRF FONTE]), 0)</f>
        <v>0</v>
      </c>
      <c r="AK94" s="157">
        <f>NC[[#This Row],[LÍQUIDO]]/NC[[#This Row],[QTDE]]</f>
        <v>-0.63051249999999992</v>
      </c>
    </row>
    <row r="95" spans="1:37">
      <c r="A95" s="134">
        <v>94</v>
      </c>
      <c r="B95" s="134"/>
      <c r="C95" s="134" t="s">
        <v>183</v>
      </c>
      <c r="D95" s="134" t="s">
        <v>25</v>
      </c>
      <c r="E95" s="135">
        <v>41759</v>
      </c>
      <c r="F95" s="134">
        <v>600</v>
      </c>
      <c r="G95" s="136">
        <v>0.86</v>
      </c>
      <c r="H95" s="137"/>
      <c r="I95" s="138"/>
      <c r="J95" s="134" t="s">
        <v>6</v>
      </c>
      <c r="K95" s="135">
        <f>WORKDAY(NC[[#This Row],[DATA]],1,0)</f>
        <v>41760</v>
      </c>
      <c r="L95" s="139">
        <f>EOMONTH(NC[[#This Row],[DATA DE LIQUIDAÇÃO]],0)</f>
        <v>41790</v>
      </c>
      <c r="M95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6">
        <f>[QTDE]*[PREÇO]</f>
        <v>516</v>
      </c>
      <c r="O95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516</v>
      </c>
      <c r="P95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0.14000000000000001</v>
      </c>
      <c r="Q95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95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95" s="136">
        <f>SETUP!$E$3 * IF([PARCIAL] &gt; 0, [QTDE] / [PARCIAL], 1)</f>
        <v>14.9</v>
      </c>
      <c r="T95" s="136">
        <f>SUMPRODUCT(N([DATA]=NC[[#This Row],[DATA]]),N([ID]&lt;=NC[[#This Row],[ID]]), [CORR])</f>
        <v>14.9</v>
      </c>
      <c r="U95" s="136">
        <f>TRUNC([CORRETAGEM]*SETUP!$F$3,2)</f>
        <v>0.28999999999999998</v>
      </c>
      <c r="V95" s="136">
        <f>ROUND([CORRETAGEM]*SETUP!$G$3,2)</f>
        <v>0.57999999999999996</v>
      </c>
      <c r="W95" s="136">
        <f>[VALOR LÍQUIDO DAS OPERAÇÕES]-[TAXA DE LIQUIDAÇÃO]-[EMOLUMENTOS]-[TAXA DE REGISTRO]-[CORRETAGEM]-[ISS]-IF(['[D/N']]="D",    0,    [OUTRAS BOVESPA]) - [AJUSTE]</f>
        <v>499.54999999999995</v>
      </c>
      <c r="X95" s="136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499.54999999999995</v>
      </c>
      <c r="Z95" s="136">
        <f>[LÍQUIDO]-SUMPRODUCT(N([DATA]=NC[[#This Row],[DATA]]),N([ID]=(NC[[#This Row],[ID]]-1)),[LÍQUIDO])</f>
        <v>499.54999999999995</v>
      </c>
      <c r="AA95" s="136">
        <f>IF([T] = "VC", ABS([VALOR OP]) / [QTDE], [VALOR OP]/[QTDE])</f>
        <v>0.83258333333333323</v>
      </c>
      <c r="AB95" s="136">
        <f>TRUNC(IF(OR([T]="CV",[T]="VV"),     N95*SETUP!$H$3,     0),2)</f>
        <v>0.02</v>
      </c>
      <c r="AC95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95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0.63051249999999992</v>
      </c>
      <c r="AE95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0.83258333333333323</v>
      </c>
      <c r="AF95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121.24249999999999</v>
      </c>
      <c r="AG95" s="136">
        <f>IF([LUCRO TMP] &lt;&gt; 0, [LUCRO TMP] - SUMPRODUCT(N([ATIVO]=NC[[#This Row],[ATIVO]]),N(['[D/N']]="N"),N([ID]&lt;NC[[#This Row],[ID]]),N([PAR]=NC[[#This Row],[PAR]]), [LUCRO TMP]), 0)</f>
        <v>121.24249999999999</v>
      </c>
      <c r="AH95" s="136">
        <f>IF([U] = "U", SUMPRODUCT(N([ID]&lt;=NC[[#This Row],[ID]]),N([DATA BASE]=NC[[#This Row],[DATA BASE]]), N(['[D/N']] = "N"),    [LUCRO P/ OP]), 0)</f>
        <v>0</v>
      </c>
      <c r="AI95" s="136">
        <f>IF([U] = "U", SUMPRODUCT(N([DATA BASE]=NC[[#This Row],[DATA BASE]]), N(['[D/N']] = "D"),    [LUCRO P/ OP]), 0)</f>
        <v>0</v>
      </c>
      <c r="AJ95" s="136">
        <f>IF([U] = "U", SUMPRODUCT(N([DATA BASE]=NC[[#This Row],[DATA BASE]]), N(['[D/N']] = "D"),    [IRRF FONTE]), 0)</f>
        <v>0</v>
      </c>
      <c r="AK95" s="157">
        <f>NC[[#This Row],[LÍQUIDO]]/NC[[#This Row],[QTDE]]</f>
        <v>0.83258333333333323</v>
      </c>
    </row>
    <row r="96" spans="1:37">
      <c r="Y96" s="27"/>
      <c r="AG96" s="27"/>
    </row>
    <row r="99" spans="25:25">
      <c r="Y99" s="7">
        <v>-760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W80"/>
  <sheetViews>
    <sheetView tabSelected="1" workbookViewId="0">
      <selection sqref="A1:A1048576"/>
    </sheetView>
  </sheetViews>
  <sheetFormatPr defaultRowHeight="11.25"/>
  <cols>
    <col min="1" max="1" width="7.7109375" style="25" bestFit="1" customWidth="1"/>
    <col min="2" max="2" width="10.7109375" style="25" bestFit="1" customWidth="1"/>
    <col min="3" max="3" width="7.42578125" style="152" bestFit="1" customWidth="1"/>
    <col min="4" max="4" width="7.7109375" style="27" bestFit="1" customWidth="1"/>
    <col min="5" max="5" width="6.5703125" style="162" bestFit="1" customWidth="1"/>
    <col min="6" max="6" width="10.42578125" style="152" bestFit="1" customWidth="1"/>
    <col min="7" max="7" width="8.28515625" style="158" bestFit="1" customWidth="1"/>
    <col min="8" max="8" width="6.5703125" style="162" bestFit="1" customWidth="1"/>
    <col min="9" max="9" width="6.5703125" style="7" bestFit="1" customWidth="1"/>
    <col min="10" max="10" width="9.140625" style="7"/>
    <col min="11" max="12" width="7.7109375" style="25" bestFit="1" customWidth="1"/>
    <col min="13" max="13" width="10.7109375" style="25" customWidth="1"/>
    <col min="14" max="14" width="9.140625" style="7"/>
    <col min="15" max="15" width="9.140625" style="25" customWidth="1"/>
    <col min="16" max="17" width="7.7109375" style="25" bestFit="1" customWidth="1"/>
    <col min="18" max="18" width="7.42578125" style="152" bestFit="1" customWidth="1"/>
    <col min="19" max="19" width="7.7109375" style="27" bestFit="1" customWidth="1"/>
    <col min="20" max="20" width="6.5703125" style="162" bestFit="1" customWidth="1"/>
    <col min="21" max="21" width="8" style="144" bestFit="1" customWidth="1"/>
    <col min="22" max="22" width="8.28515625" style="158" bestFit="1" customWidth="1"/>
    <col min="23" max="23" width="6.5703125" style="162" bestFit="1" customWidth="1"/>
    <col min="24" max="16384" width="9.140625" style="7"/>
  </cols>
  <sheetData>
    <row r="1" spans="1:23" s="24" customFormat="1">
      <c r="A1" s="26" t="s">
        <v>192</v>
      </c>
      <c r="B1" s="26" t="s">
        <v>184</v>
      </c>
      <c r="C1" s="160" t="s">
        <v>185</v>
      </c>
      <c r="D1" s="159" t="s">
        <v>186</v>
      </c>
      <c r="E1" s="161"/>
      <c r="F1" s="160" t="s">
        <v>187</v>
      </c>
      <c r="G1" s="164" t="s">
        <v>188</v>
      </c>
      <c r="H1" s="161"/>
      <c r="K1" s="26" t="s">
        <v>192</v>
      </c>
      <c r="L1" s="26" t="s">
        <v>191</v>
      </c>
      <c r="M1" s="26" t="s">
        <v>193</v>
      </c>
      <c r="O1" s="26" t="s">
        <v>189</v>
      </c>
      <c r="P1" s="26" t="s">
        <v>190</v>
      </c>
      <c r="Q1" s="26"/>
      <c r="R1" s="160"/>
      <c r="S1" s="159"/>
      <c r="T1" s="161"/>
      <c r="U1" s="165"/>
      <c r="V1" s="164"/>
      <c r="W1" s="161"/>
    </row>
    <row r="2" spans="1:23">
      <c r="A2" s="25">
        <v>15.91</v>
      </c>
      <c r="B2" s="25">
        <f>IF(COUNTBLANK(A2:A10)&gt;0,"",AVERAGE(A2:A10))</f>
        <v>15.792222222222222</v>
      </c>
      <c r="C2" s="152">
        <f>IF(B2="","",STDEV(A2:A10))</f>
        <v>0.10697871023920826</v>
      </c>
      <c r="D2" s="27">
        <f>C2/B2</f>
        <v>6.7741391131560845E-3</v>
      </c>
      <c r="F2" s="152">
        <f>VAR(A2:A10)</f>
        <v>1.1444444444444481E-2</v>
      </c>
      <c r="G2" s="158">
        <f>F2/B2</f>
        <v>7.2468866530641198E-4</v>
      </c>
      <c r="K2" s="25">
        <v>15.91</v>
      </c>
      <c r="L2" s="25">
        <v>29.89</v>
      </c>
      <c r="M2" s="25">
        <v>51365</v>
      </c>
      <c r="O2" s="25">
        <v>15.61</v>
      </c>
      <c r="P2" s="25">
        <v>29.82</v>
      </c>
    </row>
    <row r="3" spans="1:23">
      <c r="A3" s="25">
        <v>15.88</v>
      </c>
      <c r="B3" s="25">
        <f t="shared" ref="B3:B66" si="0">IF(COUNTBLANK(A3:A11)&gt;0,"",AVERAGE(A3:A11))</f>
        <v>15.763333333333334</v>
      </c>
      <c r="C3" s="152">
        <f>IF(B3="","",STDEV(A3:A11))</f>
        <v>0.10630145812734662</v>
      </c>
      <c r="D3" s="27">
        <f t="shared" ref="D3:D15" si="1">C3/B3</f>
        <v>6.7435900694024073E-3</v>
      </c>
      <c r="E3" s="162">
        <f>D3/D2</f>
        <v>0.9954903430172628</v>
      </c>
      <c r="F3" s="152">
        <f t="shared" ref="F3:F66" si="2">VAR(A3:A11)</f>
        <v>1.1300000000000027E-2</v>
      </c>
      <c r="G3" s="158">
        <f>F3/B3</f>
        <v>7.1685345739057056E-4</v>
      </c>
      <c r="H3" s="162">
        <f>G3/G2</f>
        <v>0.98918817377593649</v>
      </c>
      <c r="K3" s="25">
        <v>15.88</v>
      </c>
      <c r="L3" s="25">
        <v>29.75</v>
      </c>
      <c r="M3" s="25">
        <v>51260</v>
      </c>
      <c r="O3" s="25">
        <v>15.62</v>
      </c>
      <c r="P3" s="25">
        <v>29.88</v>
      </c>
    </row>
    <row r="4" spans="1:23">
      <c r="A4" s="25">
        <v>15.89</v>
      </c>
      <c r="B4" s="25">
        <f t="shared" si="0"/>
        <v>15.736666666666666</v>
      </c>
      <c r="C4" s="152">
        <f>IF(B4="","",STDEV(A4:A12))</f>
        <v>0.10344080432788597</v>
      </c>
      <c r="D4" s="27">
        <f t="shared" si="1"/>
        <v>6.5732347592386761E-3</v>
      </c>
      <c r="E4" s="162">
        <f t="shared" ref="E4:E67" si="3">D4/D3</f>
        <v>0.97473818716581218</v>
      </c>
      <c r="F4" s="152">
        <f t="shared" si="2"/>
        <v>1.0699999999999991E-2</v>
      </c>
      <c r="G4" s="158">
        <f>F4/B4</f>
        <v>6.7994069053166643E-4</v>
      </c>
      <c r="H4" s="162">
        <f t="shared" ref="H4:H68" si="4">G4/G3</f>
        <v>0.9485072346679182</v>
      </c>
      <c r="K4" s="25">
        <v>15.89</v>
      </c>
      <c r="L4" s="25">
        <v>29.75</v>
      </c>
      <c r="M4" s="25">
        <v>51240</v>
      </c>
      <c r="O4" s="25">
        <v>15.42</v>
      </c>
      <c r="P4" s="25">
        <v>29.49</v>
      </c>
    </row>
    <row r="5" spans="1:23">
      <c r="A5" s="25">
        <v>15.87</v>
      </c>
      <c r="B5" s="25">
        <f t="shared" si="0"/>
        <v>15.707777777777778</v>
      </c>
      <c r="C5" s="152">
        <f>IF(B5="","",STDEV(A5:A13))</f>
        <v>9.0798923145841343E-2</v>
      </c>
      <c r="D5" s="27">
        <f t="shared" si="1"/>
        <v>5.7805072385412187E-3</v>
      </c>
      <c r="E5" s="162">
        <f t="shared" si="3"/>
        <v>0.87940069847904345</v>
      </c>
      <c r="F5" s="152">
        <f t="shared" si="2"/>
        <v>8.2444444444444015E-3</v>
      </c>
      <c r="G5" s="158">
        <f>F5/B5</f>
        <v>5.2486383249628359E-4</v>
      </c>
      <c r="H5" s="162">
        <f t="shared" si="4"/>
        <v>0.77192590442833553</v>
      </c>
      <c r="K5" s="25">
        <v>15.87</v>
      </c>
      <c r="L5" s="25">
        <v>29.67</v>
      </c>
      <c r="M5" s="25">
        <v>51105</v>
      </c>
      <c r="O5" s="25">
        <v>15.44</v>
      </c>
      <c r="P5" s="25">
        <v>29.48</v>
      </c>
    </row>
    <row r="6" spans="1:23">
      <c r="A6" s="25">
        <v>15.84</v>
      </c>
      <c r="B6" s="25">
        <f t="shared" si="0"/>
        <v>15.682222222222221</v>
      </c>
      <c r="C6" s="152">
        <f>IF(B6="","",STDEV(A6:A14))</f>
        <v>6.9241926926136579E-2</v>
      </c>
      <c r="D6" s="27">
        <f t="shared" si="1"/>
        <v>4.4153134641861224E-3</v>
      </c>
      <c r="E6" s="162">
        <f t="shared" si="3"/>
        <v>0.76382803134424937</v>
      </c>
      <c r="F6" s="152">
        <f t="shared" si="2"/>
        <v>4.7944444444444371E-3</v>
      </c>
      <c r="G6" s="158">
        <f>F6/B6</f>
        <v>3.0572481224316238E-4</v>
      </c>
      <c r="H6" s="162">
        <f t="shared" si="4"/>
        <v>0.58248405265250802</v>
      </c>
      <c r="K6" s="25">
        <v>15.84</v>
      </c>
      <c r="L6" s="25">
        <v>29.63</v>
      </c>
      <c r="M6" s="25">
        <v>51040</v>
      </c>
      <c r="O6" s="25">
        <v>16.02</v>
      </c>
      <c r="P6" s="25">
        <v>29.92</v>
      </c>
    </row>
    <row r="7" spans="1:23">
      <c r="A7" s="25">
        <v>15.72</v>
      </c>
      <c r="B7" s="25">
        <f t="shared" si="0"/>
        <v>15.663333333333334</v>
      </c>
      <c r="C7" s="152">
        <f>IF(B7="","",STDEV(A7:A15))</f>
        <v>3.6055512754640022E-2</v>
      </c>
      <c r="D7" s="27">
        <f t="shared" si="1"/>
        <v>2.301905474865292E-3</v>
      </c>
      <c r="E7" s="162">
        <f t="shared" si="3"/>
        <v>0.52134587805298749</v>
      </c>
      <c r="F7" s="152">
        <f t="shared" si="2"/>
        <v>1.3000000000000095E-3</v>
      </c>
      <c r="G7" s="158">
        <f>F7/B7</f>
        <v>8.2996382208981237E-5</v>
      </c>
      <c r="H7" s="162">
        <f t="shared" si="4"/>
        <v>0.27147414565412814</v>
      </c>
      <c r="K7" s="25">
        <v>15.72</v>
      </c>
      <c r="L7" s="25">
        <v>29.51</v>
      </c>
      <c r="M7" s="25">
        <v>50890</v>
      </c>
      <c r="O7" s="25">
        <v>16.04</v>
      </c>
      <c r="P7" s="25">
        <v>29.83</v>
      </c>
    </row>
    <row r="8" spans="1:23">
      <c r="A8" s="25">
        <v>15.71</v>
      </c>
      <c r="B8" s="25">
        <f t="shared" si="0"/>
        <v>15.662222222222223</v>
      </c>
      <c r="C8" s="152">
        <f>IF(B8="","",STDEV(A8:A16))</f>
        <v>3.4197140881138816E-2</v>
      </c>
      <c r="D8" s="27">
        <f t="shared" si="1"/>
        <v>2.1834156351464907E-3</v>
      </c>
      <c r="E8" s="162">
        <f t="shared" si="3"/>
        <v>0.94852532347109719</v>
      </c>
      <c r="F8" s="152">
        <f t="shared" si="2"/>
        <v>1.1694444444444558E-3</v>
      </c>
      <c r="G8" s="158">
        <f>F8/B8</f>
        <v>7.4666572077185746E-5</v>
      </c>
      <c r="H8" s="162">
        <f t="shared" si="4"/>
        <v>0.89963646715562373</v>
      </c>
      <c r="I8" s="163"/>
      <c r="K8" s="25">
        <v>15.71</v>
      </c>
      <c r="L8" s="25">
        <v>29.56</v>
      </c>
      <c r="M8" s="25">
        <v>50945</v>
      </c>
      <c r="O8" s="25">
        <v>16.36</v>
      </c>
      <c r="P8" s="25">
        <v>30.09</v>
      </c>
    </row>
    <row r="9" spans="1:23">
      <c r="A9" s="25">
        <v>15.69</v>
      </c>
      <c r="B9" s="25">
        <f t="shared" si="0"/>
        <v>15.663333333333334</v>
      </c>
      <c r="C9" s="152">
        <f>IF(B9="","",STDEV(A9:A17))</f>
        <v>3.6055512754640029E-2</v>
      </c>
      <c r="D9" s="27">
        <f t="shared" si="1"/>
        <v>2.3019054748652924E-3</v>
      </c>
      <c r="E9" s="162">
        <f t="shared" si="3"/>
        <v>1.0542681099335685</v>
      </c>
      <c r="F9" s="152">
        <f t="shared" si="2"/>
        <v>1.3000000000000097E-3</v>
      </c>
      <c r="G9" s="158">
        <f>F9/B9</f>
        <v>8.2996382208981251E-5</v>
      </c>
      <c r="H9" s="162">
        <f t="shared" si="4"/>
        <v>1.1115600984492051</v>
      </c>
      <c r="I9" s="163"/>
      <c r="K9" s="25">
        <v>15.69</v>
      </c>
      <c r="L9" s="25">
        <v>29.54</v>
      </c>
      <c r="M9" s="25">
        <v>50880</v>
      </c>
      <c r="O9" s="25">
        <v>16.46</v>
      </c>
      <c r="P9" s="25">
        <v>30.05</v>
      </c>
    </row>
    <row r="10" spans="1:23">
      <c r="A10" s="25">
        <v>15.62</v>
      </c>
      <c r="B10" s="25">
        <f t="shared" si="0"/>
        <v>15.67</v>
      </c>
      <c r="C10" s="152">
        <f>IF(B10="","",STDEV(A10:A17))</f>
        <v>3.7032803990902301E-2</v>
      </c>
      <c r="D10" s="27">
        <f t="shared" si="1"/>
        <v>2.3632931710850223E-3</v>
      </c>
      <c r="E10" s="162">
        <f t="shared" si="3"/>
        <v>1.0266682089642809</v>
      </c>
      <c r="F10" s="152">
        <f t="shared" si="2"/>
        <v>2.1000000000000081E-3</v>
      </c>
      <c r="G10" s="158">
        <f>F10/B10</f>
        <v>1.3401403956605029E-4</v>
      </c>
      <c r="H10" s="162">
        <f t="shared" si="4"/>
        <v>1.6146973638996553</v>
      </c>
      <c r="I10" s="163"/>
      <c r="K10" s="25">
        <v>15.62</v>
      </c>
      <c r="L10" s="25">
        <v>29.57</v>
      </c>
      <c r="M10" s="25">
        <v>50900</v>
      </c>
      <c r="O10" s="25">
        <v>16.66</v>
      </c>
      <c r="P10" s="25">
        <v>30.75</v>
      </c>
    </row>
    <row r="11" spans="1:23">
      <c r="A11" s="25">
        <v>15.65</v>
      </c>
      <c r="B11" s="25">
        <f t="shared" si="0"/>
        <v>15.68</v>
      </c>
      <c r="C11" s="152">
        <f>IF(B11="","",STDEV(A11:A19))</f>
        <v>4.3301270189221884E-2</v>
      </c>
      <c r="D11" s="27">
        <f t="shared" si="1"/>
        <v>2.7615605988024162E-3</v>
      </c>
      <c r="E11" s="162">
        <f t="shared" si="3"/>
        <v>1.1685222267766904</v>
      </c>
      <c r="F11" s="152">
        <f t="shared" si="2"/>
        <v>1.8749999999999956E-3</v>
      </c>
      <c r="G11" s="158">
        <f>F11/B11</f>
        <v>1.1957908163265279E-4</v>
      </c>
      <c r="H11" s="162">
        <f t="shared" si="4"/>
        <v>0.89228771865888667</v>
      </c>
      <c r="I11" s="163"/>
      <c r="K11" s="25">
        <v>15.65</v>
      </c>
      <c r="L11" s="25">
        <v>29.67</v>
      </c>
      <c r="M11" s="25">
        <v>51040</v>
      </c>
      <c r="O11" s="25">
        <v>16.010000000000002</v>
      </c>
      <c r="P11" s="25">
        <v>30.33</v>
      </c>
    </row>
    <row r="12" spans="1:23">
      <c r="A12" s="25">
        <v>15.64</v>
      </c>
      <c r="B12" s="25">
        <f t="shared" si="0"/>
        <v>15.690000000000001</v>
      </c>
      <c r="C12" s="152">
        <f>IF(B12="","",STDEV(A12:A20))</f>
        <v>4.5825756949558302E-2</v>
      </c>
      <c r="D12" s="27">
        <f t="shared" si="1"/>
        <v>2.9206983396786678E-3</v>
      </c>
      <c r="E12" s="162">
        <f t="shared" si="3"/>
        <v>1.0576260180367809</v>
      </c>
      <c r="F12" s="152">
        <f t="shared" si="2"/>
        <v>2.0999999999999908E-3</v>
      </c>
      <c r="G12" s="158">
        <f>F12/B12</f>
        <v>1.3384321223709308E-4</v>
      </c>
      <c r="H12" s="162">
        <f t="shared" si="4"/>
        <v>1.1192861695347329</v>
      </c>
      <c r="I12" s="163"/>
      <c r="K12" s="25">
        <v>15.64</v>
      </c>
      <c r="L12" s="25">
        <v>29.62</v>
      </c>
      <c r="M12" s="25">
        <v>50940</v>
      </c>
      <c r="O12" s="25">
        <v>15.9</v>
      </c>
      <c r="P12" s="25">
        <v>30.03</v>
      </c>
    </row>
    <row r="13" spans="1:23">
      <c r="A13" s="25">
        <v>15.63</v>
      </c>
      <c r="B13" s="25">
        <f t="shared" si="0"/>
        <v>15.696666666666667</v>
      </c>
      <c r="C13" s="152">
        <f>IF(B13="","",STDEV(A13:A21))</f>
        <v>4.1833001326703659E-2</v>
      </c>
      <c r="D13" s="27">
        <f t="shared" si="1"/>
        <v>2.6650882136358242E-3</v>
      </c>
      <c r="E13" s="162">
        <f t="shared" si="3"/>
        <v>0.91248321589042791</v>
      </c>
      <c r="F13" s="152">
        <f t="shared" si="2"/>
        <v>1.7499999999999903E-3</v>
      </c>
      <c r="G13" s="158">
        <f>F13/B13</f>
        <v>1.1148863877680974E-4</v>
      </c>
      <c r="H13" s="162">
        <f t="shared" si="4"/>
        <v>0.83297940114673941</v>
      </c>
      <c r="I13" s="163"/>
      <c r="K13" s="25">
        <v>15.63</v>
      </c>
      <c r="L13" s="25">
        <v>29.61</v>
      </c>
      <c r="M13" s="25">
        <v>50955</v>
      </c>
      <c r="O13" s="25">
        <v>15.99</v>
      </c>
      <c r="P13" s="25">
        <v>30.08</v>
      </c>
    </row>
    <row r="14" spans="1:23">
      <c r="A14" s="25">
        <v>15.64</v>
      </c>
      <c r="B14" s="25">
        <f t="shared" si="0"/>
        <v>15.702222222222225</v>
      </c>
      <c r="C14" s="152">
        <f>IF(B14="","",STDEV(A14:A22))</f>
        <v>3.4560735588879558E-2</v>
      </c>
      <c r="D14" s="27">
        <f t="shared" si="1"/>
        <v>2.2010092011032832E-3</v>
      </c>
      <c r="E14" s="162">
        <f t="shared" si="3"/>
        <v>0.82586729769089895</v>
      </c>
      <c r="F14" s="152">
        <f t="shared" si="2"/>
        <v>1.1944444444444461E-3</v>
      </c>
      <c r="G14" s="158">
        <f>F14/B14</f>
        <v>7.6068497028021609E-5</v>
      </c>
      <c r="H14" s="162">
        <f t="shared" si="4"/>
        <v>0.68229819524753477</v>
      </c>
      <c r="I14" s="163"/>
      <c r="K14" s="25">
        <v>15.64</v>
      </c>
      <c r="L14" s="25">
        <v>29.57</v>
      </c>
      <c r="M14" s="25">
        <v>50970</v>
      </c>
      <c r="O14" s="25">
        <v>15.7</v>
      </c>
      <c r="P14" s="25">
        <v>29.92</v>
      </c>
    </row>
    <row r="15" spans="1:23">
      <c r="A15" s="25">
        <v>15.67</v>
      </c>
      <c r="B15" s="25">
        <f>IF(COUNTBLANK(A15:A23)&gt;0,"",AVERAGE(A15:A23))</f>
        <v>15.701111111111111</v>
      </c>
      <c r="C15" s="152">
        <f>IF(B15="","",STDEV(A15:A23))</f>
        <v>3.6893239368631058E-2</v>
      </c>
      <c r="D15" s="27">
        <f t="shared" si="1"/>
        <v>2.3497215647702184E-3</v>
      </c>
      <c r="E15" s="162">
        <f t="shared" si="3"/>
        <v>1.0675655347521451</v>
      </c>
      <c r="F15" s="152">
        <f t="shared" si="2"/>
        <v>1.3611111111111083E-3</v>
      </c>
      <c r="G15" s="158">
        <f>F15/B15</f>
        <v>8.6688840138701969E-5</v>
      </c>
      <c r="H15" s="162">
        <f t="shared" si="4"/>
        <v>1.1396155245024508</v>
      </c>
      <c r="I15" s="163"/>
      <c r="K15" s="25">
        <v>15.67</v>
      </c>
      <c r="L15" s="25">
        <v>29.52</v>
      </c>
      <c r="M15" s="25">
        <v>51040</v>
      </c>
      <c r="O15" s="25">
        <v>15.68</v>
      </c>
      <c r="P15" s="25">
        <v>29.94</v>
      </c>
    </row>
    <row r="16" spans="1:23">
      <c r="A16" s="25">
        <v>15.71</v>
      </c>
      <c r="B16" s="25">
        <f t="shared" si="0"/>
        <v>15.69222222222222</v>
      </c>
      <c r="C16" s="152">
        <f>IF(B16="","",STDEV(A16:A24))</f>
        <v>5.190803834132484E-2</v>
      </c>
      <c r="D16" s="27">
        <f t="shared" ref="D16" si="5">C16/B16</f>
        <v>3.3078832052108164E-3</v>
      </c>
      <c r="E16" s="162">
        <f t="shared" si="3"/>
        <v>1.4077766722689535</v>
      </c>
      <c r="F16" s="152">
        <f t="shared" si="2"/>
        <v>2.6944444444444498E-3</v>
      </c>
      <c r="G16" s="158">
        <f>F16/B16</f>
        <v>1.7170572824470759E-4</v>
      </c>
      <c r="H16" s="162">
        <f t="shared" si="4"/>
        <v>1.9807131802660962</v>
      </c>
      <c r="I16" s="163"/>
      <c r="K16" s="25">
        <v>15.71</v>
      </c>
      <c r="L16" s="25">
        <v>29.65</v>
      </c>
      <c r="M16" s="25">
        <v>51170</v>
      </c>
      <c r="O16" s="25">
        <v>15.74</v>
      </c>
      <c r="P16" s="25">
        <v>29.8</v>
      </c>
    </row>
    <row r="17" spans="1:16">
      <c r="A17" s="25">
        <v>15.72</v>
      </c>
      <c r="B17" s="25">
        <f t="shared" si="0"/>
        <v>15.67888888888889</v>
      </c>
      <c r="C17" s="152">
        <f>IF(B17="","",STDEV(A17:A25))</f>
        <v>6.1327898309913739E-2</v>
      </c>
      <c r="D17" s="27">
        <f t="shared" ref="D17:D18" si="6">C17/B17</f>
        <v>3.9114951795707151E-3</v>
      </c>
      <c r="E17" s="162">
        <f t="shared" si="3"/>
        <v>1.1824768097643368</v>
      </c>
      <c r="F17" s="152">
        <f t="shared" si="2"/>
        <v>3.7611111111111204E-3</v>
      </c>
      <c r="G17" s="158">
        <f>F17/B17</f>
        <v>2.3988377861243059E-4</v>
      </c>
      <c r="H17" s="162">
        <f t="shared" si="4"/>
        <v>1.3970633424096288</v>
      </c>
      <c r="I17" s="163"/>
      <c r="K17" s="25">
        <v>15.72</v>
      </c>
      <c r="L17" s="25">
        <v>29.66</v>
      </c>
      <c r="M17" s="25">
        <v>51215</v>
      </c>
      <c r="O17" s="25">
        <v>15.85</v>
      </c>
      <c r="P17" s="25">
        <v>29.95</v>
      </c>
    </row>
    <row r="18" spans="1:16">
      <c r="A18" s="25">
        <v>15.75</v>
      </c>
      <c r="B18" s="25">
        <f t="shared" si="0"/>
        <v>15.671111111111113</v>
      </c>
      <c r="C18" s="152">
        <f>IF(B18="","",STDEV(A17:A26))</f>
        <v>5.8537737116040565E-2</v>
      </c>
      <c r="D18" s="27">
        <f t="shared" si="6"/>
        <v>3.7353916197133087E-3</v>
      </c>
      <c r="E18" s="162">
        <f t="shared" si="3"/>
        <v>0.95497794276286596</v>
      </c>
      <c r="F18" s="152">
        <f t="shared" si="2"/>
        <v>3.5861111111111133E-3</v>
      </c>
      <c r="G18" s="158">
        <f>F18/B18</f>
        <v>2.2883579126488951E-4</v>
      </c>
      <c r="H18" s="162">
        <f t="shared" si="4"/>
        <v>0.95394441670276164</v>
      </c>
      <c r="I18" s="163"/>
      <c r="K18" s="25">
        <v>15.75</v>
      </c>
      <c r="L18" s="25">
        <v>29.71</v>
      </c>
      <c r="M18" s="25">
        <v>51250</v>
      </c>
      <c r="O18" s="25">
        <v>15.72</v>
      </c>
      <c r="P18" s="25">
        <v>29.51</v>
      </c>
    </row>
    <row r="19" spans="1:16">
      <c r="A19" s="25">
        <v>15.71</v>
      </c>
      <c r="B19" s="25" t="str">
        <f t="shared" si="0"/>
        <v/>
      </c>
      <c r="C19" s="152" t="str">
        <f>IF(B19="","",STDEV(A19:A27))</f>
        <v/>
      </c>
      <c r="D19" s="27" t="e">
        <f t="shared" ref="D19:D21" si="7">C19/B19</f>
        <v>#VALUE!</v>
      </c>
      <c r="E19" s="162" t="e">
        <f t="shared" si="3"/>
        <v>#VALUE!</v>
      </c>
      <c r="F19" s="152">
        <f t="shared" si="2"/>
        <v>3.0982142857142905E-3</v>
      </c>
      <c r="G19" s="158" t="e">
        <f>F19/B19</f>
        <v>#VALUE!</v>
      </c>
      <c r="H19" s="162" t="e">
        <f t="shared" si="4"/>
        <v>#VALUE!</v>
      </c>
      <c r="I19" s="163"/>
      <c r="K19" s="25">
        <v>15.71</v>
      </c>
      <c r="L19" s="25">
        <v>29.59</v>
      </c>
      <c r="M19" s="25">
        <v>51135</v>
      </c>
      <c r="O19" s="25">
        <v>15.67</v>
      </c>
      <c r="P19" s="25">
        <v>29.52</v>
      </c>
    </row>
    <row r="20" spans="1:16">
      <c r="A20" s="25">
        <v>15.74</v>
      </c>
      <c r="B20" s="25" t="str">
        <f t="shared" si="0"/>
        <v/>
      </c>
      <c r="C20" s="152" t="str">
        <f>IF(B20="","",STDEV(A20:A28))</f>
        <v/>
      </c>
      <c r="D20" s="27" t="e">
        <f t="shared" si="7"/>
        <v>#VALUE!</v>
      </c>
      <c r="E20" s="162" t="e">
        <f t="shared" si="3"/>
        <v>#VALUE!</v>
      </c>
      <c r="F20" s="152">
        <f t="shared" si="2"/>
        <v>3.1619047619047542E-3</v>
      </c>
      <c r="G20" s="158" t="e">
        <f>F20/B20</f>
        <v>#VALUE!</v>
      </c>
      <c r="H20" s="162" t="e">
        <f t="shared" si="4"/>
        <v>#VALUE!</v>
      </c>
      <c r="I20" s="163"/>
      <c r="K20" s="25">
        <v>15.74</v>
      </c>
      <c r="L20" s="25">
        <v>29.64</v>
      </c>
      <c r="M20" s="25">
        <v>51145</v>
      </c>
      <c r="O20" s="25">
        <v>15.63</v>
      </c>
      <c r="P20" s="25">
        <v>29.54</v>
      </c>
    </row>
    <row r="21" spans="1:16">
      <c r="A21" s="25">
        <v>15.7</v>
      </c>
      <c r="B21" s="25" t="str">
        <f t="shared" si="0"/>
        <v/>
      </c>
      <c r="C21" s="152" t="str">
        <f>IF(B21="","",STDEV(A21:A29))</f>
        <v/>
      </c>
      <c r="D21" s="27" t="e">
        <f t="shared" si="7"/>
        <v>#VALUE!</v>
      </c>
      <c r="E21" s="162" t="e">
        <f t="shared" si="3"/>
        <v>#VALUE!</v>
      </c>
      <c r="F21" s="152">
        <f t="shared" si="2"/>
        <v>2.0799999999999825E-3</v>
      </c>
      <c r="G21" s="158" t="e">
        <f>F21/B21</f>
        <v>#VALUE!</v>
      </c>
      <c r="H21" s="162" t="e">
        <f t="shared" si="4"/>
        <v>#VALUE!</v>
      </c>
      <c r="I21" s="163"/>
      <c r="K21" s="25">
        <v>15.7</v>
      </c>
      <c r="L21" s="25">
        <v>29.59</v>
      </c>
      <c r="M21" s="25">
        <v>50980</v>
      </c>
    </row>
    <row r="22" spans="1:16">
      <c r="A22" s="25">
        <v>15.68</v>
      </c>
      <c r="B22" s="25" t="str">
        <f t="shared" si="0"/>
        <v/>
      </c>
      <c r="C22" s="152" t="str">
        <f>IF(B22="","",STDEV(A22:A30))</f>
        <v/>
      </c>
      <c r="D22" s="27" t="e">
        <f t="shared" ref="D22:D23" si="8">C22/B22</f>
        <v>#VALUE!</v>
      </c>
      <c r="E22" s="162" t="e">
        <f t="shared" si="3"/>
        <v>#VALUE!</v>
      </c>
      <c r="F22" s="152">
        <f t="shared" si="2"/>
        <v>1.5200000000000027E-3</v>
      </c>
      <c r="G22" s="158" t="e">
        <f>F22/B22</f>
        <v>#VALUE!</v>
      </c>
      <c r="H22" s="162" t="e">
        <f t="shared" si="4"/>
        <v>#VALUE!</v>
      </c>
      <c r="I22" s="163"/>
      <c r="K22" s="25">
        <v>15.68</v>
      </c>
      <c r="L22" s="25">
        <v>29.57</v>
      </c>
      <c r="M22" s="25">
        <v>50990</v>
      </c>
    </row>
    <row r="23" spans="1:16">
      <c r="A23" s="25">
        <v>15.63</v>
      </c>
      <c r="B23" s="25" t="str">
        <f t="shared" si="0"/>
        <v/>
      </c>
      <c r="C23" s="152" t="str">
        <f>IF(B23="","",STDEV(A23:A31))</f>
        <v/>
      </c>
      <c r="D23" s="27" t="e">
        <f t="shared" si="8"/>
        <v>#VALUE!</v>
      </c>
      <c r="E23" s="162" t="e">
        <f t="shared" si="3"/>
        <v>#VALUE!</v>
      </c>
      <c r="F23" s="152">
        <f t="shared" si="2"/>
        <v>9.000000000000209E-4</v>
      </c>
      <c r="G23" s="158" t="e">
        <f>F23/B23</f>
        <v>#VALUE!</v>
      </c>
      <c r="H23" s="162" t="e">
        <f t="shared" si="4"/>
        <v>#VALUE!</v>
      </c>
      <c r="I23" s="163"/>
      <c r="K23" s="25">
        <v>15.63</v>
      </c>
      <c r="L23" s="25">
        <v>29.54</v>
      </c>
    </row>
    <row r="24" spans="1:16">
      <c r="A24" s="25">
        <v>15.59</v>
      </c>
      <c r="B24" s="25" t="str">
        <f t="shared" si="0"/>
        <v/>
      </c>
      <c r="C24" s="152" t="str">
        <f>IF(B24="","",STDEV(A24:A32))</f>
        <v/>
      </c>
      <c r="D24" s="27" t="e">
        <f t="shared" ref="D24:D25" si="9">C24/B24</f>
        <v>#VALUE!</v>
      </c>
      <c r="E24" s="162" t="e">
        <f t="shared" si="3"/>
        <v>#VALUE!</v>
      </c>
      <c r="F24" s="152">
        <f t="shared" si="2"/>
        <v>1.2000000000000198E-3</v>
      </c>
      <c r="G24" s="158" t="e">
        <f>F24/B24</f>
        <v>#VALUE!</v>
      </c>
      <c r="H24" s="162" t="e">
        <f t="shared" si="4"/>
        <v>#VALUE!</v>
      </c>
      <c r="I24" s="163"/>
      <c r="K24" s="25">
        <v>15.59</v>
      </c>
      <c r="L24" s="25">
        <v>29.46</v>
      </c>
    </row>
    <row r="25" spans="1:16">
      <c r="A25" s="25">
        <v>15.59</v>
      </c>
      <c r="B25" s="25" t="str">
        <f t="shared" si="0"/>
        <v/>
      </c>
      <c r="C25" s="152" t="str">
        <f>IF(B25="","",STDEV(A25:A33))</f>
        <v/>
      </c>
      <c r="D25" s="27" t="e">
        <f t="shared" si="9"/>
        <v>#VALUE!</v>
      </c>
      <c r="E25" s="162" t="e">
        <f t="shared" si="3"/>
        <v>#VALUE!</v>
      </c>
      <c r="F25" s="152">
        <f t="shared" si="2"/>
        <v>1.8000000000000299E-3</v>
      </c>
      <c r="G25" s="158" t="e">
        <f>F25/B25</f>
        <v>#VALUE!</v>
      </c>
      <c r="H25" s="162" t="e">
        <f t="shared" si="4"/>
        <v>#VALUE!</v>
      </c>
      <c r="I25" s="163"/>
      <c r="K25" s="25">
        <v>15.59</v>
      </c>
      <c r="L25" s="25">
        <v>29.53</v>
      </c>
    </row>
    <row r="26" spans="1:16">
      <c r="A26" s="25">
        <v>15.65</v>
      </c>
      <c r="B26" s="25" t="str">
        <f t="shared" si="0"/>
        <v/>
      </c>
      <c r="C26" s="152" t="str">
        <f>IF(B26="","",STDEV(A26:A34))</f>
        <v/>
      </c>
      <c r="D26" s="27" t="e">
        <f t="shared" ref="D26" si="10">C26/B26</f>
        <v>#VALUE!</v>
      </c>
      <c r="E26" s="162" t="e">
        <f t="shared" si="3"/>
        <v>#VALUE!</v>
      </c>
      <c r="F26" s="152" t="e">
        <f t="shared" si="2"/>
        <v>#DIV/0!</v>
      </c>
      <c r="G26" s="158" t="e">
        <f>F26/B26</f>
        <v>#DIV/0!</v>
      </c>
      <c r="H26" s="162" t="e">
        <f t="shared" si="4"/>
        <v>#DIV/0!</v>
      </c>
      <c r="I26" s="163"/>
      <c r="K26" s="25">
        <v>15.65</v>
      </c>
      <c r="L26" s="25">
        <v>29.57</v>
      </c>
    </row>
    <row r="27" spans="1:16">
      <c r="B27" s="25" t="str">
        <f t="shared" si="0"/>
        <v/>
      </c>
      <c r="C27" s="152" t="str">
        <f>IF(B27="","",STDEV(A27:A35))</f>
        <v/>
      </c>
      <c r="D27" s="27" t="e">
        <f t="shared" ref="D27:D29" si="11">C27/B27</f>
        <v>#VALUE!</v>
      </c>
      <c r="E27" s="162" t="e">
        <f t="shared" si="3"/>
        <v>#VALUE!</v>
      </c>
      <c r="F27" s="152" t="e">
        <f t="shared" si="2"/>
        <v>#DIV/0!</v>
      </c>
      <c r="G27" s="158" t="e">
        <f>F27/B27</f>
        <v>#DIV/0!</v>
      </c>
      <c r="H27" s="162" t="e">
        <f t="shared" si="4"/>
        <v>#DIV/0!</v>
      </c>
      <c r="I27" s="163"/>
    </row>
    <row r="28" spans="1:16">
      <c r="B28" s="25" t="str">
        <f t="shared" si="0"/>
        <v/>
      </c>
      <c r="C28" s="152" t="str">
        <f>IF(B28="","",STDEV(A28:A36))</f>
        <v/>
      </c>
      <c r="D28" s="27" t="e">
        <f t="shared" si="11"/>
        <v>#VALUE!</v>
      </c>
      <c r="E28" s="162" t="e">
        <f t="shared" si="3"/>
        <v>#VALUE!</v>
      </c>
      <c r="F28" s="152" t="e">
        <f t="shared" si="2"/>
        <v>#DIV/0!</v>
      </c>
      <c r="G28" s="158" t="e">
        <f>F28/B28</f>
        <v>#DIV/0!</v>
      </c>
      <c r="H28" s="162" t="e">
        <f t="shared" si="4"/>
        <v>#DIV/0!</v>
      </c>
      <c r="I28" s="163"/>
    </row>
    <row r="29" spans="1:16">
      <c r="B29" s="25" t="str">
        <f t="shared" si="0"/>
        <v/>
      </c>
      <c r="C29" s="152" t="str">
        <f>IF(B29="","",STDEV(A29:A37))</f>
        <v/>
      </c>
      <c r="D29" s="27" t="e">
        <f t="shared" si="11"/>
        <v>#VALUE!</v>
      </c>
      <c r="E29" s="162" t="e">
        <f t="shared" si="3"/>
        <v>#VALUE!</v>
      </c>
      <c r="F29" s="152" t="e">
        <f t="shared" si="2"/>
        <v>#DIV/0!</v>
      </c>
      <c r="G29" s="158" t="e">
        <f>F29/B29</f>
        <v>#DIV/0!</v>
      </c>
      <c r="H29" s="162" t="e">
        <f t="shared" si="4"/>
        <v>#DIV/0!</v>
      </c>
      <c r="I29" s="163"/>
    </row>
    <row r="30" spans="1:16">
      <c r="B30" s="25" t="str">
        <f t="shared" si="0"/>
        <v/>
      </c>
      <c r="C30" s="152" t="str">
        <f>IF(B30="","",STDEV(A30:A38))</f>
        <v/>
      </c>
      <c r="D30" s="27" t="e">
        <f t="shared" ref="D30:D32" si="12">C30/B30</f>
        <v>#VALUE!</v>
      </c>
      <c r="E30" s="162" t="e">
        <f t="shared" si="3"/>
        <v>#VALUE!</v>
      </c>
      <c r="F30" s="152" t="e">
        <f t="shared" si="2"/>
        <v>#DIV/0!</v>
      </c>
      <c r="G30" s="158" t="e">
        <f>F30/B30</f>
        <v>#DIV/0!</v>
      </c>
      <c r="H30" s="162" t="e">
        <f t="shared" si="4"/>
        <v>#DIV/0!</v>
      </c>
      <c r="I30" s="163"/>
    </row>
    <row r="31" spans="1:16">
      <c r="B31" s="25" t="str">
        <f t="shared" si="0"/>
        <v/>
      </c>
      <c r="C31" s="152" t="str">
        <f>IF(B31="","",STDEV(A31:A39))</f>
        <v/>
      </c>
      <c r="D31" s="27" t="e">
        <f t="shared" si="12"/>
        <v>#VALUE!</v>
      </c>
      <c r="E31" s="162" t="e">
        <f t="shared" si="3"/>
        <v>#VALUE!</v>
      </c>
      <c r="F31" s="152" t="e">
        <f t="shared" si="2"/>
        <v>#DIV/0!</v>
      </c>
      <c r="G31" s="158" t="e">
        <f>F31/B31</f>
        <v>#DIV/0!</v>
      </c>
      <c r="H31" s="162" t="e">
        <f t="shared" si="4"/>
        <v>#DIV/0!</v>
      </c>
      <c r="I31" s="163"/>
    </row>
    <row r="32" spans="1:16">
      <c r="B32" s="25" t="str">
        <f t="shared" si="0"/>
        <v/>
      </c>
      <c r="C32" s="152" t="str">
        <f>IF(B32="","",STDEV(A32:A40))</f>
        <v/>
      </c>
      <c r="D32" s="27" t="e">
        <f t="shared" si="12"/>
        <v>#VALUE!</v>
      </c>
      <c r="E32" s="162" t="e">
        <f t="shared" si="3"/>
        <v>#VALUE!</v>
      </c>
      <c r="F32" s="152" t="e">
        <f t="shared" si="2"/>
        <v>#DIV/0!</v>
      </c>
      <c r="G32" s="158" t="e">
        <f>F32/B32</f>
        <v>#DIV/0!</v>
      </c>
      <c r="H32" s="162" t="e">
        <f t="shared" si="4"/>
        <v>#DIV/0!</v>
      </c>
      <c r="I32" s="163"/>
    </row>
    <row r="33" spans="2:9">
      <c r="B33" s="25" t="str">
        <f t="shared" si="0"/>
        <v/>
      </c>
      <c r="C33" s="152" t="str">
        <f>IF(B33="","",STDEV(A33:A41))</f>
        <v/>
      </c>
      <c r="D33" s="27" t="e">
        <f t="shared" ref="D33" si="13">C33/B33</f>
        <v>#VALUE!</v>
      </c>
      <c r="E33" s="162" t="e">
        <f t="shared" si="3"/>
        <v>#VALUE!</v>
      </c>
      <c r="F33" s="152" t="e">
        <f t="shared" si="2"/>
        <v>#DIV/0!</v>
      </c>
      <c r="G33" s="158" t="e">
        <f>F33/B33</f>
        <v>#DIV/0!</v>
      </c>
      <c r="H33" s="162" t="e">
        <f t="shared" si="4"/>
        <v>#DIV/0!</v>
      </c>
      <c r="I33" s="163"/>
    </row>
    <row r="34" spans="2:9">
      <c r="B34" s="25" t="str">
        <f t="shared" si="0"/>
        <v/>
      </c>
      <c r="C34" s="152" t="str">
        <f>IF(B34="","",STDEV(A34:A42))</f>
        <v/>
      </c>
      <c r="D34" s="27" t="e">
        <f t="shared" ref="D34:D49" si="14">C34/B34</f>
        <v>#VALUE!</v>
      </c>
      <c r="E34" s="162" t="e">
        <f t="shared" si="3"/>
        <v>#VALUE!</v>
      </c>
      <c r="F34" s="152" t="e">
        <f t="shared" si="2"/>
        <v>#DIV/0!</v>
      </c>
      <c r="G34" s="158" t="e">
        <f>F34/B34</f>
        <v>#DIV/0!</v>
      </c>
      <c r="H34" s="162" t="e">
        <f t="shared" si="4"/>
        <v>#DIV/0!</v>
      </c>
      <c r="I34" s="163"/>
    </row>
    <row r="35" spans="2:9">
      <c r="B35" s="25" t="str">
        <f t="shared" si="0"/>
        <v/>
      </c>
      <c r="C35" s="152" t="str">
        <f>IF(B35="","",STDEV(A35:A43))</f>
        <v/>
      </c>
      <c r="D35" s="27" t="e">
        <f t="shared" si="14"/>
        <v>#VALUE!</v>
      </c>
      <c r="E35" s="162" t="e">
        <f t="shared" si="3"/>
        <v>#VALUE!</v>
      </c>
      <c r="F35" s="152" t="e">
        <f t="shared" si="2"/>
        <v>#DIV/0!</v>
      </c>
      <c r="G35" s="158" t="e">
        <f>F35/B35</f>
        <v>#DIV/0!</v>
      </c>
      <c r="H35" s="162" t="e">
        <f t="shared" si="4"/>
        <v>#DIV/0!</v>
      </c>
      <c r="I35" s="163"/>
    </row>
    <row r="36" spans="2:9">
      <c r="B36" s="25" t="str">
        <f t="shared" si="0"/>
        <v/>
      </c>
      <c r="C36" s="152" t="str">
        <f>IF(B36="","",STDEV(A36:A44))</f>
        <v/>
      </c>
      <c r="D36" s="27" t="e">
        <f t="shared" si="14"/>
        <v>#VALUE!</v>
      </c>
      <c r="E36" s="162" t="e">
        <f t="shared" si="3"/>
        <v>#VALUE!</v>
      </c>
      <c r="F36" s="152" t="e">
        <f t="shared" si="2"/>
        <v>#DIV/0!</v>
      </c>
      <c r="G36" s="158" t="e">
        <f>F36/B36</f>
        <v>#DIV/0!</v>
      </c>
      <c r="H36" s="162" t="e">
        <f t="shared" si="4"/>
        <v>#DIV/0!</v>
      </c>
      <c r="I36" s="163"/>
    </row>
    <row r="37" spans="2:9">
      <c r="B37" s="25" t="str">
        <f t="shared" si="0"/>
        <v/>
      </c>
      <c r="C37" s="152" t="str">
        <f>IF(B37="","",STDEV(A37:A45))</f>
        <v/>
      </c>
      <c r="D37" s="27" t="e">
        <f t="shared" si="14"/>
        <v>#VALUE!</v>
      </c>
      <c r="E37" s="162" t="e">
        <f t="shared" si="3"/>
        <v>#VALUE!</v>
      </c>
      <c r="F37" s="152" t="e">
        <f t="shared" si="2"/>
        <v>#DIV/0!</v>
      </c>
      <c r="G37" s="158" t="e">
        <f>F37/B37</f>
        <v>#DIV/0!</v>
      </c>
      <c r="H37" s="162" t="e">
        <f t="shared" si="4"/>
        <v>#DIV/0!</v>
      </c>
      <c r="I37" s="163"/>
    </row>
    <row r="38" spans="2:9">
      <c r="B38" s="25" t="str">
        <f t="shared" si="0"/>
        <v/>
      </c>
      <c r="C38" s="152" t="str">
        <f>IF(B38="","",STDEV(A38:A46))</f>
        <v/>
      </c>
      <c r="D38" s="27" t="e">
        <f t="shared" si="14"/>
        <v>#VALUE!</v>
      </c>
      <c r="E38" s="162" t="e">
        <f t="shared" si="3"/>
        <v>#VALUE!</v>
      </c>
      <c r="F38" s="152" t="e">
        <f t="shared" si="2"/>
        <v>#DIV/0!</v>
      </c>
      <c r="G38" s="158" t="e">
        <f>F38/B38</f>
        <v>#DIV/0!</v>
      </c>
      <c r="H38" s="162" t="e">
        <f t="shared" si="4"/>
        <v>#DIV/0!</v>
      </c>
      <c r="I38" s="163"/>
    </row>
    <row r="39" spans="2:9">
      <c r="B39" s="25" t="str">
        <f t="shared" si="0"/>
        <v/>
      </c>
      <c r="C39" s="152" t="str">
        <f>IF(B39="","",STDEV(A39:A47))</f>
        <v/>
      </c>
      <c r="D39" s="27" t="e">
        <f t="shared" si="14"/>
        <v>#VALUE!</v>
      </c>
      <c r="E39" s="162" t="e">
        <f t="shared" si="3"/>
        <v>#VALUE!</v>
      </c>
      <c r="F39" s="152" t="e">
        <f t="shared" si="2"/>
        <v>#DIV/0!</v>
      </c>
      <c r="G39" s="158" t="e">
        <f>F39/B39</f>
        <v>#DIV/0!</v>
      </c>
      <c r="H39" s="162" t="e">
        <f t="shared" si="4"/>
        <v>#DIV/0!</v>
      </c>
      <c r="I39" s="163"/>
    </row>
    <row r="40" spans="2:9">
      <c r="B40" s="25" t="str">
        <f t="shared" si="0"/>
        <v/>
      </c>
      <c r="C40" s="152" t="str">
        <f>IF(B40="","",STDEV(A40:A48))</f>
        <v/>
      </c>
      <c r="D40" s="27" t="e">
        <f t="shared" si="14"/>
        <v>#VALUE!</v>
      </c>
      <c r="E40" s="162" t="e">
        <f t="shared" si="3"/>
        <v>#VALUE!</v>
      </c>
      <c r="F40" s="152" t="e">
        <f t="shared" si="2"/>
        <v>#DIV/0!</v>
      </c>
      <c r="G40" s="158" t="e">
        <f>F40/B40</f>
        <v>#DIV/0!</v>
      </c>
      <c r="H40" s="162" t="e">
        <f t="shared" si="4"/>
        <v>#DIV/0!</v>
      </c>
      <c r="I40" s="163"/>
    </row>
    <row r="41" spans="2:9">
      <c r="B41" s="25" t="str">
        <f t="shared" si="0"/>
        <v/>
      </c>
      <c r="C41" s="152" t="str">
        <f>IF(B41="","",STDEV(A41:A49))</f>
        <v/>
      </c>
      <c r="D41" s="27" t="e">
        <f t="shared" si="14"/>
        <v>#VALUE!</v>
      </c>
      <c r="E41" s="162" t="e">
        <f t="shared" si="3"/>
        <v>#VALUE!</v>
      </c>
      <c r="F41" s="152" t="e">
        <f t="shared" si="2"/>
        <v>#DIV/0!</v>
      </c>
      <c r="G41" s="158" t="e">
        <f>F41/B41</f>
        <v>#DIV/0!</v>
      </c>
      <c r="H41" s="162" t="e">
        <f t="shared" si="4"/>
        <v>#DIV/0!</v>
      </c>
      <c r="I41" s="163"/>
    </row>
    <row r="42" spans="2:9">
      <c r="B42" s="25" t="str">
        <f t="shared" si="0"/>
        <v/>
      </c>
      <c r="C42" s="152" t="str">
        <f>IF(B42="","",STDEV(A42:A50))</f>
        <v/>
      </c>
      <c r="D42" s="27" t="e">
        <f t="shared" si="14"/>
        <v>#VALUE!</v>
      </c>
      <c r="E42" s="162" t="e">
        <f t="shared" si="3"/>
        <v>#VALUE!</v>
      </c>
      <c r="F42" s="152" t="e">
        <f t="shared" si="2"/>
        <v>#DIV/0!</v>
      </c>
      <c r="G42" s="158" t="e">
        <f>F42/B42</f>
        <v>#DIV/0!</v>
      </c>
      <c r="H42" s="162" t="e">
        <f t="shared" si="4"/>
        <v>#DIV/0!</v>
      </c>
      <c r="I42" s="163"/>
    </row>
    <row r="43" spans="2:9">
      <c r="B43" s="25" t="str">
        <f t="shared" si="0"/>
        <v/>
      </c>
      <c r="C43" s="152" t="str">
        <f>IF(B43="","",STDEV(A43:A51))</f>
        <v/>
      </c>
      <c r="D43" s="27" t="e">
        <f t="shared" si="14"/>
        <v>#VALUE!</v>
      </c>
      <c r="E43" s="162" t="e">
        <f t="shared" si="3"/>
        <v>#VALUE!</v>
      </c>
      <c r="F43" s="152" t="e">
        <f t="shared" si="2"/>
        <v>#DIV/0!</v>
      </c>
      <c r="G43" s="158" t="e">
        <f>F43/B43</f>
        <v>#DIV/0!</v>
      </c>
      <c r="H43" s="162" t="e">
        <f t="shared" si="4"/>
        <v>#DIV/0!</v>
      </c>
      <c r="I43" s="163"/>
    </row>
    <row r="44" spans="2:9">
      <c r="B44" s="25" t="str">
        <f t="shared" si="0"/>
        <v/>
      </c>
      <c r="C44" s="152" t="str">
        <f>IF(B44="","",STDEV(A44:A52))</f>
        <v/>
      </c>
      <c r="D44" s="27" t="e">
        <f t="shared" si="14"/>
        <v>#VALUE!</v>
      </c>
      <c r="E44" s="162" t="e">
        <f t="shared" si="3"/>
        <v>#VALUE!</v>
      </c>
      <c r="F44" s="152" t="e">
        <f t="shared" si="2"/>
        <v>#DIV/0!</v>
      </c>
      <c r="G44" s="158" t="e">
        <f>F44/B44</f>
        <v>#DIV/0!</v>
      </c>
      <c r="H44" s="162" t="e">
        <f t="shared" si="4"/>
        <v>#DIV/0!</v>
      </c>
      <c r="I44" s="163"/>
    </row>
    <row r="45" spans="2:9">
      <c r="B45" s="25" t="str">
        <f t="shared" si="0"/>
        <v/>
      </c>
      <c r="C45" s="152" t="str">
        <f>IF(B45="","",STDEV(A45:A53))</f>
        <v/>
      </c>
      <c r="D45" s="27" t="e">
        <f t="shared" si="14"/>
        <v>#VALUE!</v>
      </c>
      <c r="E45" s="162" t="e">
        <f t="shared" si="3"/>
        <v>#VALUE!</v>
      </c>
      <c r="F45" s="152" t="e">
        <f t="shared" si="2"/>
        <v>#DIV/0!</v>
      </c>
      <c r="G45" s="158" t="e">
        <f>F45/B45</f>
        <v>#DIV/0!</v>
      </c>
      <c r="H45" s="162" t="e">
        <f t="shared" si="4"/>
        <v>#DIV/0!</v>
      </c>
      <c r="I45" s="163"/>
    </row>
    <row r="46" spans="2:9">
      <c r="B46" s="25" t="str">
        <f t="shared" si="0"/>
        <v/>
      </c>
      <c r="C46" s="152" t="str">
        <f>IF(B46="","",STDEV(A46:A54))</f>
        <v/>
      </c>
      <c r="D46" s="27" t="e">
        <f t="shared" si="14"/>
        <v>#VALUE!</v>
      </c>
      <c r="E46" s="162" t="e">
        <f t="shared" si="3"/>
        <v>#VALUE!</v>
      </c>
      <c r="F46" s="152" t="e">
        <f t="shared" si="2"/>
        <v>#DIV/0!</v>
      </c>
      <c r="G46" s="158" t="e">
        <f>F46/B46</f>
        <v>#DIV/0!</v>
      </c>
      <c r="H46" s="162" t="e">
        <f t="shared" si="4"/>
        <v>#DIV/0!</v>
      </c>
      <c r="I46" s="163"/>
    </row>
    <row r="47" spans="2:9">
      <c r="B47" s="25" t="str">
        <f t="shared" si="0"/>
        <v/>
      </c>
      <c r="C47" s="152" t="str">
        <f>IF(B47="","",STDEV(A47:A55))</f>
        <v/>
      </c>
      <c r="D47" s="27" t="e">
        <f t="shared" si="14"/>
        <v>#VALUE!</v>
      </c>
      <c r="E47" s="162" t="e">
        <f t="shared" si="3"/>
        <v>#VALUE!</v>
      </c>
      <c r="F47" s="152" t="e">
        <f t="shared" si="2"/>
        <v>#DIV/0!</v>
      </c>
      <c r="G47" s="158" t="e">
        <f>F47/B47</f>
        <v>#DIV/0!</v>
      </c>
      <c r="H47" s="162" t="e">
        <f t="shared" si="4"/>
        <v>#DIV/0!</v>
      </c>
      <c r="I47" s="163"/>
    </row>
    <row r="48" spans="2:9">
      <c r="B48" s="25" t="str">
        <f t="shared" si="0"/>
        <v/>
      </c>
      <c r="C48" s="152" t="str">
        <f>IF(B48="","",STDEV(A48:A56))</f>
        <v/>
      </c>
      <c r="D48" s="27" t="e">
        <f t="shared" si="14"/>
        <v>#VALUE!</v>
      </c>
      <c r="E48" s="162" t="e">
        <f t="shared" si="3"/>
        <v>#VALUE!</v>
      </c>
      <c r="F48" s="152" t="e">
        <f t="shared" si="2"/>
        <v>#DIV/0!</v>
      </c>
      <c r="G48" s="158" t="e">
        <f>F48/B48</f>
        <v>#DIV/0!</v>
      </c>
      <c r="H48" s="162" t="e">
        <f t="shared" si="4"/>
        <v>#DIV/0!</v>
      </c>
      <c r="I48" s="163"/>
    </row>
    <row r="49" spans="2:9">
      <c r="B49" s="25" t="str">
        <f t="shared" si="0"/>
        <v/>
      </c>
      <c r="C49" s="152" t="str">
        <f>IF(B49="","",STDEV(A49:A57))</f>
        <v/>
      </c>
      <c r="D49" s="27" t="e">
        <f t="shared" si="14"/>
        <v>#VALUE!</v>
      </c>
      <c r="E49" s="162" t="e">
        <f t="shared" si="3"/>
        <v>#VALUE!</v>
      </c>
      <c r="F49" s="152" t="e">
        <f t="shared" si="2"/>
        <v>#DIV/0!</v>
      </c>
      <c r="G49" s="158" t="e">
        <f>F49/B49</f>
        <v>#DIV/0!</v>
      </c>
      <c r="H49" s="162" t="e">
        <f t="shared" si="4"/>
        <v>#DIV/0!</v>
      </c>
      <c r="I49" s="163"/>
    </row>
    <row r="50" spans="2:9">
      <c r="B50" s="25" t="str">
        <f t="shared" si="0"/>
        <v/>
      </c>
      <c r="C50" s="152" t="str">
        <f>IF(B50="","",STDEV(A50:A58))</f>
        <v/>
      </c>
      <c r="D50" s="27" t="e">
        <f t="shared" ref="D50:D61" si="15">C50/B50</f>
        <v>#VALUE!</v>
      </c>
      <c r="E50" s="162" t="e">
        <f t="shared" si="3"/>
        <v>#VALUE!</v>
      </c>
      <c r="F50" s="152" t="e">
        <f t="shared" si="2"/>
        <v>#DIV/0!</v>
      </c>
      <c r="G50" s="158" t="e">
        <f>F50/B50</f>
        <v>#DIV/0!</v>
      </c>
      <c r="H50" s="162" t="e">
        <f t="shared" si="4"/>
        <v>#DIV/0!</v>
      </c>
      <c r="I50" s="163"/>
    </row>
    <row r="51" spans="2:9">
      <c r="B51" s="25" t="str">
        <f t="shared" si="0"/>
        <v/>
      </c>
      <c r="C51" s="152" t="str">
        <f>IF(B51="","",STDEV(A51:A59))</f>
        <v/>
      </c>
      <c r="D51" s="27" t="e">
        <f t="shared" si="15"/>
        <v>#VALUE!</v>
      </c>
      <c r="E51" s="162" t="e">
        <f t="shared" si="3"/>
        <v>#VALUE!</v>
      </c>
      <c r="F51" s="152" t="e">
        <f t="shared" si="2"/>
        <v>#DIV/0!</v>
      </c>
      <c r="G51" s="158" t="e">
        <f>F51/B51</f>
        <v>#DIV/0!</v>
      </c>
      <c r="H51" s="162" t="e">
        <f t="shared" si="4"/>
        <v>#DIV/0!</v>
      </c>
      <c r="I51" s="163"/>
    </row>
    <row r="52" spans="2:9">
      <c r="B52" s="25" t="str">
        <f t="shared" si="0"/>
        <v/>
      </c>
      <c r="C52" s="152" t="str">
        <f>IF(B52="","",STDEV(A52:A60))</f>
        <v/>
      </c>
      <c r="D52" s="27" t="e">
        <f t="shared" si="15"/>
        <v>#VALUE!</v>
      </c>
      <c r="E52" s="162" t="e">
        <f t="shared" si="3"/>
        <v>#VALUE!</v>
      </c>
      <c r="F52" s="152" t="e">
        <f t="shared" si="2"/>
        <v>#DIV/0!</v>
      </c>
      <c r="G52" s="158" t="e">
        <f>F52/B52</f>
        <v>#DIV/0!</v>
      </c>
      <c r="H52" s="162" t="e">
        <f t="shared" si="4"/>
        <v>#DIV/0!</v>
      </c>
      <c r="I52" s="163"/>
    </row>
    <row r="53" spans="2:9">
      <c r="B53" s="25" t="str">
        <f t="shared" si="0"/>
        <v/>
      </c>
      <c r="C53" s="152" t="str">
        <f>IF(B53="","",STDEV(A53:A61))</f>
        <v/>
      </c>
      <c r="D53" s="27" t="e">
        <f t="shared" si="15"/>
        <v>#VALUE!</v>
      </c>
      <c r="E53" s="162" t="e">
        <f t="shared" si="3"/>
        <v>#VALUE!</v>
      </c>
      <c r="F53" s="152" t="e">
        <f t="shared" si="2"/>
        <v>#DIV/0!</v>
      </c>
      <c r="G53" s="158" t="e">
        <f>F53/B53</f>
        <v>#DIV/0!</v>
      </c>
      <c r="H53" s="162" t="e">
        <f t="shared" si="4"/>
        <v>#DIV/0!</v>
      </c>
      <c r="I53" s="163"/>
    </row>
    <row r="54" spans="2:9">
      <c r="B54" s="25" t="str">
        <f t="shared" si="0"/>
        <v/>
      </c>
      <c r="C54" s="152" t="str">
        <f>IF(B54="","",STDEV(A54:A62))</f>
        <v/>
      </c>
      <c r="D54" s="27" t="e">
        <f t="shared" si="15"/>
        <v>#VALUE!</v>
      </c>
      <c r="E54" s="162" t="e">
        <f t="shared" si="3"/>
        <v>#VALUE!</v>
      </c>
      <c r="F54" s="152" t="e">
        <f t="shared" si="2"/>
        <v>#DIV/0!</v>
      </c>
      <c r="G54" s="158" t="e">
        <f>F54/B54</f>
        <v>#DIV/0!</v>
      </c>
      <c r="H54" s="162" t="e">
        <f t="shared" si="4"/>
        <v>#DIV/0!</v>
      </c>
      <c r="I54" s="163"/>
    </row>
    <row r="55" spans="2:9">
      <c r="B55" s="25" t="str">
        <f t="shared" si="0"/>
        <v/>
      </c>
      <c r="C55" s="152" t="str">
        <f>IF(B55="","",STDEV(A55:A63))</f>
        <v/>
      </c>
      <c r="D55" s="27" t="e">
        <f t="shared" si="15"/>
        <v>#VALUE!</v>
      </c>
      <c r="E55" s="162" t="e">
        <f t="shared" si="3"/>
        <v>#VALUE!</v>
      </c>
      <c r="F55" s="152" t="e">
        <f t="shared" si="2"/>
        <v>#DIV/0!</v>
      </c>
      <c r="G55" s="158" t="e">
        <f>F55/B55</f>
        <v>#DIV/0!</v>
      </c>
      <c r="H55" s="162" t="e">
        <f t="shared" si="4"/>
        <v>#DIV/0!</v>
      </c>
      <c r="I55" s="163"/>
    </row>
    <row r="56" spans="2:9">
      <c r="B56" s="25" t="str">
        <f t="shared" si="0"/>
        <v/>
      </c>
      <c r="C56" s="152" t="str">
        <f>IF(B56="","",STDEV(A56:A64))</f>
        <v/>
      </c>
      <c r="D56" s="27" t="e">
        <f t="shared" si="15"/>
        <v>#VALUE!</v>
      </c>
      <c r="E56" s="162" t="e">
        <f t="shared" si="3"/>
        <v>#VALUE!</v>
      </c>
      <c r="F56" s="152" t="e">
        <f t="shared" si="2"/>
        <v>#DIV/0!</v>
      </c>
      <c r="G56" s="158" t="e">
        <f>F56/B56</f>
        <v>#DIV/0!</v>
      </c>
      <c r="H56" s="162" t="e">
        <f t="shared" si="4"/>
        <v>#DIV/0!</v>
      </c>
      <c r="I56" s="163"/>
    </row>
    <row r="57" spans="2:9">
      <c r="B57" s="25" t="str">
        <f t="shared" si="0"/>
        <v/>
      </c>
      <c r="C57" s="152" t="str">
        <f>IF(B57="","",STDEV(A57:A65))</f>
        <v/>
      </c>
      <c r="D57" s="27" t="e">
        <f t="shared" si="15"/>
        <v>#VALUE!</v>
      </c>
      <c r="E57" s="162" t="e">
        <f t="shared" si="3"/>
        <v>#VALUE!</v>
      </c>
      <c r="F57" s="152" t="e">
        <f t="shared" si="2"/>
        <v>#DIV/0!</v>
      </c>
      <c r="G57" s="158" t="e">
        <f>F57/B57</f>
        <v>#DIV/0!</v>
      </c>
      <c r="H57" s="162" t="e">
        <f t="shared" si="4"/>
        <v>#DIV/0!</v>
      </c>
      <c r="I57" s="163"/>
    </row>
    <row r="58" spans="2:9">
      <c r="B58" s="25" t="str">
        <f t="shared" si="0"/>
        <v/>
      </c>
      <c r="C58" s="152" t="str">
        <f>IF(B58="","",STDEV(A58:A66))</f>
        <v/>
      </c>
      <c r="D58" s="27" t="e">
        <f t="shared" si="15"/>
        <v>#VALUE!</v>
      </c>
      <c r="E58" s="162" t="e">
        <f t="shared" si="3"/>
        <v>#VALUE!</v>
      </c>
      <c r="F58" s="152" t="e">
        <f t="shared" si="2"/>
        <v>#DIV/0!</v>
      </c>
      <c r="G58" s="158" t="e">
        <f>F58/B58</f>
        <v>#DIV/0!</v>
      </c>
      <c r="H58" s="162" t="e">
        <f t="shared" si="4"/>
        <v>#DIV/0!</v>
      </c>
      <c r="I58" s="163"/>
    </row>
    <row r="59" spans="2:9">
      <c r="B59" s="25" t="str">
        <f t="shared" si="0"/>
        <v/>
      </c>
      <c r="C59" s="152" t="str">
        <f>IF(B59="","",STDEV(A59:A67))</f>
        <v/>
      </c>
      <c r="D59" s="27" t="e">
        <f t="shared" si="15"/>
        <v>#VALUE!</v>
      </c>
      <c r="E59" s="162" t="e">
        <f t="shared" si="3"/>
        <v>#VALUE!</v>
      </c>
      <c r="F59" s="152" t="e">
        <f t="shared" si="2"/>
        <v>#DIV/0!</v>
      </c>
      <c r="G59" s="158" t="e">
        <f>F59/B59</f>
        <v>#DIV/0!</v>
      </c>
      <c r="H59" s="162" t="e">
        <f t="shared" si="4"/>
        <v>#DIV/0!</v>
      </c>
      <c r="I59" s="163"/>
    </row>
    <row r="60" spans="2:9">
      <c r="B60" s="25" t="str">
        <f t="shared" si="0"/>
        <v/>
      </c>
      <c r="C60" s="152" t="str">
        <f>IF(B60="","",STDEV(A60:A68))</f>
        <v/>
      </c>
      <c r="D60" s="27" t="e">
        <f t="shared" si="15"/>
        <v>#VALUE!</v>
      </c>
      <c r="E60" s="162" t="e">
        <f t="shared" si="3"/>
        <v>#VALUE!</v>
      </c>
      <c r="F60" s="152" t="e">
        <f t="shared" si="2"/>
        <v>#DIV/0!</v>
      </c>
      <c r="G60" s="158" t="e">
        <f>F60/B60</f>
        <v>#DIV/0!</v>
      </c>
      <c r="H60" s="162" t="e">
        <f t="shared" si="4"/>
        <v>#DIV/0!</v>
      </c>
      <c r="I60" s="163"/>
    </row>
    <row r="61" spans="2:9">
      <c r="B61" s="25" t="str">
        <f t="shared" si="0"/>
        <v/>
      </c>
      <c r="C61" s="152" t="str">
        <f>IF(B61="","",STDEV(A61:A69))</f>
        <v/>
      </c>
      <c r="D61" s="27" t="e">
        <f t="shared" si="15"/>
        <v>#VALUE!</v>
      </c>
      <c r="E61" s="162" t="e">
        <f t="shared" si="3"/>
        <v>#VALUE!</v>
      </c>
      <c r="F61" s="152" t="e">
        <f t="shared" si="2"/>
        <v>#DIV/0!</v>
      </c>
      <c r="G61" s="158" t="e">
        <f>F61/B61</f>
        <v>#DIV/0!</v>
      </c>
      <c r="H61" s="162" t="e">
        <f t="shared" si="4"/>
        <v>#DIV/0!</v>
      </c>
      <c r="I61" s="163"/>
    </row>
    <row r="62" spans="2:9">
      <c r="B62" s="25" t="str">
        <f t="shared" si="0"/>
        <v/>
      </c>
      <c r="C62" s="152" t="str">
        <f>IF(B62="","",STDEV(A62:A70))</f>
        <v/>
      </c>
      <c r="D62" s="27" t="e">
        <f t="shared" ref="D62:D67" si="16">C62/B62</f>
        <v>#VALUE!</v>
      </c>
      <c r="E62" s="162" t="e">
        <f t="shared" si="3"/>
        <v>#VALUE!</v>
      </c>
      <c r="F62" s="152" t="e">
        <f t="shared" si="2"/>
        <v>#DIV/0!</v>
      </c>
      <c r="G62" s="158" t="e">
        <f>F62/B62</f>
        <v>#DIV/0!</v>
      </c>
      <c r="H62" s="162" t="e">
        <f t="shared" si="4"/>
        <v>#DIV/0!</v>
      </c>
      <c r="I62" s="163"/>
    </row>
    <row r="63" spans="2:9">
      <c r="B63" s="25" t="str">
        <f t="shared" si="0"/>
        <v/>
      </c>
      <c r="C63" s="152" t="str">
        <f>IF(B63="","",STDEV(A63:A71))</f>
        <v/>
      </c>
      <c r="D63" s="27" t="e">
        <f t="shared" si="16"/>
        <v>#VALUE!</v>
      </c>
      <c r="E63" s="162" t="e">
        <f t="shared" si="3"/>
        <v>#VALUE!</v>
      </c>
      <c r="F63" s="152" t="e">
        <f t="shared" si="2"/>
        <v>#DIV/0!</v>
      </c>
      <c r="G63" s="158" t="e">
        <f>F63/B63</f>
        <v>#DIV/0!</v>
      </c>
      <c r="H63" s="162" t="e">
        <f t="shared" si="4"/>
        <v>#DIV/0!</v>
      </c>
      <c r="I63" s="163"/>
    </row>
    <row r="64" spans="2:9">
      <c r="B64" s="25" t="str">
        <f t="shared" si="0"/>
        <v/>
      </c>
      <c r="C64" s="152" t="str">
        <f>IF(B64="","",STDEV(A64:A72))</f>
        <v/>
      </c>
      <c r="D64" s="27" t="e">
        <f t="shared" si="16"/>
        <v>#VALUE!</v>
      </c>
      <c r="E64" s="162" t="e">
        <f t="shared" si="3"/>
        <v>#VALUE!</v>
      </c>
      <c r="F64" s="152" t="e">
        <f t="shared" si="2"/>
        <v>#DIV/0!</v>
      </c>
      <c r="G64" s="158" t="e">
        <f>F64/B64</f>
        <v>#DIV/0!</v>
      </c>
      <c r="H64" s="162" t="e">
        <f t="shared" si="4"/>
        <v>#DIV/0!</v>
      </c>
      <c r="I64" s="163"/>
    </row>
    <row r="65" spans="2:9">
      <c r="B65" s="25" t="str">
        <f t="shared" si="0"/>
        <v/>
      </c>
      <c r="C65" s="152" t="str">
        <f>IF(B65="","",STDEV(A65:A73))</f>
        <v/>
      </c>
      <c r="D65" s="27" t="e">
        <f t="shared" si="16"/>
        <v>#VALUE!</v>
      </c>
      <c r="E65" s="162" t="e">
        <f t="shared" si="3"/>
        <v>#VALUE!</v>
      </c>
      <c r="F65" s="152" t="e">
        <f t="shared" si="2"/>
        <v>#DIV/0!</v>
      </c>
      <c r="G65" s="158" t="e">
        <f>F65/B65</f>
        <v>#DIV/0!</v>
      </c>
      <c r="H65" s="162" t="e">
        <f t="shared" si="4"/>
        <v>#DIV/0!</v>
      </c>
      <c r="I65" s="163"/>
    </row>
    <row r="66" spans="2:9">
      <c r="B66" s="25" t="str">
        <f t="shared" si="0"/>
        <v/>
      </c>
      <c r="C66" s="152" t="str">
        <f>IF(B66="","",STDEV(A66:A74))</f>
        <v/>
      </c>
      <c r="D66" s="27" t="e">
        <f t="shared" si="16"/>
        <v>#VALUE!</v>
      </c>
      <c r="E66" s="162" t="e">
        <f t="shared" si="3"/>
        <v>#VALUE!</v>
      </c>
      <c r="F66" s="152" t="e">
        <f t="shared" si="2"/>
        <v>#DIV/0!</v>
      </c>
      <c r="G66" s="158" t="e">
        <f>F66/B66</f>
        <v>#DIV/0!</v>
      </c>
      <c r="H66" s="162" t="e">
        <f t="shared" si="4"/>
        <v>#DIV/0!</v>
      </c>
      <c r="I66" s="163"/>
    </row>
    <row r="67" spans="2:9">
      <c r="B67" s="25" t="str">
        <f t="shared" ref="B67:B80" si="17">IF(COUNTBLANK(A67:A75)&gt;0,"",AVERAGE(A67:A75))</f>
        <v/>
      </c>
      <c r="C67" s="152" t="str">
        <f>IF(B67="","",STDEV(A67:A75))</f>
        <v/>
      </c>
      <c r="D67" s="27" t="e">
        <f t="shared" si="16"/>
        <v>#VALUE!</v>
      </c>
      <c r="E67" s="162" t="e">
        <f t="shared" si="3"/>
        <v>#VALUE!</v>
      </c>
      <c r="F67" s="152" t="e">
        <f t="shared" ref="F67:F80" si="18">VAR(A67:A75)</f>
        <v>#DIV/0!</v>
      </c>
      <c r="G67" s="158" t="e">
        <f>F67/B67</f>
        <v>#DIV/0!</v>
      </c>
      <c r="H67" s="162" t="e">
        <f t="shared" si="4"/>
        <v>#DIV/0!</v>
      </c>
      <c r="I67" s="163"/>
    </row>
    <row r="68" spans="2:9">
      <c r="B68" s="25" t="str">
        <f t="shared" si="17"/>
        <v/>
      </c>
      <c r="C68" s="152" t="str">
        <f>IF(B68="","",STDEV(A68:A76))</f>
        <v/>
      </c>
      <c r="D68" s="27" t="e">
        <f t="shared" ref="D68:D72" si="19">C68/B68</f>
        <v>#VALUE!</v>
      </c>
      <c r="E68" s="162" t="e">
        <f t="shared" ref="E68:E80" si="20">D68/D67</f>
        <v>#VALUE!</v>
      </c>
      <c r="F68" s="152" t="e">
        <f t="shared" si="18"/>
        <v>#DIV/0!</v>
      </c>
      <c r="G68" s="158" t="e">
        <f>F68/B68</f>
        <v>#DIV/0!</v>
      </c>
      <c r="H68" s="162" t="e">
        <f t="shared" si="4"/>
        <v>#DIV/0!</v>
      </c>
      <c r="I68" s="163"/>
    </row>
    <row r="69" spans="2:9">
      <c r="B69" s="25" t="str">
        <f t="shared" si="17"/>
        <v/>
      </c>
      <c r="C69" s="152" t="str">
        <f>IF(B69="","",STDEV(A69:A77))</f>
        <v/>
      </c>
      <c r="D69" s="27" t="e">
        <f t="shared" si="19"/>
        <v>#VALUE!</v>
      </c>
      <c r="E69" s="162" t="e">
        <f t="shared" si="20"/>
        <v>#VALUE!</v>
      </c>
      <c r="F69" s="152" t="e">
        <f t="shared" si="18"/>
        <v>#DIV/0!</v>
      </c>
      <c r="G69" s="158" t="e">
        <f>F69/B69</f>
        <v>#DIV/0!</v>
      </c>
      <c r="H69" s="162" t="e">
        <f t="shared" ref="H69:H80" si="21">G69/G68</f>
        <v>#DIV/0!</v>
      </c>
      <c r="I69" s="163"/>
    </row>
    <row r="70" spans="2:9">
      <c r="B70" s="25" t="str">
        <f t="shared" si="17"/>
        <v/>
      </c>
      <c r="C70" s="152" t="str">
        <f>IF(B70="","",STDEV(A70:A78))</f>
        <v/>
      </c>
      <c r="D70" s="27" t="e">
        <f t="shared" si="19"/>
        <v>#VALUE!</v>
      </c>
      <c r="E70" s="162" t="e">
        <f t="shared" si="20"/>
        <v>#VALUE!</v>
      </c>
      <c r="F70" s="152" t="e">
        <f t="shared" si="18"/>
        <v>#DIV/0!</v>
      </c>
      <c r="G70" s="158" t="e">
        <f>F70/B70</f>
        <v>#DIV/0!</v>
      </c>
      <c r="H70" s="162" t="e">
        <f t="shared" si="21"/>
        <v>#DIV/0!</v>
      </c>
      <c r="I70" s="163"/>
    </row>
    <row r="71" spans="2:9">
      <c r="B71" s="25" t="str">
        <f t="shared" si="17"/>
        <v/>
      </c>
      <c r="C71" s="152" t="str">
        <f>IF(B71="","",STDEV(A71:A79))</f>
        <v/>
      </c>
      <c r="D71" s="27" t="e">
        <f t="shared" si="19"/>
        <v>#VALUE!</v>
      </c>
      <c r="E71" s="162" t="e">
        <f t="shared" si="20"/>
        <v>#VALUE!</v>
      </c>
      <c r="F71" s="152" t="e">
        <f t="shared" si="18"/>
        <v>#DIV/0!</v>
      </c>
      <c r="G71" s="158" t="e">
        <f>F71/B71</f>
        <v>#DIV/0!</v>
      </c>
      <c r="H71" s="162" t="e">
        <f t="shared" si="21"/>
        <v>#DIV/0!</v>
      </c>
      <c r="I71" s="163"/>
    </row>
    <row r="72" spans="2:9">
      <c r="B72" s="25" t="str">
        <f t="shared" si="17"/>
        <v/>
      </c>
      <c r="C72" s="152" t="str">
        <f>IF(B72="","",STDEV(A72:A80))</f>
        <v/>
      </c>
      <c r="D72" s="27" t="e">
        <f t="shared" si="19"/>
        <v>#VALUE!</v>
      </c>
      <c r="E72" s="162" t="e">
        <f t="shared" si="20"/>
        <v>#VALUE!</v>
      </c>
      <c r="F72" s="152" t="e">
        <f t="shared" si="18"/>
        <v>#DIV/0!</v>
      </c>
      <c r="G72" s="158" t="e">
        <f>F72/B72</f>
        <v>#DIV/0!</v>
      </c>
      <c r="H72" s="162" t="e">
        <f t="shared" si="21"/>
        <v>#DIV/0!</v>
      </c>
      <c r="I72" s="163"/>
    </row>
    <row r="73" spans="2:9">
      <c r="B73" s="25" t="str">
        <f t="shared" si="17"/>
        <v/>
      </c>
      <c r="C73" s="152" t="str">
        <f>IF(B73="","",STDEV(A73:A81))</f>
        <v/>
      </c>
      <c r="D73" s="27" t="e">
        <f t="shared" ref="D73" si="22">C73/B73</f>
        <v>#VALUE!</v>
      </c>
      <c r="E73" s="162" t="e">
        <f t="shared" si="20"/>
        <v>#VALUE!</v>
      </c>
      <c r="F73" s="152" t="e">
        <f t="shared" si="18"/>
        <v>#DIV/0!</v>
      </c>
      <c r="G73" s="158" t="e">
        <f>F73/B73</f>
        <v>#DIV/0!</v>
      </c>
      <c r="H73" s="162" t="e">
        <f t="shared" si="21"/>
        <v>#DIV/0!</v>
      </c>
      <c r="I73" s="163"/>
    </row>
    <row r="74" spans="2:9">
      <c r="B74" s="25" t="str">
        <f t="shared" si="17"/>
        <v/>
      </c>
      <c r="C74" s="152" t="str">
        <f>IF(B74="","",STDEV(A74:A82))</f>
        <v/>
      </c>
      <c r="D74" s="27" t="e">
        <f t="shared" ref="D74" si="23">C74/B74</f>
        <v>#VALUE!</v>
      </c>
      <c r="E74" s="162" t="e">
        <f t="shared" si="20"/>
        <v>#VALUE!</v>
      </c>
      <c r="F74" s="152" t="e">
        <f t="shared" si="18"/>
        <v>#DIV/0!</v>
      </c>
      <c r="G74" s="158" t="e">
        <f>F74/B74</f>
        <v>#DIV/0!</v>
      </c>
      <c r="H74" s="162" t="e">
        <f t="shared" si="21"/>
        <v>#DIV/0!</v>
      </c>
      <c r="I74" s="163"/>
    </row>
    <row r="75" spans="2:9">
      <c r="B75" s="25" t="str">
        <f t="shared" si="17"/>
        <v/>
      </c>
      <c r="C75" s="152" t="str">
        <f>IF(B75="","",STDEV(A75:A83))</f>
        <v/>
      </c>
      <c r="D75" s="27" t="e">
        <f t="shared" ref="D75" si="24">C75/B75</f>
        <v>#VALUE!</v>
      </c>
      <c r="E75" s="162" t="e">
        <f t="shared" si="20"/>
        <v>#VALUE!</v>
      </c>
      <c r="F75" s="152" t="e">
        <f t="shared" si="18"/>
        <v>#DIV/0!</v>
      </c>
      <c r="G75" s="158" t="e">
        <f>F75/B75</f>
        <v>#DIV/0!</v>
      </c>
      <c r="H75" s="162" t="e">
        <f t="shared" si="21"/>
        <v>#DIV/0!</v>
      </c>
      <c r="I75" s="163"/>
    </row>
    <row r="76" spans="2:9">
      <c r="B76" s="25" t="str">
        <f t="shared" si="17"/>
        <v/>
      </c>
      <c r="C76" s="152" t="str">
        <f>IF(B76="","",STDEV(A76:A84))</f>
        <v/>
      </c>
      <c r="D76" s="27" t="e">
        <f t="shared" ref="D76" si="25">C76/B76</f>
        <v>#VALUE!</v>
      </c>
      <c r="E76" s="162" t="e">
        <f t="shared" si="20"/>
        <v>#VALUE!</v>
      </c>
      <c r="F76" s="152" t="e">
        <f t="shared" si="18"/>
        <v>#DIV/0!</v>
      </c>
      <c r="G76" s="158" t="e">
        <f>F76/B76</f>
        <v>#DIV/0!</v>
      </c>
      <c r="H76" s="162" t="e">
        <f t="shared" si="21"/>
        <v>#DIV/0!</v>
      </c>
      <c r="I76" s="163"/>
    </row>
    <row r="77" spans="2:9">
      <c r="B77" s="25" t="str">
        <f t="shared" si="17"/>
        <v/>
      </c>
      <c r="C77" s="152" t="str">
        <f>IF(B77="","",STDEV(A77:A85))</f>
        <v/>
      </c>
      <c r="D77" s="27" t="e">
        <f t="shared" ref="D77:D78" si="26">C77/B77</f>
        <v>#VALUE!</v>
      </c>
      <c r="E77" s="162" t="e">
        <f t="shared" si="20"/>
        <v>#VALUE!</v>
      </c>
      <c r="F77" s="152" t="e">
        <f t="shared" si="18"/>
        <v>#DIV/0!</v>
      </c>
      <c r="G77" s="158" t="e">
        <f>F77/B77</f>
        <v>#DIV/0!</v>
      </c>
      <c r="H77" s="162" t="e">
        <f t="shared" si="21"/>
        <v>#DIV/0!</v>
      </c>
      <c r="I77" s="163"/>
    </row>
    <row r="78" spans="2:9">
      <c r="B78" s="25" t="str">
        <f t="shared" si="17"/>
        <v/>
      </c>
      <c r="C78" s="152" t="str">
        <f>IF(B78="","",STDEV(A78:A86))</f>
        <v/>
      </c>
      <c r="D78" s="27" t="e">
        <f t="shared" si="26"/>
        <v>#VALUE!</v>
      </c>
      <c r="E78" s="162" t="e">
        <f t="shared" si="20"/>
        <v>#VALUE!</v>
      </c>
      <c r="F78" s="152" t="e">
        <f t="shared" si="18"/>
        <v>#DIV/0!</v>
      </c>
      <c r="G78" s="158" t="e">
        <f>F78/B78</f>
        <v>#DIV/0!</v>
      </c>
      <c r="H78" s="162" t="e">
        <f t="shared" si="21"/>
        <v>#DIV/0!</v>
      </c>
      <c r="I78" s="163"/>
    </row>
    <row r="79" spans="2:9">
      <c r="B79" s="25" t="str">
        <f t="shared" si="17"/>
        <v/>
      </c>
      <c r="C79" s="152" t="str">
        <f>IF(B79="","",STDEV(A79:A87))</f>
        <v/>
      </c>
      <c r="D79" s="27" t="e">
        <f t="shared" ref="D79" si="27">C79/B79</f>
        <v>#VALUE!</v>
      </c>
      <c r="E79" s="162" t="e">
        <f t="shared" si="20"/>
        <v>#VALUE!</v>
      </c>
      <c r="F79" s="152" t="e">
        <f t="shared" si="18"/>
        <v>#DIV/0!</v>
      </c>
      <c r="G79" s="158" t="e">
        <f>F79/B79</f>
        <v>#DIV/0!</v>
      </c>
      <c r="H79" s="162" t="e">
        <f t="shared" si="21"/>
        <v>#DIV/0!</v>
      </c>
      <c r="I79" s="163"/>
    </row>
    <row r="80" spans="2:9">
      <c r="B80" s="25" t="str">
        <f t="shared" si="17"/>
        <v/>
      </c>
      <c r="C80" s="152" t="str">
        <f>IF(B80="","",STDEV(A80:A88))</f>
        <v/>
      </c>
      <c r="D80" s="27" t="e">
        <f t="shared" ref="D80" si="28">C80/B80</f>
        <v>#VALUE!</v>
      </c>
      <c r="E80" s="162" t="e">
        <f t="shared" si="20"/>
        <v>#VALUE!</v>
      </c>
      <c r="F80" s="152" t="e">
        <f t="shared" si="18"/>
        <v>#DIV/0!</v>
      </c>
      <c r="G80" s="158" t="e">
        <f>F80/B80</f>
        <v>#DIV/0!</v>
      </c>
      <c r="H80" s="162" t="e">
        <f t="shared" si="21"/>
        <v>#DIV/0!</v>
      </c>
      <c r="I80" s="16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G60" sqref="G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5" sqref="E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2</v>
      </c>
      <c r="N1" s="27">
        <f>0.7%*M1</f>
        <v>1.3999999999999999E-2</v>
      </c>
    </row>
    <row r="2" spans="1:15">
      <c r="A2" s="7" t="s">
        <v>140</v>
      </c>
      <c r="B2" s="25">
        <f>450</f>
        <v>450</v>
      </c>
      <c r="C2" s="25">
        <v>14</v>
      </c>
      <c r="D2" s="25">
        <v>0.78</v>
      </c>
      <c r="E2" s="39">
        <v>14.5</v>
      </c>
      <c r="F2" s="28">
        <f>ROUNDDOWN([APLICAÇÃO]/[PREÇO OPÇÃO], 0)</f>
        <v>576</v>
      </c>
      <c r="G2" s="28">
        <f>[QTDE TMP] - MOD([QTDE TMP], 100)</f>
        <v>500</v>
      </c>
      <c r="H2" s="25">
        <f>[EXERCÍCIO] + ([PREÇO OPÇÃO] * 2)</f>
        <v>15.56</v>
      </c>
      <c r="I2" s="27">
        <f>[TARGET 100%] / [PREÇO AÇÃO] - 1</f>
        <v>7.3103448275862126E-2</v>
      </c>
      <c r="J2" s="25">
        <f>[PREÇO OPÇÃO] * [QTDE]</f>
        <v>390</v>
      </c>
      <c r="K2" s="25">
        <f>IF([PREÇO AÇÃO] &gt; [EXERCÍCIO], [PREÇO OPÇÃO] -([PREÇO AÇÃO] - [EXERCÍCIO]), [PREÇO OPÇÃO])</f>
        <v>0.28000000000000003</v>
      </c>
    </row>
    <row r="3" spans="1:15">
      <c r="A3" s="7" t="s">
        <v>179</v>
      </c>
      <c r="B3" s="25">
        <f>450</f>
        <v>450</v>
      </c>
      <c r="C3" s="25">
        <v>16.16</v>
      </c>
      <c r="D3" s="25">
        <v>0.38</v>
      </c>
      <c r="E3" s="39">
        <v>15.87</v>
      </c>
      <c r="F3" s="28">
        <f>ROUNDDOWN([APLICAÇÃO]/[PREÇO OPÇÃO], 0)</f>
        <v>1184</v>
      </c>
      <c r="G3" s="28">
        <f>[QTDE TMP] - MOD([QTDE TMP], 100)</f>
        <v>1100</v>
      </c>
      <c r="H3" s="25">
        <f>[EXERCÍCIO] + ([PREÇO OPÇÃO] * 2)</f>
        <v>16.920000000000002</v>
      </c>
      <c r="I3" s="27">
        <f>[TARGET 100%] / [PREÇO AÇÃO] - 1</f>
        <v>6.6162570888468997E-2</v>
      </c>
      <c r="J3" s="25">
        <f>[PREÇO OPÇÃO] * [QTDE]</f>
        <v>418</v>
      </c>
      <c r="K3" s="25">
        <f>IF([PREÇO AÇÃO] &gt; [EXERCÍCIO], [PREÇO OPÇÃO] -([PREÇO AÇÃO] - [EXERCÍCIO]), [PREÇO OPÇÃO])</f>
        <v>0.38</v>
      </c>
    </row>
    <row r="4" spans="1:15">
      <c r="A4" s="7" t="s">
        <v>179</v>
      </c>
      <c r="B4" s="146">
        <f>450</f>
        <v>450</v>
      </c>
      <c r="C4" s="25">
        <v>30</v>
      </c>
      <c r="D4" s="25">
        <v>0.36</v>
      </c>
      <c r="E4" s="39">
        <v>29.58</v>
      </c>
      <c r="F4" s="147">
        <f>ROUNDDOWN([APLICAÇÃO]/[PREÇO OPÇÃO], 0)</f>
        <v>1250</v>
      </c>
      <c r="G4" s="147">
        <f>[QTDE TMP] - MOD([QTDE TMP], 100)</f>
        <v>1200</v>
      </c>
      <c r="H4" s="146">
        <f>[EXERCÍCIO] + ([PREÇO OPÇÃO] * 2)</f>
        <v>30.72</v>
      </c>
      <c r="I4" s="148">
        <f>[TARGET 100%] / [PREÇO AÇÃO] - 1</f>
        <v>3.8539553752535483E-2</v>
      </c>
      <c r="J4" s="149">
        <f>[PREÇO OPÇÃO] * [QTDE]</f>
        <v>432</v>
      </c>
      <c r="K4" s="149">
        <f>IF([PREÇO AÇÃO] &gt; [EXERCÍCIO], [PREÇO OPÇÃO] -([PREÇO AÇÃO] - [EXERCÍCIO]), [PREÇO OPÇÃO])</f>
        <v>0.36</v>
      </c>
      <c r="M4" s="7">
        <v>33.15</v>
      </c>
      <c r="N4" s="152">
        <f>M4*N7/M7</f>
        <v>4.9732104586369479</v>
      </c>
      <c r="O4" s="153">
        <f>N4/5*M1</f>
        <v>1.9892841834547792</v>
      </c>
    </row>
    <row r="5" spans="1:15">
      <c r="A5" s="145" t="s">
        <v>179</v>
      </c>
      <c r="B5" s="146">
        <f>450</f>
        <v>450</v>
      </c>
      <c r="C5" s="146">
        <v>31</v>
      </c>
      <c r="D5" s="146">
        <v>0.47</v>
      </c>
      <c r="E5" s="39">
        <v>30.67</v>
      </c>
      <c r="F5" s="147">
        <f>ROUNDDOWN([APLICAÇÃO]/[PREÇO OPÇÃO], 0)</f>
        <v>957</v>
      </c>
      <c r="G5" s="147">
        <f>[QTDE TMP] - MOD([QTDE TMP], 100)</f>
        <v>900</v>
      </c>
      <c r="H5" s="146">
        <f>[EXERCÍCIO] + ([PREÇO OPÇÃO] * 2)</f>
        <v>31.94</v>
      </c>
      <c r="I5" s="148">
        <f>[TARGET 100%] / [PREÇO AÇÃO] - 1</f>
        <v>4.1408542549722815E-2</v>
      </c>
      <c r="J5" s="149">
        <f>[PREÇO OPÇÃO] * [QTDE]</f>
        <v>423</v>
      </c>
      <c r="K5" s="149">
        <f>IF([PREÇO AÇÃO] &gt; [EXERCÍCIO], [PREÇO OPÇÃO] -([PREÇO AÇÃO] - [EXERCÍCIO]), [PREÇO OPÇÃO])</f>
        <v>0.47</v>
      </c>
      <c r="M5" s="7">
        <v>23.84</v>
      </c>
      <c r="N5" s="152">
        <f>M5*N7/M7</f>
        <v>3.5765109301328764</v>
      </c>
      <c r="O5" s="153">
        <f>N5/5*M1</f>
        <v>1.4306043720531505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B4" sqref="B4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500</v>
      </c>
      <c r="C3" s="25">
        <v>27.98</v>
      </c>
      <c r="D3" s="25">
        <v>26</v>
      </c>
      <c r="E3" s="25">
        <v>2.16</v>
      </c>
      <c r="F3" s="25">
        <v>27</v>
      </c>
      <c r="G3" s="25">
        <v>1.34</v>
      </c>
      <c r="H3" s="25">
        <f>([QTDE] * [PREÇO COMPRA]) + ([QTDE] * [PREÇO VENDA])</f>
        <v>9450</v>
      </c>
      <c r="I3" s="25">
        <f>[PREÇO VENDA]-[PREÇO COMPRA]</f>
        <v>0.82000000000000006</v>
      </c>
      <c r="J3" s="25">
        <f>(0.01 - [PREÇO COMPRA]) + ([PREÇO VENDA] - ([EXERC. COMPRA]-[EXERC. VENDA]+0.01))</f>
        <v>-0.17999999999999994</v>
      </c>
      <c r="K3" s="28">
        <f>ROUNDDOWN([RISCO]/ABS([PERDA P/ OPÇÃO]), 0)</f>
        <v>2777</v>
      </c>
      <c r="L3" s="28">
        <f>[QTDE TMP] - MOD([QTDE TMP], 100)</f>
        <v>2700</v>
      </c>
      <c r="M3" s="25">
        <f>([QTDE]*[LUCRO P/ OPÇÃO])-32</f>
        <v>2182</v>
      </c>
      <c r="N3" s="25">
        <f>[QTDE]*[PERDA P/ OPÇÃO]-32</f>
        <v>-517.99999999999977</v>
      </c>
      <c r="O3" s="27">
        <f>[EXERC. VENDA]/[PREÇO AÇÃO]-1</f>
        <v>-7.0764832022873536E-2</v>
      </c>
      <c r="P3" s="38">
        <f>[LUCRO*]/ABS([PERDA*])</f>
        <v>4.2123552123552139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20</v>
      </c>
      <c r="C2" s="51">
        <v>27.98</v>
      </c>
      <c r="D2" s="51">
        <v>26</v>
      </c>
      <c r="E2" s="51">
        <v>27</v>
      </c>
      <c r="F2" s="51">
        <v>2.16</v>
      </c>
      <c r="G2" s="62">
        <v>200</v>
      </c>
      <c r="H2" s="52">
        <f>([RISCO])/[QTDE]</f>
        <v>0.1</v>
      </c>
      <c r="I2" s="52">
        <f>[PR Venda] * [QTDE]+[QTDE]*[PR Compra]</f>
        <v>684</v>
      </c>
      <c r="J2" s="63">
        <f>[PR Venda]-[PR Compra]</f>
        <v>0.89999999999999991</v>
      </c>
      <c r="K2" s="52">
        <f>(-[PERDA P/ OPÇÃO] + ([EX. COMPRA] - [EX. VENDA] + 0.01) - 0.01 -[PR Venda])*-1</f>
        <v>1.2600000000000002</v>
      </c>
      <c r="L2" s="52">
        <f>([QTDE]*[LUCRO UNI])-64</f>
        <v>115.99999999999997</v>
      </c>
      <c r="M2" s="52">
        <f>-[PERDA P/ OPÇÃO]*[QTDE]-64</f>
        <v>-84</v>
      </c>
      <c r="N2" s="53">
        <f>[EX. VENDA]/[PREÇO AÇÃO]-1</f>
        <v>-7.0764832022873536E-2</v>
      </c>
      <c r="O2" s="54">
        <f>[LUCRO]/ABS([PERDA])</f>
        <v>1.3809523809523807</v>
      </c>
    </row>
    <row r="3" spans="1:15">
      <c r="A3" s="145" t="s">
        <v>83</v>
      </c>
      <c r="B3" s="146">
        <v>185</v>
      </c>
      <c r="C3" s="51">
        <v>27.25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-2.5688073394495303E-3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56" t="s">
        <v>7</v>
      </c>
      <c r="B1" s="156"/>
      <c r="C1" s="156" t="s">
        <v>8</v>
      </c>
      <c r="D1" s="156"/>
      <c r="E1" s="155" t="s">
        <v>9</v>
      </c>
      <c r="F1" s="155" t="s">
        <v>4</v>
      </c>
      <c r="G1" s="155" t="s">
        <v>10</v>
      </c>
      <c r="H1" s="155" t="s">
        <v>11</v>
      </c>
      <c r="I1" s="155" t="s">
        <v>23</v>
      </c>
      <c r="K1" s="154" t="s">
        <v>147</v>
      </c>
      <c r="L1" s="154"/>
      <c r="M1" s="154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55"/>
      <c r="F2" s="155"/>
      <c r="G2" s="155"/>
      <c r="H2" s="155"/>
      <c r="I2" s="155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54" t="s">
        <v>26</v>
      </c>
      <c r="B4" s="154"/>
      <c r="C4" s="154"/>
      <c r="D4" s="154"/>
      <c r="E4" s="154"/>
      <c r="F4" s="154"/>
      <c r="K4" s="17">
        <v>498.62</v>
      </c>
      <c r="L4" s="17">
        <v>0</v>
      </c>
      <c r="M4" s="104">
        <v>0.02</v>
      </c>
    </row>
    <row r="5" spans="1:13">
      <c r="A5" s="154" t="s">
        <v>7</v>
      </c>
      <c r="B5" s="154"/>
      <c r="C5" s="154"/>
      <c r="D5" s="154" t="s">
        <v>8</v>
      </c>
      <c r="E5" s="154"/>
      <c r="F5" s="154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NOTAS</vt:lpstr>
      <vt:lpstr>NOTAS 80%</vt:lpstr>
      <vt:lpstr>IR</vt:lpstr>
      <vt:lpstr>VOLAT-TENDENCIA</vt:lpstr>
      <vt:lpstr>TRAVA BAIXA</vt:lpstr>
      <vt:lpstr>TRAVA BAIXA NEW</vt:lpstr>
      <vt:lpstr>BORBOLETA</vt:lpstr>
      <vt:lpstr>Plan1</vt:lpstr>
      <vt:lpstr>SETUP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2014-04-10T19:49:49Z</dcterms:modified>
</cp:coreProperties>
</file>