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firstSheet="1" activeTab="12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MINI" sheetId="15" r:id="rId6"/>
    <sheet name="TRAVA BAIXA NEW" sheetId="6" r:id="rId7"/>
    <sheet name="BORBOLETA" sheetId="5" r:id="rId8"/>
    <sheet name="Plan1" sheetId="7" r:id="rId9"/>
    <sheet name="SETUP" sheetId="2" r:id="rId10"/>
    <sheet name="Plan2" sheetId="10" r:id="rId11"/>
    <sheet name="Plan4" sheetId="12" r:id="rId12"/>
    <sheet name="Plan6" sheetId="14" r:id="rId13"/>
  </sheets>
  <calcPr calcId="124519"/>
  <pivotCaches>
    <pivotCache cacheId="29" r:id="rId14"/>
  </pivotCaches>
</workbook>
</file>

<file path=xl/calcChain.xml><?xml version="1.0" encoding="utf-8"?>
<calcChain xmlns="http://schemas.openxmlformats.org/spreadsheetml/2006/main">
  <c r="L7" i="14"/>
  <c r="T3"/>
  <c r="Q24" i="1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"/>
  <c r="B2" i="3"/>
  <c r="B3"/>
  <c r="B4"/>
  <c r="B5"/>
  <c r="C16" i="10"/>
  <c r="C15"/>
  <c r="G98" i="1"/>
  <c r="X105"/>
  <c r="H98" l="1"/>
  <c r="I98" s="1"/>
  <c r="I99"/>
  <c r="D2" i="15"/>
  <c r="G2" s="1"/>
  <c r="F2"/>
  <c r="E2"/>
  <c r="B2" i="4" l="1"/>
  <c r="B3"/>
  <c r="B4"/>
  <c r="W62" i="10" l="1"/>
  <c r="U62"/>
  <c r="T63" s="1"/>
  <c r="V64" s="1"/>
  <c r="W64" s="1"/>
  <c r="R9" i="4" l="1"/>
  <c r="R7"/>
  <c r="R6"/>
  <c r="R5"/>
  <c r="H2"/>
  <c r="L2" s="1"/>
  <c r="H3"/>
  <c r="L3" s="1"/>
  <c r="H4"/>
  <c r="L4" s="1"/>
  <c r="J30" i="10" l="1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B25"/>
  <c r="B26"/>
  <c r="B27"/>
  <c r="B28"/>
  <c r="B29"/>
  <c r="J2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J14" s="1"/>
  <c r="B23"/>
  <c r="B24"/>
  <c r="J24" s="1"/>
  <c r="B3"/>
  <c r="B1" s="1"/>
  <c r="T55"/>
  <c r="J13" l="1"/>
  <c r="J12"/>
  <c r="J11"/>
  <c r="J10"/>
  <c r="J9"/>
  <c r="J8"/>
  <c r="J7"/>
  <c r="J6"/>
  <c r="J5"/>
  <c r="J4"/>
  <c r="J28"/>
  <c r="J3"/>
  <c r="J27"/>
  <c r="J26"/>
  <c r="J25"/>
  <c r="J23"/>
  <c r="J22"/>
  <c r="J21"/>
  <c r="J20"/>
  <c r="J19"/>
  <c r="J18"/>
  <c r="J17"/>
  <c r="J16"/>
  <c r="J15"/>
  <c r="T57"/>
  <c r="U56" s="1"/>
  <c r="U59" s="1"/>
  <c r="C103" i="1"/>
  <c r="C104" s="1"/>
  <c r="E102"/>
  <c r="U2" i="10"/>
  <c r="V2"/>
  <c r="T3"/>
  <c r="U3" s="1"/>
  <c r="U55" l="1"/>
  <c r="E103" i="1"/>
  <c r="E104" s="1"/>
  <c r="F104" s="1"/>
  <c r="G104" s="1"/>
  <c r="V3" i="10"/>
  <c r="T4"/>
  <c r="U4" s="1"/>
  <c r="W2"/>
  <c r="X2" s="1"/>
  <c r="C12"/>
  <c r="W3" l="1"/>
  <c r="X3" s="1"/>
  <c r="V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C3"/>
  <c r="C4"/>
  <c r="C5"/>
  <c r="C6"/>
  <c r="C7"/>
  <c r="C8"/>
  <c r="C9"/>
  <c r="C10"/>
  <c r="C11"/>
  <c r="C13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G2"/>
  <c r="D3"/>
  <c r="D4"/>
  <c r="D5"/>
  <c r="D6"/>
  <c r="D7"/>
  <c r="D8"/>
  <c r="D9"/>
  <c r="D10"/>
  <c r="D11"/>
  <c r="D12"/>
  <c r="D13"/>
  <c r="D14"/>
  <c r="D15"/>
  <c r="D16"/>
  <c r="E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2"/>
  <c r="E2" s="1"/>
  <c r="H80"/>
  <c r="H79"/>
  <c r="H77"/>
  <c r="H78"/>
  <c r="I78" s="1"/>
  <c r="H76"/>
  <c r="H75"/>
  <c r="H74"/>
  <c r="H73"/>
  <c r="H68"/>
  <c r="H69"/>
  <c r="I69" s="1"/>
  <c r="H70"/>
  <c r="I70" s="1"/>
  <c r="H71"/>
  <c r="I71" s="1"/>
  <c r="H72"/>
  <c r="I72" s="1"/>
  <c r="H62"/>
  <c r="H63"/>
  <c r="I63" s="1"/>
  <c r="H64"/>
  <c r="I64" s="1"/>
  <c r="H65"/>
  <c r="I65" s="1"/>
  <c r="H66"/>
  <c r="I66" s="1"/>
  <c r="H67"/>
  <c r="I67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33"/>
  <c r="H30"/>
  <c r="H31"/>
  <c r="I31" s="1"/>
  <c r="H32"/>
  <c r="I32" s="1"/>
  <c r="H27"/>
  <c r="H28"/>
  <c r="I28" s="1"/>
  <c r="H29"/>
  <c r="I29" s="1"/>
  <c r="H26"/>
  <c r="H24"/>
  <c r="H25"/>
  <c r="I25" s="1"/>
  <c r="H22"/>
  <c r="H23"/>
  <c r="I23" s="1"/>
  <c r="H19"/>
  <c r="H20"/>
  <c r="I20" s="1"/>
  <c r="H21"/>
  <c r="I21" s="1"/>
  <c r="H17"/>
  <c r="H18"/>
  <c r="I18" s="1"/>
  <c r="H16"/>
  <c r="K95" i="1"/>
  <c r="L95"/>
  <c r="N95"/>
  <c r="S95"/>
  <c r="AB95"/>
  <c r="AC95"/>
  <c r="AH95"/>
  <c r="AI95"/>
  <c r="AJ95"/>
  <c r="K94"/>
  <c r="L94"/>
  <c r="N94"/>
  <c r="S94"/>
  <c r="AB94"/>
  <c r="AC94"/>
  <c r="AH94"/>
  <c r="AI94"/>
  <c r="AJ94"/>
  <c r="I17" i="10" l="1"/>
  <c r="I19"/>
  <c r="I22"/>
  <c r="I24"/>
  <c r="I26"/>
  <c r="I27"/>
  <c r="I30"/>
  <c r="I33"/>
  <c r="I34"/>
  <c r="I50"/>
  <c r="I62"/>
  <c r="I68"/>
  <c r="I73"/>
  <c r="I74"/>
  <c r="I75"/>
  <c r="I76"/>
  <c r="I77"/>
  <c r="I79"/>
  <c r="I80"/>
  <c r="W4"/>
  <c r="X4" s="1"/>
  <c r="T5"/>
  <c r="U5" s="1"/>
  <c r="F26"/>
  <c r="H2"/>
  <c r="E4"/>
  <c r="E3"/>
  <c r="F4" s="1"/>
  <c r="E15"/>
  <c r="E14"/>
  <c r="E13"/>
  <c r="E12"/>
  <c r="E11"/>
  <c r="E10"/>
  <c r="E9"/>
  <c r="E8"/>
  <c r="E7"/>
  <c r="E6"/>
  <c r="E5"/>
  <c r="F5" s="1"/>
  <c r="H15"/>
  <c r="H14"/>
  <c r="H13"/>
  <c r="H12"/>
  <c r="H11"/>
  <c r="H10"/>
  <c r="H9"/>
  <c r="H8"/>
  <c r="H7"/>
  <c r="H6"/>
  <c r="H5"/>
  <c r="H4"/>
  <c r="H3"/>
  <c r="I3" s="1"/>
  <c r="I9" l="1"/>
  <c r="I5"/>
  <c r="I6"/>
  <c r="I7"/>
  <c r="I8"/>
  <c r="I10"/>
  <c r="I11"/>
  <c r="I12"/>
  <c r="I13"/>
  <c r="I14"/>
  <c r="I15"/>
  <c r="I16"/>
  <c r="V5"/>
  <c r="T6"/>
  <c r="U6" s="1"/>
  <c r="I4"/>
  <c r="F6"/>
  <c r="F7"/>
  <c r="F8"/>
  <c r="F9"/>
  <c r="F10"/>
  <c r="F11"/>
  <c r="F12"/>
  <c r="F13"/>
  <c r="F14"/>
  <c r="F15"/>
  <c r="F16"/>
  <c r="F3"/>
  <c r="V6" l="1"/>
  <c r="T7"/>
  <c r="U7" s="1"/>
  <c r="W5"/>
  <c r="X5" s="1"/>
  <c r="N5" i="3"/>
  <c r="O5" s="1"/>
  <c r="N4"/>
  <c r="O4" s="1"/>
  <c r="W6" i="10" l="1"/>
  <c r="X6" s="1"/>
  <c r="V7"/>
  <c r="W7" s="1"/>
  <c r="X7" s="1"/>
  <c r="T8"/>
  <c r="U8" s="1"/>
  <c r="N1" i="3"/>
  <c r="F5"/>
  <c r="G5"/>
  <c r="H5"/>
  <c r="I5"/>
  <c r="J5"/>
  <c r="K5"/>
  <c r="D7" s="1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V8" i="10" l="1"/>
  <c r="W8" s="1"/>
  <c r="X8" s="1"/>
  <c r="T9"/>
  <c r="U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V9" i="10" l="1"/>
  <c r="W9" s="1"/>
  <c r="X9" s="1"/>
  <c r="T10"/>
  <c r="U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V10" i="10" l="1"/>
  <c r="W10" s="1"/>
  <c r="X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T11" i="10" l="1"/>
  <c r="U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V11" i="10" l="1"/>
  <c r="W11" s="1"/>
  <c r="X11" s="1"/>
  <c r="T12"/>
  <c r="U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V12" i="10" l="1"/>
  <c r="W12" s="1"/>
  <c r="X12" s="1"/>
  <c r="T13"/>
  <c r="U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V13" i="10" l="1"/>
  <c r="W13" s="1"/>
  <c r="X13" s="1"/>
  <c r="T14"/>
  <c r="U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14" i="10" l="1"/>
  <c r="W14" s="1"/>
  <c r="X14" s="1"/>
  <c r="T15"/>
  <c r="U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V15" i="10" l="1"/>
  <c r="W15" s="1"/>
  <c r="X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T16" i="10" l="1"/>
  <c r="U16" s="1"/>
  <c r="Y51" i="9"/>
  <c r="Y61"/>
  <c r="Y34"/>
  <c r="Y17"/>
  <c r="Y13"/>
  <c r="Y10"/>
  <c r="Y11"/>
  <c r="AK4"/>
  <c r="V16" i="10" l="1"/>
  <c r="W16" s="1"/>
  <c r="X16" s="1"/>
  <c r="T17"/>
  <c r="U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V17" i="10" l="1"/>
  <c r="W17" s="1"/>
  <c r="X17" s="1"/>
  <c r="T18"/>
  <c r="U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V18" i="10" l="1"/>
  <c r="W18" s="1"/>
  <c r="X18" s="1"/>
  <c r="T19"/>
  <c r="U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V19" i="10" l="1"/>
  <c r="W19" s="1"/>
  <c r="X19" s="1"/>
  <c r="T20"/>
  <c r="U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V20" i="10" l="1"/>
  <c r="W20" s="1"/>
  <c r="X20" s="1"/>
  <c r="T21"/>
  <c r="U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M4" s="1"/>
  <c r="J4"/>
  <c r="O4"/>
  <c r="K71" i="1"/>
  <c r="L71" s="1"/>
  <c r="N71"/>
  <c r="AB71" s="1"/>
  <c r="S71"/>
  <c r="AC71"/>
  <c r="K70"/>
  <c r="L70"/>
  <c r="N70"/>
  <c r="S70"/>
  <c r="AB70"/>
  <c r="AC70"/>
  <c r="K4" i="4" l="1"/>
  <c r="N4"/>
  <c r="V21" i="10"/>
  <c r="W21" s="1"/>
  <c r="X21" s="1"/>
  <c r="AJ57" i="9"/>
  <c r="AI57"/>
  <c r="AI5"/>
  <c r="AJ47"/>
  <c r="AI47"/>
  <c r="AJ49"/>
  <c r="AH62"/>
  <c r="AI49"/>
  <c r="AJ5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T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U22" i="10" l="1"/>
  <c r="T23"/>
  <c r="V22"/>
  <c r="W22" s="1"/>
  <c r="X22" s="1"/>
  <c r="Y22" s="1"/>
  <c r="F2" i="3"/>
  <c r="G2" s="1"/>
  <c r="J2" s="1"/>
  <c r="H2"/>
  <c r="I2" s="1"/>
  <c r="U23" i="10" l="1"/>
  <c r="T24" s="1"/>
  <c r="V23"/>
  <c r="W23" s="1"/>
  <c r="X23" s="1"/>
  <c r="L2" i="8"/>
  <c r="L3"/>
  <c r="L4"/>
  <c r="L5"/>
  <c r="U24" i="10" l="1"/>
  <c r="V24"/>
  <c r="W24" s="1"/>
  <c r="X24" s="1"/>
  <c r="T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U25" i="10" l="1"/>
  <c r="V25"/>
  <c r="W25" s="1"/>
  <c r="X25" s="1"/>
  <c r="T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U26" i="10" l="1"/>
  <c r="V26"/>
  <c r="W26" s="1"/>
  <c r="X26" s="1"/>
  <c r="T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27" i="10" l="1"/>
  <c r="V27"/>
  <c r="W27" s="1"/>
  <c r="X27" s="1"/>
  <c r="T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U28" i="10" l="1"/>
  <c r="V28"/>
  <c r="W28" s="1"/>
  <c r="X28" s="1"/>
  <c r="T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U29" i="10" l="1"/>
  <c r="T30" s="1"/>
  <c r="V29"/>
  <c r="W29" s="1"/>
  <c r="X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U30" i="10" l="1"/>
  <c r="V30"/>
  <c r="W30" s="1"/>
  <c r="X30" s="1"/>
  <c r="T31"/>
  <c r="K51" i="1"/>
  <c r="L51"/>
  <c r="U51"/>
  <c r="V51"/>
  <c r="AB51"/>
  <c r="AC51"/>
  <c r="AH51"/>
  <c r="AI51"/>
  <c r="K48"/>
  <c r="L48"/>
  <c r="U48"/>
  <c r="V48"/>
  <c r="AB48"/>
  <c r="AC48"/>
  <c r="AE48"/>
  <c r="U31" i="10" l="1"/>
  <c r="V31"/>
  <c r="W31" s="1"/>
  <c r="X31" s="1"/>
  <c r="T32"/>
  <c r="I5" i="7"/>
  <c r="J5"/>
  <c r="K5"/>
  <c r="L5" s="1"/>
  <c r="M5"/>
  <c r="N5"/>
  <c r="U32" i="10" l="1"/>
  <c r="V32"/>
  <c r="W32" s="1"/>
  <c r="X32" s="1"/>
  <c r="T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33" i="10" l="1"/>
  <c r="V33"/>
  <c r="W33" s="1"/>
  <c r="X33" s="1"/>
  <c r="T34"/>
  <c r="U50" i="1"/>
  <c r="V47"/>
  <c r="L2" i="7"/>
  <c r="O2" s="1"/>
  <c r="L3"/>
  <c r="O3" s="1"/>
  <c r="L4"/>
  <c r="O4" s="1"/>
  <c r="U34" i="10" l="1"/>
  <c r="T35" s="1"/>
  <c r="V34"/>
  <c r="W34" s="1"/>
  <c r="X34" s="1"/>
  <c r="Y34" s="1"/>
  <c r="N2" i="6"/>
  <c r="U35" i="10" l="1"/>
  <c r="T36" s="1"/>
  <c r="V35"/>
  <c r="W35" s="1"/>
  <c r="X35" s="1"/>
  <c r="I2" i="6"/>
  <c r="O2"/>
  <c r="U36" i="10" l="1"/>
  <c r="V36"/>
  <c r="W36" s="1"/>
  <c r="X36" s="1"/>
  <c r="T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U37" i="10" l="1"/>
  <c r="V37"/>
  <c r="W37" s="1"/>
  <c r="X37" s="1"/>
  <c r="T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U38" i="10" l="1"/>
  <c r="V38"/>
  <c r="W38" s="1"/>
  <c r="X38" s="1"/>
  <c r="T39"/>
  <c r="V37" i="1"/>
  <c r="U39" i="10" l="1"/>
  <c r="V39"/>
  <c r="W39" s="1"/>
  <c r="X39" s="1"/>
  <c r="T40"/>
  <c r="J2" i="5"/>
  <c r="K2"/>
  <c r="L2"/>
  <c r="T2"/>
  <c r="I2" i="4"/>
  <c r="M2" s="1"/>
  <c r="I3"/>
  <c r="M3" s="1"/>
  <c r="O2"/>
  <c r="O3"/>
  <c r="J2"/>
  <c r="N2" s="1"/>
  <c r="J3"/>
  <c r="N3" s="1"/>
  <c r="U40" i="10" l="1"/>
  <c r="V40"/>
  <c r="W40" s="1"/>
  <c r="X40" s="1"/>
  <c r="T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U41" i="10" l="1"/>
  <c r="V41"/>
  <c r="W41" s="1"/>
  <c r="X41" s="1"/>
  <c r="T42"/>
  <c r="Q2" i="5"/>
  <c r="S2"/>
  <c r="R2"/>
  <c r="P2"/>
  <c r="U42" i="10" l="1"/>
  <c r="V42"/>
  <c r="W42" s="1"/>
  <c r="X42" s="1"/>
  <c r="T43"/>
  <c r="U2" i="5"/>
  <c r="K3" i="4"/>
  <c r="U43" i="10" l="1"/>
  <c r="V43"/>
  <c r="W43" s="1"/>
  <c r="X43" s="1"/>
  <c r="T44"/>
  <c r="U44" l="1"/>
  <c r="V44"/>
  <c r="W44" s="1"/>
  <c r="X44" s="1"/>
  <c r="T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U45" i="10" l="1"/>
  <c r="V45"/>
  <c r="W45" s="1"/>
  <c r="X45" s="1"/>
  <c r="T46"/>
  <c r="V43" i="1"/>
  <c r="V44"/>
  <c r="V40"/>
  <c r="V34"/>
  <c r="V33"/>
  <c r="U46" i="10" l="1"/>
  <c r="V46"/>
  <c r="W46" s="1"/>
  <c r="X46" s="1"/>
  <c r="Y46" s="1"/>
  <c r="T47"/>
  <c r="K32" i="1"/>
  <c r="L32" s="1"/>
  <c r="U32"/>
  <c r="AB32"/>
  <c r="AC32"/>
  <c r="K31"/>
  <c r="L31" s="1"/>
  <c r="AB31"/>
  <c r="U31"/>
  <c r="AC31"/>
  <c r="AH31"/>
  <c r="AI31"/>
  <c r="K2" i="4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U47" i="10" l="1"/>
  <c r="V47"/>
  <c r="W47" s="1"/>
  <c r="X47" s="1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l="1"/>
  <c r="AA95" s="1"/>
  <c r="AK2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E95" l="1"/>
  <c r="AE94"/>
  <c r="AD95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Y99" s="1"/>
  <c r="Y100" s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X98" l="1"/>
  <c r="Z98"/>
  <c r="Y98"/>
  <c r="AH47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  <c r="R4" i="14"/>
  <c r="V3"/>
  <c r="Y3"/>
  <c r="X4"/>
  <c r="U3" l="1"/>
  <c r="W3" s="1"/>
  <c r="T4"/>
  <c r="R5" l="1"/>
  <c r="T5" s="1"/>
  <c r="S4"/>
  <c r="V4" l="1"/>
  <c r="Y4" s="1"/>
  <c r="X5" s="1"/>
  <c r="U4"/>
  <c r="W4" s="1"/>
  <c r="R6"/>
  <c r="T6" s="1"/>
  <c r="S5"/>
  <c r="V5" s="1"/>
  <c r="R7" l="1"/>
  <c r="T7" s="1"/>
  <c r="S6"/>
  <c r="V6" s="1"/>
  <c r="U5"/>
  <c r="W5" s="1"/>
  <c r="U6"/>
  <c r="W6" s="1"/>
  <c r="Y5"/>
  <c r="X6" s="1"/>
  <c r="Y6" s="1"/>
  <c r="X7" s="1"/>
  <c r="R8" l="1"/>
  <c r="T8" s="1"/>
  <c r="S7"/>
  <c r="V7" l="1"/>
  <c r="Y7" s="1"/>
  <c r="X8" s="1"/>
  <c r="U7"/>
  <c r="W7" s="1"/>
  <c r="R9"/>
  <c r="T9" s="1"/>
  <c r="S8"/>
  <c r="V8" s="1"/>
  <c r="R10" l="1"/>
  <c r="T10" s="1"/>
  <c r="S9"/>
  <c r="V9" s="1"/>
  <c r="U8"/>
  <c r="W8" s="1"/>
  <c r="U9"/>
  <c r="W9" s="1"/>
  <c r="Y8"/>
  <c r="X9" s="1"/>
  <c r="Y9" s="1"/>
  <c r="X10" s="1"/>
  <c r="R11" l="1"/>
  <c r="T11" s="1"/>
  <c r="S10"/>
  <c r="V10" l="1"/>
  <c r="Y10" s="1"/>
  <c r="X11" s="1"/>
  <c r="U10"/>
  <c r="W10" s="1"/>
  <c r="R12"/>
  <c r="T12" s="1"/>
  <c r="S11"/>
  <c r="V11" l="1"/>
  <c r="U11"/>
  <c r="W11" s="1"/>
  <c r="R13"/>
  <c r="T13" s="1"/>
  <c r="S12"/>
  <c r="Y11"/>
  <c r="X12" s="1"/>
  <c r="V12" l="1"/>
  <c r="U12"/>
  <c r="W12" s="1"/>
  <c r="R14"/>
  <c r="T14" s="1"/>
  <c r="S13"/>
  <c r="Y12"/>
  <c r="X13" s="1"/>
  <c r="V13" l="1"/>
  <c r="U13"/>
  <c r="W13" s="1"/>
  <c r="R15"/>
  <c r="T15" s="1"/>
  <c r="S14"/>
  <c r="Y13"/>
  <c r="X14" s="1"/>
  <c r="V14" l="1"/>
  <c r="U14"/>
  <c r="W14" s="1"/>
  <c r="R16"/>
  <c r="T16" s="1"/>
  <c r="S15"/>
  <c r="Y14"/>
  <c r="X15" s="1"/>
  <c r="V15" l="1"/>
  <c r="U15"/>
  <c r="W15" s="1"/>
  <c r="R17"/>
  <c r="T17" s="1"/>
  <c r="S16"/>
  <c r="Y15"/>
  <c r="X16" s="1"/>
  <c r="V16" l="1"/>
  <c r="U16"/>
  <c r="W16" s="1"/>
  <c r="R18"/>
  <c r="T18" s="1"/>
  <c r="S17"/>
  <c r="Y16"/>
  <c r="X17" s="1"/>
  <c r="V17" l="1"/>
  <c r="U17"/>
  <c r="W17" s="1"/>
  <c r="R19"/>
  <c r="T19" s="1"/>
  <c r="S18"/>
  <c r="Y17"/>
  <c r="X18" s="1"/>
  <c r="V18" l="1"/>
  <c r="U18"/>
  <c r="W18" s="1"/>
  <c r="R20"/>
  <c r="T20" s="1"/>
  <c r="S19"/>
  <c r="Y18"/>
  <c r="X19" s="1"/>
  <c r="V19" l="1"/>
  <c r="U19"/>
  <c r="W19" s="1"/>
  <c r="R21"/>
  <c r="T21" s="1"/>
  <c r="S20"/>
  <c r="Y19"/>
  <c r="X20" s="1"/>
  <c r="V20" l="1"/>
  <c r="U20"/>
  <c r="W20" s="1"/>
  <c r="R22"/>
  <c r="T22" s="1"/>
  <c r="S21"/>
  <c r="Y20"/>
  <c r="X21" s="1"/>
  <c r="V21" l="1"/>
  <c r="U21"/>
  <c r="W21" s="1"/>
  <c r="R23"/>
  <c r="T23" s="1"/>
  <c r="S22"/>
  <c r="Y21"/>
  <c r="X22" s="1"/>
  <c r="V22" l="1"/>
  <c r="U22"/>
  <c r="W22" s="1"/>
  <c r="R24"/>
  <c r="T24" s="1"/>
  <c r="S23"/>
  <c r="Y22"/>
  <c r="X23" s="1"/>
  <c r="V23" l="1"/>
  <c r="U23"/>
  <c r="W23" s="1"/>
  <c r="R25"/>
  <c r="T25" s="1"/>
  <c r="S24"/>
  <c r="Y23"/>
  <c r="X24" s="1"/>
  <c r="V24" l="1"/>
  <c r="U24"/>
  <c r="W24" s="1"/>
  <c r="R26"/>
  <c r="T26" s="1"/>
  <c r="S25"/>
  <c r="Y24"/>
  <c r="X25" s="1"/>
  <c r="V25" l="1"/>
  <c r="U25"/>
  <c r="W25" s="1"/>
  <c r="R27"/>
  <c r="T27" s="1"/>
  <c r="S26"/>
  <c r="Y25"/>
  <c r="X26" s="1"/>
  <c r="V26" l="1"/>
  <c r="U26"/>
  <c r="W26" s="1"/>
  <c r="R28"/>
  <c r="T28" s="1"/>
  <c r="S27"/>
  <c r="Y26"/>
  <c r="X27" s="1"/>
  <c r="V27" l="1"/>
  <c r="U27"/>
  <c r="W27" s="1"/>
  <c r="R29"/>
  <c r="T29" s="1"/>
  <c r="S28"/>
  <c r="Y27"/>
  <c r="X28" s="1"/>
  <c r="V28" l="1"/>
  <c r="U28"/>
  <c r="W28" s="1"/>
  <c r="R30"/>
  <c r="T30" s="1"/>
  <c r="S29"/>
  <c r="Y28"/>
  <c r="X29" s="1"/>
  <c r="V29" l="1"/>
  <c r="U29"/>
  <c r="W29" s="1"/>
  <c r="R31"/>
  <c r="T31" s="1"/>
  <c r="S30"/>
  <c r="Y29"/>
  <c r="X30" s="1"/>
  <c r="V30" l="1"/>
  <c r="U30"/>
  <c r="W30" s="1"/>
  <c r="R32"/>
  <c r="T32" s="1"/>
  <c r="S31"/>
  <c r="Y30"/>
  <c r="X31" s="1"/>
  <c r="V31" l="1"/>
  <c r="U31"/>
  <c r="W31" s="1"/>
  <c r="R33"/>
  <c r="T33" s="1"/>
  <c r="S32"/>
  <c r="Y31"/>
  <c r="X32" s="1"/>
  <c r="V32" l="1"/>
  <c r="U32"/>
  <c r="W32" s="1"/>
  <c r="R34"/>
  <c r="T34" s="1"/>
  <c r="S33"/>
  <c r="Y32"/>
  <c r="X33" s="1"/>
  <c r="V33" l="1"/>
  <c r="U33"/>
  <c r="W33" s="1"/>
  <c r="R35"/>
  <c r="T35" s="1"/>
  <c r="S34"/>
  <c r="Y33"/>
  <c r="X34" s="1"/>
  <c r="V34" l="1"/>
  <c r="U34"/>
  <c r="W34" s="1"/>
  <c r="R36"/>
  <c r="T36" s="1"/>
  <c r="S35"/>
  <c r="Y34"/>
  <c r="X35" s="1"/>
  <c r="V35" l="1"/>
  <c r="U35"/>
  <c r="W35" s="1"/>
  <c r="R37"/>
  <c r="T37" s="1"/>
  <c r="S36"/>
  <c r="Y35"/>
  <c r="X36" s="1"/>
  <c r="V36" l="1"/>
  <c r="U36"/>
  <c r="W36" s="1"/>
  <c r="R38"/>
  <c r="T38" s="1"/>
  <c r="S37"/>
  <c r="Y36"/>
  <c r="X37" s="1"/>
  <c r="V37" l="1"/>
  <c r="U37"/>
  <c r="W37" s="1"/>
  <c r="R39"/>
  <c r="T39" s="1"/>
  <c r="S38"/>
  <c r="Y37"/>
  <c r="X38" s="1"/>
  <c r="V38" l="1"/>
  <c r="U38"/>
  <c r="W38" s="1"/>
  <c r="R40"/>
  <c r="T40" s="1"/>
  <c r="S39"/>
  <c r="Y38"/>
  <c r="X39" s="1"/>
  <c r="V39" l="1"/>
  <c r="U39"/>
  <c r="W39" s="1"/>
  <c r="R41"/>
  <c r="T41" s="1"/>
  <c r="S40"/>
  <c r="Y39"/>
  <c r="X40" s="1"/>
  <c r="V40" l="1"/>
  <c r="U40"/>
  <c r="W40" s="1"/>
  <c r="R42"/>
  <c r="T42" s="1"/>
  <c r="S41"/>
  <c r="Y40"/>
  <c r="X41" s="1"/>
  <c r="V41" l="1"/>
  <c r="U41"/>
  <c r="W41" s="1"/>
  <c r="R43"/>
  <c r="T43" s="1"/>
  <c r="S42"/>
  <c r="Y41"/>
  <c r="X42" s="1"/>
  <c r="V42" l="1"/>
  <c r="U42"/>
  <c r="W42" s="1"/>
  <c r="R44"/>
  <c r="T44" s="1"/>
  <c r="S43"/>
  <c r="Y42"/>
  <c r="X43" s="1"/>
  <c r="V43" l="1"/>
  <c r="U43"/>
  <c r="W43" s="1"/>
  <c r="R45"/>
  <c r="T45" s="1"/>
  <c r="S44"/>
  <c r="Y43"/>
  <c r="X44" s="1"/>
  <c r="V44" l="1"/>
  <c r="U44"/>
  <c r="W44" s="1"/>
  <c r="R46"/>
  <c r="T46" s="1"/>
  <c r="S45"/>
  <c r="Y44"/>
  <c r="X45" s="1"/>
  <c r="V45" l="1"/>
  <c r="U45"/>
  <c r="W45" s="1"/>
  <c r="R47"/>
  <c r="T47" s="1"/>
  <c r="S46"/>
  <c r="Y45"/>
  <c r="X46" s="1"/>
  <c r="V46" l="1"/>
  <c r="U46"/>
  <c r="W46" s="1"/>
  <c r="R48"/>
  <c r="T48" s="1"/>
  <c r="S47"/>
  <c r="Y46"/>
  <c r="X47" s="1"/>
  <c r="V47" l="1"/>
  <c r="U47"/>
  <c r="W47" s="1"/>
  <c r="R49"/>
  <c r="T49" s="1"/>
  <c r="S48"/>
  <c r="Y47"/>
  <c r="X48" s="1"/>
  <c r="V48" l="1"/>
  <c r="U48"/>
  <c r="W48" s="1"/>
  <c r="R50"/>
  <c r="T50" s="1"/>
  <c r="S49"/>
  <c r="Y48"/>
  <c r="X49" s="1"/>
  <c r="V49" l="1"/>
  <c r="U49"/>
  <c r="W49" s="1"/>
  <c r="R51"/>
  <c r="T51" s="1"/>
  <c r="S50"/>
  <c r="Y49"/>
  <c r="X50" s="1"/>
  <c r="V50" l="1"/>
  <c r="U50"/>
  <c r="W50" s="1"/>
  <c r="R52"/>
  <c r="T52" s="1"/>
  <c r="S51"/>
  <c r="Y50"/>
  <c r="X51" s="1"/>
  <c r="V51" l="1"/>
  <c r="Y51" s="1"/>
  <c r="X52" s="1"/>
  <c r="U51"/>
  <c r="W51" s="1"/>
  <c r="R53"/>
  <c r="T53" s="1"/>
  <c r="S52"/>
  <c r="V52" l="1"/>
  <c r="Y52" s="1"/>
  <c r="X53" s="1"/>
  <c r="U52"/>
  <c r="W52" s="1"/>
  <c r="R54"/>
  <c r="T54" s="1"/>
  <c r="S53"/>
  <c r="V53" l="1"/>
  <c r="Y53" s="1"/>
  <c r="X54" s="1"/>
  <c r="U53"/>
  <c r="W53" s="1"/>
  <c r="R55"/>
  <c r="T55" s="1"/>
  <c r="S54"/>
  <c r="V54" l="1"/>
  <c r="Y54" s="1"/>
  <c r="X55" s="1"/>
  <c r="U54"/>
  <c r="W54" s="1"/>
  <c r="R56"/>
  <c r="T56" s="1"/>
  <c r="S55"/>
  <c r="V55" l="1"/>
  <c r="Y55" s="1"/>
  <c r="X56" s="1"/>
  <c r="U55"/>
  <c r="W55" s="1"/>
  <c r="R57"/>
  <c r="T57" s="1"/>
  <c r="S56"/>
  <c r="V56" l="1"/>
  <c r="Y56" s="1"/>
  <c r="X57" s="1"/>
  <c r="U56"/>
  <c r="W56" s="1"/>
  <c r="R58"/>
  <c r="T58" s="1"/>
  <c r="S57"/>
  <c r="V57" l="1"/>
  <c r="Y57" s="1"/>
  <c r="X58" s="1"/>
  <c r="U57"/>
  <c r="W57" s="1"/>
  <c r="R59"/>
  <c r="T59" s="1"/>
  <c r="S58"/>
  <c r="V58" l="1"/>
  <c r="Y58" s="1"/>
  <c r="X59" s="1"/>
  <c r="U58"/>
  <c r="W58" s="1"/>
  <c r="R60"/>
  <c r="T60" s="1"/>
  <c r="S59"/>
  <c r="V59" l="1"/>
  <c r="Y59" s="1"/>
  <c r="X60" s="1"/>
  <c r="U59"/>
  <c r="W59" s="1"/>
  <c r="R61"/>
  <c r="T61" s="1"/>
  <c r="S60"/>
  <c r="V60" l="1"/>
  <c r="Y60" s="1"/>
  <c r="X61" s="1"/>
  <c r="U60"/>
  <c r="W60" s="1"/>
  <c r="R62"/>
  <c r="T62" s="1"/>
  <c r="S61"/>
  <c r="V61" l="1"/>
  <c r="Y61" s="1"/>
  <c r="X62" s="1"/>
  <c r="U61"/>
  <c r="W61" s="1"/>
  <c r="R63"/>
  <c r="T63" s="1"/>
  <c r="S62"/>
  <c r="V62" l="1"/>
  <c r="Y62" s="1"/>
  <c r="U62"/>
  <c r="W62" s="1"/>
  <c r="S63"/>
  <c r="U63" s="1"/>
  <c r="R64"/>
  <c r="T64" s="1"/>
  <c r="S64" l="1"/>
  <c r="U64" s="1"/>
  <c r="R65"/>
  <c r="T65" s="1"/>
  <c r="S65" l="1"/>
  <c r="U65" s="1"/>
  <c r="R66"/>
  <c r="T66" s="1"/>
  <c r="S66" l="1"/>
  <c r="U66" s="1"/>
  <c r="R67"/>
  <c r="T67" s="1"/>
  <c r="S67" l="1"/>
  <c r="U67" s="1"/>
  <c r="R68"/>
  <c r="T68" s="1"/>
  <c r="S68" l="1"/>
  <c r="U68" s="1"/>
  <c r="R69"/>
  <c r="T69" s="1"/>
  <c r="S69" l="1"/>
  <c r="U69" s="1"/>
  <c r="R70"/>
  <c r="T70" s="1"/>
  <c r="S70" l="1"/>
  <c r="U70" s="1"/>
  <c r="R71"/>
  <c r="T71" s="1"/>
  <c r="S71" l="1"/>
  <c r="U71" s="1"/>
  <c r="R72"/>
  <c r="T72" s="1"/>
  <c r="S72" l="1"/>
  <c r="U72" s="1"/>
  <c r="R73"/>
  <c r="T73" s="1"/>
  <c r="S73" l="1"/>
  <c r="U73" s="1"/>
  <c r="R74"/>
  <c r="T74" s="1"/>
  <c r="S74" l="1"/>
  <c r="U74" s="1"/>
  <c r="R75"/>
  <c r="T75" s="1"/>
  <c r="S75" l="1"/>
  <c r="U75" s="1"/>
  <c r="R76"/>
  <c r="T76" s="1"/>
  <c r="S76" l="1"/>
  <c r="U76" s="1"/>
  <c r="R77"/>
  <c r="T77" s="1"/>
  <c r="S77" l="1"/>
  <c r="U77" s="1"/>
  <c r="R78"/>
  <c r="T78" s="1"/>
  <c r="S78" l="1"/>
  <c r="U78" s="1"/>
  <c r="R79"/>
  <c r="T79" s="1"/>
  <c r="S79" l="1"/>
  <c r="U79" s="1"/>
  <c r="R80"/>
  <c r="T80" s="1"/>
  <c r="S80" l="1"/>
  <c r="U80" s="1"/>
  <c r="R81"/>
  <c r="T81" s="1"/>
  <c r="S81" l="1"/>
  <c r="U81" s="1"/>
  <c r="R82"/>
  <c r="T82" s="1"/>
  <c r="S82" l="1"/>
  <c r="U82" s="1"/>
  <c r="R83"/>
  <c r="T83" s="1"/>
  <c r="S83" l="1"/>
  <c r="U83" s="1"/>
  <c r="R84"/>
  <c r="T84" s="1"/>
  <c r="S84" l="1"/>
  <c r="U84" s="1"/>
  <c r="R85"/>
  <c r="T85" s="1"/>
  <c r="S85" l="1"/>
  <c r="U85" s="1"/>
  <c r="R86"/>
  <c r="T86" s="1"/>
  <c r="S86" l="1"/>
  <c r="U86" s="1"/>
  <c r="R87"/>
  <c r="T87" s="1"/>
  <c r="S87" l="1"/>
  <c r="U87" s="1"/>
  <c r="R88"/>
  <c r="T88" s="1"/>
  <c r="S88" l="1"/>
  <c r="U88" s="1"/>
  <c r="R89"/>
  <c r="T89" s="1"/>
  <c r="S89" l="1"/>
  <c r="U89" s="1"/>
  <c r="R90"/>
  <c r="T90" s="1"/>
  <c r="S90" l="1"/>
  <c r="U90" s="1"/>
  <c r="R91"/>
  <c r="T91" s="1"/>
  <c r="S91" l="1"/>
  <c r="U91" s="1"/>
  <c r="R92"/>
  <c r="T92" s="1"/>
  <c r="S92" l="1"/>
  <c r="U92" s="1"/>
  <c r="R93"/>
  <c r="T93" s="1"/>
  <c r="S93" l="1"/>
  <c r="U93" s="1"/>
  <c r="R94"/>
  <c r="T94" s="1"/>
  <c r="S94" s="1"/>
  <c r="U94" s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<sst xmlns="http://schemas.openxmlformats.org/spreadsheetml/2006/main" count="839" uniqueCount="279">
  <si>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</si>
  <si>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</si>
  <si>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</si>
  <si>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</si>
  <si>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</si>
  <si>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</si>
  <si>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</si>
  <si>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</si>
  <si>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</si>
  <si>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</si>
  <si>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</si>
  <si>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</si>
  <si>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</si>
  <si>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</si>
  <si>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</si>
  <si>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</si>
  <si>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</si>
  <si>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</si>
  <si>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</si>
  <si>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</si>
  <si>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</si>
  <si>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</si>
  <si>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</si>
  <si>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</si>
  <si>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</si>
  <si>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</si>
  <si>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</si>
  <si>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</si>
  <si>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</si>
  <si>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</si>
  <si>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</si>
  <si>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</si>
  <si>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</si>
  <si>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</si>
  <si>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</si>
  <si>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</si>
  <si>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</si>
  <si>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</si>
  <si>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</si>
  <si>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</si>
  <si>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</si>
  <si>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</si>
  <si>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</si>
  <si>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</si>
  <si>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</si>
  <si>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</si>
  <si>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</si>
  <si>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</si>
  <si>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</si>
  <si>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</si>
  <si>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</si>
  <si>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</si>
  <si>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</si>
  <si>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</si>
  <si>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</si>
  <si>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</si>
  <si>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</si>
  <si>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</si>
  <si>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</si>
  <si>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</si>
  <si>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</si>
  <si>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</si>
  <si>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</si>
  <si>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</si>
  <si>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</si>
  <si>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</si>
  <si>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</si>
  <si>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</si>
  <si>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</si>
  <si>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</si>
  <si>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</si>
  <si>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</si>
  <si>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</si>
  <si>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</si>
  <si>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</si>
  <si>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</si>
  <si>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</si>
  <si>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</si>
  <si>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</si>
  <si>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</si>
  <si>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</si>
  <si>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</si>
  <si>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</si>
  <si>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</si>
  <si>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</si>
  <si>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</si>
  <si>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</si>
  <si>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</si>
  <si>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</si>
  <si>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</si>
  <si>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</si>
  <si>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</si>
  <si>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</si>
  <si>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</si>
  <si>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</si>
  <si>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</si>
  <si>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</si>
  <si>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</si>
  <si>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</si>
  <si>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</si>
  <si>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</si>
  <si>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</si>
  <si>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</si>
  <si>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</si>
  <si>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</si>
  <si>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</si>
  <si>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</si>
  <si>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</si>
  <si>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</si>
  <si>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</si>
  <si>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</si>
  <si>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</si>
  <si>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</si>
  <si>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</si>
  <si>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</si>
  <si>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</si>
  <si>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</si>
  <si>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</si>
  <si>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</si>
  <si>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</si>
  <si>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</si>
  <si>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</si>
  <si>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</si>
  <si>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</si>
  <si>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</si>
  <si>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</si>
  <si>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</si>
  <si>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</si>
  <si>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</si>
  <si>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</si>
  <si>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</si>
  <si>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</si>
  <si>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</si>
  <si>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</si>
  <si>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</si>
  <si>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</si>
  <si>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</si>
  <si>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</si>
  <si>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</si>
  <si>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</si>
  <si>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</si>
  <si>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</si>
  <si>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</si>
  <si>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</si>
  <si>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</si>
  <si>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</si>
  <si>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</si>
  <si>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</si>
  <si>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</si>
  <si>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</si>
  <si>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</si>
  <si>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</si>
  <si>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</si>
  <si>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</si>
  <si>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</si>
  <si>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</si>
  <si>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</si>
  <si>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</si>
  <si>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</si>
  <si>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</si>
  <si>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</si>
  <si>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</si>
  <si>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</si>
  <si>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</si>
  <si>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</si>
  <si>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</si>
  <si>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</si>
  <si>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</si>
  <si>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</si>
  <si>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</si>
  <si>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</si>
  <si>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</si>
  <si>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</si>
  <si>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</si>
  <si>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</si>
  <si>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</si>
  <si>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</si>
  <si>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</si>
  <si>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</si>
  <si>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</si>
  <si>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</si>
  <si>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</si>
  <si>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</si>
  <si>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</si>
  <si>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</si>
  <si>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</si>
  <si>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</si>
  <si>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</si>
  <si>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</si>
  <si>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vale120m</t>
  </si>
  <si>
    <t>usdchf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</si>
  <si>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</si>
  <si>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</si>
  <si>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</si>
  <si>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</si>
  <si>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</si>
  <si>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</si>
  <si>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</si>
  <si>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</si>
  <si>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</si>
  <si>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</si>
  <si>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</si>
  <si>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</si>
  <si>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</si>
  <si>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</si>
  <si>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</si>
  <si>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Trades</t>
  </si>
  <si>
    <t>Total Profit</t>
  </si>
  <si>
    <t>Price2</t>
  </si>
  <si>
    <t>Moeda</t>
  </si>
  <si>
    <t>petr1d</t>
  </si>
  <si>
    <t>vale1d</t>
  </si>
  <si>
    <t>Total Swap</t>
  </si>
  <si>
    <t>Data</t>
  </si>
  <si>
    <t>Inicio</t>
  </si>
  <si>
    <t>Fim</t>
  </si>
  <si>
    <t>QTD</t>
  </si>
  <si>
    <t>sell</t>
  </si>
  <si>
    <t>Garantia</t>
  </si>
  <si>
    <t>Start</t>
  </si>
  <si>
    <t>Stop</t>
  </si>
  <si>
    <t>Pontos</t>
  </si>
  <si>
    <t>Risco</t>
  </si>
  <si>
    <t>N Contrato</t>
  </si>
  <si>
    <t>Prev Target</t>
  </si>
  <si>
    <t>gbpusd</t>
  </si>
  <si>
    <t>buy</t>
  </si>
  <si>
    <t>audusd</t>
  </si>
  <si>
    <t>usdcad</t>
  </si>
  <si>
    <t>eurusd</t>
  </si>
  <si>
    <t>eurgbp</t>
  </si>
  <si>
    <t>petr15m</t>
  </si>
  <si>
    <t>H1,0</t>
  </si>
  <si>
    <t>H1,3</t>
  </si>
  <si>
    <t>H1,2</t>
  </si>
  <si>
    <t>H1,1</t>
  </si>
  <si>
    <t>(Vários itens)</t>
  </si>
  <si>
    <t>Lucro</t>
  </si>
  <si>
    <t>Acc Lucro</t>
  </si>
  <si>
    <t>Rent. %A.m.</t>
  </si>
  <si>
    <t>Rent. Total</t>
  </si>
  <si>
    <t>usdjpy</t>
  </si>
  <si>
    <t>H4,1</t>
  </si>
  <si>
    <t>2014,10,1700:00:31</t>
  </si>
  <si>
    <t>2014,10,1706:00:03</t>
  </si>
  <si>
    <t>2014,10,1616:59:09</t>
  </si>
  <si>
    <t>2014,10,1707:42:21</t>
  </si>
  <si>
    <t>2014,10,1706:49:10</t>
  </si>
  <si>
    <t>2014,10,1708:00:03</t>
  </si>
  <si>
    <t>2014,10,1615:25:02</t>
  </si>
  <si>
    <t>2014,10,1708:55:53</t>
  </si>
  <si>
    <t>2014,10,1615:28:08</t>
  </si>
  <si>
    <t>2014,10,1708:59:39</t>
  </si>
  <si>
    <t>2014,10,1623:00:02</t>
  </si>
  <si>
    <t>2014,10,1709:00:56</t>
  </si>
  <si>
    <t>2014,10,1607:30:33</t>
  </si>
  <si>
    <t>2014,10,1709:00:58</t>
  </si>
  <si>
    <t>2014,10,1618:39:04</t>
  </si>
  <si>
    <t>2014,10,1711:27:21</t>
  </si>
  <si>
    <t>2014,10,1708:56:16</t>
  </si>
  <si>
    <t>2014,10,1712:20:46</t>
  </si>
  <si>
    <t>2014,10,1707:42:32</t>
  </si>
  <si>
    <t>2014,10,1712:49:13</t>
  </si>
  <si>
    <t>2014,10,1713:10:32</t>
  </si>
  <si>
    <t>2014,10,1713:12:51</t>
  </si>
  <si>
    <t>2014,10,1700:00:01</t>
  </si>
  <si>
    <t>2014,10,1713:55:15</t>
  </si>
  <si>
    <t>2014,10,1713:55:39</t>
  </si>
  <si>
    <t>2014,10,1714:27:48</t>
  </si>
  <si>
    <t>2014,10,1711:27:24</t>
  </si>
  <si>
    <t>2014,10,1714:59:37</t>
  </si>
  <si>
    <t>2014,10,1716:00:00</t>
  </si>
  <si>
    <t>2014,10,1716:00:01</t>
  </si>
  <si>
    <t>2014,10,1713:12:25</t>
  </si>
  <si>
    <t>2014,10,1713:50:11</t>
  </si>
  <si>
    <t>2014,10,1716:00:02</t>
  </si>
  <si>
    <t>2014,10,1713:50:14</t>
  </si>
  <si>
    <t>2014,10,1715:28:23</t>
  </si>
  <si>
    <t>2014,10,1716:00:03</t>
  </si>
</sst>
</file>

<file path=xl/styles.xml><?xml version="1.0" encoding="utf-8"?>
<styleSheet xmlns="http://schemas.openxmlformats.org/spreadsheetml/2006/main">
  <numFmts count="12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  <numFmt numFmtId="179" formatCode="_(* #,##0_);_(* \(#,##0\);_(* &quot;-&quot;??_);_(@_)"/>
  </numFmts>
  <fonts count="22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167" fontId="4" fillId="0" borderId="0" xfId="2" applyNumberFormat="1" applyFont="1"/>
    <xf numFmtId="0" fontId="15" fillId="3" borderId="3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 wrapText="1"/>
    </xf>
    <xf numFmtId="0" fontId="15" fillId="2" borderId="4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 wrapText="1"/>
    </xf>
    <xf numFmtId="3" fontId="15" fillId="2" borderId="4" xfId="0" applyNumberFormat="1" applyFont="1" applyFill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3" fontId="15" fillId="3" borderId="4" xfId="0" applyNumberFormat="1" applyFont="1" applyFill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43" fontId="3" fillId="0" borderId="6" xfId="0" applyNumberFormat="1" applyFont="1" applyBorder="1"/>
    <xf numFmtId="164" fontId="3" fillId="0" borderId="6" xfId="1" applyFont="1" applyBorder="1"/>
    <xf numFmtId="0" fontId="15" fillId="2" borderId="5" xfId="0" applyFont="1" applyFill="1" applyBorder="1" applyAlignment="1">
      <alignment horizontal="right" wrapText="1"/>
    </xf>
    <xf numFmtId="0" fontId="15" fillId="3" borderId="5" xfId="0" applyFont="1" applyFill="1" applyBorder="1" applyAlignment="1">
      <alignment horizontal="right" wrapText="1"/>
    </xf>
    <xf numFmtId="0" fontId="15" fillId="3" borderId="0" xfId="0" applyFont="1" applyFill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7" xfId="0" applyFont="1" applyBorder="1" applyAlignment="1">
      <alignment horizontal="right" wrapText="1"/>
    </xf>
    <xf numFmtId="0" fontId="17" fillId="0" borderId="0" xfId="0" applyFont="1"/>
    <xf numFmtId="44" fontId="17" fillId="0" borderId="0" xfId="1" applyNumberFormat="1" applyFont="1"/>
    <xf numFmtId="10" fontId="17" fillId="0" borderId="0" xfId="2" applyNumberFormat="1" applyFont="1"/>
    <xf numFmtId="44" fontId="17" fillId="0" borderId="0" xfId="0" applyNumberFormat="1" applyFont="1"/>
    <xf numFmtId="0" fontId="15" fillId="3" borderId="2" xfId="0" applyFont="1" applyFill="1" applyBorder="1" applyAlignment="1">
      <alignment horizontal="right" wrapText="1"/>
    </xf>
    <xf numFmtId="17" fontId="17" fillId="0" borderId="0" xfId="0" applyNumberFormat="1" applyFont="1"/>
    <xf numFmtId="0" fontId="18" fillId="0" borderId="6" xfId="0" applyFont="1" applyBorder="1"/>
    <xf numFmtId="0" fontId="19" fillId="0" borderId="0" xfId="0" applyFont="1"/>
    <xf numFmtId="0" fontId="20" fillId="0" borderId="4" xfId="0" applyFont="1" applyBorder="1"/>
    <xf numFmtId="0" fontId="20" fillId="0" borderId="5" xfId="0" applyFont="1" applyBorder="1"/>
    <xf numFmtId="164" fontId="4" fillId="0" borderId="0" xfId="1" applyNumberFormat="1" applyFont="1" applyBorder="1"/>
    <xf numFmtId="164" fontId="4" fillId="0" borderId="0" xfId="0" applyNumberFormat="1" applyFont="1" applyBorder="1"/>
    <xf numFmtId="0" fontId="20" fillId="0" borderId="8" xfId="0" applyFont="1" applyBorder="1"/>
    <xf numFmtId="10" fontId="3" fillId="0" borderId="0" xfId="0" applyNumberFormat="1" applyFont="1"/>
    <xf numFmtId="164" fontId="17" fillId="0" borderId="0" xfId="1" applyFont="1"/>
    <xf numFmtId="0" fontId="15" fillId="2" borderId="3" xfId="0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4" borderId="8" xfId="0" applyFont="1" applyFill="1" applyBorder="1" applyAlignment="1">
      <alignment horizontal="center" wrapText="1"/>
    </xf>
    <xf numFmtId="0" fontId="20" fillId="2" borderId="5" xfId="0" applyNumberFormat="1" applyFont="1" applyFill="1" applyBorder="1"/>
    <xf numFmtId="0" fontId="21" fillId="0" borderId="4" xfId="0" applyFont="1" applyBorder="1"/>
    <xf numFmtId="0" fontId="21" fillId="0" borderId="0" xfId="0" applyFont="1" applyBorder="1"/>
    <xf numFmtId="0" fontId="17" fillId="0" borderId="0" xfId="0" pivotButton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21" fillId="0" borderId="5" xfId="0" applyFont="1" applyBorder="1"/>
    <xf numFmtId="179" fontId="17" fillId="0" borderId="0" xfId="3" applyNumberFormat="1" applyFont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422"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E0E0E0"/>
        </patternFill>
      </fill>
      <alignment horizontal="righ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E0E0E0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E0E0E0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E0E0E0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sz val="9"/>
      </font>
    </dxf>
    <dxf>
      <font>
        <name val="Calibri"/>
        <scheme val="minor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929.556354513887" createdVersion="3" refreshedVersion="3" minRefreshableVersion="3" recordCount="42">
  <cacheSource type="worksheet">
    <worksheetSource name="Tabela9"/>
  </cacheSource>
  <cacheFields count="14">
    <cacheField name="Ticket" numFmtId="0">
      <sharedItems containsString="0" containsBlank="1" containsNumber="1" containsInteger="1" minValue="23602824" maxValue="23628376"/>
    </cacheField>
    <cacheField name="OpenTime" numFmtId="0">
      <sharedItems containsBlank="1"/>
    </cacheField>
    <cacheField name="Type" numFmtId="0">
      <sharedItems containsBlank="1" count="4">
        <s v="buy"/>
        <m/>
        <s v="sell"/>
        <s v="balance" u="1"/>
      </sharedItems>
    </cacheField>
    <cacheField name="Size" numFmtId="0">
      <sharedItems containsString="0" containsBlank="1" containsNumber="1" minValue="0.14000000000000001" maxValue="4.4000000000000004"/>
    </cacheField>
    <cacheField name="Item" numFmtId="0">
      <sharedItems containsBlank="1" count="8">
        <s v="audusd"/>
        <m/>
        <s v="usdcad"/>
        <s v="eurusd"/>
        <s v="usdchf"/>
        <s v="gbpusd"/>
        <s v="eurgbp"/>
        <s v="usdjpy"/>
      </sharedItems>
    </cacheField>
    <cacheField name="Price" numFmtId="0">
      <sharedItems containsString="0" containsBlank="1" containsNumber="1" minValue="0.79491999999999996" maxValue="160872"/>
    </cacheField>
    <cacheField name="S/L" numFmtId="0">
      <sharedItems containsString="0" containsBlank="1" containsNumber="1" containsInteger="1" minValue="0" maxValue="0"/>
    </cacheField>
    <cacheField name="T/P" numFmtId="0">
      <sharedItems containsString="0" containsBlank="1" containsNumber="1" containsInteger="1" minValue="0" maxValue="0"/>
    </cacheField>
    <cacheField name="CloseTime" numFmtId="0">
      <sharedItems containsBlank="1"/>
    </cacheField>
    <cacheField name="Price2" numFmtId="0">
      <sharedItems containsSemiMixedTypes="0" containsString="0" containsNumber="1" minValue="0.79329000000000005" maxValue="161127"/>
    </cacheField>
    <cacheField name="Commission" numFmtId="0">
      <sharedItems containsBlank="1" containsMixedTypes="1" containsNumber="1" containsInteger="1" minValue="0" maxValue="0" count="7">
        <s v="H1,0"/>
        <n v="0"/>
        <s v="H4,1"/>
        <s v="H1,1"/>
        <s v="H1,2"/>
        <s v="H1,3"/>
        <m/>
      </sharedItems>
    </cacheField>
    <cacheField name="Taxes" numFmtId="0">
      <sharedItems containsString="0" containsBlank="1" containsNumber="1" containsInteger="1" minValue="0" maxValue="0" count="2">
        <m/>
        <n v="0"/>
      </sharedItems>
    </cacheField>
    <cacheField name="Swap" numFmtId="0">
      <sharedItems containsString="0" containsBlank="1" containsNumber="1" minValue="-1.54" maxValue="0"/>
    </cacheField>
    <cacheField name="Profit" numFmtId="0">
      <sharedItems containsString="0" containsBlank="1" containsNumber="1" minValue="-212.55" maxValue="193.4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23618520"/>
    <s v="2014,10,1700:00:31"/>
    <x v="0"/>
    <n v="0.4"/>
    <x v="0"/>
    <n v="0.87748999999999999"/>
    <n v="0"/>
    <n v="0"/>
    <s v="2014,10,1706:00:03"/>
    <n v="0.87436999999999998"/>
    <x v="0"/>
    <x v="0"/>
    <m/>
    <n v="-124.8"/>
  </r>
  <r>
    <m/>
    <m/>
    <x v="1"/>
    <m/>
    <x v="1"/>
    <m/>
    <m/>
    <m/>
    <m/>
    <n v="16384"/>
    <x v="1"/>
    <x v="1"/>
    <n v="-0.75"/>
    <m/>
  </r>
  <r>
    <n v="23614229"/>
    <s v="2014,10,1616:59:09"/>
    <x v="2"/>
    <n v="0.39"/>
    <x v="2"/>
    <n v="112521"/>
    <n v="0"/>
    <n v="0"/>
    <s v="2014,10,1707:42:21"/>
    <n v="112397"/>
    <x v="0"/>
    <x v="0"/>
    <m/>
    <n v="43.03"/>
  </r>
  <r>
    <m/>
    <m/>
    <x v="1"/>
    <m/>
    <x v="1"/>
    <m/>
    <m/>
    <m/>
    <m/>
    <n v="16384"/>
    <x v="1"/>
    <x v="1"/>
    <n v="0"/>
    <m/>
  </r>
  <r>
    <n v="23621033"/>
    <s v="2014,10,1706:49:10"/>
    <x v="2"/>
    <n v="0.3"/>
    <x v="0"/>
    <n v="0.87348999999999999"/>
    <n v="0"/>
    <n v="0"/>
    <s v="2014,10,1708:00:03"/>
    <n v="0.87765000000000004"/>
    <x v="0"/>
    <x v="0"/>
    <m/>
    <n v="-124.8"/>
  </r>
  <r>
    <m/>
    <m/>
    <x v="1"/>
    <m/>
    <x v="1"/>
    <m/>
    <m/>
    <m/>
    <m/>
    <n v="16384"/>
    <x v="1"/>
    <x v="1"/>
    <n v="-1.38"/>
    <m/>
  </r>
  <r>
    <n v="23612754"/>
    <s v="2014,10,1615:25:02"/>
    <x v="0"/>
    <n v="0.34"/>
    <x v="3"/>
    <n v="128069"/>
    <n v="0"/>
    <n v="0"/>
    <s v="2014,10,1708:55:53"/>
    <n v="128232"/>
    <x v="0"/>
    <x v="0"/>
    <m/>
    <n v="55.42"/>
  </r>
  <r>
    <m/>
    <m/>
    <x v="1"/>
    <m/>
    <x v="1"/>
    <m/>
    <m/>
    <m/>
    <m/>
    <n v="16384"/>
    <x v="1"/>
    <x v="1"/>
    <n v="-1.43"/>
    <m/>
  </r>
  <r>
    <n v="23612834"/>
    <s v="2014,10,1615:28:08"/>
    <x v="2"/>
    <n v="0.47"/>
    <x v="4"/>
    <n v="0.94238999999999995"/>
    <n v="0"/>
    <n v="0"/>
    <s v="2014,10,1708:59:39"/>
    <n v="0.94113999999999998"/>
    <x v="0"/>
    <x v="0"/>
    <m/>
    <n v="62.42"/>
  </r>
  <r>
    <m/>
    <m/>
    <x v="1"/>
    <m/>
    <x v="1"/>
    <m/>
    <m/>
    <m/>
    <m/>
    <n v="16384"/>
    <x v="1"/>
    <x v="1"/>
    <n v="0"/>
    <m/>
  </r>
  <r>
    <n v="23618058"/>
    <s v="2014,10,1623:00:02"/>
    <x v="0"/>
    <n v="0.14000000000000001"/>
    <x v="5"/>
    <n v="160872"/>
    <n v="0"/>
    <n v="0"/>
    <s v="2014,10,1709:00:56"/>
    <n v="161127"/>
    <x v="0"/>
    <x v="0"/>
    <m/>
    <n v="35.700000000000003"/>
  </r>
  <r>
    <m/>
    <m/>
    <x v="1"/>
    <m/>
    <x v="1"/>
    <m/>
    <m/>
    <m/>
    <m/>
    <n v="16384"/>
    <x v="1"/>
    <x v="1"/>
    <n v="-1.54"/>
    <m/>
  </r>
  <r>
    <n v="23602824"/>
    <s v="2014,10,1607:30:33"/>
    <x v="0"/>
    <n v="0.38"/>
    <x v="3"/>
    <n v="127830"/>
    <n v="0"/>
    <n v="0"/>
    <s v="2014,10,1709:00:58"/>
    <n v="128339"/>
    <x v="2"/>
    <x v="0"/>
    <m/>
    <n v="193.42"/>
  </r>
  <r>
    <m/>
    <m/>
    <x v="1"/>
    <m/>
    <x v="1"/>
    <m/>
    <m/>
    <m/>
    <m/>
    <n v="16384"/>
    <x v="1"/>
    <x v="1"/>
    <n v="-0.56999999999999995"/>
    <m/>
  </r>
  <r>
    <n v="23615843"/>
    <s v="2014,10,1618:39:04"/>
    <x v="2"/>
    <n v="0.34"/>
    <x v="6"/>
    <n v="0.79637000000000002"/>
    <n v="0"/>
    <n v="0"/>
    <s v="2014,10,1711:27:21"/>
    <n v="0.79522999999999999"/>
    <x v="0"/>
    <x v="0"/>
    <m/>
    <n v="62.51"/>
  </r>
  <r>
    <m/>
    <m/>
    <x v="1"/>
    <m/>
    <x v="1"/>
    <m/>
    <m/>
    <m/>
    <m/>
    <n v="16384"/>
    <x v="1"/>
    <x v="1"/>
    <n v="0"/>
    <m/>
  </r>
  <r>
    <n v="23622741"/>
    <s v="2014,10,1708:56:16"/>
    <x v="0"/>
    <n v="0.27"/>
    <x v="0"/>
    <n v="0.87846000000000002"/>
    <n v="0"/>
    <n v="0"/>
    <s v="2014,10,1712:20:46"/>
    <n v="0.88078000000000001"/>
    <x v="0"/>
    <x v="0"/>
    <m/>
    <n v="62.64"/>
  </r>
  <r>
    <m/>
    <m/>
    <x v="1"/>
    <m/>
    <x v="1"/>
    <m/>
    <m/>
    <m/>
    <m/>
    <n v="16384"/>
    <x v="1"/>
    <x v="1"/>
    <n v="0"/>
    <m/>
  </r>
  <r>
    <n v="23621706"/>
    <s v="2014,10,1707:42:32"/>
    <x v="2"/>
    <n v="0.28000000000000003"/>
    <x v="2"/>
    <n v="112355"/>
    <n v="0"/>
    <n v="0"/>
    <s v="2014,10,1712:49:13"/>
    <n v="112184"/>
    <x v="0"/>
    <x v="0"/>
    <m/>
    <n v="42.68"/>
  </r>
  <r>
    <m/>
    <m/>
    <x v="1"/>
    <m/>
    <x v="1"/>
    <m/>
    <m/>
    <m/>
    <m/>
    <n v="16384"/>
    <x v="1"/>
    <x v="1"/>
    <n v="0"/>
    <m/>
  </r>
  <r>
    <n v="23626137"/>
    <s v="2014,10,1713:10:32"/>
    <x v="0"/>
    <n v="0.43"/>
    <x v="3"/>
    <n v="127972"/>
    <n v="0"/>
    <n v="0"/>
    <s v="2014,10,1713:12:51"/>
    <n v="127937"/>
    <x v="3"/>
    <x v="0"/>
    <m/>
    <n v="-15.05"/>
  </r>
  <r>
    <m/>
    <m/>
    <x v="1"/>
    <m/>
    <x v="1"/>
    <m/>
    <m/>
    <m/>
    <m/>
    <n v="16384"/>
    <x v="1"/>
    <x v="1"/>
    <n v="0"/>
    <m/>
  </r>
  <r>
    <n v="23618470"/>
    <s v="2014,10,1700:00:01"/>
    <x v="0"/>
    <n v="0.37"/>
    <x v="7"/>
    <n v="106454"/>
    <n v="0"/>
    <n v="0"/>
    <s v="2014,10,1713:55:15"/>
    <n v="106653"/>
    <x v="0"/>
    <x v="0"/>
    <m/>
    <n v="69.040000000000006"/>
  </r>
  <r>
    <m/>
    <m/>
    <x v="1"/>
    <m/>
    <x v="1"/>
    <m/>
    <m/>
    <m/>
    <m/>
    <n v="16384"/>
    <x v="1"/>
    <x v="1"/>
    <n v="0"/>
    <m/>
  </r>
  <r>
    <n v="23626922"/>
    <s v="2014,10,1713:55:39"/>
    <x v="2"/>
    <n v="0.66"/>
    <x v="2"/>
    <n v="112532"/>
    <n v="0"/>
    <n v="0"/>
    <s v="2014,10,1714:27:48"/>
    <n v="112325"/>
    <x v="4"/>
    <x v="0"/>
    <m/>
    <n v="121.63"/>
  </r>
  <r>
    <m/>
    <m/>
    <x v="1"/>
    <m/>
    <x v="1"/>
    <m/>
    <m/>
    <m/>
    <m/>
    <n v="16384"/>
    <x v="1"/>
    <x v="1"/>
    <n v="0"/>
    <m/>
  </r>
  <r>
    <n v="23624719"/>
    <s v="2014,10,1711:27:24"/>
    <x v="2"/>
    <n v="0.41"/>
    <x v="6"/>
    <n v="0.79491999999999996"/>
    <n v="0"/>
    <n v="0"/>
    <s v="2014,10,1714:59:37"/>
    <n v="0.79329000000000005"/>
    <x v="0"/>
    <x v="0"/>
    <m/>
    <n v="107.6"/>
  </r>
  <r>
    <m/>
    <m/>
    <x v="1"/>
    <m/>
    <x v="1"/>
    <m/>
    <m/>
    <m/>
    <m/>
    <n v="16384"/>
    <x v="1"/>
    <x v="1"/>
    <n v="0"/>
    <m/>
  </r>
  <r>
    <n v="23622828"/>
    <s v="2014,10,1708:59:39"/>
    <x v="2"/>
    <n v="0.28000000000000003"/>
    <x v="4"/>
    <n v="0.94072"/>
    <n v="0"/>
    <n v="0"/>
    <s v="2014,10,1716:00:00"/>
    <n v="0.94701999999999997"/>
    <x v="0"/>
    <x v="0"/>
    <m/>
    <n v="-186.27"/>
  </r>
  <r>
    <m/>
    <m/>
    <x v="1"/>
    <m/>
    <x v="1"/>
    <m/>
    <m/>
    <m/>
    <m/>
    <n v="16384"/>
    <x v="1"/>
    <x v="1"/>
    <n v="0"/>
    <m/>
  </r>
  <r>
    <n v="23622724"/>
    <s v="2014,10,1708:55:53"/>
    <x v="0"/>
    <n v="0.24"/>
    <x v="3"/>
    <n v="128258"/>
    <n v="0"/>
    <n v="0"/>
    <s v="2014,10,1716:00:01"/>
    <n v="127528"/>
    <x v="0"/>
    <x v="0"/>
    <m/>
    <n v="-175.2"/>
  </r>
  <r>
    <m/>
    <m/>
    <x v="1"/>
    <m/>
    <x v="1"/>
    <m/>
    <m/>
    <m/>
    <m/>
    <n v="16384"/>
    <x v="1"/>
    <x v="1"/>
    <n v="0"/>
    <m/>
  </r>
  <r>
    <n v="23626160"/>
    <s v="2014,10,1713:12:25"/>
    <x v="2"/>
    <n v="0.55000000000000004"/>
    <x v="4"/>
    <n v="0.94338999999999995"/>
    <n v="0"/>
    <n v="0"/>
    <s v="2014,10,1716:00:01"/>
    <n v="0.94701999999999997"/>
    <x v="3"/>
    <x v="0"/>
    <m/>
    <n v="-210.82"/>
  </r>
  <r>
    <m/>
    <m/>
    <x v="1"/>
    <m/>
    <x v="1"/>
    <m/>
    <m/>
    <m/>
    <m/>
    <n v="16384"/>
    <x v="1"/>
    <x v="1"/>
    <n v="0"/>
    <m/>
  </r>
  <r>
    <n v="23626168"/>
    <s v="2014,10,1713:12:51"/>
    <x v="0"/>
    <n v="0.24"/>
    <x v="3"/>
    <n v="127968"/>
    <n v="0"/>
    <n v="0"/>
    <s v="2014,10,1716:00:01"/>
    <n v="127525"/>
    <x v="3"/>
    <x v="0"/>
    <m/>
    <n v="-106.32"/>
  </r>
  <r>
    <m/>
    <m/>
    <x v="1"/>
    <m/>
    <x v="1"/>
    <m/>
    <m/>
    <m/>
    <m/>
    <n v="16384"/>
    <x v="1"/>
    <x v="1"/>
    <n v="0"/>
    <m/>
  </r>
  <r>
    <n v="23626777"/>
    <s v="2014,10,1713:50:11"/>
    <x v="2"/>
    <n v="1.1000000000000001"/>
    <x v="4"/>
    <n v="0.94521999999999995"/>
    <n v="0"/>
    <n v="0"/>
    <s v="2014,10,1716:00:02"/>
    <n v="0.94704999999999995"/>
    <x v="4"/>
    <x v="0"/>
    <m/>
    <n v="-212.55"/>
  </r>
  <r>
    <m/>
    <m/>
    <x v="1"/>
    <m/>
    <x v="1"/>
    <m/>
    <m/>
    <m/>
    <m/>
    <n v="16384"/>
    <x v="1"/>
    <x v="1"/>
    <n v="0"/>
    <m/>
  </r>
  <r>
    <n v="23626783"/>
    <s v="2014,10,1713:50:14"/>
    <x v="0"/>
    <n v="0.48"/>
    <x v="3"/>
    <n v="127691"/>
    <n v="0"/>
    <n v="0"/>
    <s v="2014,10,1716:00:02"/>
    <n v="127524"/>
    <x v="4"/>
    <x v="0"/>
    <m/>
    <n v="-80.16"/>
  </r>
  <r>
    <m/>
    <m/>
    <x v="1"/>
    <m/>
    <x v="1"/>
    <m/>
    <m/>
    <m/>
    <m/>
    <n v="16384"/>
    <x v="1"/>
    <x v="1"/>
    <n v="0"/>
    <m/>
  </r>
  <r>
    <n v="23628376"/>
    <s v="2014,10,1715:28:23"/>
    <x v="2"/>
    <n v="4.4000000000000004"/>
    <x v="4"/>
    <n v="0.94732000000000005"/>
    <n v="0"/>
    <n v="0"/>
    <s v="2014,10,1716:00:03"/>
    <n v="0.94704999999999995"/>
    <x v="5"/>
    <x v="0"/>
    <m/>
    <n v="125.44"/>
  </r>
  <r>
    <m/>
    <m/>
    <x v="1"/>
    <m/>
    <x v="1"/>
    <m/>
    <m/>
    <m/>
    <m/>
    <n v="16384"/>
    <x v="6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D11" firstHeaderRow="1" firstDataRow="2" firstDataCol="1" rowPageCount="1" colPageCount="1"/>
  <pivotFields count="14">
    <pivotField showAll="0"/>
    <pivotField showAll="0"/>
    <pivotField axis="axisRow" showAll="0">
      <items count="5">
        <item m="1" x="3"/>
        <item sd="0" x="0"/>
        <item sd="0" x="2"/>
        <item x="1"/>
        <item t="default"/>
      </items>
    </pivotField>
    <pivotField showAll="0"/>
    <pivotField axis="axisRow" showAll="0">
      <items count="9">
        <item sd="0" x="0"/>
        <item sd="0" x="6"/>
        <item sd="0" x="3"/>
        <item sd="0" x="5"/>
        <item sd="0" x="2"/>
        <item sd="0" x="4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8">
        <item h="1" x="1"/>
        <item h="1" x="6"/>
        <item sd="0" x="0"/>
        <item x="5"/>
        <item x="4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3">
    <field x="4"/>
    <field x="2"/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Trades" fld="13" subtotal="count" baseField="0" baseItem="0"/>
    <dataField name="Total Swap" fld="12" baseField="0" baseItem="0" numFmtId="44"/>
    <dataField name="Total Profit" fld="13" baseField="0" baseItem="0" numFmtId="44"/>
  </dataFields>
  <formats count="3">
    <format dxfId="61">
      <pivotArea type="all" dataOnly="0" outline="0" fieldPosition="0"/>
    </format>
    <format dxfId="60">
      <pivotArea type="all" dataOnly="0" outline="0" fieldPosition="0"/>
    </format>
    <format dxfId="5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421" dataDxfId="420" totalsRowDxfId="419">
  <autoFilter ref="A1:AK95">
    <filterColumn colId="36"/>
  </autoFilter>
  <sortState ref="A2:AJ89">
    <sortCondition ref="E1:E89"/>
  </sortState>
  <tableColumns count="37">
    <tableColumn id="19" name="ID" totalsRowFunction="max" dataDxfId="418" totalsRowDxfId="417"/>
    <tableColumn id="36" name="U" dataDxfId="416" totalsRowDxfId="415"/>
    <tableColumn id="2" name="ATIVO" dataDxfId="414" totalsRowDxfId="413"/>
    <tableColumn id="3" name="T" dataDxfId="412" totalsRowDxfId="411"/>
    <tableColumn id="4" name="DATA" dataDxfId="410" totalsRowDxfId="409"/>
    <tableColumn id="5" name="QTDE" dataDxfId="408" totalsRowDxfId="407"/>
    <tableColumn id="6" name="PREÇO" totalsRowFunction="custom" dataDxfId="406" totalsRowDxfId="405">
      <totalsRowFormula>NC[[#Totals],[ID]]*14.9</totalsRowFormula>
    </tableColumn>
    <tableColumn id="37" name="PARCIAL" dataDxfId="404" totalsRowDxfId="403"/>
    <tableColumn id="40" name="AJUSTE" dataDxfId="402" totalsRowDxfId="401"/>
    <tableColumn id="7" name="[D/N]" totalsRowFunction="custom" dataDxfId="400" totalsRowDxfId="399">
      <totalsRowFormula>NC[[#Totals],[LUCRO P/ OP]]+NC[[#Totals],[PREÇO]]</totalsRowFormula>
    </tableColumn>
    <tableColumn id="34" name="DATA DE LIQUIDAÇÃO" dataDxfId="398" totalsRowDxfId="397">
      <calculatedColumnFormula>WORKDAY(NC[[#This Row],[DATA]],1,0)</calculatedColumnFormula>
    </tableColumn>
    <tableColumn id="31" name="DATA BASE" dataDxfId="396" totalsRowDxfId="395">
      <calculatedColumnFormula>EOMONTH(NC[[#This Row],[DATA DE LIQUIDAÇÃO]],0)</calculatedColumnFormula>
    </tableColumn>
    <tableColumn id="21" name="PAR" dataDxfId="394" totalsRowDxfId="393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92" totalsRowDxfId="391">
      <calculatedColumnFormula>[QTDE]*[PREÇO]</calculatedColumnFormula>
    </tableColumn>
    <tableColumn id="9" name="VALOR LÍQUIDO DAS OPERAÇÕES" dataDxfId="390" totalsRowDxfId="389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88" totalsRowDxfId="387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86" totalsRowDxfId="385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84" totalsRowDxfId="383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82" totalsRowDxfId="381">
      <calculatedColumnFormula>SETUP!$E$3 * IF([PARCIAL] &gt; 0, [QTDE] / [PARCIAL], 1)</calculatedColumnFormula>
    </tableColumn>
    <tableColumn id="12" name="CORRETAGEM" dataDxfId="380" totalsRowDxfId="379">
      <calculatedColumnFormula>SUMPRODUCT(N([DATA]=NC[[#This Row],[DATA]]),N([ID]&lt;=NC[[#This Row],[ID]]), [CORR])</calculatedColumnFormula>
    </tableColumn>
    <tableColumn id="13" name="ISS" dataDxfId="378" totalsRowDxfId="377">
      <calculatedColumnFormula>TRUNC([CORRETAGEM]*SETUP!$F$3,2)</calculatedColumnFormula>
    </tableColumn>
    <tableColumn id="15" name="OUTRAS BOVESPA" dataDxfId="376" totalsRowDxfId="375">
      <calculatedColumnFormula>ROUND([CORRETAGEM]*SETUP!$G$3,2)</calculatedColumnFormula>
    </tableColumn>
    <tableColumn id="16" name="LÍQUIDO BASE" dataDxfId="374" totalsRowDxfId="37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72" totalsRowDxfId="371">
      <calculatedColumnFormula>IF(AND(['[D/N']]="D",    [T]="CV",    [LÍQUIDO BASE] &gt; 0),    TRUNC([LÍQUIDO BASE]*0.01, 2),    0)</calculatedColumnFormula>
    </tableColumn>
    <tableColumn id="35" name="LÍQUIDO" dataDxfId="370" totalsRowDxfId="369">
      <calculatedColumnFormula>IF([PREÇO] &gt; 0,    [LÍQUIDO BASE]-SUMPRODUCT(N([DATA]=NC[[#This Row],[DATA]]),    [IRRF FONTE]),    0)</calculatedColumnFormula>
    </tableColumn>
    <tableColumn id="17" name="VALOR OP" dataDxfId="368" totalsRowDxfId="367">
      <calculatedColumnFormula>[LÍQUIDO]-SUMPRODUCT(N([DATA]=NC[[#This Row],[DATA]]),N([ID]=(NC[[#This Row],[ID]]-1)),[LÍQUIDO])</calculatedColumnFormula>
    </tableColumn>
    <tableColumn id="18" name="MEDIO P/ OP" dataDxfId="366" totalsRowDxfId="365">
      <calculatedColumnFormula>IF([T] = "VC", ABS([VALOR OP]) / [QTDE], [VALOR OP]/[QTDE])</calculatedColumnFormula>
    </tableColumn>
    <tableColumn id="20" name="IRRF" totalsRowFunction="sum" dataDxfId="364" totalsRowDxfId="363">
      <calculatedColumnFormula>TRUNC(IF(OR([T]="CV",[T]="VV"),     N2*SETUP!$H$3,     0),2)</calculatedColumnFormula>
    </tableColumn>
    <tableColumn id="24" name="SALDO" dataDxfId="362" totalsRowDxfId="361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60" totalsRowDxfId="359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58" totalsRowDxfId="357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56" totalsRowDxfId="355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54" totalsRowDxfId="353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52" totalsRowDxfId="351">
      <calculatedColumnFormula>IF([U] = "U", SUMPRODUCT(N([ID]&lt;=NC[[#This Row],[ID]]),N([DATA BASE]=NC[[#This Row],[DATA BASE]]), N(['[D/N']] = "N"),    [LUCRO P/ OP]), 0)</calculatedColumnFormula>
    </tableColumn>
    <tableColumn id="39" name="LUCRO [D]" dataDxfId="350" totalsRowDxfId="349">
      <calculatedColumnFormula>IF([U] = "U", SUMPRODUCT(N([DATA BASE]=NC[[#This Row],[DATA BASE]]), N(['[D/N']] = "D"),    [LUCRO P/ OP]), 0)</calculatedColumnFormula>
    </tableColumn>
    <tableColumn id="30" name="IRRF DT" dataDxfId="348" totalsRowDxfId="347">
      <calculatedColumnFormula>IF([U] = "U", SUMPRODUCT(N([DATA BASE]=NC[[#This Row],[DATA BASE]]), N(['[D/N']] = "D"),    [IRRF FONTE]), 0)</calculatedColumnFormula>
    </tableColumn>
    <tableColumn id="14" name="Colunas1" dataDxfId="346" totalsRowDxfId="345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ela9" displayName="Tabela9" ref="A1:N43" totalsRowShown="0" headerRowDxfId="24" dataDxfId="25" headerRowBorderDxfId="30" tableBorderDxfId="31">
  <autoFilter ref="A1:N43"/>
  <tableColumns count="14">
    <tableColumn id="1" name="Ticket"/>
    <tableColumn id="2" name="OpenTime"/>
    <tableColumn id="3" name="Type"/>
    <tableColumn id="4" name="Size"/>
    <tableColumn id="5" name="Item"/>
    <tableColumn id="6" name="Price"/>
    <tableColumn id="7" name="S/L"/>
    <tableColumn id="8" name="T/P"/>
    <tableColumn id="9" name="CloseTime"/>
    <tableColumn id="10" name="Price2"/>
    <tableColumn id="11" name="Commission" dataDxfId="29"/>
    <tableColumn id="12" name="Taxes" dataDxfId="28"/>
    <tableColumn id="13" name="Swap" dataDxfId="27"/>
    <tableColumn id="14" name="Profit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344" dataDxfId="343" totalsRowDxfId="342">
  <autoFilter ref="A1:AK61"/>
  <sortState ref="A2:AK61">
    <sortCondition ref="E1:E61"/>
  </sortState>
  <tableColumns count="37">
    <tableColumn id="19" name="ID" totalsRowFunction="max" dataDxfId="341" totalsRowDxfId="340"/>
    <tableColumn id="36" name="U" dataDxfId="339" totalsRowDxfId="338"/>
    <tableColumn id="2" name="ATIVO" dataDxfId="337" totalsRowDxfId="336"/>
    <tableColumn id="3" name="T" dataDxfId="335" totalsRowDxfId="334"/>
    <tableColumn id="4" name="DATA" dataDxfId="333" totalsRowDxfId="332"/>
    <tableColumn id="5" name="QTDE" dataDxfId="331" totalsRowDxfId="330"/>
    <tableColumn id="6" name="PREÇO" dataDxfId="329" totalsRowDxfId="328"/>
    <tableColumn id="37" name="PARCIAL" dataDxfId="327" totalsRowDxfId="326"/>
    <tableColumn id="40" name="AJUSTE" dataDxfId="325" totalsRowDxfId="324"/>
    <tableColumn id="7" name="[D/N]" dataDxfId="323" totalsRowDxfId="322"/>
    <tableColumn id="34" name="DATA DE LIQUIDAÇÃO" dataDxfId="321" totalsRowDxfId="320">
      <calculatedColumnFormula>WORKDAY(NOTAS_80[[#This Row],[DATA]],1,0)</calculatedColumnFormula>
    </tableColumn>
    <tableColumn id="31" name="DATA BASE" dataDxfId="319" totalsRowDxfId="318">
      <calculatedColumnFormula>EOMONTH(NOTAS_80[[#This Row],[DATA DE LIQUIDAÇÃO]],0)</calculatedColumnFormula>
    </tableColumn>
    <tableColumn id="21" name="PAR" dataDxfId="317" totalsRowDxfId="316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315" totalsRowDxfId="314">
      <calculatedColumnFormula>[QTDE]*[PREÇO]</calculatedColumnFormula>
    </tableColumn>
    <tableColumn id="9" name="VALOR LÍQUIDO DAS OPERAÇÕES" dataDxfId="313" totalsRowDxfId="31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311" totalsRowDxfId="310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309" totalsRowDxfId="308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307" totalsRowDxfId="306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305" totalsRowDxfId="304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303" totalsRowDxfId="302">
      <calculatedColumnFormula>TRUNC([CORR BOV] * 20% * IF([PARCIAL] &gt; 0, [QTDE] / [PARCIAL], 1),2)</calculatedColumnFormula>
    </tableColumn>
    <tableColumn id="12" name="CORRETAGEM" dataDxfId="301" totalsRowDxfId="300">
      <calculatedColumnFormula>SUMPRODUCT(N([DATA]=NOTAS_80[[#This Row],[DATA]]),N([ID]&lt;=NOTAS_80[[#This Row],[ID]]), [CORR])</calculatedColumnFormula>
    </tableColumn>
    <tableColumn id="13" name="ISS" dataDxfId="299" totalsRowDxfId="298">
      <calculatedColumnFormula>TRUNC([CORRETAGEM]*SETUP!$F$3,2)</calculatedColumnFormula>
    </tableColumn>
    <tableColumn id="15" name="OUTRAS BOVESPA" dataDxfId="297" totalsRowDxfId="296">
      <calculatedColumnFormula>ROUND([CORRETAGEM]*SETUP!$G$3,2)</calculatedColumnFormula>
    </tableColumn>
    <tableColumn id="16" name="LÍQUIDO BASE" dataDxfId="295" totalsRowDxfId="294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3" totalsRowDxfId="292">
      <calculatedColumnFormula>IF(AND(['[D/N']]="D",    [T]="CV",    [LÍQUIDO BASE] &gt; 0),    TRUNC([LÍQUIDO BASE]*0.01, 2),    0)</calculatedColumnFormula>
    </tableColumn>
    <tableColumn id="35" name="LÍQUIDO" dataDxfId="291" totalsRowDxfId="290">
      <calculatedColumnFormula>IF([PREÇO] &gt; 0,    [LÍQUIDO BASE]-SUMPRODUCT(N([DATA]=NOTAS_80[[#This Row],[DATA]]),    [IRRF FONTE]),    0)</calculatedColumnFormula>
    </tableColumn>
    <tableColumn id="17" name="VALOR OP" dataDxfId="289" totalsRowDxfId="288">
      <calculatedColumnFormula>[LÍQUIDO]-SUMPRODUCT(N([DATA]=NOTAS_80[[#This Row],[DATA]]),N([ID]=(NOTAS_80[[#This Row],[ID]]-1)),[LÍQUIDO])</calculatedColumnFormula>
    </tableColumn>
    <tableColumn id="18" name="MEDIO P/ OP" dataDxfId="287" totalsRowDxfId="286">
      <calculatedColumnFormula>IF([T] = "VC", ABS([VALOR OP]) / [QTDE], [VALOR OP]/[QTDE])</calculatedColumnFormula>
    </tableColumn>
    <tableColumn id="20" name="IRRF" totalsRowFunction="sum" dataDxfId="285" totalsRowDxfId="284">
      <calculatedColumnFormula>TRUNC(IF(OR([T]="CV",[T]="VV"),     N2*SETUP!$H$3,     0),2)</calculatedColumnFormula>
    </tableColumn>
    <tableColumn id="24" name="SALDO" dataDxfId="283" totalsRowDxfId="282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81" totalsRowDxfId="280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79" totalsRowDxfId="278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77" totalsRowDxfId="276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5" totalsRowDxfId="274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73" totalsRowDxfId="27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71" totalsRowDxfId="270">
      <calculatedColumnFormula>IF([U] = "U", SUMPRODUCT(N([DATA BASE]=NOTAS_80[[#This Row],[DATA BASE]]), N(['[D/N']] = "D"),    [LUCRO P/ OP]), 0)</calculatedColumnFormula>
    </tableColumn>
    <tableColumn id="30" name="IRRF DT" dataDxfId="269" totalsRowDxfId="268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67" dataDxfId="266">
  <autoFilter ref="A1:N5"/>
  <tableColumns count="14">
    <tableColumn id="1" name="DATA" totalsRowLabel="Total" dataDxfId="265" totalsRowDxfId="264"/>
    <tableColumn id="2" name="LUCRO [N]" dataDxfId="263" totalsRowDxfId="262"/>
    <tableColumn id="3" name="DEDUÇÃO [N]" dataDxfId="261" totalsRowDxfId="260"/>
    <tableColumn id="8" name="IRRF [N]" dataDxfId="259" totalsRowDxfId="258"/>
    <tableColumn id="4" name="LUCRO [D]" dataDxfId="257" totalsRowDxfId="256"/>
    <tableColumn id="5" name="DEDUÇÃO [D]" dataDxfId="255" totalsRowDxfId="254"/>
    <tableColumn id="9" name="IRRF [D]" dataDxfId="253" totalsRowDxfId="252"/>
    <tableColumn id="6" name="ACC [N]" dataDxfId="251" totalsRowDxfId="250">
      <calculatedColumnFormula>IF([LUCRO '[N']] + [DEDUÇÃO '[N']] &gt; 0, 0, [LUCRO '[N']] + [DEDUÇÃO '[N']])</calculatedColumnFormula>
    </tableColumn>
    <tableColumn id="12" name="ACC [D]" dataDxfId="249" totalsRowDxfId="248">
      <calculatedColumnFormula>IF([LUCRO '[D']] + [DEDUÇÃO '[D']] &gt; 0, 0, [LUCRO '[D']] + [DEDUÇÃO '[D']])</calculatedColumnFormula>
    </tableColumn>
    <tableColumn id="7" name="IR DEVIDO [N]" dataDxfId="247" totalsRowDxfId="246">
      <calculatedColumnFormula>IF([ACC '[N']] = 0, ROUND(([LUCRO '[N']] + [DEDUÇÃO '[N']]) * 15%, 2) - [IRRF '[N']], 0)</calculatedColumnFormula>
    </tableColumn>
    <tableColumn id="10" name="IR DEVIDO [D]" dataDxfId="245" totalsRowDxfId="244">
      <calculatedColumnFormula>IF([ACC '[D']] = 0, ROUND(([LUCRO '[D']] + [DEDUÇÃO '[D']]) * 20%, 2) - [IRRF '[D']], 0)</calculatedColumnFormula>
    </tableColumn>
    <tableColumn id="14" name="IRRF" dataDxfId="243" totalsRowDxfId="242">
      <calculatedColumnFormula>[IRRF '[N']] + [IRRF '[D']]</calculatedColumnFormula>
    </tableColumn>
    <tableColumn id="11" name="IR DEVIDO" dataDxfId="241" totalsRowDxfId="240">
      <calculatedColumnFormula>[IR DEVIDO '[N']] + [IR DEVIDO '[D']]</calculatedColumnFormula>
    </tableColumn>
    <tableColumn id="13" name="LUCRO TOTAL" totalsRowFunction="sum" dataDxfId="239" totalsRowDxfId="238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237" dataDxfId="236">
  <autoFilter ref="A1:K5"/>
  <sortState ref="A2:K4">
    <sortCondition ref="C1:C4"/>
  </sortState>
  <tableColumns count="11">
    <tableColumn id="1" name="PAPEL" totalsRowLabel="Total" dataDxfId="235" totalsRowDxfId="234"/>
    <tableColumn id="10" name="APLICAÇÃO" dataDxfId="233" totalsRowDxfId="232">
      <calculatedColumnFormula>200</calculatedColumnFormula>
    </tableColumn>
    <tableColumn id="2" name="EXERCÍCIO" dataDxfId="231" totalsRowDxfId="230"/>
    <tableColumn id="3" name="PREÇO OPÇÃO" dataDxfId="229" totalsRowDxfId="228"/>
    <tableColumn id="4" name="PREÇO AÇÃO" dataDxfId="227" totalsRowDxfId="226"/>
    <tableColumn id="11" name="QTDE TMP" dataDxfId="225" totalsRowDxfId="224">
      <calculatedColumnFormula>ROUNDDOWN([APLICAÇÃO]/[PREÇO OPÇÃO], 0)</calculatedColumnFormula>
    </tableColumn>
    <tableColumn id="14" name="QTDE" dataDxfId="223" totalsRowDxfId="222">
      <calculatedColumnFormula>[QTDE TMP] - MOD([QTDE TMP], 100)</calculatedColumnFormula>
    </tableColumn>
    <tableColumn id="5" name="TARGET 100%" dataDxfId="221" totalsRowDxfId="220" dataCellStyle="Moeda">
      <calculatedColumnFormula>[EXERCÍCIO] + ([PREÇO OPÇÃO] * 2)</calculatedColumnFormula>
    </tableColumn>
    <tableColumn id="6" name="ALTA 100%" dataDxfId="219" totalsRowDxfId="218">
      <calculatedColumnFormula>[TARGET 100%] / [PREÇO AÇÃO] - 1</calculatedColumnFormula>
    </tableColumn>
    <tableColumn id="12" name="LUCRO* 100%" dataDxfId="217" totalsRowDxfId="216">
      <calculatedColumnFormula>[PREÇO OPÇÃO] * [QTDE]</calculatedColumnFormula>
    </tableColumn>
    <tableColumn id="7" name="GORDURA" dataDxfId="215" totalsRowDxfId="214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13" dataDxfId="212">
  <autoFilter ref="A1:P4"/>
  <tableColumns count="16">
    <tableColumn id="1" name="PAPEL" totalsRowLabel="Total" dataDxfId="211" totalsRowDxfId="210"/>
    <tableColumn id="10" name="VOLUME" dataDxfId="209" totalsRowDxfId="208">
      <calculatedColumnFormula>1800</calculatedColumnFormula>
    </tableColumn>
    <tableColumn id="20" name="PREÇO AÇÃO" dataDxfId="207" totalsRowDxfId="206"/>
    <tableColumn id="7" name="EXERC. VENDA" dataDxfId="205" totalsRowDxfId="204"/>
    <tableColumn id="8" name="PREÇO VENDA" dataDxfId="203" totalsRowDxfId="202"/>
    <tableColumn id="2" name="EXERC. COMPRA" dataDxfId="201" totalsRowDxfId="200"/>
    <tableColumn id="3" name="PREÇO COMPRA" dataDxfId="199" totalsRowDxfId="198"/>
    <tableColumn id="4" name="QTD" dataDxfId="197" totalsRowDxfId="196">
      <calculatedColumnFormula>[VOLUME]/([PREÇO VENDA]+[PREÇO COMPRA])</calculatedColumnFormula>
    </tableColumn>
    <tableColumn id="18" name="LUCRO P/ OPÇÃO" dataDxfId="195" totalsRowDxfId="194">
      <calculatedColumnFormula>[PREÇO VENDA]-[PREÇO COMPRA]</calculatedColumnFormula>
    </tableColumn>
    <tableColumn id="19" name="PERDA P/ OPÇÃO" dataDxfId="193" totalsRowDxfId="192">
      <calculatedColumnFormula>(0.01 - [PREÇO COMPRA]) + ([PREÇO VENDA] - ([EXERC. COMPRA]-[EXERC. VENDA]+0.01))</calculatedColumnFormula>
    </tableColumn>
    <tableColumn id="11" name="QTDE TMP" dataDxfId="191" totalsRowDxfId="190">
      <calculatedColumnFormula>ROUNDDOWN([VOLUME]/ABS([PERDA P/ OPÇÃO]), 0)</calculatedColumnFormula>
    </tableColumn>
    <tableColumn id="14" name="QTDE" dataDxfId="189" totalsRowDxfId="188">
      <calculatedColumnFormula>[QTD] - MOD([QTD], 100)</calculatedColumnFormula>
    </tableColumn>
    <tableColumn id="5" name="LUCRO*" dataDxfId="187" totalsRowDxfId="186">
      <calculatedColumnFormula>([QTDE]*[LUCRO P/ OPÇÃO])-48</calculatedColumnFormula>
    </tableColumn>
    <tableColumn id="6" name="PERDA*" dataDxfId="185" totalsRowDxfId="184">
      <calculatedColumnFormula>[QTDE]*[PERDA P/ OPÇÃO]-48</calculatedColumnFormula>
    </tableColumn>
    <tableColumn id="21" name="% QUEDA" dataDxfId="183" totalsRowDxfId="182">
      <calculatedColumnFormula>[EXERC. VENDA]/[PREÇO AÇÃO]-1</calculatedColumnFormula>
    </tableColumn>
    <tableColumn id="22" name="RISCO : 1" dataDxfId="181" totalsRowDxfId="180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ela10" displayName="Tabela10" ref="A1:G2" totalsRowShown="0" headerRowDxfId="179" dataDxfId="178">
  <autoFilter ref="A1:G2"/>
  <tableColumns count="7">
    <tableColumn id="1" name="Garantia" dataDxfId="177"/>
    <tableColumn id="2" name="Start" dataDxfId="176"/>
    <tableColumn id="3" name="Stop" dataDxfId="175"/>
    <tableColumn id="4" name="Pontos" dataDxfId="174">
      <calculatedColumnFormula>ABS(B2-C2)</calculatedColumnFormula>
    </tableColumn>
    <tableColumn id="5" name="Risco" dataDxfId="173">
      <calculatedColumnFormula>A2*10%</calculatedColumnFormula>
    </tableColumn>
    <tableColumn id="6" name="N Contrato" dataDxfId="172">
      <calculatedColumnFormula>E2/(0.2*D2)-MOD(E2/(0.2*D2),1)</calculatedColumnFormula>
    </tableColumn>
    <tableColumn id="7" name="Prev Target" dataDxfId="171">
      <calculatedColumnFormula>IF([Start]&lt;[Stop],[Start]-([Pontos]*3.5),[Start]+([Pontos]*3.5))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3" headerRowDxfId="170" dataDxfId="169">
  <autoFilter ref="A1:O3"/>
  <tableColumns count="15">
    <tableColumn id="1" name="PAPEL" totalsRowLabel="Total" dataDxfId="168" totalsRowDxfId="167"/>
    <tableColumn id="10" name="RISCO" dataDxfId="166" totalsRowDxfId="165"/>
    <tableColumn id="20" name="PREÇO AÇÃO" dataDxfId="164" totalsRowDxfId="163"/>
    <tableColumn id="7" name="EX. VENDA" dataDxfId="162" totalsRowDxfId="161"/>
    <tableColumn id="2" name="EX. COMPRA" dataDxfId="160" totalsRowDxfId="159" dataCellStyle="Moeda"/>
    <tableColumn id="3" name="PR Venda" dataDxfId="158" totalsRowDxfId="157" dataCellStyle="Moeda"/>
    <tableColumn id="16" name="QTDE" dataDxfId="156" totalsRowDxfId="155"/>
    <tableColumn id="13" name="PERDA P/ OPÇÃO" dataDxfId="154" totalsRowDxfId="153">
      <calculatedColumnFormula>([RISCO])/[QTDE]</calculatedColumnFormula>
    </tableColumn>
    <tableColumn id="14" name="Volume" dataDxfId="152" totalsRowDxfId="151">
      <calculatedColumnFormula>[PR Venda] * [QTDE]+[QTDE]*[PR Compra]</calculatedColumnFormula>
    </tableColumn>
    <tableColumn id="15" name="LUCRO UNI" dataDxfId="150" totalsRowDxfId="149">
      <calculatedColumnFormula>[PR Venda]-[PR Compra]</calculatedColumnFormula>
    </tableColumn>
    <tableColumn id="8" name="PR Compra" dataDxfId="148" totalsRowDxfId="147">
      <calculatedColumnFormula>(-[PERDA P/ OPÇÃO] + ([EX. COMPRA] - [EX. VENDA] + 0.01) - 0.01 -[PR Venda])*-1</calculatedColumnFormula>
    </tableColumn>
    <tableColumn id="5" name="LUCRO" dataDxfId="146" totalsRowDxfId="145">
      <calculatedColumnFormula>([QTDE]*[LUCRO UNI])-64</calculatedColumnFormula>
    </tableColumn>
    <tableColumn id="6" name="PERDA" dataDxfId="144" totalsRowDxfId="143">
      <calculatedColumnFormula>-[PERDA P/ OPÇÃO]*[QTDE]-64</calculatedColumnFormula>
    </tableColumn>
    <tableColumn id="21" name="% QUEDA" dataDxfId="142" totalsRowDxfId="141">
      <calculatedColumnFormula>[EX. VENDA]/[PREÇO AÇÃO]-1</calculatedColumnFormula>
    </tableColumn>
    <tableColumn id="22" name="RISCO : 1" dataDxfId="140" totalsRowDxfId="139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ela245" displayName="Tabela245" ref="A1:U3" totalsRowCount="1" headerRowDxfId="138" dataDxfId="137">
  <autoFilter ref="A1:U2"/>
  <tableColumns count="21">
    <tableColumn id="1" name="PAPEL" totalsRowLabel="Total" dataDxfId="136" totalsRowDxfId="135"/>
    <tableColumn id="10" name="BASE" dataDxfId="134" totalsRowDxfId="133"/>
    <tableColumn id="20" name="PR. AÇÃO" dataDxfId="132" totalsRowDxfId="131"/>
    <tableColumn id="2" name="EX. CP 1" dataDxfId="130" totalsRowDxfId="129"/>
    <tableColumn id="3" name="PR CP 1" dataDxfId="128" totalsRowDxfId="127"/>
    <tableColumn id="12" name="EX. VD" dataDxfId="126" totalsRowDxfId="125"/>
    <tableColumn id="13" name="PR VD" dataDxfId="124" totalsRowDxfId="123"/>
    <tableColumn id="8" name="EX. CP 2" dataDxfId="122" totalsRowDxfId="121"/>
    <tableColumn id="7" name="PR CP 2" dataDxfId="120" totalsRowDxfId="119"/>
    <tableColumn id="18" name="LUCRO UNI." dataDxfId="118" totalsRowDxfId="117">
      <calculatedColumnFormula>(([PR VD] - 0.01) * 2) + (([EX. VD] - [EX. CP 1] + 0.01) - [PR CP 1]) + (0.01 - [PR CP 2])</calculatedColumnFormula>
    </tableColumn>
    <tableColumn id="19" name="PERDA 1" dataDxfId="116" totalsRowDxfId="115">
      <calculatedColumnFormula>(0.01 - [PR CP 1]) + (([PR VD] - 0.01) * 2) + (0.01 - [PR CP 2])</calculatedColumnFormula>
    </tableColumn>
    <tableColumn id="15" name="PERDA 2" dataDxfId="114" totalsRowDxfId="113">
      <calculatedColumnFormula>(([EX. CP 2] - [EX. CP 1] + 0.01) - [PR CP 1]) + (([PR VD] - ([EX. CP 2] - [EX. VD] + 0.01)) * 2) + (0.01 - [PR CP 2])</calculatedColumnFormula>
    </tableColumn>
    <tableColumn id="16" name="PERDA" dataDxfId="112" totalsRowDxfId="111">
      <calculatedColumnFormula>IF([PERDA 1] &gt; [PERDA 2], [PERDA 2], [PERDA 1])</calculatedColumnFormula>
    </tableColumn>
    <tableColumn id="11" name="QTDE TMP" dataDxfId="110" totalsRowDxfId="109">
      <calculatedColumnFormula>ROUNDDOWN([BASE]/ABS([PERDA]), 0)</calculatedColumnFormula>
    </tableColumn>
    <tableColumn id="14" name="QTDE" dataDxfId="108" totalsRowDxfId="107">
      <calculatedColumnFormula>[QTDE TMP] - MOD([QTDE TMP], 100)</calculatedColumnFormula>
    </tableColumn>
    <tableColumn id="4" name="QTDE VD" dataDxfId="106" totalsRowDxfId="105">
      <calculatedColumnFormula>Tabela245[[#This Row],[QTDE]]*2</calculatedColumnFormula>
    </tableColumn>
    <tableColumn id="17" name="VOLUME" dataDxfId="104" totalsRowDxfId="103">
      <calculatedColumnFormula>([QTDE]*[PR CP 1] + [QTDE]*[PR CP 2])+[QTDE]*[PR VD] * 2</calculatedColumnFormula>
    </tableColumn>
    <tableColumn id="5" name="LUCRO" dataDxfId="102" totalsRowDxfId="101">
      <calculatedColumnFormula>([QTDE]*[LUCRO UNI.])-48</calculatedColumnFormula>
    </tableColumn>
    <tableColumn id="6" name="PERDA2" dataDxfId="100" totalsRowDxfId="99">
      <calculatedColumnFormula>[QTDE]*[PERDA]-48</calculatedColumnFormula>
    </tableColumn>
    <tableColumn id="21" name="% VAR" dataDxfId="98" totalsRowDxfId="97">
      <calculatedColumnFormula>[EX. VD] / [PR. AÇÃO] - 1</calculatedColumnFormula>
    </tableColumn>
    <tableColumn id="22" name="RISCO : 1" dataDxfId="96" totalsRowDxfId="95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ela2467" displayName="Tabela2467" ref="A1:O6" totalsRowCount="1" headerRowDxfId="94" dataDxfId="93">
  <autoFilter ref="A1:O5"/>
  <tableColumns count="15">
    <tableColumn id="1" name="PAPEL" totalsRowLabel="Total" dataDxfId="92" totalsRowDxfId="91"/>
    <tableColumn id="10" name="RISCO" dataDxfId="90" totalsRowDxfId="89"/>
    <tableColumn id="20" name="PREÇO AÇÃO" dataDxfId="88" totalsRowDxfId="87"/>
    <tableColumn id="7" name="EX. VENDA" dataDxfId="86" totalsRowDxfId="85"/>
    <tableColumn id="2" name="EX. COMPRA" dataDxfId="84" totalsRowDxfId="83"/>
    <tableColumn id="9" name="PR VENDA" totalsRowDxfId="82"/>
    <tableColumn id="3" name="PR COMPRA" dataDxfId="81" totalsRowDxfId="80"/>
    <tableColumn id="16" name="QTDE" dataDxfId="79" totalsRowDxfId="78"/>
    <tableColumn id="13" name="PERDA P/ OPÇÃO" dataDxfId="77" totalsRowDxfId="76">
      <calculatedColumnFormula>([PR VENDA] - ([EX. COMPRA] - [EX. VENDA] + 0.01)) + (0.01 - ([PR COMPRA]))</calculatedColumnFormula>
    </tableColumn>
    <tableColumn id="14" name="VOLUME" dataDxfId="75" totalsRowDxfId="74">
      <calculatedColumnFormula>[PR COMPRA] * [QTDE]</calculatedColumnFormula>
    </tableColumn>
    <tableColumn id="15" name="LUCRO UNI" dataDxfId="73" totalsRowDxfId="72">
      <calculatedColumnFormula>[PR VENDA]-[PR COMPRA]</calculatedColumnFormula>
    </tableColumn>
    <tableColumn id="5" name="LUCRO*" dataDxfId="71" totalsRowDxfId="70">
      <calculatedColumnFormula>([QTDE]*[LUCRO UNI])</calculatedColumnFormula>
    </tableColumn>
    <tableColumn id="6" name="PERDA*" dataDxfId="69" totalsRowDxfId="68">
      <calculatedColumnFormula>[PERDA P/ OPÇÃO]*[QTDE]</calculatedColumnFormula>
    </tableColumn>
    <tableColumn id="21" name="% QUEDA" dataDxfId="67" totalsRowDxfId="66">
      <calculatedColumnFormula>[EX. VENDA]/[PREÇO AÇÃO]-1</calculatedColumnFormula>
    </tableColumn>
    <tableColumn id="22" name="RISCO : 1" dataDxfId="65" totalsRowDxfId="64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5"/>
  <sheetViews>
    <sheetView workbookViewId="0">
      <pane xSplit="10" ySplit="1" topLeftCell="K86" activePane="bottomRight" state="frozen"/>
      <selection pane="topRight" activeCell="K1" sqref="K1"/>
      <selection pane="bottomLeft" activeCell="A2" sqref="A2"/>
      <selection pane="bottomRight" activeCell="G96" sqref="G9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7109375" style="7" bestFit="1" customWidth="1"/>
    <col min="25" max="26" width="12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2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0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1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1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1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1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1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1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1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1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1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1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1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1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1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1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1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1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1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1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1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1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1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1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1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1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1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1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1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1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1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1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1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1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1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1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1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1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1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1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1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1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1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1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1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1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1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1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1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1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1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1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1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1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1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1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1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1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1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1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1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1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1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1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1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1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1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1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1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1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1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1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1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1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1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1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1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1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1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1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1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1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1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1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1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1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1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1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1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1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1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1">
        <f>NC[[#This Row],[LÍQUIDO]]/NC[[#This Row],[QTDE]]</f>
        <v>0.39004999999999995</v>
      </c>
    </row>
    <row r="92" spans="1:37">
      <c r="A92" s="132">
        <v>91</v>
      </c>
      <c r="B92" s="132"/>
      <c r="C92" s="132" t="s">
        <v>177</v>
      </c>
      <c r="D92" s="132" t="s">
        <v>24</v>
      </c>
      <c r="E92" s="133">
        <v>41697</v>
      </c>
      <c r="F92" s="132">
        <v>1000</v>
      </c>
      <c r="G92" s="134">
        <v>0.47</v>
      </c>
      <c r="H92" s="135"/>
      <c r="I92" s="136"/>
      <c r="J92" s="132" t="s">
        <v>6</v>
      </c>
      <c r="K92" s="133">
        <f>WORKDAY(NC[[#This Row],[DATA]],1,0)</f>
        <v>41698</v>
      </c>
      <c r="L92" s="137">
        <f>EOMONTH(NC[[#This Row],[DATA DE LIQUIDAÇÃO]],0)</f>
        <v>41698</v>
      </c>
      <c r="M92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4">
        <f>[QTDE]*[PREÇO]</f>
        <v>470</v>
      </c>
      <c r="O92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4">
        <f>SETUP!$E$3 * IF([PARCIAL] &gt; 0, [QTDE] / [PARCIAL], 1)</f>
        <v>14.9</v>
      </c>
      <c r="T92" s="134">
        <f>SUMPRODUCT(N([DATA]=NC[[#This Row],[DATA]]),N([ID]&lt;=NC[[#This Row],[ID]]), [CORR])</f>
        <v>14.9</v>
      </c>
      <c r="U92" s="134">
        <f>TRUNC([CORRETAGEM]*SETUP!$F$3,2)</f>
        <v>0.28999999999999998</v>
      </c>
      <c r="V92" s="134">
        <f>ROUND([CORRETAGEM]*SETUP!$G$3,2)</f>
        <v>0.57999999999999996</v>
      </c>
      <c r="W92" s="134">
        <f>[VALOR LÍQUIDO DAS OPERAÇÕES]-[TAXA DE LIQUIDAÇÃO]-[EMOLUMENTOS]-[TAXA DE REGISTRO]-[CORRETAGEM]-[ISS]-IF(['[D/N']]="D",    0,    [OUTRAS BOVESPA]) - [AJUSTE]</f>
        <v>-486.38</v>
      </c>
      <c r="X92" s="134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4">
        <f>[LÍQUIDO]-SUMPRODUCT(N([DATA]=NC[[#This Row],[DATA]]),N([ID]=(NC[[#This Row],[ID]]-1)),[LÍQUIDO])</f>
        <v>-486.38</v>
      </c>
      <c r="AA92" s="134">
        <f>IF([T] = "VC", ABS([VALOR OP]) / [QTDE], [VALOR OP]/[QTDE])</f>
        <v>-0.48637999999999998</v>
      </c>
      <c r="AB92" s="134">
        <f>TRUNC(IF(OR([T]="CV",[T]="VV"),     N92*SETUP!$H$3,     0),2)</f>
        <v>0</v>
      </c>
      <c r="AC92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4">
        <f>IF([LUCRO TMP] &lt;&gt; 0, [LUCRO TMP] - SUMPRODUCT(N([ATIVO]=NC[[#This Row],[ATIVO]]),N(['[D/N']]="N"),N([ID]&lt;NC[[#This Row],[ID]]),N([PAR]=NC[[#This Row],[PAR]]), [LUCRO TMP]), 0)</f>
        <v>0</v>
      </c>
      <c r="AH92" s="134">
        <f>IF([U] = "U", SUMPRODUCT(N([ID]&lt;=NC[[#This Row],[ID]]),N([DATA BASE]=NC[[#This Row],[DATA BASE]]), N(['[D/N']] = "N"),    [LUCRO P/ OP]), 0)</f>
        <v>0</v>
      </c>
      <c r="AI92" s="134">
        <f>IF([U] = "U", SUMPRODUCT(N([DATA BASE]=NC[[#This Row],[DATA BASE]]), N(['[D/N']] = "D"),    [LUCRO P/ OP]), 0)</f>
        <v>0</v>
      </c>
      <c r="AJ92" s="134">
        <f>IF([U] = "U", SUMPRODUCT(N([DATA BASE]=NC[[#This Row],[DATA BASE]]), N(['[D/N']] = "D"),    [IRRF FONTE]), 0)</f>
        <v>0</v>
      </c>
      <c r="AK92" s="141">
        <f>NC[[#This Row],[LÍQUIDO]]/NC[[#This Row],[QTDE]]</f>
        <v>-0.48637999999999998</v>
      </c>
    </row>
    <row r="93" spans="1:37">
      <c r="A93" s="13">
        <v>92</v>
      </c>
      <c r="B93" s="132"/>
      <c r="C93" s="132" t="s">
        <v>177</v>
      </c>
      <c r="D93" s="132" t="s">
        <v>25</v>
      </c>
      <c r="E93" s="133">
        <v>41698</v>
      </c>
      <c r="F93" s="132">
        <v>500</v>
      </c>
      <c r="G93" s="134">
        <v>0.65</v>
      </c>
      <c r="H93" s="135"/>
      <c r="I93" s="136"/>
      <c r="J93" s="132" t="s">
        <v>6</v>
      </c>
      <c r="K93" s="133">
        <f>WORKDAY(NC[[#This Row],[DATA]],1,0)</f>
        <v>41701</v>
      </c>
      <c r="L93" s="137">
        <f>EOMONTH(NC[[#This Row],[DATA DE LIQUIDAÇÃO]],0)</f>
        <v>41729</v>
      </c>
      <c r="M93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4">
        <f>[QTDE]*[PREÇO]</f>
        <v>325</v>
      </c>
      <c r="O93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4">
        <f>SETUP!$E$3 * IF([PARCIAL] &gt; 0, [QTDE] / [PARCIAL], 1)</f>
        <v>14.9</v>
      </c>
      <c r="T93" s="134">
        <f>SUMPRODUCT(N([DATA]=NC[[#This Row],[DATA]]),N([ID]&lt;=NC[[#This Row],[ID]]), [CORR])</f>
        <v>14.9</v>
      </c>
      <c r="U93" s="134">
        <f>TRUNC([CORRETAGEM]*SETUP!$F$3,2)</f>
        <v>0.28999999999999998</v>
      </c>
      <c r="V93" s="134">
        <f>ROUND([CORRETAGEM]*SETUP!$G$3,2)</f>
        <v>0.57999999999999996</v>
      </c>
      <c r="W93" s="134">
        <f>[VALOR LÍQUIDO DAS OPERAÇÕES]-[TAXA DE LIQUIDAÇÃO]-[EMOLUMENTOS]-[TAXA DE REGISTRO]-[CORRETAGEM]-[ISS]-IF(['[D/N']]="D",    0,    [OUTRAS BOVESPA]) - [AJUSTE]</f>
        <v>308.81</v>
      </c>
      <c r="X93" s="134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4">
        <f>[LÍQUIDO]-SUMPRODUCT(N([DATA]=NC[[#This Row],[DATA]]),N([ID]=(NC[[#This Row],[ID]]-1)),[LÍQUIDO])</f>
        <v>308.81</v>
      </c>
      <c r="AA93" s="134">
        <f>IF([T] = "VC", ABS([VALOR OP]) / [QTDE], [VALOR OP]/[QTDE])</f>
        <v>0.61762000000000006</v>
      </c>
      <c r="AB93" s="134">
        <f>TRUNC(IF(OR([T]="CV",[T]="VV"),     N93*SETUP!$H$3,     0),2)</f>
        <v>0.01</v>
      </c>
      <c r="AC93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4">
        <f>IF([LUCRO TMP] &lt;&gt; 0, [LUCRO TMP] - SUMPRODUCT(N([ATIVO]=NC[[#This Row],[ATIVO]]),N(['[D/N']]="N"),N([ID]&lt;NC[[#This Row],[ID]]),N([PAR]=NC[[#This Row],[PAR]]), [LUCRO TMP]), 0)</f>
        <v>65.620000000000033</v>
      </c>
      <c r="AH93" s="134">
        <f>IF([U] = "U", SUMPRODUCT(N([ID]&lt;=NC[[#This Row],[ID]]),N([DATA BASE]=NC[[#This Row],[DATA BASE]]), N(['[D/N']] = "N"),    [LUCRO P/ OP]), 0)</f>
        <v>0</v>
      </c>
      <c r="AI93" s="134">
        <f>IF([U] = "U", SUMPRODUCT(N([DATA BASE]=NC[[#This Row],[DATA BASE]]), N(['[D/N']] = "D"),    [LUCRO P/ OP]), 0)</f>
        <v>0</v>
      </c>
      <c r="AJ93" s="134">
        <f>IF([U] = "U", SUMPRODUCT(N([DATA BASE]=NC[[#This Row],[DATA BASE]]), N(['[D/N']] = "D"),    [IRRF FONTE]), 0)</f>
        <v>0</v>
      </c>
      <c r="AK93" s="141">
        <f>NC[[#This Row],[LÍQUIDO]]/NC[[#This Row],[QTDE]]</f>
        <v>0.61762000000000006</v>
      </c>
    </row>
    <row r="94" spans="1:37">
      <c r="A94" s="132">
        <v>93</v>
      </c>
      <c r="B94" s="132"/>
      <c r="C94" s="132" t="s">
        <v>183</v>
      </c>
      <c r="D94" s="132" t="s">
        <v>24</v>
      </c>
      <c r="E94" s="133">
        <v>41758</v>
      </c>
      <c r="F94" s="132">
        <v>100</v>
      </c>
      <c r="G94" s="134">
        <v>1.64</v>
      </c>
      <c r="H94" s="135"/>
      <c r="I94" s="136"/>
      <c r="J94" s="132" t="s">
        <v>6</v>
      </c>
      <c r="K94" s="133">
        <f>WORKDAY(NC[[#This Row],[DATA]],1,0)</f>
        <v>41759</v>
      </c>
      <c r="L94" s="137">
        <f>EOMONTH(NC[[#This Row],[DATA DE LIQUIDAÇÃO]],0)</f>
        <v>41759</v>
      </c>
      <c r="M94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4">
        <f>[QTDE]*[PREÇO]</f>
        <v>164</v>
      </c>
      <c r="O94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-164</v>
      </c>
      <c r="P94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4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4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4" s="134">
        <f>SETUP!$E$3 * IF([PARCIAL] &gt; 0, [QTDE] / [PARCIAL], 1)</f>
        <v>14.9</v>
      </c>
      <c r="T94" s="134">
        <f>SUMPRODUCT(N([DATA]=NC[[#This Row],[DATA]]),N([ID]&lt;=NC[[#This Row],[ID]]), [CORR])</f>
        <v>14.9</v>
      </c>
      <c r="U94" s="134">
        <f>TRUNC([CORRETAGEM]*SETUP!$F$3,2)</f>
        <v>0.28999999999999998</v>
      </c>
      <c r="V94" s="134">
        <f>ROUND([CORRETAGEM]*SETUP!$G$3,2)</f>
        <v>0.57999999999999996</v>
      </c>
      <c r="W94" s="134">
        <f>[VALOR LÍQUIDO DAS OPERAÇÕES]-[TAXA DE LIQUIDAÇÃO]-[EMOLUMENTOS]-[TAXA DE REGISTRO]-[CORRETAGEM]-[ISS]-IF(['[D/N']]="D",    0,    [OUTRAS BOVESPA]) - [AJUSTE]</f>
        <v>-179.98000000000002</v>
      </c>
      <c r="X94" s="134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-179.98000000000002</v>
      </c>
      <c r="Z94" s="134">
        <f>[LÍQUIDO]-SUMPRODUCT(N([DATA]=NC[[#This Row],[DATA]]),N([ID]=(NC[[#This Row],[ID]]-1)),[LÍQUIDO])</f>
        <v>-179.98000000000002</v>
      </c>
      <c r="AA94" s="134">
        <f>IF([T] = "VC", ABS([VALOR OP]) / [QTDE], [VALOR OP]/[QTDE])</f>
        <v>-1.7998000000000003</v>
      </c>
      <c r="AB94" s="134">
        <f>TRUNC(IF(OR([T]="CV",[T]="VV"),     N94*SETUP!$H$3,     0),2)</f>
        <v>0</v>
      </c>
      <c r="AC94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94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1.7998000000000003</v>
      </c>
      <c r="AE94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4">
        <f>IF([LUCRO TMP] &lt;&gt; 0, [LUCRO TMP] - SUMPRODUCT(N([ATIVO]=NC[[#This Row],[ATIVO]]),N(['[D/N']]="N"),N([ID]&lt;NC[[#This Row],[ID]]),N([PAR]=NC[[#This Row],[PAR]]), [LUCRO TMP]), 0)</f>
        <v>0</v>
      </c>
      <c r="AH94" s="134">
        <f>IF([U] = "U", SUMPRODUCT(N([ID]&lt;=NC[[#This Row],[ID]]),N([DATA BASE]=NC[[#This Row],[DATA BASE]]), N(['[D/N']] = "N"),    [LUCRO P/ OP]), 0)</f>
        <v>0</v>
      </c>
      <c r="AI94" s="134">
        <f>IF([U] = "U", SUMPRODUCT(N([DATA BASE]=NC[[#This Row],[DATA BASE]]), N(['[D/N']] = "D"),    [LUCRO P/ OP]), 0)</f>
        <v>0</v>
      </c>
      <c r="AJ94" s="134">
        <f>IF([U] = "U", SUMPRODUCT(N([DATA BASE]=NC[[#This Row],[DATA BASE]]), N(['[D/N']] = "D"),    [IRRF FONTE]), 0)</f>
        <v>0</v>
      </c>
      <c r="AK94" s="152">
        <f>NC[[#This Row],[LÍQUIDO]]/NC[[#This Row],[QTDE]]</f>
        <v>-1.7998000000000003</v>
      </c>
    </row>
    <row r="95" spans="1:37">
      <c r="A95" s="132">
        <v>94</v>
      </c>
      <c r="B95" s="132"/>
      <c r="C95" s="132" t="s">
        <v>183</v>
      </c>
      <c r="D95" s="132" t="s">
        <v>25</v>
      </c>
      <c r="E95" s="133">
        <v>41759</v>
      </c>
      <c r="F95" s="132">
        <v>100</v>
      </c>
      <c r="G95" s="134">
        <v>2.4</v>
      </c>
      <c r="H95" s="135"/>
      <c r="I95" s="136"/>
      <c r="J95" s="132" t="s">
        <v>6</v>
      </c>
      <c r="K95" s="133">
        <f>WORKDAY(NC[[#This Row],[DATA]],1,0)</f>
        <v>41760</v>
      </c>
      <c r="L95" s="137">
        <f>EOMONTH(NC[[#This Row],[DATA DE LIQUIDAÇÃO]],0)</f>
        <v>41790</v>
      </c>
      <c r="M95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4">
        <f>[QTDE]*[PREÇO]</f>
        <v>240</v>
      </c>
      <c r="O95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240</v>
      </c>
      <c r="P95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95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95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0.16</v>
      </c>
      <c r="S95" s="134">
        <f>SETUP!$E$3 * IF([PARCIAL] &gt; 0, [QTDE] / [PARCIAL], 1)</f>
        <v>14.9</v>
      </c>
      <c r="T95" s="134">
        <f>SUMPRODUCT(N([DATA]=NC[[#This Row],[DATA]]),N([ID]&lt;=NC[[#This Row],[ID]]), [CORR])</f>
        <v>14.9</v>
      </c>
      <c r="U95" s="134">
        <f>TRUNC([CORRETAGEM]*SETUP!$F$3,2)</f>
        <v>0.28999999999999998</v>
      </c>
      <c r="V95" s="134">
        <f>ROUND([CORRETAGEM]*SETUP!$G$3,2)</f>
        <v>0.57999999999999996</v>
      </c>
      <c r="W95" s="134">
        <f>[VALOR LÍQUIDO DAS OPERAÇÕES]-[TAXA DE LIQUIDAÇÃO]-[EMOLUMENTOS]-[TAXA DE REGISTRO]-[CORRETAGEM]-[ISS]-IF(['[D/N']]="D",    0,    [OUTRAS BOVESPA]) - [AJUSTE]</f>
        <v>223.92999999999998</v>
      </c>
      <c r="X95" s="134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223.92999999999998</v>
      </c>
      <c r="Z95" s="134">
        <f>[LÍQUIDO]-SUMPRODUCT(N([DATA]=NC[[#This Row],[DATA]]),N([ID]=(NC[[#This Row],[ID]]-1)),[LÍQUIDO])</f>
        <v>223.92999999999998</v>
      </c>
      <c r="AA95" s="134">
        <f>IF([T] = "VC", ABS([VALOR OP]) / [QTDE], [VALOR OP]/[QTDE])</f>
        <v>2.2392999999999996</v>
      </c>
      <c r="AB95" s="134">
        <f>TRUNC(IF(OR([T]="CV",[T]="VV"),     N95*SETUP!$H$3,     0),2)</f>
        <v>0.01</v>
      </c>
      <c r="AC95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5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1.7998000000000003</v>
      </c>
      <c r="AE95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2.2392999999999996</v>
      </c>
      <c r="AF95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43.949999999999932</v>
      </c>
      <c r="AG95" s="134">
        <f>IF([LUCRO TMP] &lt;&gt; 0, [LUCRO TMP] - SUMPRODUCT(N([ATIVO]=NC[[#This Row],[ATIVO]]),N(['[D/N']]="N"),N([ID]&lt;NC[[#This Row],[ID]]),N([PAR]=NC[[#This Row],[PAR]]), [LUCRO TMP]), 0)</f>
        <v>43.949999999999932</v>
      </c>
      <c r="AH95" s="134">
        <f>IF([U] = "U", SUMPRODUCT(N([ID]&lt;=NC[[#This Row],[ID]]),N([DATA BASE]=NC[[#This Row],[DATA BASE]]), N(['[D/N']] = "N"),    [LUCRO P/ OP]), 0)</f>
        <v>0</v>
      </c>
      <c r="AI95" s="134">
        <f>IF([U] = "U", SUMPRODUCT(N([DATA BASE]=NC[[#This Row],[DATA BASE]]), N(['[D/N']] = "D"),    [LUCRO P/ OP]), 0)</f>
        <v>0</v>
      </c>
      <c r="AJ95" s="134">
        <f>IF([U] = "U", SUMPRODUCT(N([DATA BASE]=NC[[#This Row],[DATA BASE]]), N(['[D/N']] = "D"),    [IRRF FONTE]), 0)</f>
        <v>0</v>
      </c>
      <c r="AK95" s="152">
        <f>NC[[#This Row],[LÍQUIDO]]/NC[[#This Row],[QTDE]]</f>
        <v>2.2392999999999996</v>
      </c>
    </row>
    <row r="96" spans="1:37">
      <c r="Y96" s="27"/>
      <c r="AG96" s="27"/>
    </row>
    <row r="98" spans="2:28">
      <c r="F98" s="24">
        <v>28.68</v>
      </c>
      <c r="G98" s="23">
        <f>G95-G94</f>
        <v>0.76</v>
      </c>
      <c r="H98" s="25">
        <f>F98+G98</f>
        <v>29.44</v>
      </c>
      <c r="I98" s="27">
        <f>H98/F98-1</f>
        <v>2.6499302649930279E-2</v>
      </c>
      <c r="X98" s="25">
        <f>AG95*5%</f>
        <v>2.1974999999999967</v>
      </c>
      <c r="Y98" s="25">
        <f>AG95*15%</f>
        <v>6.5924999999999896</v>
      </c>
      <c r="Z98" s="25">
        <f>AG95*60%</f>
        <v>26.369999999999958</v>
      </c>
      <c r="AB98" s="23"/>
    </row>
    <row r="99" spans="2:28">
      <c r="F99" s="7">
        <v>28.4</v>
      </c>
      <c r="I99" s="27">
        <f>H98/F99-1</f>
        <v>3.6619718309859328E-2</v>
      </c>
      <c r="Y99" s="27">
        <f>ABS(AG95/Z94)</f>
        <v>0.24419379931103416</v>
      </c>
    </row>
    <row r="100" spans="2:28">
      <c r="Y100" s="27">
        <f>Y99*1.5</f>
        <v>0.36629069896655125</v>
      </c>
    </row>
    <row r="102" spans="2:28">
      <c r="C102" s="7">
        <v>1900</v>
      </c>
      <c r="D102" s="25">
        <v>0.48</v>
      </c>
      <c r="E102" s="25">
        <f>C102*D102</f>
        <v>912</v>
      </c>
      <c r="Z102" s="27"/>
    </row>
    <row r="103" spans="2:28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  <c r="AB103" s="27"/>
    </row>
    <row r="104" spans="2:28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  <row r="105" spans="2:28">
      <c r="W105" s="7">
        <v>868.08</v>
      </c>
      <c r="X105" s="7">
        <f>444.04-W105</f>
        <v>-424.04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E18" sqref="E1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95" t="s">
        <v>7</v>
      </c>
      <c r="B1" s="195"/>
      <c r="C1" s="195" t="s">
        <v>8</v>
      </c>
      <c r="D1" s="195"/>
      <c r="E1" s="194" t="s">
        <v>9</v>
      </c>
      <c r="F1" s="194" t="s">
        <v>4</v>
      </c>
      <c r="G1" s="194" t="s">
        <v>10</v>
      </c>
      <c r="H1" s="194" t="s">
        <v>11</v>
      </c>
      <c r="I1" s="194" t="s">
        <v>23</v>
      </c>
      <c r="K1" s="193" t="s">
        <v>147</v>
      </c>
      <c r="L1" s="193"/>
      <c r="M1" s="193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94"/>
      <c r="F2" s="194"/>
      <c r="G2" s="194"/>
      <c r="H2" s="194"/>
      <c r="I2" s="194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93" t="s">
        <v>26</v>
      </c>
      <c r="B4" s="193"/>
      <c r="C4" s="193"/>
      <c r="D4" s="193"/>
      <c r="E4" s="193"/>
      <c r="F4" s="193"/>
      <c r="K4" s="17">
        <v>498.62</v>
      </c>
      <c r="L4" s="17">
        <v>0</v>
      </c>
      <c r="M4" s="104">
        <v>0.02</v>
      </c>
    </row>
    <row r="5" spans="1:13">
      <c r="A5" s="193" t="s">
        <v>7</v>
      </c>
      <c r="B5" s="193"/>
      <c r="C5" s="193"/>
      <c r="D5" s="193" t="s">
        <v>8</v>
      </c>
      <c r="E5" s="193"/>
      <c r="F5" s="193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0"/>
  <dimension ref="A1:Y80"/>
  <sheetViews>
    <sheetView topLeftCell="A13" workbookViewId="0">
      <selection activeCell="N13" sqref="N13"/>
    </sheetView>
  </sheetViews>
  <sheetFormatPr defaultRowHeight="11.25"/>
  <cols>
    <col min="1" max="1" width="9.85546875" style="25" bestFit="1" customWidth="1"/>
    <col min="2" max="2" width="10" style="25" customWidth="1"/>
    <col min="3" max="3" width="7.7109375" style="25" bestFit="1" customWidth="1"/>
    <col min="4" max="4" width="7.42578125" style="150" bestFit="1" customWidth="1"/>
    <col min="5" max="5" width="7.7109375" style="27" bestFit="1" customWidth="1"/>
    <col min="6" max="6" width="6.5703125" style="157" bestFit="1" customWidth="1"/>
    <col min="7" max="7" width="8" style="150" bestFit="1" customWidth="1"/>
    <col min="8" max="8" width="8.28515625" style="153" bestFit="1" customWidth="1"/>
    <col min="9" max="9" width="6.5703125" style="157" bestFit="1" customWidth="1"/>
    <col min="10" max="10" width="6.5703125" style="7" bestFit="1" customWidth="1"/>
    <col min="11" max="11" width="9.140625" style="25" customWidth="1"/>
    <col min="12" max="12" width="9.85546875" style="25" bestFit="1" customWidth="1"/>
    <col min="13" max="13" width="8.42578125" style="25" bestFit="1" customWidth="1"/>
    <col min="14" max="14" width="8.42578125" style="25" customWidth="1"/>
    <col min="15" max="15" width="9.140625" style="7"/>
    <col min="16" max="16" width="7.7109375" style="25" bestFit="1" customWidth="1"/>
    <col min="17" max="17" width="9.85546875" style="25" bestFit="1" customWidth="1"/>
    <col min="18" max="18" width="7.7109375" style="25" customWidth="1"/>
    <col min="19" max="19" width="9.140625" style="7"/>
    <col min="20" max="20" width="13.85546875" style="25" bestFit="1" customWidth="1"/>
    <col min="21" max="22" width="10.85546875" style="7" bestFit="1" customWidth="1"/>
    <col min="23" max="25" width="11.7109375" style="7" bestFit="1" customWidth="1"/>
    <col min="26" max="16384" width="9.140625" style="7"/>
  </cols>
  <sheetData>
    <row r="1" spans="1:24" s="24" customFormat="1">
      <c r="A1" s="26" t="s">
        <v>231</v>
      </c>
      <c r="B1" s="154">
        <f>SUM(B2:B29)/COUNTA(B2:B29)</f>
        <v>1.4890403212962685E-3</v>
      </c>
      <c r="C1" s="26" t="s">
        <v>184</v>
      </c>
      <c r="D1" s="155" t="s">
        <v>185</v>
      </c>
      <c r="E1" s="154" t="s">
        <v>186</v>
      </c>
      <c r="F1" s="156"/>
      <c r="G1" s="155" t="s">
        <v>187</v>
      </c>
      <c r="H1" s="158" t="s">
        <v>188</v>
      </c>
      <c r="I1" s="156"/>
      <c r="K1" s="26"/>
      <c r="L1" s="26" t="s">
        <v>231</v>
      </c>
      <c r="M1" s="26" t="s">
        <v>189</v>
      </c>
      <c r="N1" s="26"/>
      <c r="P1" s="26" t="s">
        <v>210</v>
      </c>
      <c r="Q1" s="26" t="s">
        <v>211</v>
      </c>
      <c r="R1" s="26"/>
      <c r="T1" s="26"/>
    </row>
    <row r="2" spans="1:24">
      <c r="A2" s="25">
        <v>20.71</v>
      </c>
      <c r="C2" s="25">
        <f>IF(COUNTBLANK(A2:A10)&gt;0,"",AVERAGE(A2:A10))</f>
        <v>20.634444444444441</v>
      </c>
      <c r="D2" s="150">
        <f t="shared" ref="D2:D9" si="0">IF(C2="","",STDEV(A2:A10))</f>
        <v>0.12461050428345842</v>
      </c>
      <c r="E2" s="27">
        <f>D2/C2</f>
        <v>6.0389561065700608E-3</v>
      </c>
      <c r="G2" s="150">
        <f>VAR(A2:A10)</f>
        <v>1.552777777777781E-2</v>
      </c>
      <c r="H2" s="153">
        <f t="shared" ref="H2:H33" si="1">G2/C2</f>
        <v>7.5251736578536605E-4</v>
      </c>
      <c r="L2" s="25">
        <v>20.71</v>
      </c>
      <c r="M2" s="25">
        <v>29.42</v>
      </c>
      <c r="P2" s="25">
        <v>17.12</v>
      </c>
      <c r="Q2" s="25">
        <v>27.2</v>
      </c>
      <c r="T2" s="25">
        <v>600</v>
      </c>
      <c r="U2" s="80">
        <f>T2*85%*20%</f>
        <v>102</v>
      </c>
      <c r="V2" s="80">
        <f>T2-U2</f>
        <v>498</v>
      </c>
      <c r="W2" s="80">
        <f>SUM($V$2:V2)</f>
        <v>498</v>
      </c>
      <c r="X2" s="80">
        <f>W2+U2+T2</f>
        <v>1200</v>
      </c>
    </row>
    <row r="3" spans="1:24">
      <c r="A3" s="25">
        <v>20.66</v>
      </c>
      <c r="B3" s="27">
        <f>IF(A3&gt;0,A3/A2-1,"")</f>
        <v>-2.414292612264668E-3</v>
      </c>
      <c r="C3" s="25">
        <f t="shared" ref="C3:C66" si="2">IF(COUNTBLANK(A3:A11)&gt;0,"",AVERAGE(A3:A11))</f>
        <v>20.666666666666668</v>
      </c>
      <c r="D3" s="150">
        <f t="shared" si="0"/>
        <v>0.17421251390200243</v>
      </c>
      <c r="E3" s="27">
        <f t="shared" ref="E3:E15" si="3">D3/C3</f>
        <v>8.42963776945173E-3</v>
      </c>
      <c r="F3" s="157">
        <f>E3/E2</f>
        <v>1.3958766417064592</v>
      </c>
      <c r="G3" s="150">
        <f t="shared" ref="G3:G66" si="4">VAR(A3:A11)</f>
        <v>3.0350000000055388E-2</v>
      </c>
      <c r="H3" s="153">
        <f t="shared" si="1"/>
        <v>1.4685483870994541E-3</v>
      </c>
      <c r="I3" s="157">
        <f>ROUND(H3/H2,2)</f>
        <v>1.95</v>
      </c>
      <c r="J3" s="27">
        <f>IF(COUNTBLANK(B3:B11)&gt;0,"",AVERAGE(B3:B11))</f>
        <v>1.6065473342984731E-3</v>
      </c>
      <c r="L3" s="25">
        <v>20.66</v>
      </c>
      <c r="M3" s="25">
        <v>29.35</v>
      </c>
      <c r="O3" s="80"/>
      <c r="P3" s="25">
        <v>17.5</v>
      </c>
      <c r="Q3" s="25">
        <v>27.78</v>
      </c>
      <c r="T3" s="25">
        <f t="shared" ref="T3:T15" si="5">T2+U2+600</f>
        <v>1302</v>
      </c>
      <c r="U3" s="80">
        <f t="shared" ref="U3:U47" si="6">T3*85%*20%</f>
        <v>221.34000000000003</v>
      </c>
      <c r="V3" s="80">
        <f t="shared" ref="V3:V22" si="7">T3-U3</f>
        <v>1080.6599999999999</v>
      </c>
      <c r="W3" s="80">
        <f>SUM($V$2:V3)</f>
        <v>1578.6599999999999</v>
      </c>
      <c r="X3" s="80">
        <f t="shared" ref="X3:X22" si="8">W3+U3+T3</f>
        <v>3102</v>
      </c>
    </row>
    <row r="4" spans="1:24">
      <c r="A4" s="25">
        <v>20.69</v>
      </c>
      <c r="B4" s="27">
        <f t="shared" ref="B4:B29" si="9">IF(A4&gt;0,A4/A3-1,"")</f>
        <v>1.4520813165537216E-3</v>
      </c>
      <c r="C4" s="25">
        <f t="shared" si="2"/>
        <v>20.693333333333339</v>
      </c>
      <c r="D4" s="150">
        <f t="shared" si="0"/>
        <v>0.1906567596488512</v>
      </c>
      <c r="E4" s="27">
        <f t="shared" si="3"/>
        <v>9.2134387716906168E-3</v>
      </c>
      <c r="F4" s="157">
        <f t="shared" ref="F4:F67" si="10">E4/E3</f>
        <v>1.0929815756828025</v>
      </c>
      <c r="G4" s="150">
        <f t="shared" si="4"/>
        <v>3.634999999979982E-2</v>
      </c>
      <c r="H4" s="153">
        <f t="shared" si="1"/>
        <v>1.7566043814336249E-3</v>
      </c>
      <c r="I4" s="157">
        <f>ROUND(H4/H3,2)</f>
        <v>1.2</v>
      </c>
      <c r="J4" s="27">
        <f t="shared" ref="J4:J67" si="11">IF(COUNTBLANK(B4:B12)&gt;0,"",AVERAGE(B4:B12))</f>
        <v>1.3457015398940077E-3</v>
      </c>
      <c r="L4" s="25">
        <v>20.69</v>
      </c>
      <c r="M4" s="25">
        <v>29.08</v>
      </c>
      <c r="O4" s="80"/>
      <c r="P4" s="25">
        <v>17.5</v>
      </c>
      <c r="Q4" s="25">
        <v>27.86</v>
      </c>
      <c r="T4" s="25">
        <f t="shared" si="5"/>
        <v>2123.34</v>
      </c>
      <c r="U4" s="80">
        <f t="shared" si="6"/>
        <v>360.96780000000007</v>
      </c>
      <c r="V4" s="80">
        <f t="shared" si="7"/>
        <v>1762.3722</v>
      </c>
      <c r="W4" s="80">
        <f>SUM($V$2:V4)</f>
        <v>3341.0321999999996</v>
      </c>
      <c r="X4" s="80">
        <f t="shared" si="8"/>
        <v>5825.34</v>
      </c>
    </row>
    <row r="5" spans="1:24">
      <c r="A5" s="25">
        <v>20.82</v>
      </c>
      <c r="B5" s="27">
        <f t="shared" si="9"/>
        <v>6.2832286128564618E-3</v>
      </c>
      <c r="C5" s="25">
        <f t="shared" si="2"/>
        <v>20.702222222222222</v>
      </c>
      <c r="D5" s="150">
        <f t="shared" si="0"/>
        <v>0.19233939909564574</v>
      </c>
      <c r="E5" s="27">
        <f t="shared" si="3"/>
        <v>9.2907610125633946E-3</v>
      </c>
      <c r="F5" s="157">
        <f t="shared" si="10"/>
        <v>1.0083923324166824</v>
      </c>
      <c r="G5" s="150">
        <f t="shared" si="4"/>
        <v>3.6994444444474084E-2</v>
      </c>
      <c r="H5" s="153">
        <f t="shared" si="1"/>
        <v>1.7869793902976962E-3</v>
      </c>
      <c r="I5" s="157">
        <f t="shared" ref="I5:I68" si="12">ROUND(H5/H4,2)</f>
        <v>1.02</v>
      </c>
      <c r="J5" s="27">
        <f t="shared" si="11"/>
        <v>4.9323742763471594E-4</v>
      </c>
      <c r="L5" s="25">
        <v>20.82</v>
      </c>
      <c r="M5" s="25">
        <v>28.89</v>
      </c>
      <c r="O5" s="80"/>
      <c r="P5" s="25">
        <v>17.28</v>
      </c>
      <c r="Q5" s="25">
        <v>27.66</v>
      </c>
      <c r="T5" s="25">
        <f t="shared" si="5"/>
        <v>3084.3078</v>
      </c>
      <c r="U5" s="80">
        <f t="shared" si="6"/>
        <v>524.33232600000008</v>
      </c>
      <c r="V5" s="80">
        <f t="shared" si="7"/>
        <v>2559.9754739999998</v>
      </c>
      <c r="W5" s="80">
        <f>SUM($V$2:V5)</f>
        <v>5901.0076739999995</v>
      </c>
      <c r="X5" s="80">
        <f t="shared" si="8"/>
        <v>9509.6477999999988</v>
      </c>
    </row>
    <row r="6" spans="1:24">
      <c r="A6" s="25">
        <v>20.68</v>
      </c>
      <c r="B6" s="27">
        <f t="shared" si="9"/>
        <v>-6.7243035542747798E-3</v>
      </c>
      <c r="C6" s="25">
        <f t="shared" si="2"/>
        <v>20.694444444444443</v>
      </c>
      <c r="D6" s="150">
        <f t="shared" si="0"/>
        <v>0.18835545592780498</v>
      </c>
      <c r="E6" s="27">
        <f t="shared" si="3"/>
        <v>9.1017401522160805E-3</v>
      </c>
      <c r="F6" s="157">
        <f t="shared" si="10"/>
        <v>0.97965496474489966</v>
      </c>
      <c r="G6" s="150">
        <f t="shared" si="4"/>
        <v>3.547777777777128E-2</v>
      </c>
      <c r="H6" s="153">
        <f t="shared" si="1"/>
        <v>1.7143624161070686E-3</v>
      </c>
      <c r="I6" s="157">
        <f t="shared" si="12"/>
        <v>0.96</v>
      </c>
      <c r="J6" s="27">
        <f t="shared" si="11"/>
        <v>-3.1189100701477387E-4</v>
      </c>
      <c r="L6" s="25">
        <v>20.68</v>
      </c>
      <c r="M6" s="25">
        <v>28.97</v>
      </c>
      <c r="O6" s="80"/>
      <c r="P6" s="25">
        <v>17.329999999999998</v>
      </c>
      <c r="Q6" s="25">
        <v>27.74</v>
      </c>
      <c r="T6" s="25">
        <f t="shared" si="5"/>
        <v>4208.6401260000002</v>
      </c>
      <c r="U6" s="80">
        <f t="shared" si="6"/>
        <v>715.46882142000004</v>
      </c>
      <c r="V6" s="80">
        <f t="shared" si="7"/>
        <v>3493.1713045800002</v>
      </c>
      <c r="W6" s="80">
        <f>SUM($V$2:V6)</f>
        <v>9394.1789785799992</v>
      </c>
      <c r="X6" s="80">
        <f t="shared" si="8"/>
        <v>14318.287925999999</v>
      </c>
    </row>
    <row r="7" spans="1:24">
      <c r="A7" s="25">
        <v>20.67</v>
      </c>
      <c r="B7" s="27">
        <f t="shared" si="9"/>
        <v>-4.8355899419716408E-4</v>
      </c>
      <c r="C7" s="25">
        <f t="shared" si="2"/>
        <v>20.716666666666669</v>
      </c>
      <c r="D7" s="150">
        <f t="shared" si="0"/>
        <v>0.19798989873193082</v>
      </c>
      <c r="E7" s="27">
        <f t="shared" si="3"/>
        <v>9.5570345325147604E-3</v>
      </c>
      <c r="F7" s="157">
        <f t="shared" si="10"/>
        <v>1.0500227838506053</v>
      </c>
      <c r="G7" s="150">
        <f t="shared" si="4"/>
        <v>3.919999999988022E-2</v>
      </c>
      <c r="H7" s="153">
        <f t="shared" si="1"/>
        <v>1.8921962992701632E-3</v>
      </c>
      <c r="I7" s="157">
        <f t="shared" si="12"/>
        <v>1.1000000000000001</v>
      </c>
      <c r="J7" s="27">
        <f t="shared" si="11"/>
        <v>1.131371636900617E-3</v>
      </c>
      <c r="L7" s="25">
        <v>20.67</v>
      </c>
      <c r="M7" s="25">
        <v>28.93</v>
      </c>
      <c r="O7" s="80"/>
      <c r="P7" s="25">
        <v>18.11</v>
      </c>
      <c r="Q7" s="25">
        <v>27.72</v>
      </c>
      <c r="T7" s="25">
        <f t="shared" si="5"/>
        <v>5524.1089474199998</v>
      </c>
      <c r="U7" s="80">
        <f t="shared" si="6"/>
        <v>939.09852106139988</v>
      </c>
      <c r="V7" s="80">
        <f t="shared" si="7"/>
        <v>4585.0104263585999</v>
      </c>
      <c r="W7" s="80">
        <f>SUM($V$2:V7)</f>
        <v>13979.189404938599</v>
      </c>
      <c r="X7" s="80">
        <f t="shared" si="8"/>
        <v>20442.396873419999</v>
      </c>
    </row>
    <row r="8" spans="1:24">
      <c r="A8" s="25">
        <v>20.52</v>
      </c>
      <c r="B8" s="27">
        <f t="shared" si="9"/>
        <v>-7.2568940493469292E-3</v>
      </c>
      <c r="C8" s="25">
        <f t="shared" si="2"/>
        <v>20.77333333333333</v>
      </c>
      <c r="D8" s="150">
        <f t="shared" si="0"/>
        <v>0.24929901724664841</v>
      </c>
      <c r="E8" s="27">
        <f t="shared" si="3"/>
        <v>1.2000915464376529E-2</v>
      </c>
      <c r="F8" s="157">
        <f t="shared" si="10"/>
        <v>1.2557154024658217</v>
      </c>
      <c r="G8" s="150">
        <f t="shared" si="4"/>
        <v>6.2150000000144701E-2</v>
      </c>
      <c r="H8" s="153">
        <f t="shared" si="1"/>
        <v>2.9918164313291742E-3</v>
      </c>
      <c r="I8" s="157">
        <f t="shared" si="12"/>
        <v>1.58</v>
      </c>
      <c r="J8" s="27">
        <f t="shared" si="11"/>
        <v>2.78152442425075E-3</v>
      </c>
      <c r="L8" s="25">
        <v>20.52</v>
      </c>
      <c r="M8" s="25">
        <v>28.82</v>
      </c>
      <c r="O8" s="80"/>
      <c r="P8" s="25">
        <v>18.28</v>
      </c>
      <c r="Q8" s="25">
        <v>27.6</v>
      </c>
      <c r="T8" s="25">
        <f t="shared" si="5"/>
        <v>7063.2074684813997</v>
      </c>
      <c r="U8" s="80">
        <f t="shared" si="6"/>
        <v>1200.7452696418379</v>
      </c>
      <c r="V8" s="80">
        <f t="shared" si="7"/>
        <v>5862.462198839562</v>
      </c>
      <c r="W8" s="80">
        <f>SUM($V$2:V8)</f>
        <v>19841.651603778162</v>
      </c>
      <c r="X8" s="80">
        <f t="shared" si="8"/>
        <v>28105.604341901399</v>
      </c>
    </row>
    <row r="9" spans="1:24">
      <c r="A9" s="25">
        <v>20.57</v>
      </c>
      <c r="B9" s="27">
        <f t="shared" si="9"/>
        <v>2.436647173489348E-3</v>
      </c>
      <c r="C9" s="25">
        <f t="shared" si="2"/>
        <v>20.884444444444444</v>
      </c>
      <c r="D9" s="150">
        <f t="shared" si="0"/>
        <v>0.33155358206137275</v>
      </c>
      <c r="E9" s="27">
        <f t="shared" si="3"/>
        <v>1.5875623742032108E-2</v>
      </c>
      <c r="F9" s="157">
        <f t="shared" si="10"/>
        <v>1.3228677253128935</v>
      </c>
      <c r="G9" s="150">
        <f t="shared" si="4"/>
        <v>0.10992777777772744</v>
      </c>
      <c r="H9" s="153">
        <f t="shared" si="1"/>
        <v>5.2636199191293202E-3</v>
      </c>
      <c r="I9" s="157">
        <f>ROUND(H9/H8,2)</f>
        <v>1.76</v>
      </c>
      <c r="J9" s="27">
        <f t="shared" si="11"/>
        <v>5.3714993270163047E-3</v>
      </c>
      <c r="L9" s="25">
        <v>20.57</v>
      </c>
      <c r="M9" s="25">
        <v>28.92</v>
      </c>
      <c r="O9" s="80"/>
      <c r="P9" s="25">
        <v>19.100000000000001</v>
      </c>
      <c r="Q9" s="25">
        <v>27.82</v>
      </c>
      <c r="T9" s="25">
        <f t="shared" si="5"/>
        <v>8863.9527381232383</v>
      </c>
      <c r="U9" s="80">
        <f t="shared" si="6"/>
        <v>1506.8719654809506</v>
      </c>
      <c r="V9" s="80">
        <f t="shared" si="7"/>
        <v>7357.0807726422881</v>
      </c>
      <c r="W9" s="80">
        <f>SUM($V$2:V9)</f>
        <v>27198.732376420448</v>
      </c>
      <c r="X9" s="80">
        <f t="shared" si="8"/>
        <v>37569.557080024635</v>
      </c>
    </row>
    <row r="10" spans="1:24">
      <c r="A10" s="25">
        <v>20.39</v>
      </c>
      <c r="B10" s="27">
        <f t="shared" si="9"/>
        <v>-8.7506076810889288E-3</v>
      </c>
      <c r="C10" s="25">
        <f t="shared" si="2"/>
        <v>20.993333333333336</v>
      </c>
      <c r="D10" s="150">
        <f>IF(C10="","",STDEV(A10:A17))</f>
        <v>0.33127189954549963</v>
      </c>
      <c r="E10" s="27">
        <f t="shared" si="3"/>
        <v>1.5779861839258474E-2</v>
      </c>
      <c r="F10" s="157">
        <f t="shared" si="10"/>
        <v>0.99396799115866574</v>
      </c>
      <c r="G10" s="150">
        <f t="shared" si="4"/>
        <v>0.13959999999985939</v>
      </c>
      <c r="H10" s="153">
        <f t="shared" si="1"/>
        <v>6.6497300730323618E-3</v>
      </c>
      <c r="I10" s="157">
        <f t="shared" si="12"/>
        <v>1.26</v>
      </c>
      <c r="J10" s="27">
        <f t="shared" si="11"/>
        <v>5.2556554238074472E-3</v>
      </c>
      <c r="L10" s="25">
        <v>20.39</v>
      </c>
      <c r="M10" s="25">
        <v>29.07</v>
      </c>
      <c r="O10" s="80"/>
      <c r="P10" s="25">
        <v>19.260000000000002</v>
      </c>
      <c r="Q10" s="25">
        <v>28.02</v>
      </c>
      <c r="T10" s="171">
        <f t="shared" si="5"/>
        <v>10970.824703604188</v>
      </c>
      <c r="U10" s="80">
        <f t="shared" si="6"/>
        <v>1865.0401996127121</v>
      </c>
      <c r="V10" s="170">
        <f t="shared" si="7"/>
        <v>9105.7845039914755</v>
      </c>
      <c r="W10" s="170">
        <f>SUM($V$2:V10)</f>
        <v>36304.516880411924</v>
      </c>
      <c r="X10" s="170">
        <f t="shared" si="8"/>
        <v>49140.381783628822</v>
      </c>
    </row>
    <row r="11" spans="1:24">
      <c r="A11" s="25">
        <v>21</v>
      </c>
      <c r="B11" s="27">
        <f t="shared" si="9"/>
        <v>2.9916625796959195E-2</v>
      </c>
      <c r="C11" s="25">
        <f t="shared" si="2"/>
        <v>21.12777777777778</v>
      </c>
      <c r="D11" s="150">
        <f t="shared" ref="D11:D17" si="13">IF(C11="","",STDEV(A11:A19))</f>
        <v>0.34607722323846118</v>
      </c>
      <c r="E11" s="27">
        <f t="shared" si="3"/>
        <v>1.6380199890329478E-2</v>
      </c>
      <c r="F11" s="157">
        <f t="shared" si="10"/>
        <v>1.0380445695397302</v>
      </c>
      <c r="G11" s="150">
        <f t="shared" si="4"/>
        <v>0.11976944444444371</v>
      </c>
      <c r="H11" s="153">
        <f t="shared" si="1"/>
        <v>5.6688140941361731E-3</v>
      </c>
      <c r="I11" s="157">
        <f t="shared" si="12"/>
        <v>0.85</v>
      </c>
      <c r="J11" s="27">
        <f t="shared" si="11"/>
        <v>6.4857435678005665E-3</v>
      </c>
      <c r="L11" s="25">
        <v>21</v>
      </c>
      <c r="M11" s="25">
        <v>29.13</v>
      </c>
      <c r="P11" s="25">
        <v>19.309999999999999</v>
      </c>
      <c r="Q11" s="25">
        <v>28.52</v>
      </c>
      <c r="T11" s="25">
        <f t="shared" si="5"/>
        <v>13435.864903216901</v>
      </c>
      <c r="U11" s="80">
        <f t="shared" si="6"/>
        <v>2284.0970335468733</v>
      </c>
      <c r="V11" s="80">
        <f t="shared" si="7"/>
        <v>11151.767869670028</v>
      </c>
      <c r="W11" s="80">
        <f>SUM($V$2:V11)</f>
        <v>47456.284750081948</v>
      </c>
      <c r="X11" s="80">
        <f t="shared" si="8"/>
        <v>63176.246686845727</v>
      </c>
    </row>
    <row r="12" spans="1:24">
      <c r="A12" s="25">
        <v>20.9</v>
      </c>
      <c r="B12" s="27">
        <f t="shared" si="9"/>
        <v>-4.761904761904856E-3</v>
      </c>
      <c r="C12" s="25">
        <f>IF(COUNTBLANK(A12:A20)&gt;0,"",AVERAGE(A12:A20))</f>
        <v>21.174444444444443</v>
      </c>
      <c r="D12" s="150">
        <f t="shared" si="13"/>
        <v>0.35489826398250746</v>
      </c>
      <c r="E12" s="27">
        <f t="shared" si="3"/>
        <v>1.67606883341689E-2</v>
      </c>
      <c r="F12" s="157">
        <f t="shared" si="10"/>
        <v>1.0232285592597716</v>
      </c>
      <c r="G12" s="150">
        <f t="shared" si="4"/>
        <v>0.12595277777779756</v>
      </c>
      <c r="H12" s="153">
        <f t="shared" si="1"/>
        <v>5.9483391929484085E-3</v>
      </c>
      <c r="I12" s="157">
        <f t="shared" si="12"/>
        <v>1.05</v>
      </c>
      <c r="J12" s="27">
        <f t="shared" si="11"/>
        <v>2.2357481088791775E-3</v>
      </c>
      <c r="L12" s="25">
        <v>20.9</v>
      </c>
      <c r="M12" s="25">
        <v>28.67</v>
      </c>
      <c r="P12" s="25">
        <v>19.559999999999999</v>
      </c>
      <c r="Q12" s="25">
        <v>28.16</v>
      </c>
      <c r="T12" s="25">
        <f t="shared" si="5"/>
        <v>16319.961936763775</v>
      </c>
      <c r="U12" s="80">
        <f t="shared" si="6"/>
        <v>2774.3935292498418</v>
      </c>
      <c r="V12" s="80">
        <f t="shared" si="7"/>
        <v>13545.568407513932</v>
      </c>
      <c r="W12" s="80">
        <f>SUM($V$2:V12)</f>
        <v>61001.853157595877</v>
      </c>
      <c r="X12" s="80">
        <f t="shared" si="8"/>
        <v>80096.208623609491</v>
      </c>
    </row>
    <row r="13" spans="1:24">
      <c r="A13" s="25">
        <v>20.77</v>
      </c>
      <c r="B13" s="27">
        <f t="shared" si="9"/>
        <v>-6.2200956937799035E-3</v>
      </c>
      <c r="C13" s="25">
        <f t="shared" si="2"/>
        <v>21.249999999999993</v>
      </c>
      <c r="D13" s="150">
        <f t="shared" si="13"/>
        <v>0.36148997219878831</v>
      </c>
      <c r="E13" s="27">
        <f t="shared" si="3"/>
        <v>1.7011292809354751E-2</v>
      </c>
      <c r="F13" s="157">
        <f t="shared" si="10"/>
        <v>1.0149519202427362</v>
      </c>
      <c r="G13" s="150">
        <f t="shared" si="4"/>
        <v>0.13067500000028076</v>
      </c>
      <c r="H13" s="153">
        <f t="shared" si="1"/>
        <v>6.1494117647190967E-3</v>
      </c>
      <c r="I13" s="157">
        <f t="shared" si="12"/>
        <v>1.03</v>
      </c>
      <c r="J13" s="27">
        <f t="shared" si="11"/>
        <v>3.5948102522550293E-3</v>
      </c>
      <c r="L13" s="25">
        <v>20.77</v>
      </c>
      <c r="M13" s="25">
        <v>28.41</v>
      </c>
      <c r="P13" s="25">
        <v>20.52</v>
      </c>
      <c r="Q13" s="25">
        <v>28.15</v>
      </c>
      <c r="T13" s="25">
        <f t="shared" si="5"/>
        <v>19694.355466013618</v>
      </c>
      <c r="U13" s="80">
        <f t="shared" si="6"/>
        <v>3348.0404292223157</v>
      </c>
      <c r="V13" s="80">
        <f t="shared" si="7"/>
        <v>16346.315036791302</v>
      </c>
      <c r="W13" s="80">
        <f>SUM($V$2:V13)</f>
        <v>77348.168194387181</v>
      </c>
      <c r="X13" s="80">
        <f t="shared" si="8"/>
        <v>100390.56408962311</v>
      </c>
    </row>
    <row r="14" spans="1:24">
      <c r="A14" s="25">
        <v>20.75</v>
      </c>
      <c r="B14" s="27">
        <f t="shared" si="9"/>
        <v>-9.6292729898894702E-4</v>
      </c>
      <c r="C14" s="25">
        <f t="shared" si="2"/>
        <v>21.336666666666662</v>
      </c>
      <c r="D14" s="150">
        <f t="shared" si="13"/>
        <v>0.3235351603769776</v>
      </c>
      <c r="E14" s="27">
        <f t="shared" si="3"/>
        <v>1.5163341370581675E-2</v>
      </c>
      <c r="F14" s="157">
        <f t="shared" si="10"/>
        <v>0.8913691358156588</v>
      </c>
      <c r="G14" s="150">
        <f t="shared" si="4"/>
        <v>0.10467500000015661</v>
      </c>
      <c r="H14" s="153">
        <f t="shared" si="1"/>
        <v>4.905874082182001E-3</v>
      </c>
      <c r="I14" s="157">
        <f t="shared" si="12"/>
        <v>0.8</v>
      </c>
      <c r="J14" s="27">
        <f t="shared" si="11"/>
        <v>4.1314679861226651E-3</v>
      </c>
      <c r="L14" s="25">
        <v>20.75</v>
      </c>
      <c r="M14" s="25">
        <v>28.44</v>
      </c>
      <c r="P14" s="25">
        <v>20.9</v>
      </c>
      <c r="Q14" s="25">
        <v>28.27</v>
      </c>
      <c r="T14" s="25">
        <f t="shared" si="5"/>
        <v>23642.395895235932</v>
      </c>
      <c r="U14" s="80">
        <f t="shared" si="6"/>
        <v>4019.2073021901083</v>
      </c>
      <c r="V14" s="80">
        <f t="shared" si="7"/>
        <v>19623.188593045823</v>
      </c>
      <c r="W14" s="80">
        <f>SUM($V$2:V14)</f>
        <v>96971.356787433004</v>
      </c>
      <c r="X14" s="80">
        <f t="shared" si="8"/>
        <v>124632.95998485904</v>
      </c>
    </row>
    <row r="15" spans="1:24">
      <c r="A15" s="25">
        <v>20.88</v>
      </c>
      <c r="B15" s="27">
        <f t="shared" si="9"/>
        <v>6.2650602409637379E-3</v>
      </c>
      <c r="C15" s="25">
        <f>IF(COUNTBLANK(A15:A23)&gt;0,"",AVERAGE(A15:A23))</f>
        <v>21.417777777777772</v>
      </c>
      <c r="D15" s="150">
        <f t="shared" si="13"/>
        <v>0.2383682958042313</v>
      </c>
      <c r="E15" s="27">
        <f t="shared" si="3"/>
        <v>1.1129459754295924E-2</v>
      </c>
      <c r="F15" s="157">
        <f t="shared" si="10"/>
        <v>0.73397145670598263</v>
      </c>
      <c r="G15" s="150">
        <f t="shared" si="4"/>
        <v>5.6819444444613509E-2</v>
      </c>
      <c r="H15" s="153">
        <f t="shared" si="1"/>
        <v>2.6529103548532979E-3</v>
      </c>
      <c r="I15" s="157">
        <f t="shared" si="12"/>
        <v>0.54</v>
      </c>
      <c r="J15" s="27">
        <f t="shared" si="11"/>
        <v>3.8775421459226684E-3</v>
      </c>
      <c r="L15" s="25">
        <v>20.88</v>
      </c>
      <c r="M15" s="25">
        <v>28.54</v>
      </c>
      <c r="P15" s="25">
        <v>21.05</v>
      </c>
      <c r="Q15" s="25">
        <v>28.54</v>
      </c>
      <c r="T15" s="25">
        <f t="shared" si="5"/>
        <v>28261.60319742604</v>
      </c>
      <c r="U15" s="80">
        <f t="shared" si="6"/>
        <v>4804.4725435624268</v>
      </c>
      <c r="V15" s="80">
        <f t="shared" si="7"/>
        <v>23457.130653863613</v>
      </c>
      <c r="W15" s="80">
        <f>SUM($V$2:V15)</f>
        <v>120428.48744129662</v>
      </c>
      <c r="X15" s="80">
        <f t="shared" si="8"/>
        <v>153494.56318228508</v>
      </c>
    </row>
    <row r="16" spans="1:24">
      <c r="A16" s="25">
        <v>21.18</v>
      </c>
      <c r="B16" s="27">
        <f t="shared" si="9"/>
        <v>1.4367816091954033E-2</v>
      </c>
      <c r="C16" s="25">
        <f>IF(COUNTBLANK(A16:A24)&gt;0,"",AVERAGE(A16:A24))</f>
        <v>21.487777777777776</v>
      </c>
      <c r="D16" s="150">
        <f t="shared" si="13"/>
        <v>0.12735558269838218</v>
      </c>
      <c r="E16" s="27">
        <f t="shared" ref="E16:E33" si="14">D16/C16</f>
        <v>5.9268847628390284E-3</v>
      </c>
      <c r="F16" s="157">
        <f t="shared" si="10"/>
        <v>0.53254020353964404</v>
      </c>
      <c r="G16" s="150">
        <f t="shared" si="4"/>
        <v>1.6219444444444463E-2</v>
      </c>
      <c r="H16" s="153">
        <f t="shared" si="1"/>
        <v>7.5482186255752717E-4</v>
      </c>
      <c r="I16" s="157">
        <f t="shared" si="12"/>
        <v>0.28000000000000003</v>
      </c>
      <c r="J16" s="27">
        <f t="shared" si="11"/>
        <v>3.3366074574481142E-3</v>
      </c>
      <c r="L16" s="25">
        <v>21.18</v>
      </c>
      <c r="M16" s="25">
        <v>28.2</v>
      </c>
      <c r="P16" s="25">
        <v>20.260000000000002</v>
      </c>
      <c r="Q16" s="25">
        <v>28.54</v>
      </c>
      <c r="T16" s="25">
        <f t="shared" ref="T16:T22" si="15">T15+U15+600</f>
        <v>33666.075740988468</v>
      </c>
      <c r="U16" s="80">
        <f t="shared" si="6"/>
        <v>5723.2328759680395</v>
      </c>
      <c r="V16" s="80">
        <f t="shared" si="7"/>
        <v>27942.84286502043</v>
      </c>
      <c r="W16" s="80">
        <f>SUM($V$2:V16)</f>
        <v>148371.33030631705</v>
      </c>
      <c r="X16" s="80">
        <f t="shared" si="8"/>
        <v>187760.63892327354</v>
      </c>
    </row>
    <row r="17" spans="1:25">
      <c r="A17" s="25">
        <v>21.52</v>
      </c>
      <c r="B17" s="27">
        <f t="shared" si="9"/>
        <v>1.6052880075543063E-2</v>
      </c>
      <c r="C17" s="25">
        <f t="shared" si="2"/>
        <v>21.528888888888886</v>
      </c>
      <c r="D17" s="150">
        <f t="shared" si="13"/>
        <v>5.4416092391047964E-2</v>
      </c>
      <c r="E17" s="27">
        <f t="shared" si="14"/>
        <v>2.5275848034652755E-3</v>
      </c>
      <c r="F17" s="157">
        <f t="shared" si="10"/>
        <v>0.42646093261555851</v>
      </c>
      <c r="G17" s="150">
        <f t="shared" si="4"/>
        <v>2.961111111111068E-3</v>
      </c>
      <c r="H17" s="153">
        <f t="shared" si="1"/>
        <v>1.3754128819157524E-4</v>
      </c>
      <c r="I17" s="157">
        <f t="shared" si="12"/>
        <v>0.18</v>
      </c>
      <c r="J17" s="27">
        <f t="shared" si="11"/>
        <v>1.9468056901154299E-3</v>
      </c>
      <c r="L17" s="25">
        <v>21.52</v>
      </c>
      <c r="M17" s="25">
        <v>28.42</v>
      </c>
      <c r="P17" s="25">
        <v>20.309999999999999</v>
      </c>
      <c r="Q17" s="25">
        <v>28.95</v>
      </c>
      <c r="T17" s="25">
        <f t="shared" si="15"/>
        <v>39989.308616956507</v>
      </c>
      <c r="U17" s="80">
        <f t="shared" si="6"/>
        <v>6798.1824648826068</v>
      </c>
      <c r="V17" s="80">
        <f t="shared" si="7"/>
        <v>33191.126152073899</v>
      </c>
      <c r="W17" s="80">
        <f>SUM($V$2:V17)</f>
        <v>181562.45645839095</v>
      </c>
      <c r="X17" s="80">
        <f t="shared" si="8"/>
        <v>228349.94754023006</v>
      </c>
    </row>
    <row r="18" spans="1:25">
      <c r="A18" s="25">
        <v>21.55</v>
      </c>
      <c r="B18" s="27">
        <f t="shared" si="9"/>
        <v>1.3940520446096283E-3</v>
      </c>
      <c r="C18" s="25">
        <f t="shared" si="2"/>
        <v>21.531111111111112</v>
      </c>
      <c r="D18" s="150">
        <f>IF(C18="","",STDEV(A17:A26))</f>
        <v>5.1424162068471301E-2</v>
      </c>
      <c r="E18" s="27">
        <f t="shared" si="14"/>
        <v>2.3883654588514897E-3</v>
      </c>
      <c r="F18" s="157">
        <f t="shared" si="10"/>
        <v>0.94492001042935592</v>
      </c>
      <c r="G18" s="150">
        <f t="shared" si="4"/>
        <v>2.961111111111062E-3</v>
      </c>
      <c r="H18" s="153">
        <f t="shared" si="1"/>
        <v>1.3752709257921125E-4</v>
      </c>
      <c r="I18" s="157">
        <f t="shared" si="12"/>
        <v>1</v>
      </c>
      <c r="J18" s="27">
        <f t="shared" si="11"/>
        <v>1.1159266805842943E-4</v>
      </c>
      <c r="L18" s="25">
        <v>21.55</v>
      </c>
      <c r="M18" s="25">
        <v>28.53</v>
      </c>
      <c r="P18" s="25">
        <v>20.49</v>
      </c>
      <c r="Q18" s="25">
        <v>28.95</v>
      </c>
      <c r="T18" s="25">
        <f t="shared" si="15"/>
        <v>47387.491081839114</v>
      </c>
      <c r="U18" s="80">
        <f t="shared" si="6"/>
        <v>8055.87348391265</v>
      </c>
      <c r="V18" s="80">
        <f t="shared" si="7"/>
        <v>39331.617597926466</v>
      </c>
      <c r="W18" s="80">
        <f>SUM($V$2:V18)</f>
        <v>220894.07405631742</v>
      </c>
      <c r="X18" s="80">
        <f t="shared" si="8"/>
        <v>276337.4386220692</v>
      </c>
    </row>
    <row r="19" spans="1:25">
      <c r="A19" s="25">
        <v>21.6</v>
      </c>
      <c r="B19" s="27">
        <f t="shared" si="9"/>
        <v>2.3201856148491462E-3</v>
      </c>
      <c r="C19" s="25" t="str">
        <f t="shared" si="2"/>
        <v/>
      </c>
      <c r="D19" s="150" t="str">
        <f t="shared" ref="D19:D50" si="16">IF(C19="","",STDEV(A19:A27))</f>
        <v/>
      </c>
      <c r="E19" s="27" t="e">
        <f t="shared" si="14"/>
        <v>#VALUE!</v>
      </c>
      <c r="F19" s="157" t="e">
        <f t="shared" si="10"/>
        <v>#VALUE!</v>
      </c>
      <c r="G19" s="150">
        <f t="shared" si="4"/>
        <v>3.3267857142856567E-3</v>
      </c>
      <c r="H19" s="153" t="e">
        <f t="shared" si="1"/>
        <v>#VALUE!</v>
      </c>
      <c r="I19" s="157" t="e">
        <f t="shared" si="12"/>
        <v>#VALUE!</v>
      </c>
      <c r="J19" s="27" t="str">
        <f t="shared" si="11"/>
        <v/>
      </c>
      <c r="L19" s="25">
        <v>21.6</v>
      </c>
      <c r="M19" s="25">
        <v>28.7</v>
      </c>
      <c r="P19" s="25">
        <v>20.149999999999999</v>
      </c>
      <c r="Q19" s="25">
        <v>29.36</v>
      </c>
      <c r="T19" s="25">
        <f t="shared" si="15"/>
        <v>56043.364565751763</v>
      </c>
      <c r="U19" s="80">
        <f t="shared" si="6"/>
        <v>9527.3719761777993</v>
      </c>
      <c r="V19" s="80">
        <f t="shared" si="7"/>
        <v>46515.992589573965</v>
      </c>
      <c r="W19" s="80">
        <f>SUM($V$2:V19)</f>
        <v>267410.06664589141</v>
      </c>
      <c r="X19" s="80">
        <f t="shared" si="8"/>
        <v>332980.80318782094</v>
      </c>
    </row>
    <row r="20" spans="1:25">
      <c r="A20" s="25">
        <v>21.42</v>
      </c>
      <c r="B20" s="27">
        <f t="shared" si="9"/>
        <v>-8.3333333333333037E-3</v>
      </c>
      <c r="C20" s="25" t="str">
        <f t="shared" si="2"/>
        <v/>
      </c>
      <c r="D20" s="150" t="str">
        <f t="shared" si="16"/>
        <v/>
      </c>
      <c r="E20" s="27" t="e">
        <f t="shared" si="14"/>
        <v>#VALUE!</v>
      </c>
      <c r="F20" s="157" t="e">
        <f t="shared" si="10"/>
        <v>#VALUE!</v>
      </c>
      <c r="G20" s="150">
        <f t="shared" si="4"/>
        <v>2.9142857142856215E-3</v>
      </c>
      <c r="H20" s="153" t="e">
        <f t="shared" si="1"/>
        <v>#VALUE!</v>
      </c>
      <c r="I20" s="157" t="e">
        <f t="shared" si="12"/>
        <v>#VALUE!</v>
      </c>
      <c r="J20" s="27" t="str">
        <f t="shared" si="11"/>
        <v/>
      </c>
      <c r="L20" s="25">
        <v>21.42</v>
      </c>
      <c r="P20" s="25">
        <v>19.62</v>
      </c>
      <c r="Q20" s="25">
        <v>29.35</v>
      </c>
      <c r="T20" s="25">
        <f t="shared" si="15"/>
        <v>66170.736541929567</v>
      </c>
      <c r="U20" s="80">
        <f t="shared" si="6"/>
        <v>11249.025212128028</v>
      </c>
      <c r="V20" s="80">
        <f t="shared" si="7"/>
        <v>54921.711329801539</v>
      </c>
      <c r="W20" s="80">
        <f>SUM($V$2:V20)</f>
        <v>322331.77797569294</v>
      </c>
      <c r="X20" s="80">
        <f t="shared" si="8"/>
        <v>399751.53972975048</v>
      </c>
    </row>
    <row r="21" spans="1:25">
      <c r="A21" s="25">
        <v>21.58</v>
      </c>
      <c r="B21" s="27">
        <f t="shared" si="9"/>
        <v>7.4696545284778093E-3</v>
      </c>
      <c r="C21" s="25" t="str">
        <f t="shared" si="2"/>
        <v/>
      </c>
      <c r="D21" s="150" t="str">
        <f t="shared" si="16"/>
        <v/>
      </c>
      <c r="E21" s="27" t="e">
        <f t="shared" si="14"/>
        <v>#VALUE!</v>
      </c>
      <c r="F21" s="157" t="e">
        <f t="shared" si="10"/>
        <v>#VALUE!</v>
      </c>
      <c r="G21" s="150">
        <f t="shared" si="4"/>
        <v>1.2299999999999512E-3</v>
      </c>
      <c r="H21" s="153" t="e">
        <f t="shared" si="1"/>
        <v>#VALUE!</v>
      </c>
      <c r="I21" s="157" t="e">
        <f t="shared" si="12"/>
        <v>#VALUE!</v>
      </c>
      <c r="J21" s="27" t="str">
        <f t="shared" si="11"/>
        <v/>
      </c>
      <c r="L21" s="25">
        <v>21.58</v>
      </c>
      <c r="P21" s="25">
        <v>19.850000000000001</v>
      </c>
      <c r="Q21" s="25">
        <v>28.93</v>
      </c>
      <c r="T21" s="25">
        <f t="shared" si="15"/>
        <v>78019.761754057603</v>
      </c>
      <c r="U21" s="80">
        <f t="shared" si="6"/>
        <v>13263.359498189791</v>
      </c>
      <c r="V21" s="80">
        <f t="shared" si="7"/>
        <v>64756.402255867812</v>
      </c>
      <c r="W21" s="80">
        <f>SUM($V$2:V21)</f>
        <v>387088.18023156072</v>
      </c>
      <c r="X21" s="80">
        <f t="shared" si="8"/>
        <v>478371.30148380809</v>
      </c>
    </row>
    <row r="22" spans="1:25">
      <c r="A22" s="25">
        <v>21.55</v>
      </c>
      <c r="B22" s="27">
        <f t="shared" si="9"/>
        <v>-1.3901760889711845E-3</v>
      </c>
      <c r="C22" s="25" t="str">
        <f t="shared" si="2"/>
        <v/>
      </c>
      <c r="D22" s="150" t="str">
        <f t="shared" si="16"/>
        <v/>
      </c>
      <c r="E22" s="27" t="e">
        <f t="shared" si="14"/>
        <v>#VALUE!</v>
      </c>
      <c r="F22" s="157" t="e">
        <f t="shared" si="10"/>
        <v>#VALUE!</v>
      </c>
      <c r="G22" s="150">
        <f t="shared" si="4"/>
        <v>9.2999999999998878E-4</v>
      </c>
      <c r="H22" s="153" t="e">
        <f t="shared" si="1"/>
        <v>#VALUE!</v>
      </c>
      <c r="I22" s="157" t="e">
        <f t="shared" si="12"/>
        <v>#VALUE!</v>
      </c>
      <c r="J22" s="27" t="str">
        <f t="shared" si="11"/>
        <v/>
      </c>
      <c r="L22" s="25">
        <v>21.55</v>
      </c>
      <c r="P22" s="25">
        <v>19.100000000000001</v>
      </c>
      <c r="Q22" s="25">
        <v>29.13</v>
      </c>
      <c r="T22" s="171">
        <f t="shared" si="15"/>
        <v>91883.121252247394</v>
      </c>
      <c r="U22" s="170">
        <f t="shared" si="6"/>
        <v>15620.130612882058</v>
      </c>
      <c r="V22" s="170">
        <f t="shared" si="7"/>
        <v>76262.990639365336</v>
      </c>
      <c r="W22" s="170">
        <f>SUM($V$2:V22)</f>
        <v>463351.17087092606</v>
      </c>
      <c r="X22" s="170">
        <f t="shared" si="8"/>
        <v>570854.42273605545</v>
      </c>
      <c r="Y22" s="80">
        <f>X22-X10</f>
        <v>521714.04095242661</v>
      </c>
    </row>
    <row r="23" spans="1:25">
      <c r="A23" s="25">
        <v>21.48</v>
      </c>
      <c r="B23" s="27">
        <f t="shared" si="9"/>
        <v>-3.2482598607889157E-3</v>
      </c>
      <c r="C23" s="25" t="str">
        <f t="shared" si="2"/>
        <v/>
      </c>
      <c r="D23" s="150" t="str">
        <f t="shared" si="16"/>
        <v/>
      </c>
      <c r="E23" s="27" t="e">
        <f t="shared" si="14"/>
        <v>#VALUE!</v>
      </c>
      <c r="F23" s="157" t="e">
        <f t="shared" si="10"/>
        <v>#VALUE!</v>
      </c>
      <c r="G23" s="150">
        <f t="shared" si="4"/>
        <v>9.9999999999998116E-4</v>
      </c>
      <c r="H23" s="153" t="e">
        <f t="shared" si="1"/>
        <v>#VALUE!</v>
      </c>
      <c r="I23" s="157" t="e">
        <f t="shared" si="12"/>
        <v>#VALUE!</v>
      </c>
      <c r="J23" s="27" t="str">
        <f t="shared" si="11"/>
        <v/>
      </c>
      <c r="L23" s="25">
        <v>21.48</v>
      </c>
      <c r="P23" s="25">
        <v>19.010000000000002</v>
      </c>
      <c r="Q23" s="25">
        <v>28.54</v>
      </c>
      <c r="T23" s="25">
        <f>T22+U22+600</f>
        <v>108103.25186512945</v>
      </c>
      <c r="U23" s="80">
        <f t="shared" si="6"/>
        <v>18377.552817072006</v>
      </c>
      <c r="V23" s="80">
        <f>T23-U23</f>
        <v>89725.699048057446</v>
      </c>
      <c r="W23" s="80">
        <f>SUM($V$2:V23)</f>
        <v>553076.86991898355</v>
      </c>
      <c r="X23" s="80">
        <f>W23+U23+T23</f>
        <v>679557.67460118502</v>
      </c>
    </row>
    <row r="24" spans="1:25">
      <c r="A24" s="25">
        <v>21.51</v>
      </c>
      <c r="B24" s="27">
        <f t="shared" si="9"/>
        <v>1.3966480446927498E-3</v>
      </c>
      <c r="C24" s="25" t="str">
        <f t="shared" si="2"/>
        <v/>
      </c>
      <c r="D24" s="150" t="str">
        <f t="shared" si="16"/>
        <v/>
      </c>
      <c r="E24" s="27" t="e">
        <f t="shared" si="14"/>
        <v>#VALUE!</v>
      </c>
      <c r="F24" s="157" t="e">
        <f t="shared" si="10"/>
        <v>#VALUE!</v>
      </c>
      <c r="G24" s="150">
        <f t="shared" si="4"/>
        <v>4.3333333333330301E-4</v>
      </c>
      <c r="H24" s="153" t="e">
        <f t="shared" si="1"/>
        <v>#VALUE!</v>
      </c>
      <c r="I24" s="157" t="e">
        <f t="shared" si="12"/>
        <v>#VALUE!</v>
      </c>
      <c r="J24" s="27" t="str">
        <f t="shared" si="11"/>
        <v/>
      </c>
      <c r="L24" s="25">
        <v>21.51</v>
      </c>
      <c r="P24" s="25">
        <v>19.45</v>
      </c>
      <c r="Q24" s="25">
        <v>28.7</v>
      </c>
      <c r="T24" s="25">
        <f t="shared" ref="T24:T29" si="17">T23+U23+600</f>
        <v>127080.80468220146</v>
      </c>
      <c r="U24" s="80">
        <f t="shared" si="6"/>
        <v>21603.736795974248</v>
      </c>
      <c r="V24" s="80">
        <f t="shared" ref="V24:V29" si="18">T24-U24</f>
        <v>105477.06788622722</v>
      </c>
      <c r="W24" s="80">
        <f>SUM($V$2:V24)</f>
        <v>658553.93780521071</v>
      </c>
      <c r="X24" s="80">
        <f t="shared" ref="X24:X29" si="19">W24+U24+T24</f>
        <v>807238.47928338638</v>
      </c>
    </row>
    <row r="25" spans="1:25">
      <c r="A25" s="25">
        <v>21.55</v>
      </c>
      <c r="B25" s="27">
        <f>IF(A25&gt;0,A25/A24-1,"")</f>
        <v>1.8596001859598754E-3</v>
      </c>
      <c r="C25" s="25" t="str">
        <f t="shared" si="2"/>
        <v/>
      </c>
      <c r="D25" s="150" t="str">
        <f t="shared" si="16"/>
        <v/>
      </c>
      <c r="E25" s="27" t="e">
        <f t="shared" si="14"/>
        <v>#VALUE!</v>
      </c>
      <c r="F25" s="157" t="e">
        <f t="shared" si="10"/>
        <v>#VALUE!</v>
      </c>
      <c r="G25" s="150">
        <f t="shared" si="4"/>
        <v>5.0000000000015635E-5</v>
      </c>
      <c r="H25" s="153" t="e">
        <f t="shared" si="1"/>
        <v>#VALUE!</v>
      </c>
      <c r="I25" s="157" t="e">
        <f t="shared" si="12"/>
        <v>#VALUE!</v>
      </c>
      <c r="J25" s="27" t="str">
        <f t="shared" si="11"/>
        <v/>
      </c>
      <c r="L25" s="25">
        <v>21.55</v>
      </c>
      <c r="T25" s="25">
        <f t="shared" si="17"/>
        <v>149284.5414781757</v>
      </c>
      <c r="U25" s="80">
        <f t="shared" si="6"/>
        <v>25378.372051289869</v>
      </c>
      <c r="V25" s="80">
        <f t="shared" si="18"/>
        <v>123906.16942688583</v>
      </c>
      <c r="W25" s="80">
        <f>SUM($V$2:V25)</f>
        <v>782460.10723209649</v>
      </c>
      <c r="X25" s="80">
        <f t="shared" si="19"/>
        <v>957123.02076156205</v>
      </c>
    </row>
    <row r="26" spans="1:25">
      <c r="A26" s="25">
        <v>21.54</v>
      </c>
      <c r="B26" s="27">
        <f t="shared" si="9"/>
        <v>-4.6403712296994026E-4</v>
      </c>
      <c r="C26" s="25" t="str">
        <f t="shared" si="2"/>
        <v/>
      </c>
      <c r="D26" s="150" t="str">
        <f t="shared" si="16"/>
        <v/>
      </c>
      <c r="E26" s="27" t="e">
        <f t="shared" si="14"/>
        <v>#VALUE!</v>
      </c>
      <c r="F26" s="157" t="e">
        <f t="shared" si="10"/>
        <v>#VALUE!</v>
      </c>
      <c r="G26" s="150" t="e">
        <f t="shared" si="4"/>
        <v>#DIV/0!</v>
      </c>
      <c r="H26" s="153" t="e">
        <f t="shared" si="1"/>
        <v>#DIV/0!</v>
      </c>
      <c r="I26" s="157" t="e">
        <f t="shared" si="12"/>
        <v>#DIV/0!</v>
      </c>
      <c r="J26" s="27" t="str">
        <f t="shared" si="11"/>
        <v/>
      </c>
      <c r="L26" s="25">
        <v>21.54</v>
      </c>
      <c r="T26" s="25">
        <f t="shared" si="17"/>
        <v>175262.91352946556</v>
      </c>
      <c r="U26" s="80">
        <f t="shared" si="6"/>
        <v>29794.695300009145</v>
      </c>
      <c r="V26" s="80">
        <f t="shared" si="18"/>
        <v>145468.2182294564</v>
      </c>
      <c r="W26" s="80">
        <f>SUM($V$2:V26)</f>
        <v>927928.32546155294</v>
      </c>
      <c r="X26" s="80">
        <f t="shared" si="19"/>
        <v>1132985.9342910275</v>
      </c>
    </row>
    <row r="27" spans="1:25">
      <c r="B27" s="27" t="str">
        <f t="shared" si="9"/>
        <v/>
      </c>
      <c r="C27" s="25" t="str">
        <f t="shared" si="2"/>
        <v/>
      </c>
      <c r="D27" s="150" t="str">
        <f t="shared" si="16"/>
        <v/>
      </c>
      <c r="E27" s="27" t="e">
        <f t="shared" si="14"/>
        <v>#VALUE!</v>
      </c>
      <c r="F27" s="157" t="e">
        <f t="shared" si="10"/>
        <v>#VALUE!</v>
      </c>
      <c r="G27" s="150" t="e">
        <f t="shared" si="4"/>
        <v>#DIV/0!</v>
      </c>
      <c r="H27" s="153" t="e">
        <f t="shared" si="1"/>
        <v>#DIV/0!</v>
      </c>
      <c r="I27" s="157" t="e">
        <f t="shared" si="12"/>
        <v>#DIV/0!</v>
      </c>
      <c r="J27" s="27" t="str">
        <f t="shared" si="11"/>
        <v/>
      </c>
      <c r="K27" s="27"/>
      <c r="O27" s="80"/>
      <c r="T27" s="25">
        <f t="shared" si="17"/>
        <v>205657.60882947472</v>
      </c>
      <c r="U27" s="80">
        <f t="shared" si="6"/>
        <v>34961.793501010703</v>
      </c>
      <c r="V27" s="80">
        <f t="shared" si="18"/>
        <v>170695.81532846403</v>
      </c>
      <c r="W27" s="80">
        <f>SUM($V$2:V27)</f>
        <v>1098624.1407900169</v>
      </c>
      <c r="X27" s="80">
        <f t="shared" si="19"/>
        <v>1339243.5431205023</v>
      </c>
    </row>
    <row r="28" spans="1:25">
      <c r="B28" s="27" t="str">
        <f t="shared" si="9"/>
        <v/>
      </c>
      <c r="C28" s="25" t="str">
        <f t="shared" si="2"/>
        <v/>
      </c>
      <c r="D28" s="150" t="str">
        <f t="shared" si="16"/>
        <v/>
      </c>
      <c r="E28" s="27" t="e">
        <f t="shared" si="14"/>
        <v>#VALUE!</v>
      </c>
      <c r="F28" s="157" t="e">
        <f t="shared" si="10"/>
        <v>#VALUE!</v>
      </c>
      <c r="G28" s="150" t="e">
        <f t="shared" si="4"/>
        <v>#DIV/0!</v>
      </c>
      <c r="H28" s="153" t="e">
        <f t="shared" si="1"/>
        <v>#DIV/0!</v>
      </c>
      <c r="I28" s="157" t="e">
        <f t="shared" si="12"/>
        <v>#DIV/0!</v>
      </c>
      <c r="J28" s="27" t="str">
        <f t="shared" si="11"/>
        <v/>
      </c>
      <c r="T28" s="25">
        <f t="shared" si="17"/>
        <v>241219.40233048541</v>
      </c>
      <c r="U28" s="80">
        <f t="shared" si="6"/>
        <v>41007.298396182523</v>
      </c>
      <c r="V28" s="80">
        <f t="shared" si="18"/>
        <v>200212.10393430287</v>
      </c>
      <c r="W28" s="80">
        <f>SUM($V$2:V28)</f>
        <v>1298836.2447243198</v>
      </c>
      <c r="X28" s="80">
        <f t="shared" si="19"/>
        <v>1581062.9454509877</v>
      </c>
    </row>
    <row r="29" spans="1:25">
      <c r="B29" s="27" t="str">
        <f t="shared" si="9"/>
        <v/>
      </c>
      <c r="C29" s="25" t="str">
        <f t="shared" si="2"/>
        <v/>
      </c>
      <c r="D29" s="150" t="str">
        <f t="shared" si="16"/>
        <v/>
      </c>
      <c r="E29" s="27" t="e">
        <f t="shared" si="14"/>
        <v>#VALUE!</v>
      </c>
      <c r="F29" s="157" t="e">
        <f t="shared" si="10"/>
        <v>#VALUE!</v>
      </c>
      <c r="G29" s="150" t="e">
        <f t="shared" si="4"/>
        <v>#DIV/0!</v>
      </c>
      <c r="H29" s="153" t="e">
        <f t="shared" si="1"/>
        <v>#DIV/0!</v>
      </c>
      <c r="I29" s="157" t="e">
        <f t="shared" si="12"/>
        <v>#DIV/0!</v>
      </c>
      <c r="J29" s="27" t="str">
        <f t="shared" si="11"/>
        <v/>
      </c>
      <c r="T29" s="25">
        <f t="shared" si="17"/>
        <v>282826.70072666794</v>
      </c>
      <c r="U29" s="80">
        <f t="shared" si="6"/>
        <v>48080.539123533556</v>
      </c>
      <c r="V29" s="80">
        <f t="shared" si="18"/>
        <v>234746.16160313439</v>
      </c>
      <c r="W29" s="80">
        <f>SUM($V$2:V29)</f>
        <v>1533582.4063274541</v>
      </c>
      <c r="X29" s="80">
        <f t="shared" si="19"/>
        <v>1864489.6461776556</v>
      </c>
    </row>
    <row r="30" spans="1:25">
      <c r="C30" s="25" t="str">
        <f t="shared" si="2"/>
        <v/>
      </c>
      <c r="D30" s="150" t="str">
        <f t="shared" si="16"/>
        <v/>
      </c>
      <c r="E30" s="27" t="e">
        <f t="shared" si="14"/>
        <v>#VALUE!</v>
      </c>
      <c r="F30" s="157" t="e">
        <f t="shared" si="10"/>
        <v>#VALUE!</v>
      </c>
      <c r="G30" s="150" t="e">
        <f t="shared" si="4"/>
        <v>#DIV/0!</v>
      </c>
      <c r="H30" s="153" t="e">
        <f t="shared" si="1"/>
        <v>#DIV/0!</v>
      </c>
      <c r="I30" s="157" t="e">
        <f t="shared" si="12"/>
        <v>#DIV/0!</v>
      </c>
      <c r="J30" s="27" t="str">
        <f t="shared" si="11"/>
        <v/>
      </c>
      <c r="T30" s="25">
        <f t="shared" ref="T30:T35" si="20">T29+U29+600</f>
        <v>331507.23985020153</v>
      </c>
      <c r="U30" s="80">
        <f t="shared" si="6"/>
        <v>56356.230774534262</v>
      </c>
      <c r="V30" s="80">
        <f t="shared" ref="V30:V35" si="21">T30-U30</f>
        <v>275151.00907566724</v>
      </c>
      <c r="W30" s="80">
        <f>SUM($V$2:V30)</f>
        <v>1808733.4154031214</v>
      </c>
      <c r="X30" s="80">
        <f t="shared" ref="X30:X35" si="22">W30+U30+T30</f>
        <v>2196596.8860278572</v>
      </c>
    </row>
    <row r="31" spans="1:25">
      <c r="C31" s="25" t="str">
        <f t="shared" si="2"/>
        <v/>
      </c>
      <c r="D31" s="150" t="str">
        <f t="shared" si="16"/>
        <v/>
      </c>
      <c r="E31" s="27" t="e">
        <f t="shared" si="14"/>
        <v>#VALUE!</v>
      </c>
      <c r="F31" s="157" t="e">
        <f t="shared" si="10"/>
        <v>#VALUE!</v>
      </c>
      <c r="G31" s="150" t="e">
        <f t="shared" si="4"/>
        <v>#DIV/0!</v>
      </c>
      <c r="H31" s="153" t="e">
        <f t="shared" si="1"/>
        <v>#DIV/0!</v>
      </c>
      <c r="I31" s="157" t="e">
        <f t="shared" si="12"/>
        <v>#DIV/0!</v>
      </c>
      <c r="J31" s="27" t="str">
        <f t="shared" si="11"/>
        <v/>
      </c>
      <c r="T31" s="25">
        <f t="shared" si="20"/>
        <v>388463.47062473581</v>
      </c>
      <c r="U31" s="80">
        <f t="shared" si="6"/>
        <v>66038.79000620509</v>
      </c>
      <c r="V31" s="80">
        <f t="shared" si="21"/>
        <v>322424.68061853072</v>
      </c>
      <c r="W31" s="80">
        <f>SUM($V$2:V31)</f>
        <v>2131158.0960216522</v>
      </c>
      <c r="X31" s="80">
        <f t="shared" si="22"/>
        <v>2585660.3566525932</v>
      </c>
    </row>
    <row r="32" spans="1:25">
      <c r="C32" s="25" t="str">
        <f t="shared" si="2"/>
        <v/>
      </c>
      <c r="D32" s="150" t="str">
        <f t="shared" si="16"/>
        <v/>
      </c>
      <c r="E32" s="27" t="e">
        <f t="shared" si="14"/>
        <v>#VALUE!</v>
      </c>
      <c r="F32" s="157" t="e">
        <f t="shared" si="10"/>
        <v>#VALUE!</v>
      </c>
      <c r="G32" s="150" t="e">
        <f t="shared" si="4"/>
        <v>#DIV/0!</v>
      </c>
      <c r="H32" s="153" t="e">
        <f t="shared" si="1"/>
        <v>#DIV/0!</v>
      </c>
      <c r="I32" s="157" t="e">
        <f t="shared" si="12"/>
        <v>#DIV/0!</v>
      </c>
      <c r="J32" s="27" t="str">
        <f t="shared" si="11"/>
        <v/>
      </c>
      <c r="T32" s="25">
        <f t="shared" si="20"/>
        <v>455102.2606309409</v>
      </c>
      <c r="U32" s="80">
        <f t="shared" si="6"/>
        <v>77367.384307259956</v>
      </c>
      <c r="V32" s="80">
        <f t="shared" si="21"/>
        <v>377734.87632368098</v>
      </c>
      <c r="W32" s="80">
        <f>SUM($V$2:V32)</f>
        <v>2508892.9723453331</v>
      </c>
      <c r="X32" s="80">
        <f t="shared" si="22"/>
        <v>3041362.6172835343</v>
      </c>
    </row>
    <row r="33" spans="3:25">
      <c r="C33" s="25" t="str">
        <f t="shared" si="2"/>
        <v/>
      </c>
      <c r="D33" s="150" t="str">
        <f t="shared" si="16"/>
        <v/>
      </c>
      <c r="E33" s="27" t="e">
        <f t="shared" si="14"/>
        <v>#VALUE!</v>
      </c>
      <c r="F33" s="157" t="e">
        <f t="shared" si="10"/>
        <v>#VALUE!</v>
      </c>
      <c r="G33" s="150" t="e">
        <f t="shared" si="4"/>
        <v>#DIV/0!</v>
      </c>
      <c r="H33" s="153" t="e">
        <f t="shared" si="1"/>
        <v>#DIV/0!</v>
      </c>
      <c r="I33" s="157" t="e">
        <f t="shared" si="12"/>
        <v>#DIV/0!</v>
      </c>
      <c r="J33" s="27" t="str">
        <f t="shared" si="11"/>
        <v/>
      </c>
      <c r="T33" s="25">
        <f t="shared" si="20"/>
        <v>533069.64493820083</v>
      </c>
      <c r="U33" s="80">
        <f t="shared" si="6"/>
        <v>90621.839639494137</v>
      </c>
      <c r="V33" s="80">
        <f t="shared" si="21"/>
        <v>442447.80529870669</v>
      </c>
      <c r="W33" s="80">
        <f>SUM($V$2:V33)</f>
        <v>2951340.7776440396</v>
      </c>
      <c r="X33" s="80">
        <f t="shared" si="22"/>
        <v>3575032.2622217345</v>
      </c>
    </row>
    <row r="34" spans="3:25">
      <c r="C34" s="25" t="str">
        <f t="shared" si="2"/>
        <v/>
      </c>
      <c r="D34" s="150" t="str">
        <f t="shared" si="16"/>
        <v/>
      </c>
      <c r="E34" s="27" t="e">
        <f t="shared" ref="E34:E49" si="23">D34/C34</f>
        <v>#VALUE!</v>
      </c>
      <c r="F34" s="157" t="e">
        <f t="shared" si="10"/>
        <v>#VALUE!</v>
      </c>
      <c r="G34" s="150" t="e">
        <f t="shared" si="4"/>
        <v>#DIV/0!</v>
      </c>
      <c r="H34" s="153" t="e">
        <f t="shared" ref="H34:H65" si="24">G34/C34</f>
        <v>#DIV/0!</v>
      </c>
      <c r="I34" s="157" t="e">
        <f t="shared" si="12"/>
        <v>#DIV/0!</v>
      </c>
      <c r="J34" s="27" t="str">
        <f t="shared" si="11"/>
        <v/>
      </c>
      <c r="T34" s="171">
        <f t="shared" si="20"/>
        <v>624291.48457769491</v>
      </c>
      <c r="U34" s="170">
        <f t="shared" si="6"/>
        <v>106129.55237820813</v>
      </c>
      <c r="V34" s="170">
        <f t="shared" si="21"/>
        <v>518161.93219948676</v>
      </c>
      <c r="W34" s="170">
        <f>SUM($V$2:V34)</f>
        <v>3469502.7098435266</v>
      </c>
      <c r="X34" s="170">
        <f t="shared" si="22"/>
        <v>4199923.7467994299</v>
      </c>
      <c r="Y34" s="80">
        <f>X34-X22</f>
        <v>3629069.3240633747</v>
      </c>
    </row>
    <row r="35" spans="3:25">
      <c r="C35" s="25" t="str">
        <f t="shared" si="2"/>
        <v/>
      </c>
      <c r="D35" s="150" t="str">
        <f t="shared" si="16"/>
        <v/>
      </c>
      <c r="E35" s="27" t="e">
        <f t="shared" si="23"/>
        <v>#VALUE!</v>
      </c>
      <c r="F35" s="157" t="e">
        <f t="shared" si="10"/>
        <v>#VALUE!</v>
      </c>
      <c r="G35" s="150" t="e">
        <f t="shared" si="4"/>
        <v>#DIV/0!</v>
      </c>
      <c r="H35" s="153" t="e">
        <f t="shared" si="24"/>
        <v>#DIV/0!</v>
      </c>
      <c r="I35" s="157" t="e">
        <f t="shared" si="12"/>
        <v>#DIV/0!</v>
      </c>
      <c r="J35" s="27" t="str">
        <f t="shared" si="11"/>
        <v/>
      </c>
      <c r="T35" s="25">
        <f t="shared" si="20"/>
        <v>731021.03695590305</v>
      </c>
      <c r="U35" s="80">
        <f t="shared" si="6"/>
        <v>124273.57628250353</v>
      </c>
      <c r="V35" s="80">
        <f t="shared" si="21"/>
        <v>606747.4606733995</v>
      </c>
      <c r="W35" s="80">
        <f>SUM($V$2:V35)</f>
        <v>4076250.1705169259</v>
      </c>
      <c r="X35" s="80">
        <f t="shared" si="22"/>
        <v>4931544.7837553322</v>
      </c>
    </row>
    <row r="36" spans="3:25">
      <c r="C36" s="25" t="str">
        <f t="shared" si="2"/>
        <v/>
      </c>
      <c r="D36" s="150" t="str">
        <f t="shared" si="16"/>
        <v/>
      </c>
      <c r="E36" s="27" t="e">
        <f t="shared" si="23"/>
        <v>#VALUE!</v>
      </c>
      <c r="F36" s="157" t="e">
        <f t="shared" si="10"/>
        <v>#VALUE!</v>
      </c>
      <c r="G36" s="150" t="e">
        <f t="shared" si="4"/>
        <v>#DIV/0!</v>
      </c>
      <c r="H36" s="153" t="e">
        <f t="shared" si="24"/>
        <v>#DIV/0!</v>
      </c>
      <c r="I36" s="157" t="e">
        <f t="shared" si="12"/>
        <v>#DIV/0!</v>
      </c>
      <c r="J36" s="27" t="str">
        <f t="shared" si="11"/>
        <v/>
      </c>
      <c r="T36" s="25">
        <f t="shared" ref="T36:T47" si="25">T35+U35+600</f>
        <v>855894.6132384066</v>
      </c>
      <c r="U36" s="80">
        <f t="shared" si="6"/>
        <v>145502.08425052912</v>
      </c>
      <c r="V36" s="80">
        <f t="shared" ref="V36:V47" si="26">T36-U36</f>
        <v>710392.52898787754</v>
      </c>
      <c r="W36" s="80">
        <f>SUM($V$2:V36)</f>
        <v>4786642.6995048039</v>
      </c>
      <c r="X36" s="80">
        <f t="shared" ref="X36:X47" si="27">W36+U36+T36</f>
        <v>5788039.3969937395</v>
      </c>
    </row>
    <row r="37" spans="3:25">
      <c r="C37" s="25" t="str">
        <f t="shared" si="2"/>
        <v/>
      </c>
      <c r="D37" s="150" t="str">
        <f t="shared" si="16"/>
        <v/>
      </c>
      <c r="E37" s="27" t="e">
        <f t="shared" si="23"/>
        <v>#VALUE!</v>
      </c>
      <c r="F37" s="157" t="e">
        <f t="shared" si="10"/>
        <v>#VALUE!</v>
      </c>
      <c r="G37" s="150" t="e">
        <f t="shared" si="4"/>
        <v>#DIV/0!</v>
      </c>
      <c r="H37" s="153" t="e">
        <f t="shared" si="24"/>
        <v>#DIV/0!</v>
      </c>
      <c r="I37" s="157" t="e">
        <f t="shared" si="12"/>
        <v>#DIV/0!</v>
      </c>
      <c r="J37" s="27" t="str">
        <f t="shared" si="11"/>
        <v/>
      </c>
      <c r="T37" s="25">
        <f t="shared" si="25"/>
        <v>1001996.6974889357</v>
      </c>
      <c r="U37" s="80">
        <f t="shared" si="6"/>
        <v>170339.43857311909</v>
      </c>
      <c r="V37" s="80">
        <f t="shared" si="26"/>
        <v>831657.25891581655</v>
      </c>
      <c r="W37" s="80">
        <f>SUM($V$2:V37)</f>
        <v>5618299.9584206203</v>
      </c>
      <c r="X37" s="80">
        <f t="shared" si="27"/>
        <v>6790636.0944826752</v>
      </c>
    </row>
    <row r="38" spans="3:25">
      <c r="C38" s="25" t="str">
        <f t="shared" si="2"/>
        <v/>
      </c>
      <c r="D38" s="150" t="str">
        <f t="shared" si="16"/>
        <v/>
      </c>
      <c r="E38" s="27" t="e">
        <f t="shared" si="23"/>
        <v>#VALUE!</v>
      </c>
      <c r="F38" s="157" t="e">
        <f t="shared" si="10"/>
        <v>#VALUE!</v>
      </c>
      <c r="G38" s="150" t="e">
        <f t="shared" si="4"/>
        <v>#DIV/0!</v>
      </c>
      <c r="H38" s="153" t="e">
        <f t="shared" si="24"/>
        <v>#DIV/0!</v>
      </c>
      <c r="I38" s="157" t="e">
        <f t="shared" si="12"/>
        <v>#DIV/0!</v>
      </c>
      <c r="J38" s="27" t="str">
        <f t="shared" si="11"/>
        <v/>
      </c>
      <c r="T38" s="25">
        <f t="shared" si="25"/>
        <v>1172936.1360620547</v>
      </c>
      <c r="U38" s="80">
        <f t="shared" si="6"/>
        <v>199399.14313054929</v>
      </c>
      <c r="V38" s="80">
        <f t="shared" si="26"/>
        <v>973536.99293150543</v>
      </c>
      <c r="W38" s="80">
        <f>SUM($V$2:V38)</f>
        <v>6591836.951352126</v>
      </c>
      <c r="X38" s="80">
        <f t="shared" si="27"/>
        <v>7964172.2305447301</v>
      </c>
    </row>
    <row r="39" spans="3:25">
      <c r="C39" s="25" t="str">
        <f t="shared" si="2"/>
        <v/>
      </c>
      <c r="D39" s="150" t="str">
        <f t="shared" si="16"/>
        <v/>
      </c>
      <c r="E39" s="27" t="e">
        <f t="shared" si="23"/>
        <v>#VALUE!</v>
      </c>
      <c r="F39" s="157" t="e">
        <f t="shared" si="10"/>
        <v>#VALUE!</v>
      </c>
      <c r="G39" s="150" t="e">
        <f t="shared" si="4"/>
        <v>#DIV/0!</v>
      </c>
      <c r="H39" s="153" t="e">
        <f t="shared" si="24"/>
        <v>#DIV/0!</v>
      </c>
      <c r="I39" s="157" t="e">
        <f t="shared" si="12"/>
        <v>#DIV/0!</v>
      </c>
      <c r="J39" s="27" t="str">
        <f t="shared" si="11"/>
        <v/>
      </c>
      <c r="T39" s="25">
        <f t="shared" si="25"/>
        <v>1372935.2791926039</v>
      </c>
      <c r="U39" s="80">
        <f t="shared" si="6"/>
        <v>233398.99746274264</v>
      </c>
      <c r="V39" s="80">
        <f t="shared" si="26"/>
        <v>1139536.2817298612</v>
      </c>
      <c r="W39" s="80">
        <f>SUM($V$2:V39)</f>
        <v>7731373.2330819871</v>
      </c>
      <c r="X39" s="80">
        <f t="shared" si="27"/>
        <v>9337707.5097373333</v>
      </c>
    </row>
    <row r="40" spans="3:25">
      <c r="C40" s="25" t="str">
        <f t="shared" si="2"/>
        <v/>
      </c>
      <c r="D40" s="150" t="str">
        <f t="shared" si="16"/>
        <v/>
      </c>
      <c r="E40" s="27" t="e">
        <f t="shared" si="23"/>
        <v>#VALUE!</v>
      </c>
      <c r="F40" s="157" t="e">
        <f t="shared" si="10"/>
        <v>#VALUE!</v>
      </c>
      <c r="G40" s="150" t="e">
        <f t="shared" si="4"/>
        <v>#DIV/0!</v>
      </c>
      <c r="H40" s="153" t="e">
        <f t="shared" si="24"/>
        <v>#DIV/0!</v>
      </c>
      <c r="I40" s="157" t="e">
        <f t="shared" si="12"/>
        <v>#DIV/0!</v>
      </c>
      <c r="J40" s="27" t="str">
        <f t="shared" si="11"/>
        <v/>
      </c>
      <c r="T40" s="25">
        <f t="shared" si="25"/>
        <v>1606934.2766553466</v>
      </c>
      <c r="U40" s="80">
        <f t="shared" si="6"/>
        <v>273178.8270314089</v>
      </c>
      <c r="V40" s="80">
        <f t="shared" si="26"/>
        <v>1333755.4496239377</v>
      </c>
      <c r="W40" s="80">
        <f>SUM($V$2:V40)</f>
        <v>9065128.6827059239</v>
      </c>
      <c r="X40" s="80">
        <f t="shared" si="27"/>
        <v>10945241.786392679</v>
      </c>
    </row>
    <row r="41" spans="3:25">
      <c r="C41" s="25" t="str">
        <f t="shared" si="2"/>
        <v/>
      </c>
      <c r="D41" s="150" t="str">
        <f t="shared" si="16"/>
        <v/>
      </c>
      <c r="E41" s="27" t="e">
        <f t="shared" si="23"/>
        <v>#VALUE!</v>
      </c>
      <c r="F41" s="157" t="e">
        <f t="shared" si="10"/>
        <v>#VALUE!</v>
      </c>
      <c r="G41" s="150" t="e">
        <f t="shared" si="4"/>
        <v>#DIV/0!</v>
      </c>
      <c r="H41" s="153" t="e">
        <f t="shared" si="24"/>
        <v>#DIV/0!</v>
      </c>
      <c r="I41" s="157" t="e">
        <f t="shared" si="12"/>
        <v>#DIV/0!</v>
      </c>
      <c r="J41" s="27" t="str">
        <f t="shared" si="11"/>
        <v/>
      </c>
      <c r="T41" s="25">
        <f t="shared" si="25"/>
        <v>1880713.1036867555</v>
      </c>
      <c r="U41" s="80">
        <f t="shared" si="6"/>
        <v>319721.22762674844</v>
      </c>
      <c r="V41" s="80">
        <f t="shared" si="26"/>
        <v>1560991.8760600071</v>
      </c>
      <c r="W41" s="80">
        <f>SUM($V$2:V41)</f>
        <v>10626120.558765931</v>
      </c>
      <c r="X41" s="80">
        <f t="shared" si="27"/>
        <v>12826554.890079435</v>
      </c>
    </row>
    <row r="42" spans="3:25">
      <c r="C42" s="25" t="str">
        <f t="shared" si="2"/>
        <v/>
      </c>
      <c r="D42" s="150" t="str">
        <f t="shared" si="16"/>
        <v/>
      </c>
      <c r="E42" s="27" t="e">
        <f t="shared" si="23"/>
        <v>#VALUE!</v>
      </c>
      <c r="F42" s="157" t="e">
        <f t="shared" si="10"/>
        <v>#VALUE!</v>
      </c>
      <c r="G42" s="150" t="e">
        <f t="shared" si="4"/>
        <v>#DIV/0!</v>
      </c>
      <c r="H42" s="153" t="e">
        <f t="shared" si="24"/>
        <v>#DIV/0!</v>
      </c>
      <c r="I42" s="157" t="e">
        <f t="shared" si="12"/>
        <v>#DIV/0!</v>
      </c>
      <c r="J42" s="27" t="str">
        <f t="shared" si="11"/>
        <v/>
      </c>
      <c r="T42" s="25">
        <f t="shared" si="25"/>
        <v>2201034.3313135039</v>
      </c>
      <c r="U42" s="80">
        <f t="shared" si="6"/>
        <v>374175.83632329572</v>
      </c>
      <c r="V42" s="80">
        <f t="shared" si="26"/>
        <v>1826858.4949902082</v>
      </c>
      <c r="W42" s="80">
        <f>SUM($V$2:V42)</f>
        <v>12452979.05375614</v>
      </c>
      <c r="X42" s="80">
        <f t="shared" si="27"/>
        <v>15028189.221392939</v>
      </c>
    </row>
    <row r="43" spans="3:25">
      <c r="C43" s="25" t="str">
        <f t="shared" si="2"/>
        <v/>
      </c>
      <c r="D43" s="150" t="str">
        <f t="shared" si="16"/>
        <v/>
      </c>
      <c r="E43" s="27" t="e">
        <f t="shared" si="23"/>
        <v>#VALUE!</v>
      </c>
      <c r="F43" s="157" t="e">
        <f t="shared" si="10"/>
        <v>#VALUE!</v>
      </c>
      <c r="G43" s="150" t="e">
        <f t="shared" si="4"/>
        <v>#DIV/0!</v>
      </c>
      <c r="H43" s="153" t="e">
        <f t="shared" si="24"/>
        <v>#DIV/0!</v>
      </c>
      <c r="I43" s="157" t="e">
        <f t="shared" si="12"/>
        <v>#DIV/0!</v>
      </c>
      <c r="J43" s="27" t="str">
        <f t="shared" si="11"/>
        <v/>
      </c>
      <c r="T43" s="25">
        <f t="shared" si="25"/>
        <v>2575810.1676367996</v>
      </c>
      <c r="U43" s="80">
        <f t="shared" si="6"/>
        <v>437887.72849825595</v>
      </c>
      <c r="V43" s="80">
        <f t="shared" si="26"/>
        <v>2137922.4391385438</v>
      </c>
      <c r="W43" s="80">
        <f>SUM($V$2:V43)</f>
        <v>14590901.492894683</v>
      </c>
      <c r="X43" s="80">
        <f t="shared" si="27"/>
        <v>17604599.389029738</v>
      </c>
    </row>
    <row r="44" spans="3:25">
      <c r="C44" s="25" t="str">
        <f t="shared" si="2"/>
        <v/>
      </c>
      <c r="D44" s="150" t="str">
        <f t="shared" si="16"/>
        <v/>
      </c>
      <c r="E44" s="27" t="e">
        <f t="shared" si="23"/>
        <v>#VALUE!</v>
      </c>
      <c r="F44" s="157" t="e">
        <f t="shared" si="10"/>
        <v>#VALUE!</v>
      </c>
      <c r="G44" s="150" t="e">
        <f t="shared" si="4"/>
        <v>#DIV/0!</v>
      </c>
      <c r="H44" s="153" t="e">
        <f t="shared" si="24"/>
        <v>#DIV/0!</v>
      </c>
      <c r="I44" s="157" t="e">
        <f t="shared" si="12"/>
        <v>#DIV/0!</v>
      </c>
      <c r="J44" s="27" t="str">
        <f t="shared" si="11"/>
        <v/>
      </c>
      <c r="T44" s="25">
        <f t="shared" si="25"/>
        <v>3014297.8961350555</v>
      </c>
      <c r="U44" s="80">
        <f t="shared" si="6"/>
        <v>512430.64234295947</v>
      </c>
      <c r="V44" s="80">
        <f t="shared" si="26"/>
        <v>2501867.2537920959</v>
      </c>
      <c r="W44" s="80">
        <f>SUM($V$2:V44)</f>
        <v>17092768.746686779</v>
      </c>
      <c r="X44" s="80">
        <f t="shared" si="27"/>
        <v>20619497.285164792</v>
      </c>
    </row>
    <row r="45" spans="3:25">
      <c r="C45" s="25" t="str">
        <f t="shared" si="2"/>
        <v/>
      </c>
      <c r="D45" s="150" t="str">
        <f t="shared" si="16"/>
        <v/>
      </c>
      <c r="E45" s="27" t="e">
        <f t="shared" si="23"/>
        <v>#VALUE!</v>
      </c>
      <c r="F45" s="157" t="e">
        <f t="shared" si="10"/>
        <v>#VALUE!</v>
      </c>
      <c r="G45" s="150" t="e">
        <f t="shared" si="4"/>
        <v>#DIV/0!</v>
      </c>
      <c r="H45" s="153" t="e">
        <f t="shared" si="24"/>
        <v>#DIV/0!</v>
      </c>
      <c r="I45" s="157" t="e">
        <f t="shared" si="12"/>
        <v>#DIV/0!</v>
      </c>
      <c r="J45" s="27" t="str">
        <f t="shared" si="11"/>
        <v/>
      </c>
      <c r="T45" s="25">
        <f t="shared" si="25"/>
        <v>3527328.538478015</v>
      </c>
      <c r="U45" s="80">
        <f t="shared" si="6"/>
        <v>599645.85154126247</v>
      </c>
      <c r="V45" s="80">
        <f t="shared" si="26"/>
        <v>2927682.6869367524</v>
      </c>
      <c r="W45" s="80">
        <f>SUM($V$2:V45)</f>
        <v>20020451.43362353</v>
      </c>
      <c r="X45" s="80">
        <f t="shared" si="27"/>
        <v>24147425.823642805</v>
      </c>
    </row>
    <row r="46" spans="3:25">
      <c r="C46" s="25" t="str">
        <f t="shared" si="2"/>
        <v/>
      </c>
      <c r="D46" s="150" t="str">
        <f t="shared" si="16"/>
        <v/>
      </c>
      <c r="E46" s="27" t="e">
        <f t="shared" si="23"/>
        <v>#VALUE!</v>
      </c>
      <c r="F46" s="157" t="e">
        <f t="shared" si="10"/>
        <v>#VALUE!</v>
      </c>
      <c r="G46" s="150" t="e">
        <f t="shared" si="4"/>
        <v>#DIV/0!</v>
      </c>
      <c r="H46" s="153" t="e">
        <f t="shared" si="24"/>
        <v>#DIV/0!</v>
      </c>
      <c r="I46" s="157" t="e">
        <f t="shared" si="12"/>
        <v>#DIV/0!</v>
      </c>
      <c r="J46" s="27" t="str">
        <f t="shared" si="11"/>
        <v/>
      </c>
      <c r="T46" s="25">
        <f t="shared" si="25"/>
        <v>4127574.3900192776</v>
      </c>
      <c r="U46" s="80">
        <f t="shared" si="6"/>
        <v>701687.64630327723</v>
      </c>
      <c r="V46" s="80">
        <f t="shared" si="26"/>
        <v>3425886.7437160006</v>
      </c>
      <c r="W46" s="80">
        <f>SUM($V$2:V46)</f>
        <v>23446338.177339531</v>
      </c>
      <c r="X46" s="80">
        <f t="shared" si="27"/>
        <v>28275600.213662088</v>
      </c>
      <c r="Y46" s="80">
        <f>X46-X34</f>
        <v>24075676.466862656</v>
      </c>
    </row>
    <row r="47" spans="3:25">
      <c r="C47" s="25" t="str">
        <f t="shared" si="2"/>
        <v/>
      </c>
      <c r="D47" s="150" t="str">
        <f t="shared" si="16"/>
        <v/>
      </c>
      <c r="E47" s="27" t="e">
        <f t="shared" si="23"/>
        <v>#VALUE!</v>
      </c>
      <c r="F47" s="157" t="e">
        <f t="shared" si="10"/>
        <v>#VALUE!</v>
      </c>
      <c r="G47" s="150" t="e">
        <f t="shared" si="4"/>
        <v>#DIV/0!</v>
      </c>
      <c r="H47" s="153" t="e">
        <f t="shared" si="24"/>
        <v>#DIV/0!</v>
      </c>
      <c r="I47" s="157" t="e">
        <f t="shared" si="12"/>
        <v>#DIV/0!</v>
      </c>
      <c r="J47" s="27" t="str">
        <f t="shared" si="11"/>
        <v/>
      </c>
      <c r="T47" s="25">
        <f t="shared" si="25"/>
        <v>4829862.0363225546</v>
      </c>
      <c r="U47" s="80">
        <f t="shared" si="6"/>
        <v>821076.54617483437</v>
      </c>
      <c r="V47" s="80">
        <f t="shared" si="26"/>
        <v>4008785.4901477201</v>
      </c>
      <c r="W47" s="80">
        <f>SUM($V$2:V47)</f>
        <v>27455123.667487253</v>
      </c>
      <c r="X47" s="80">
        <f t="shared" si="27"/>
        <v>33106062.249984644</v>
      </c>
      <c r="Y47" s="80"/>
    </row>
    <row r="48" spans="3:25">
      <c r="C48" s="25" t="str">
        <f t="shared" si="2"/>
        <v/>
      </c>
      <c r="D48" s="150" t="str">
        <f t="shared" si="16"/>
        <v/>
      </c>
      <c r="E48" s="27" t="e">
        <f t="shared" si="23"/>
        <v>#VALUE!</v>
      </c>
      <c r="F48" s="157" t="e">
        <f t="shared" si="10"/>
        <v>#VALUE!</v>
      </c>
      <c r="G48" s="150" t="e">
        <f t="shared" si="4"/>
        <v>#DIV/0!</v>
      </c>
      <c r="H48" s="153" t="e">
        <f t="shared" si="24"/>
        <v>#DIV/0!</v>
      </c>
      <c r="I48" s="157" t="e">
        <f t="shared" si="12"/>
        <v>#DIV/0!</v>
      </c>
      <c r="J48" s="27" t="str">
        <f t="shared" si="11"/>
        <v/>
      </c>
    </row>
    <row r="49" spans="3:24">
      <c r="C49" s="25" t="str">
        <f t="shared" si="2"/>
        <v/>
      </c>
      <c r="D49" s="150" t="str">
        <f t="shared" si="16"/>
        <v/>
      </c>
      <c r="E49" s="27" t="e">
        <f t="shared" si="23"/>
        <v>#VALUE!</v>
      </c>
      <c r="F49" s="157" t="e">
        <f t="shared" si="10"/>
        <v>#VALUE!</v>
      </c>
      <c r="G49" s="150" t="e">
        <f t="shared" si="4"/>
        <v>#DIV/0!</v>
      </c>
      <c r="H49" s="153" t="e">
        <f t="shared" si="24"/>
        <v>#DIV/0!</v>
      </c>
      <c r="I49" s="157" t="e">
        <f t="shared" si="12"/>
        <v>#DIV/0!</v>
      </c>
      <c r="J49" s="27" t="str">
        <f t="shared" si="11"/>
        <v/>
      </c>
    </row>
    <row r="50" spans="3:24">
      <c r="C50" s="25" t="str">
        <f t="shared" si="2"/>
        <v/>
      </c>
      <c r="D50" s="150" t="str">
        <f t="shared" si="16"/>
        <v/>
      </c>
      <c r="E50" s="27" t="e">
        <f t="shared" ref="E50:E61" si="28">D50/C50</f>
        <v>#VALUE!</v>
      </c>
      <c r="F50" s="157" t="e">
        <f t="shared" si="10"/>
        <v>#VALUE!</v>
      </c>
      <c r="G50" s="150" t="e">
        <f t="shared" si="4"/>
        <v>#DIV/0!</v>
      </c>
      <c r="H50" s="153" t="e">
        <f t="shared" si="24"/>
        <v>#DIV/0!</v>
      </c>
      <c r="I50" s="157" t="e">
        <f t="shared" si="12"/>
        <v>#DIV/0!</v>
      </c>
      <c r="J50" s="27" t="str">
        <f t="shared" si="11"/>
        <v/>
      </c>
    </row>
    <row r="51" spans="3:24">
      <c r="C51" s="25" t="str">
        <f t="shared" si="2"/>
        <v/>
      </c>
      <c r="D51" s="150" t="str">
        <f t="shared" ref="D51:D80" si="29">IF(C51="","",STDEV(A51:A59))</f>
        <v/>
      </c>
      <c r="E51" s="27" t="e">
        <f t="shared" si="28"/>
        <v>#VALUE!</v>
      </c>
      <c r="F51" s="157" t="e">
        <f t="shared" si="10"/>
        <v>#VALUE!</v>
      </c>
      <c r="G51" s="150" t="e">
        <f t="shared" si="4"/>
        <v>#DIV/0!</v>
      </c>
      <c r="H51" s="153" t="e">
        <f t="shared" si="24"/>
        <v>#DIV/0!</v>
      </c>
      <c r="I51" s="157" t="e">
        <f t="shared" si="12"/>
        <v>#DIV/0!</v>
      </c>
      <c r="J51" s="27" t="str">
        <f t="shared" si="11"/>
        <v/>
      </c>
      <c r="T51" s="25">
        <v>1000</v>
      </c>
    </row>
    <row r="52" spans="3:24">
      <c r="C52" s="25" t="str">
        <f t="shared" si="2"/>
        <v/>
      </c>
      <c r="D52" s="150" t="str">
        <f t="shared" si="29"/>
        <v/>
      </c>
      <c r="E52" s="27" t="e">
        <f t="shared" si="28"/>
        <v>#VALUE!</v>
      </c>
      <c r="F52" s="157" t="e">
        <f t="shared" si="10"/>
        <v>#VALUE!</v>
      </c>
      <c r="G52" s="150" t="e">
        <f t="shared" si="4"/>
        <v>#DIV/0!</v>
      </c>
      <c r="H52" s="153" t="e">
        <f t="shared" si="24"/>
        <v>#DIV/0!</v>
      </c>
      <c r="I52" s="157" t="e">
        <f t="shared" si="12"/>
        <v>#DIV/0!</v>
      </c>
      <c r="J52" s="27" t="str">
        <f t="shared" si="11"/>
        <v/>
      </c>
      <c r="T52" s="25">
        <v>900</v>
      </c>
    </row>
    <row r="53" spans="3:24">
      <c r="C53" s="25" t="str">
        <f t="shared" si="2"/>
        <v/>
      </c>
      <c r="D53" s="150" t="str">
        <f t="shared" si="29"/>
        <v/>
      </c>
      <c r="E53" s="27" t="e">
        <f t="shared" si="28"/>
        <v>#VALUE!</v>
      </c>
      <c r="F53" s="157" t="e">
        <f t="shared" si="10"/>
        <v>#VALUE!</v>
      </c>
      <c r="G53" s="150" t="e">
        <f t="shared" si="4"/>
        <v>#DIV/0!</v>
      </c>
      <c r="H53" s="153" t="e">
        <f t="shared" si="24"/>
        <v>#DIV/0!</v>
      </c>
      <c r="I53" s="157" t="e">
        <f t="shared" si="12"/>
        <v>#DIV/0!</v>
      </c>
      <c r="J53" s="27" t="str">
        <f t="shared" si="11"/>
        <v/>
      </c>
      <c r="T53" s="25">
        <v>600</v>
      </c>
    </row>
    <row r="54" spans="3:24">
      <c r="C54" s="25" t="str">
        <f t="shared" si="2"/>
        <v/>
      </c>
      <c r="D54" s="150" t="str">
        <f t="shared" si="29"/>
        <v/>
      </c>
      <c r="E54" s="27" t="e">
        <f t="shared" si="28"/>
        <v>#VALUE!</v>
      </c>
      <c r="F54" s="157" t="e">
        <f t="shared" si="10"/>
        <v>#VALUE!</v>
      </c>
      <c r="G54" s="150" t="e">
        <f t="shared" si="4"/>
        <v>#DIV/0!</v>
      </c>
      <c r="H54" s="153" t="e">
        <f t="shared" si="24"/>
        <v>#DIV/0!</v>
      </c>
      <c r="I54" s="157" t="e">
        <f t="shared" si="12"/>
        <v>#DIV/0!</v>
      </c>
      <c r="J54" s="27" t="str">
        <f t="shared" si="11"/>
        <v/>
      </c>
      <c r="T54" s="25">
        <v>4000</v>
      </c>
    </row>
    <row r="55" spans="3:24">
      <c r="C55" s="25" t="str">
        <f t="shared" si="2"/>
        <v/>
      </c>
      <c r="D55" s="150" t="str">
        <f t="shared" si="29"/>
        <v/>
      </c>
      <c r="E55" s="27" t="e">
        <f t="shared" si="28"/>
        <v>#VALUE!</v>
      </c>
      <c r="F55" s="157" t="e">
        <f t="shared" si="10"/>
        <v>#VALUE!</v>
      </c>
      <c r="G55" s="150" t="e">
        <f t="shared" si="4"/>
        <v>#DIV/0!</v>
      </c>
      <c r="H55" s="153" t="e">
        <f t="shared" si="24"/>
        <v>#DIV/0!</v>
      </c>
      <c r="I55" s="157" t="e">
        <f t="shared" si="12"/>
        <v>#DIV/0!</v>
      </c>
      <c r="J55" s="27" t="str">
        <f t="shared" si="11"/>
        <v/>
      </c>
      <c r="T55" s="25">
        <f>SUM(T51:T54)</f>
        <v>6500</v>
      </c>
      <c r="U55" s="27">
        <f>T55/T57</f>
        <v>0.95588235294117652</v>
      </c>
    </row>
    <row r="56" spans="3:24">
      <c r="C56" s="25" t="str">
        <f t="shared" si="2"/>
        <v/>
      </c>
      <c r="D56" s="150" t="str">
        <f t="shared" si="29"/>
        <v/>
      </c>
      <c r="E56" s="27" t="e">
        <f t="shared" si="28"/>
        <v>#VALUE!</v>
      </c>
      <c r="F56" s="157" t="e">
        <f t="shared" si="10"/>
        <v>#VALUE!</v>
      </c>
      <c r="G56" s="150" t="e">
        <f t="shared" si="4"/>
        <v>#DIV/0!</v>
      </c>
      <c r="H56" s="153" t="e">
        <f t="shared" si="24"/>
        <v>#DIV/0!</v>
      </c>
      <c r="I56" s="157" t="e">
        <f t="shared" si="12"/>
        <v>#DIV/0!</v>
      </c>
      <c r="J56" s="27" t="str">
        <f t="shared" si="11"/>
        <v/>
      </c>
      <c r="T56" s="25">
        <v>300</v>
      </c>
      <c r="U56" s="27">
        <f>T56/T57</f>
        <v>4.4117647058823532E-2</v>
      </c>
    </row>
    <row r="57" spans="3:24">
      <c r="C57" s="25" t="str">
        <f t="shared" si="2"/>
        <v/>
      </c>
      <c r="D57" s="150" t="str">
        <f t="shared" si="29"/>
        <v/>
      </c>
      <c r="E57" s="27" t="e">
        <f t="shared" si="28"/>
        <v>#VALUE!</v>
      </c>
      <c r="F57" s="157" t="e">
        <f t="shared" si="10"/>
        <v>#VALUE!</v>
      </c>
      <c r="G57" s="150" t="e">
        <f t="shared" si="4"/>
        <v>#DIV/0!</v>
      </c>
      <c r="H57" s="153" t="e">
        <f t="shared" si="24"/>
        <v>#DIV/0!</v>
      </c>
      <c r="I57" s="157" t="e">
        <f t="shared" si="12"/>
        <v>#DIV/0!</v>
      </c>
      <c r="J57" s="27" t="str">
        <f t="shared" si="11"/>
        <v/>
      </c>
      <c r="T57" s="25">
        <f>T56+T55</f>
        <v>6800</v>
      </c>
    </row>
    <row r="58" spans="3:24">
      <c r="C58" s="25" t="str">
        <f t="shared" si="2"/>
        <v/>
      </c>
      <c r="D58" s="150" t="str">
        <f t="shared" si="29"/>
        <v/>
      </c>
      <c r="E58" s="27" t="e">
        <f t="shared" si="28"/>
        <v>#VALUE!</v>
      </c>
      <c r="F58" s="157" t="e">
        <f t="shared" si="10"/>
        <v>#VALUE!</v>
      </c>
      <c r="G58" s="150" t="e">
        <f t="shared" si="4"/>
        <v>#DIV/0!</v>
      </c>
      <c r="H58" s="153" t="e">
        <f t="shared" si="24"/>
        <v>#DIV/0!</v>
      </c>
      <c r="I58" s="157" t="e">
        <f t="shared" si="12"/>
        <v>#DIV/0!</v>
      </c>
      <c r="J58" s="27" t="str">
        <f t="shared" si="11"/>
        <v/>
      </c>
    </row>
    <row r="59" spans="3:24">
      <c r="C59" s="25" t="str">
        <f t="shared" si="2"/>
        <v/>
      </c>
      <c r="D59" s="150" t="str">
        <f t="shared" si="29"/>
        <v/>
      </c>
      <c r="E59" s="27" t="e">
        <f t="shared" si="28"/>
        <v>#VALUE!</v>
      </c>
      <c r="F59" s="157" t="e">
        <f t="shared" si="10"/>
        <v>#VALUE!</v>
      </c>
      <c r="G59" s="150" t="e">
        <f t="shared" si="4"/>
        <v>#DIV/0!</v>
      </c>
      <c r="H59" s="153" t="e">
        <f t="shared" si="24"/>
        <v>#DIV/0!</v>
      </c>
      <c r="I59" s="157" t="e">
        <f t="shared" si="12"/>
        <v>#DIV/0!</v>
      </c>
      <c r="J59" s="27" t="str">
        <f t="shared" si="11"/>
        <v/>
      </c>
      <c r="T59" s="25">
        <v>24075676</v>
      </c>
      <c r="U59" s="80">
        <f>T59*U56</f>
        <v>1062162.1764705882</v>
      </c>
    </row>
    <row r="60" spans="3:24">
      <c r="C60" s="25" t="str">
        <f t="shared" si="2"/>
        <v/>
      </c>
      <c r="D60" s="150" t="str">
        <f t="shared" si="29"/>
        <v/>
      </c>
      <c r="E60" s="27" t="e">
        <f t="shared" si="28"/>
        <v>#VALUE!</v>
      </c>
      <c r="F60" s="157" t="e">
        <f t="shared" si="10"/>
        <v>#VALUE!</v>
      </c>
      <c r="G60" s="150" t="e">
        <f t="shared" si="4"/>
        <v>#DIV/0!</v>
      </c>
      <c r="H60" s="153" t="e">
        <f t="shared" si="24"/>
        <v>#DIV/0!</v>
      </c>
      <c r="I60" s="157" t="e">
        <f t="shared" si="12"/>
        <v>#DIV/0!</v>
      </c>
      <c r="J60" s="27" t="str">
        <f t="shared" si="11"/>
        <v/>
      </c>
    </row>
    <row r="61" spans="3:24">
      <c r="C61" s="25" t="str">
        <f t="shared" si="2"/>
        <v/>
      </c>
      <c r="D61" s="150" t="str">
        <f t="shared" si="29"/>
        <v/>
      </c>
      <c r="E61" s="27" t="e">
        <f t="shared" si="28"/>
        <v>#VALUE!</v>
      </c>
      <c r="F61" s="157" t="e">
        <f t="shared" si="10"/>
        <v>#VALUE!</v>
      </c>
      <c r="G61" s="150" t="e">
        <f t="shared" si="4"/>
        <v>#DIV/0!</v>
      </c>
      <c r="H61" s="153" t="e">
        <f t="shared" si="24"/>
        <v>#DIV/0!</v>
      </c>
      <c r="I61" s="157" t="e">
        <f t="shared" si="12"/>
        <v>#DIV/0!</v>
      </c>
      <c r="J61" s="27" t="str">
        <f t="shared" si="11"/>
        <v/>
      </c>
    </row>
    <row r="62" spans="3:24">
      <c r="C62" s="25" t="str">
        <f t="shared" si="2"/>
        <v/>
      </c>
      <c r="D62" s="150" t="str">
        <f t="shared" si="29"/>
        <v/>
      </c>
      <c r="E62" s="27" t="e">
        <f t="shared" ref="E62:E67" si="30">D62/C62</f>
        <v>#VALUE!</v>
      </c>
      <c r="F62" s="157" t="e">
        <f t="shared" si="10"/>
        <v>#VALUE!</v>
      </c>
      <c r="G62" s="150" t="e">
        <f t="shared" si="4"/>
        <v>#DIV/0!</v>
      </c>
      <c r="H62" s="153" t="e">
        <f t="shared" si="24"/>
        <v>#DIV/0!</v>
      </c>
      <c r="I62" s="157" t="e">
        <f t="shared" si="12"/>
        <v>#DIV/0!</v>
      </c>
      <c r="J62" s="27" t="str">
        <f t="shared" si="11"/>
        <v/>
      </c>
      <c r="T62" s="25">
        <v>4100</v>
      </c>
      <c r="U62" s="80">
        <f>T62*20%</f>
        <v>820</v>
      </c>
      <c r="V62" s="190">
        <v>8.5000000000000006E-3</v>
      </c>
      <c r="W62" s="7">
        <f>X62*12</f>
        <v>288</v>
      </c>
      <c r="X62" s="7">
        <v>24</v>
      </c>
    </row>
    <row r="63" spans="3:24">
      <c r="C63" s="25" t="str">
        <f t="shared" si="2"/>
        <v/>
      </c>
      <c r="D63" s="150" t="str">
        <f t="shared" si="29"/>
        <v/>
      </c>
      <c r="E63" s="27" t="e">
        <f t="shared" si="30"/>
        <v>#VALUE!</v>
      </c>
      <c r="F63" s="157" t="e">
        <f t="shared" si="10"/>
        <v>#VALUE!</v>
      </c>
      <c r="G63" s="150" t="e">
        <f t="shared" si="4"/>
        <v>#DIV/0!</v>
      </c>
      <c r="H63" s="153" t="e">
        <f t="shared" si="24"/>
        <v>#DIV/0!</v>
      </c>
      <c r="I63" s="157" t="e">
        <f t="shared" si="12"/>
        <v>#DIV/0!</v>
      </c>
      <c r="J63" s="27" t="str">
        <f t="shared" si="11"/>
        <v/>
      </c>
      <c r="T63" s="25">
        <f>FV(V62,W62,-U62)</f>
        <v>1007747.5093152359</v>
      </c>
    </row>
    <row r="64" spans="3:24">
      <c r="C64" s="25" t="str">
        <f t="shared" si="2"/>
        <v/>
      </c>
      <c r="D64" s="150" t="str">
        <f t="shared" si="29"/>
        <v/>
      </c>
      <c r="E64" s="27" t="e">
        <f t="shared" si="30"/>
        <v>#VALUE!</v>
      </c>
      <c r="F64" s="157" t="e">
        <f t="shared" si="10"/>
        <v>#VALUE!</v>
      </c>
      <c r="G64" s="150" t="e">
        <f t="shared" si="4"/>
        <v>#DIV/0!</v>
      </c>
      <c r="H64" s="153" t="e">
        <f t="shared" si="24"/>
        <v>#DIV/0!</v>
      </c>
      <c r="I64" s="157" t="e">
        <f t="shared" si="12"/>
        <v>#DIV/0!</v>
      </c>
      <c r="J64" s="27" t="str">
        <f t="shared" si="11"/>
        <v/>
      </c>
      <c r="V64" s="80">
        <f>T63*V62*85%</f>
        <v>7280.9757548025791</v>
      </c>
      <c r="W64" s="80">
        <f>V64*60%</f>
        <v>4368.5854528815471</v>
      </c>
    </row>
    <row r="65" spans="3:10">
      <c r="C65" s="25" t="str">
        <f t="shared" si="2"/>
        <v/>
      </c>
      <c r="D65" s="150" t="str">
        <f t="shared" si="29"/>
        <v/>
      </c>
      <c r="E65" s="27" t="e">
        <f t="shared" si="30"/>
        <v>#VALUE!</v>
      </c>
      <c r="F65" s="157" t="e">
        <f t="shared" si="10"/>
        <v>#VALUE!</v>
      </c>
      <c r="G65" s="150" t="e">
        <f t="shared" si="4"/>
        <v>#DIV/0!</v>
      </c>
      <c r="H65" s="153" t="e">
        <f t="shared" si="24"/>
        <v>#DIV/0!</v>
      </c>
      <c r="I65" s="157" t="e">
        <f t="shared" si="12"/>
        <v>#DIV/0!</v>
      </c>
      <c r="J65" s="27" t="str">
        <f t="shared" si="11"/>
        <v/>
      </c>
    </row>
    <row r="66" spans="3:10">
      <c r="C66" s="25" t="str">
        <f t="shared" si="2"/>
        <v/>
      </c>
      <c r="D66" s="150" t="str">
        <f t="shared" si="29"/>
        <v/>
      </c>
      <c r="E66" s="27" t="e">
        <f t="shared" si="30"/>
        <v>#VALUE!</v>
      </c>
      <c r="F66" s="157" t="e">
        <f t="shared" si="10"/>
        <v>#VALUE!</v>
      </c>
      <c r="G66" s="150" t="e">
        <f t="shared" si="4"/>
        <v>#DIV/0!</v>
      </c>
      <c r="H66" s="153" t="e">
        <f t="shared" ref="H66:H80" si="31">G66/C66</f>
        <v>#DIV/0!</v>
      </c>
      <c r="I66" s="157" t="e">
        <f t="shared" si="12"/>
        <v>#DIV/0!</v>
      </c>
      <c r="J66" s="27" t="str">
        <f t="shared" si="11"/>
        <v/>
      </c>
    </row>
    <row r="67" spans="3:10">
      <c r="C67" s="25" t="str">
        <f t="shared" ref="C67:C80" si="32">IF(COUNTBLANK(A67:A75)&gt;0,"",AVERAGE(A67:A75))</f>
        <v/>
      </c>
      <c r="D67" s="150" t="str">
        <f t="shared" si="29"/>
        <v/>
      </c>
      <c r="E67" s="27" t="e">
        <f t="shared" si="30"/>
        <v>#VALUE!</v>
      </c>
      <c r="F67" s="157" t="e">
        <f t="shared" si="10"/>
        <v>#VALUE!</v>
      </c>
      <c r="G67" s="150" t="e">
        <f t="shared" ref="G67:G80" si="33">VAR(A67:A75)</f>
        <v>#DIV/0!</v>
      </c>
      <c r="H67" s="153" t="e">
        <f t="shared" si="31"/>
        <v>#DIV/0!</v>
      </c>
      <c r="I67" s="157" t="e">
        <f t="shared" si="12"/>
        <v>#DIV/0!</v>
      </c>
      <c r="J67" s="27" t="str">
        <f t="shared" si="11"/>
        <v/>
      </c>
    </row>
    <row r="68" spans="3:10">
      <c r="C68" s="25" t="str">
        <f t="shared" si="32"/>
        <v/>
      </c>
      <c r="D68" s="150" t="str">
        <f t="shared" si="29"/>
        <v/>
      </c>
      <c r="E68" s="27" t="e">
        <f t="shared" ref="E68:E80" si="34">D68/C68</f>
        <v>#VALUE!</v>
      </c>
      <c r="F68" s="157" t="e">
        <f t="shared" ref="F68:F80" si="35">E68/E67</f>
        <v>#VALUE!</v>
      </c>
      <c r="G68" s="150" t="e">
        <f t="shared" si="33"/>
        <v>#DIV/0!</v>
      </c>
      <c r="H68" s="153" t="e">
        <f t="shared" si="31"/>
        <v>#DIV/0!</v>
      </c>
      <c r="I68" s="157" t="e">
        <f t="shared" si="12"/>
        <v>#DIV/0!</v>
      </c>
      <c r="J68" s="27" t="str">
        <f t="shared" ref="J68:J80" si="36">IF(COUNTBLANK(B68:B76)&gt;0,"",AVERAGE(B68:B76))</f>
        <v/>
      </c>
    </row>
    <row r="69" spans="3:10">
      <c r="C69" s="25" t="str">
        <f t="shared" si="32"/>
        <v/>
      </c>
      <c r="D69" s="150" t="str">
        <f t="shared" si="29"/>
        <v/>
      </c>
      <c r="E69" s="27" t="e">
        <f t="shared" si="34"/>
        <v>#VALUE!</v>
      </c>
      <c r="F69" s="157" t="e">
        <f t="shared" si="35"/>
        <v>#VALUE!</v>
      </c>
      <c r="G69" s="150" t="e">
        <f t="shared" si="33"/>
        <v>#DIV/0!</v>
      </c>
      <c r="H69" s="153" t="e">
        <f t="shared" si="31"/>
        <v>#DIV/0!</v>
      </c>
      <c r="I69" s="157" t="e">
        <f t="shared" ref="I69:I80" si="37">ROUND(H69/H68,2)</f>
        <v>#DIV/0!</v>
      </c>
      <c r="J69" s="27" t="str">
        <f t="shared" si="36"/>
        <v/>
      </c>
    </row>
    <row r="70" spans="3:10">
      <c r="C70" s="25" t="str">
        <f t="shared" si="32"/>
        <v/>
      </c>
      <c r="D70" s="150" t="str">
        <f t="shared" si="29"/>
        <v/>
      </c>
      <c r="E70" s="27" t="e">
        <f t="shared" si="34"/>
        <v>#VALUE!</v>
      </c>
      <c r="F70" s="157" t="e">
        <f t="shared" si="35"/>
        <v>#VALUE!</v>
      </c>
      <c r="G70" s="150" t="e">
        <f t="shared" si="33"/>
        <v>#DIV/0!</v>
      </c>
      <c r="H70" s="153" t="e">
        <f t="shared" si="31"/>
        <v>#DIV/0!</v>
      </c>
      <c r="I70" s="157" t="e">
        <f t="shared" si="37"/>
        <v>#DIV/0!</v>
      </c>
      <c r="J70" s="27" t="str">
        <f t="shared" si="36"/>
        <v/>
      </c>
    </row>
    <row r="71" spans="3:10">
      <c r="C71" s="25" t="str">
        <f t="shared" si="32"/>
        <v/>
      </c>
      <c r="D71" s="150" t="str">
        <f t="shared" si="29"/>
        <v/>
      </c>
      <c r="E71" s="27" t="e">
        <f t="shared" si="34"/>
        <v>#VALUE!</v>
      </c>
      <c r="F71" s="157" t="e">
        <f t="shared" si="35"/>
        <v>#VALUE!</v>
      </c>
      <c r="G71" s="150" t="e">
        <f t="shared" si="33"/>
        <v>#DIV/0!</v>
      </c>
      <c r="H71" s="153" t="e">
        <f t="shared" si="31"/>
        <v>#DIV/0!</v>
      </c>
      <c r="I71" s="157" t="e">
        <f t="shared" si="37"/>
        <v>#DIV/0!</v>
      </c>
      <c r="J71" s="27" t="str">
        <f t="shared" si="36"/>
        <v/>
      </c>
    </row>
    <row r="72" spans="3:10">
      <c r="C72" s="25" t="str">
        <f t="shared" si="32"/>
        <v/>
      </c>
      <c r="D72" s="150" t="str">
        <f t="shared" si="29"/>
        <v/>
      </c>
      <c r="E72" s="27" t="e">
        <f t="shared" si="34"/>
        <v>#VALUE!</v>
      </c>
      <c r="F72" s="157" t="e">
        <f t="shared" si="35"/>
        <v>#VALUE!</v>
      </c>
      <c r="G72" s="150" t="e">
        <f t="shared" si="33"/>
        <v>#DIV/0!</v>
      </c>
      <c r="H72" s="153" t="e">
        <f t="shared" si="31"/>
        <v>#DIV/0!</v>
      </c>
      <c r="I72" s="157" t="e">
        <f t="shared" si="37"/>
        <v>#DIV/0!</v>
      </c>
      <c r="J72" s="27" t="str">
        <f t="shared" si="36"/>
        <v/>
      </c>
    </row>
    <row r="73" spans="3:10">
      <c r="C73" s="25" t="str">
        <f t="shared" si="32"/>
        <v/>
      </c>
      <c r="D73" s="150" t="str">
        <f t="shared" si="29"/>
        <v/>
      </c>
      <c r="E73" s="27" t="e">
        <f t="shared" si="34"/>
        <v>#VALUE!</v>
      </c>
      <c r="F73" s="157" t="e">
        <f t="shared" si="35"/>
        <v>#VALUE!</v>
      </c>
      <c r="G73" s="150" t="e">
        <f t="shared" si="33"/>
        <v>#DIV/0!</v>
      </c>
      <c r="H73" s="153" t="e">
        <f t="shared" si="31"/>
        <v>#DIV/0!</v>
      </c>
      <c r="I73" s="157" t="e">
        <f t="shared" si="37"/>
        <v>#DIV/0!</v>
      </c>
      <c r="J73" s="27" t="str">
        <f t="shared" si="36"/>
        <v/>
      </c>
    </row>
    <row r="74" spans="3:10">
      <c r="C74" s="25" t="str">
        <f t="shared" si="32"/>
        <v/>
      </c>
      <c r="D74" s="150" t="str">
        <f t="shared" si="29"/>
        <v/>
      </c>
      <c r="E74" s="27" t="e">
        <f t="shared" si="34"/>
        <v>#VALUE!</v>
      </c>
      <c r="F74" s="157" t="e">
        <f t="shared" si="35"/>
        <v>#VALUE!</v>
      </c>
      <c r="G74" s="150" t="e">
        <f t="shared" si="33"/>
        <v>#DIV/0!</v>
      </c>
      <c r="H74" s="153" t="e">
        <f t="shared" si="31"/>
        <v>#DIV/0!</v>
      </c>
      <c r="I74" s="157" t="e">
        <f t="shared" si="37"/>
        <v>#DIV/0!</v>
      </c>
      <c r="J74" s="27" t="str">
        <f t="shared" si="36"/>
        <v/>
      </c>
    </row>
    <row r="75" spans="3:10">
      <c r="C75" s="25" t="str">
        <f t="shared" si="32"/>
        <v/>
      </c>
      <c r="D75" s="150" t="str">
        <f t="shared" si="29"/>
        <v/>
      </c>
      <c r="E75" s="27" t="e">
        <f t="shared" si="34"/>
        <v>#VALUE!</v>
      </c>
      <c r="F75" s="157" t="e">
        <f t="shared" si="35"/>
        <v>#VALUE!</v>
      </c>
      <c r="G75" s="150" t="e">
        <f t="shared" si="33"/>
        <v>#DIV/0!</v>
      </c>
      <c r="H75" s="153" t="e">
        <f t="shared" si="31"/>
        <v>#DIV/0!</v>
      </c>
      <c r="I75" s="157" t="e">
        <f t="shared" si="37"/>
        <v>#DIV/0!</v>
      </c>
      <c r="J75" s="27" t="str">
        <f t="shared" si="36"/>
        <v/>
      </c>
    </row>
    <row r="76" spans="3:10">
      <c r="C76" s="25" t="str">
        <f t="shared" si="32"/>
        <v/>
      </c>
      <c r="D76" s="150" t="str">
        <f t="shared" si="29"/>
        <v/>
      </c>
      <c r="E76" s="27" t="e">
        <f t="shared" si="34"/>
        <v>#VALUE!</v>
      </c>
      <c r="F76" s="157" t="e">
        <f t="shared" si="35"/>
        <v>#VALUE!</v>
      </c>
      <c r="G76" s="150" t="e">
        <f t="shared" si="33"/>
        <v>#DIV/0!</v>
      </c>
      <c r="H76" s="153" t="e">
        <f t="shared" si="31"/>
        <v>#DIV/0!</v>
      </c>
      <c r="I76" s="157" t="e">
        <f t="shared" si="37"/>
        <v>#DIV/0!</v>
      </c>
      <c r="J76" s="27" t="str">
        <f t="shared" si="36"/>
        <v/>
      </c>
    </row>
    <row r="77" spans="3:10">
      <c r="C77" s="25" t="str">
        <f t="shared" si="32"/>
        <v/>
      </c>
      <c r="D77" s="150" t="str">
        <f t="shared" si="29"/>
        <v/>
      </c>
      <c r="E77" s="27" t="e">
        <f t="shared" si="34"/>
        <v>#VALUE!</v>
      </c>
      <c r="F77" s="157" t="e">
        <f t="shared" si="35"/>
        <v>#VALUE!</v>
      </c>
      <c r="G77" s="150" t="e">
        <f t="shared" si="33"/>
        <v>#DIV/0!</v>
      </c>
      <c r="H77" s="153" t="e">
        <f t="shared" si="31"/>
        <v>#DIV/0!</v>
      </c>
      <c r="I77" s="157" t="e">
        <f t="shared" si="37"/>
        <v>#DIV/0!</v>
      </c>
      <c r="J77" s="27" t="str">
        <f t="shared" si="36"/>
        <v/>
      </c>
    </row>
    <row r="78" spans="3:10">
      <c r="C78" s="25" t="str">
        <f t="shared" si="32"/>
        <v/>
      </c>
      <c r="D78" s="150" t="str">
        <f t="shared" si="29"/>
        <v/>
      </c>
      <c r="E78" s="27" t="e">
        <f t="shared" si="34"/>
        <v>#VALUE!</v>
      </c>
      <c r="F78" s="157" t="e">
        <f t="shared" si="35"/>
        <v>#VALUE!</v>
      </c>
      <c r="G78" s="150" t="e">
        <f t="shared" si="33"/>
        <v>#DIV/0!</v>
      </c>
      <c r="H78" s="153" t="e">
        <f t="shared" si="31"/>
        <v>#DIV/0!</v>
      </c>
      <c r="I78" s="157" t="e">
        <f t="shared" si="37"/>
        <v>#DIV/0!</v>
      </c>
      <c r="J78" s="27" t="str">
        <f t="shared" si="36"/>
        <v/>
      </c>
    </row>
    <row r="79" spans="3:10">
      <c r="C79" s="25" t="str">
        <f t="shared" si="32"/>
        <v/>
      </c>
      <c r="D79" s="150" t="str">
        <f t="shared" si="29"/>
        <v/>
      </c>
      <c r="E79" s="27" t="e">
        <f t="shared" si="34"/>
        <v>#VALUE!</v>
      </c>
      <c r="F79" s="157" t="e">
        <f t="shared" si="35"/>
        <v>#VALUE!</v>
      </c>
      <c r="G79" s="150" t="e">
        <f t="shared" si="33"/>
        <v>#DIV/0!</v>
      </c>
      <c r="H79" s="153" t="e">
        <f t="shared" si="31"/>
        <v>#DIV/0!</v>
      </c>
      <c r="I79" s="157" t="e">
        <f t="shared" si="37"/>
        <v>#DIV/0!</v>
      </c>
      <c r="J79" s="27" t="str">
        <f t="shared" si="36"/>
        <v/>
      </c>
    </row>
    <row r="80" spans="3:10">
      <c r="C80" s="25" t="str">
        <f t="shared" si="32"/>
        <v/>
      </c>
      <c r="D80" s="150" t="str">
        <f t="shared" si="29"/>
        <v/>
      </c>
      <c r="E80" s="27" t="e">
        <f t="shared" si="34"/>
        <v>#VALUE!</v>
      </c>
      <c r="F80" s="157" t="e">
        <f t="shared" si="35"/>
        <v>#VALUE!</v>
      </c>
      <c r="G80" s="150" t="e">
        <f t="shared" si="33"/>
        <v>#DIV/0!</v>
      </c>
      <c r="H80" s="153" t="e">
        <f t="shared" si="31"/>
        <v>#DIV/0!</v>
      </c>
      <c r="I80" s="157" t="e">
        <f t="shared" si="37"/>
        <v>#DIV/0!</v>
      </c>
      <c r="J80" s="27" t="str">
        <f t="shared" si="36"/>
        <v/>
      </c>
    </row>
  </sheetData>
  <conditionalFormatting sqref="I4:I80">
    <cfRule type="cellIs" dxfId="63" priority="1" operator="lessThanOrEqual">
      <formula>0.5</formula>
    </cfRule>
    <cfRule type="cellIs" dxfId="62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1"/>
  <dimension ref="A1:R243"/>
  <sheetViews>
    <sheetView workbookViewId="0">
      <selection activeCell="K17" sqref="K17"/>
    </sheetView>
  </sheetViews>
  <sheetFormatPr defaultRowHeight="10.5"/>
  <cols>
    <col min="1" max="1" width="9.140625" style="184"/>
    <col min="2" max="2" width="11.140625" style="184" customWidth="1"/>
    <col min="3" max="8" width="9.140625" style="184"/>
    <col min="9" max="9" width="11.28515625" style="184" customWidth="1"/>
    <col min="10" max="10" width="9.140625" style="184"/>
    <col min="11" max="11" width="12.7109375" style="184" customWidth="1"/>
    <col min="12" max="16384" width="9.140625" style="184"/>
  </cols>
  <sheetData>
    <row r="1" spans="1:16">
      <c r="A1" s="168" t="s">
        <v>191</v>
      </c>
      <c r="B1" s="169" t="s">
        <v>202</v>
      </c>
      <c r="C1" s="168" t="s">
        <v>192</v>
      </c>
      <c r="D1" s="168" t="s">
        <v>193</v>
      </c>
      <c r="E1" s="168" t="s">
        <v>194</v>
      </c>
      <c r="F1" s="168" t="s">
        <v>195</v>
      </c>
      <c r="G1" s="168" t="s">
        <v>203</v>
      </c>
      <c r="H1" s="168" t="s">
        <v>204</v>
      </c>
      <c r="I1" s="169" t="s">
        <v>205</v>
      </c>
      <c r="J1" s="168" t="s">
        <v>208</v>
      </c>
      <c r="K1" s="168" t="s">
        <v>196</v>
      </c>
      <c r="L1" s="168" t="s">
        <v>197</v>
      </c>
      <c r="M1" s="168" t="s">
        <v>198</v>
      </c>
      <c r="N1" s="168" t="s">
        <v>199</v>
      </c>
      <c r="O1" s="196" t="s">
        <v>15</v>
      </c>
    </row>
    <row r="2" spans="1:16">
      <c r="A2" s="163">
        <v>23618520</v>
      </c>
      <c r="B2" s="162" t="s">
        <v>243</v>
      </c>
      <c r="C2" s="163" t="s">
        <v>226</v>
      </c>
      <c r="D2" s="163">
        <v>0.4</v>
      </c>
      <c r="E2" s="163" t="s">
        <v>227</v>
      </c>
      <c r="F2" s="163">
        <v>0.87748999999999999</v>
      </c>
      <c r="G2" s="163">
        <v>0</v>
      </c>
      <c r="H2" s="163">
        <v>0</v>
      </c>
      <c r="I2" s="162" t="s">
        <v>244</v>
      </c>
      <c r="J2" s="163">
        <v>0.87436999999999998</v>
      </c>
      <c r="K2" s="165" t="s">
        <v>232</v>
      </c>
      <c r="L2" s="165"/>
      <c r="M2" s="165"/>
      <c r="N2" s="163">
        <v>-124.8</v>
      </c>
      <c r="O2" s="197">
        <f>N2</f>
        <v>-124.8</v>
      </c>
      <c r="P2" s="184">
        <v>-27.81</v>
      </c>
    </row>
    <row r="3" spans="1:16" ht="12.75">
      <c r="A3" s="165"/>
      <c r="B3" s="167"/>
      <c r="C3" s="167"/>
      <c r="D3" s="167"/>
      <c r="E3" s="167"/>
      <c r="F3" s="167"/>
      <c r="G3" s="167"/>
      <c r="H3" s="167"/>
      <c r="I3" s="167"/>
      <c r="J3" s="165">
        <v>16384</v>
      </c>
      <c r="K3" s="161">
        <v>0</v>
      </c>
      <c r="L3" s="161">
        <v>0</v>
      </c>
      <c r="M3" s="161">
        <v>-0.75</v>
      </c>
      <c r="N3" s="198"/>
      <c r="O3" s="197">
        <f t="shared" ref="O3:O25" si="0">N3</f>
        <v>0</v>
      </c>
    </row>
    <row r="4" spans="1:16">
      <c r="A4" s="161">
        <v>23614229</v>
      </c>
      <c r="B4" s="160" t="s">
        <v>245</v>
      </c>
      <c r="C4" s="161" t="s">
        <v>217</v>
      </c>
      <c r="D4" s="161">
        <v>0.39</v>
      </c>
      <c r="E4" s="161" t="s">
        <v>228</v>
      </c>
      <c r="F4" s="166">
        <v>112521</v>
      </c>
      <c r="G4" s="161">
        <v>0</v>
      </c>
      <c r="H4" s="161">
        <v>0</v>
      </c>
      <c r="I4" s="160" t="s">
        <v>246</v>
      </c>
      <c r="J4" s="166">
        <v>112397</v>
      </c>
      <c r="K4" s="161" t="s">
        <v>232</v>
      </c>
      <c r="L4" s="161"/>
      <c r="M4" s="161"/>
      <c r="N4" s="161">
        <v>43.03</v>
      </c>
      <c r="O4" s="197">
        <f t="shared" si="0"/>
        <v>43.03</v>
      </c>
    </row>
    <row r="5" spans="1:16" ht="12.75">
      <c r="A5" s="161"/>
      <c r="B5" s="159"/>
      <c r="C5" s="159"/>
      <c r="D5" s="159"/>
      <c r="E5" s="159"/>
      <c r="F5" s="159"/>
      <c r="G5" s="159"/>
      <c r="H5" s="159"/>
      <c r="I5" s="159"/>
      <c r="J5" s="161">
        <v>16384</v>
      </c>
      <c r="K5" s="163">
        <v>0</v>
      </c>
      <c r="L5" s="163">
        <v>0</v>
      </c>
      <c r="M5" s="163">
        <v>0</v>
      </c>
      <c r="N5" s="198"/>
      <c r="O5" s="197">
        <f t="shared" si="0"/>
        <v>0</v>
      </c>
    </row>
    <row r="6" spans="1:16">
      <c r="A6" s="163">
        <v>23621033</v>
      </c>
      <c r="B6" s="162" t="s">
        <v>247</v>
      </c>
      <c r="C6" s="163" t="s">
        <v>217</v>
      </c>
      <c r="D6" s="163">
        <v>0.3</v>
      </c>
      <c r="E6" s="163" t="s">
        <v>227</v>
      </c>
      <c r="F6" s="163">
        <v>0.87348999999999999</v>
      </c>
      <c r="G6" s="163">
        <v>0</v>
      </c>
      <c r="H6" s="163">
        <v>0</v>
      </c>
      <c r="I6" s="162" t="s">
        <v>248</v>
      </c>
      <c r="J6" s="163">
        <v>0.87765000000000004</v>
      </c>
      <c r="K6" s="165" t="s">
        <v>232</v>
      </c>
      <c r="L6" s="165"/>
      <c r="M6" s="165"/>
      <c r="N6" s="163">
        <v>-124.8</v>
      </c>
      <c r="O6" s="197">
        <f t="shared" si="0"/>
        <v>-124.8</v>
      </c>
    </row>
    <row r="7" spans="1:16" ht="12.75">
      <c r="A7" s="165"/>
      <c r="B7" s="167"/>
      <c r="C7" s="167"/>
      <c r="D7" s="167"/>
      <c r="E7" s="167"/>
      <c r="F7" s="167"/>
      <c r="G7" s="167"/>
      <c r="H7" s="167"/>
      <c r="I7" s="167"/>
      <c r="J7" s="165">
        <v>16384</v>
      </c>
      <c r="K7" s="161">
        <v>0</v>
      </c>
      <c r="L7" s="161">
        <v>0</v>
      </c>
      <c r="M7" s="161">
        <v>-1.38</v>
      </c>
      <c r="N7" s="198"/>
      <c r="O7" s="197">
        <f t="shared" si="0"/>
        <v>0</v>
      </c>
    </row>
    <row r="8" spans="1:16">
      <c r="A8" s="161">
        <v>23612754</v>
      </c>
      <c r="B8" s="160" t="s">
        <v>249</v>
      </c>
      <c r="C8" s="161" t="s">
        <v>226</v>
      </c>
      <c r="D8" s="161">
        <v>0.34</v>
      </c>
      <c r="E8" s="161" t="s">
        <v>229</v>
      </c>
      <c r="F8" s="166">
        <v>128069</v>
      </c>
      <c r="G8" s="161">
        <v>0</v>
      </c>
      <c r="H8" s="161">
        <v>0</v>
      </c>
      <c r="I8" s="160" t="s">
        <v>250</v>
      </c>
      <c r="J8" s="166">
        <v>128232</v>
      </c>
      <c r="K8" s="161" t="s">
        <v>232</v>
      </c>
      <c r="L8" s="161"/>
      <c r="M8" s="161"/>
      <c r="N8" s="161">
        <v>55.42</v>
      </c>
      <c r="O8" s="197">
        <f t="shared" si="0"/>
        <v>55.42</v>
      </c>
    </row>
    <row r="9" spans="1:16" ht="12.75">
      <c r="A9" s="161"/>
      <c r="B9" s="159"/>
      <c r="C9" s="159"/>
      <c r="D9" s="159"/>
      <c r="E9" s="159"/>
      <c r="F9" s="159"/>
      <c r="G9" s="159"/>
      <c r="H9" s="159"/>
      <c r="I9" s="159"/>
      <c r="J9" s="161">
        <v>16384</v>
      </c>
      <c r="K9" s="163">
        <v>0</v>
      </c>
      <c r="L9" s="163">
        <v>0</v>
      </c>
      <c r="M9" s="163">
        <v>-1.43</v>
      </c>
      <c r="N9" s="198"/>
      <c r="O9" s="197">
        <f t="shared" si="0"/>
        <v>0</v>
      </c>
    </row>
    <row r="10" spans="1:16">
      <c r="A10" s="163">
        <v>23612834</v>
      </c>
      <c r="B10" s="162" t="s">
        <v>251</v>
      </c>
      <c r="C10" s="163" t="s">
        <v>217</v>
      </c>
      <c r="D10" s="163">
        <v>0.47</v>
      </c>
      <c r="E10" s="163" t="s">
        <v>190</v>
      </c>
      <c r="F10" s="163">
        <v>0.94238999999999995</v>
      </c>
      <c r="G10" s="163">
        <v>0</v>
      </c>
      <c r="H10" s="163">
        <v>0</v>
      </c>
      <c r="I10" s="162" t="s">
        <v>252</v>
      </c>
      <c r="J10" s="163">
        <v>0.94113999999999998</v>
      </c>
      <c r="K10" s="165" t="s">
        <v>232</v>
      </c>
      <c r="L10" s="165"/>
      <c r="M10" s="165"/>
      <c r="N10" s="163">
        <v>62.42</v>
      </c>
      <c r="O10" s="197">
        <f t="shared" si="0"/>
        <v>62.42</v>
      </c>
    </row>
    <row r="11" spans="1:16" ht="12.75">
      <c r="A11" s="165"/>
      <c r="B11" s="167"/>
      <c r="C11" s="167"/>
      <c r="D11" s="167"/>
      <c r="E11" s="167"/>
      <c r="F11" s="167"/>
      <c r="G11" s="167"/>
      <c r="H11" s="167"/>
      <c r="I11" s="167"/>
      <c r="J11" s="165">
        <v>16384</v>
      </c>
      <c r="K11" s="161">
        <v>0</v>
      </c>
      <c r="L11" s="161">
        <v>0</v>
      </c>
      <c r="M11" s="161">
        <v>0</v>
      </c>
      <c r="N11" s="198"/>
      <c r="O11" s="197">
        <f t="shared" si="0"/>
        <v>0</v>
      </c>
    </row>
    <row r="12" spans="1:16">
      <c r="A12" s="161">
        <v>23618058</v>
      </c>
      <c r="B12" s="160" t="s">
        <v>253</v>
      </c>
      <c r="C12" s="161" t="s">
        <v>226</v>
      </c>
      <c r="D12" s="161">
        <v>0.14000000000000001</v>
      </c>
      <c r="E12" s="161" t="s">
        <v>225</v>
      </c>
      <c r="F12" s="166">
        <v>160872</v>
      </c>
      <c r="G12" s="161">
        <v>0</v>
      </c>
      <c r="H12" s="161">
        <v>0</v>
      </c>
      <c r="I12" s="160" t="s">
        <v>254</v>
      </c>
      <c r="J12" s="166">
        <v>161127</v>
      </c>
      <c r="K12" s="161" t="s">
        <v>232</v>
      </c>
      <c r="L12" s="161"/>
      <c r="M12" s="161"/>
      <c r="N12" s="161">
        <v>35.700000000000003</v>
      </c>
      <c r="O12" s="197">
        <f t="shared" si="0"/>
        <v>35.700000000000003</v>
      </c>
    </row>
    <row r="13" spans="1:16" ht="12.75">
      <c r="A13" s="161"/>
      <c r="B13" s="159"/>
      <c r="C13" s="159"/>
      <c r="D13" s="159"/>
      <c r="E13" s="159"/>
      <c r="F13" s="159"/>
      <c r="G13" s="159"/>
      <c r="H13" s="159"/>
      <c r="I13" s="159"/>
      <c r="J13" s="161">
        <v>16384</v>
      </c>
      <c r="K13" s="163">
        <v>0</v>
      </c>
      <c r="L13" s="163">
        <v>0</v>
      </c>
      <c r="M13" s="163">
        <v>-1.54</v>
      </c>
      <c r="N13" s="198"/>
      <c r="O13" s="197">
        <f t="shared" si="0"/>
        <v>0</v>
      </c>
    </row>
    <row r="14" spans="1:16">
      <c r="A14" s="163">
        <v>23602824</v>
      </c>
      <c r="B14" s="162" t="s">
        <v>255</v>
      </c>
      <c r="C14" s="163" t="s">
        <v>226</v>
      </c>
      <c r="D14" s="163">
        <v>0.38</v>
      </c>
      <c r="E14" s="163" t="s">
        <v>229</v>
      </c>
      <c r="F14" s="164">
        <v>127830</v>
      </c>
      <c r="G14" s="163">
        <v>0</v>
      </c>
      <c r="H14" s="163">
        <v>0</v>
      </c>
      <c r="I14" s="162" t="s">
        <v>256</v>
      </c>
      <c r="J14" s="164">
        <v>128339</v>
      </c>
      <c r="K14" s="165" t="s">
        <v>242</v>
      </c>
      <c r="L14" s="165"/>
      <c r="M14" s="165"/>
      <c r="N14" s="163">
        <v>193.42</v>
      </c>
      <c r="O14" s="197">
        <f t="shared" si="0"/>
        <v>193.42</v>
      </c>
    </row>
    <row r="15" spans="1:16" ht="12.75">
      <c r="A15" s="165"/>
      <c r="B15" s="167"/>
      <c r="C15" s="167"/>
      <c r="D15" s="167"/>
      <c r="E15" s="167"/>
      <c r="F15" s="167"/>
      <c r="G15" s="167"/>
      <c r="H15" s="167"/>
      <c r="I15" s="167"/>
      <c r="J15" s="165">
        <v>16384</v>
      </c>
      <c r="K15" s="161">
        <v>0</v>
      </c>
      <c r="L15" s="161">
        <v>0</v>
      </c>
      <c r="M15" s="161">
        <v>-0.56999999999999995</v>
      </c>
      <c r="N15" s="198"/>
      <c r="O15" s="197">
        <f t="shared" si="0"/>
        <v>0</v>
      </c>
    </row>
    <row r="16" spans="1:16">
      <c r="A16" s="161">
        <v>23615843</v>
      </c>
      <c r="B16" s="160" t="s">
        <v>257</v>
      </c>
      <c r="C16" s="161" t="s">
        <v>217</v>
      </c>
      <c r="D16" s="161">
        <v>0.34</v>
      </c>
      <c r="E16" s="161" t="s">
        <v>230</v>
      </c>
      <c r="F16" s="161">
        <v>0.79637000000000002</v>
      </c>
      <c r="G16" s="161">
        <v>0</v>
      </c>
      <c r="H16" s="161">
        <v>0</v>
      </c>
      <c r="I16" s="160" t="s">
        <v>258</v>
      </c>
      <c r="J16" s="161">
        <v>0.79522999999999999</v>
      </c>
      <c r="K16" s="161" t="s">
        <v>232</v>
      </c>
      <c r="L16" s="161"/>
      <c r="M16" s="161"/>
      <c r="N16" s="161">
        <v>62.51</v>
      </c>
      <c r="O16" s="197">
        <f t="shared" si="0"/>
        <v>62.51</v>
      </c>
    </row>
    <row r="17" spans="1:17" ht="12.75">
      <c r="A17" s="161"/>
      <c r="B17" s="159"/>
      <c r="C17" s="159"/>
      <c r="D17" s="159"/>
      <c r="E17" s="159"/>
      <c r="F17" s="159"/>
      <c r="G17" s="159"/>
      <c r="H17" s="159"/>
      <c r="I17" s="159"/>
      <c r="J17" s="161">
        <v>16384</v>
      </c>
      <c r="K17" s="163">
        <v>0</v>
      </c>
      <c r="L17" s="163">
        <v>0</v>
      </c>
      <c r="M17" s="163">
        <v>0</v>
      </c>
      <c r="N17" s="198"/>
      <c r="O17" s="197">
        <f t="shared" si="0"/>
        <v>0</v>
      </c>
    </row>
    <row r="18" spans="1:17">
      <c r="A18" s="163">
        <v>23622741</v>
      </c>
      <c r="B18" s="162" t="s">
        <v>259</v>
      </c>
      <c r="C18" s="163" t="s">
        <v>226</v>
      </c>
      <c r="D18" s="163">
        <v>0.27</v>
      </c>
      <c r="E18" s="163" t="s">
        <v>227</v>
      </c>
      <c r="F18" s="163">
        <v>0.87846000000000002</v>
      </c>
      <c r="G18" s="163">
        <v>0</v>
      </c>
      <c r="H18" s="163">
        <v>0</v>
      </c>
      <c r="I18" s="162" t="s">
        <v>260</v>
      </c>
      <c r="J18" s="163">
        <v>0.88078000000000001</v>
      </c>
      <c r="K18" s="165" t="s">
        <v>232</v>
      </c>
      <c r="L18" s="165"/>
      <c r="M18" s="165"/>
      <c r="N18" s="163">
        <v>62.64</v>
      </c>
      <c r="O18" s="197">
        <f t="shared" si="0"/>
        <v>62.64</v>
      </c>
    </row>
    <row r="19" spans="1:17" ht="12.75">
      <c r="A19" s="165"/>
      <c r="B19" s="167"/>
      <c r="C19" s="167"/>
      <c r="D19" s="167"/>
      <c r="E19" s="167"/>
      <c r="F19" s="167"/>
      <c r="G19" s="167"/>
      <c r="H19" s="167"/>
      <c r="I19" s="167"/>
      <c r="J19" s="165">
        <v>16384</v>
      </c>
      <c r="K19" s="161">
        <v>0</v>
      </c>
      <c r="L19" s="161">
        <v>0</v>
      </c>
      <c r="M19" s="161">
        <v>0</v>
      </c>
      <c r="N19" s="198"/>
      <c r="O19" s="197">
        <f t="shared" si="0"/>
        <v>0</v>
      </c>
    </row>
    <row r="20" spans="1:17">
      <c r="A20" s="161">
        <v>23621706</v>
      </c>
      <c r="B20" s="160" t="s">
        <v>261</v>
      </c>
      <c r="C20" s="161" t="s">
        <v>217</v>
      </c>
      <c r="D20" s="161">
        <v>0.28000000000000003</v>
      </c>
      <c r="E20" s="161" t="s">
        <v>228</v>
      </c>
      <c r="F20" s="166">
        <v>112355</v>
      </c>
      <c r="G20" s="161">
        <v>0</v>
      </c>
      <c r="H20" s="161">
        <v>0</v>
      </c>
      <c r="I20" s="160" t="s">
        <v>262</v>
      </c>
      <c r="J20" s="166">
        <v>112184</v>
      </c>
      <c r="K20" s="161" t="s">
        <v>232</v>
      </c>
      <c r="L20" s="161"/>
      <c r="M20" s="161"/>
      <c r="N20" s="161">
        <v>42.68</v>
      </c>
      <c r="O20" s="197">
        <f t="shared" si="0"/>
        <v>42.68</v>
      </c>
    </row>
    <row r="21" spans="1:17" ht="12.75">
      <c r="A21" s="161"/>
      <c r="B21" s="159"/>
      <c r="C21" s="159"/>
      <c r="D21" s="159"/>
      <c r="E21" s="159"/>
      <c r="F21" s="159"/>
      <c r="G21" s="159"/>
      <c r="H21" s="159"/>
      <c r="I21" s="159"/>
      <c r="J21" s="161">
        <v>16384</v>
      </c>
      <c r="K21" s="163">
        <v>0</v>
      </c>
      <c r="L21" s="163">
        <v>0</v>
      </c>
      <c r="M21" s="163">
        <v>0</v>
      </c>
      <c r="N21" s="198"/>
      <c r="O21" s="197">
        <f t="shared" si="0"/>
        <v>0</v>
      </c>
    </row>
    <row r="22" spans="1:17">
      <c r="A22" s="163">
        <v>23626137</v>
      </c>
      <c r="B22" s="162" t="s">
        <v>263</v>
      </c>
      <c r="C22" s="163" t="s">
        <v>226</v>
      </c>
      <c r="D22" s="163">
        <v>0.43</v>
      </c>
      <c r="E22" s="163" t="s">
        <v>229</v>
      </c>
      <c r="F22" s="164">
        <v>127972</v>
      </c>
      <c r="G22" s="163">
        <v>0</v>
      </c>
      <c r="H22" s="163">
        <v>0</v>
      </c>
      <c r="I22" s="162" t="s">
        <v>264</v>
      </c>
      <c r="J22" s="164">
        <v>127937</v>
      </c>
      <c r="K22" s="165" t="s">
        <v>235</v>
      </c>
      <c r="L22" s="165"/>
      <c r="M22" s="165"/>
      <c r="N22" s="163">
        <v>-15.05</v>
      </c>
      <c r="O22" s="197">
        <f t="shared" si="0"/>
        <v>-15.05</v>
      </c>
      <c r="Q22" s="184">
        <v>15683.31</v>
      </c>
    </row>
    <row r="23" spans="1:17" ht="12.75">
      <c r="A23" s="165"/>
      <c r="B23" s="167"/>
      <c r="C23" s="167"/>
      <c r="D23" s="167"/>
      <c r="E23" s="167"/>
      <c r="F23" s="167"/>
      <c r="G23" s="167"/>
      <c r="H23" s="167"/>
      <c r="I23" s="167"/>
      <c r="J23" s="165">
        <v>16384</v>
      </c>
      <c r="K23" s="161">
        <v>0</v>
      </c>
      <c r="L23" s="161">
        <v>0</v>
      </c>
      <c r="M23" s="161">
        <v>0</v>
      </c>
      <c r="N23" s="198"/>
      <c r="O23" s="197">
        <f t="shared" si="0"/>
        <v>0</v>
      </c>
      <c r="Q23" s="184">
        <v>535.97</v>
      </c>
    </row>
    <row r="24" spans="1:17">
      <c r="A24" s="161">
        <v>23618470</v>
      </c>
      <c r="B24" s="160" t="s">
        <v>265</v>
      </c>
      <c r="C24" s="161" t="s">
        <v>226</v>
      </c>
      <c r="D24" s="161">
        <v>0.37</v>
      </c>
      <c r="E24" s="161" t="s">
        <v>241</v>
      </c>
      <c r="F24" s="166">
        <v>106454</v>
      </c>
      <c r="G24" s="161">
        <v>0</v>
      </c>
      <c r="H24" s="161">
        <v>0</v>
      </c>
      <c r="I24" s="160" t="s">
        <v>266</v>
      </c>
      <c r="J24" s="166">
        <v>106653</v>
      </c>
      <c r="K24" s="161" t="s">
        <v>232</v>
      </c>
      <c r="L24" s="161"/>
      <c r="M24" s="161"/>
      <c r="N24" s="161">
        <v>69.040000000000006</v>
      </c>
      <c r="O24" s="197">
        <f t="shared" si="0"/>
        <v>69.040000000000006</v>
      </c>
      <c r="Q24" s="184">
        <f>Q22-Q23</f>
        <v>15147.34</v>
      </c>
    </row>
    <row r="25" spans="1:17" ht="12.75">
      <c r="A25" s="161"/>
      <c r="B25" s="159"/>
      <c r="C25" s="159"/>
      <c r="D25" s="159"/>
      <c r="E25" s="159"/>
      <c r="F25" s="159"/>
      <c r="G25" s="159"/>
      <c r="H25" s="159"/>
      <c r="I25" s="159"/>
      <c r="J25" s="161">
        <v>16384</v>
      </c>
      <c r="K25" s="163">
        <v>0</v>
      </c>
      <c r="L25" s="163">
        <v>0</v>
      </c>
      <c r="M25" s="163">
        <v>0</v>
      </c>
      <c r="N25" s="198"/>
      <c r="O25" s="197">
        <f t="shared" si="0"/>
        <v>0</v>
      </c>
    </row>
    <row r="26" spans="1:17">
      <c r="A26" s="163">
        <v>23626922</v>
      </c>
      <c r="B26" s="162" t="s">
        <v>267</v>
      </c>
      <c r="C26" s="163" t="s">
        <v>217</v>
      </c>
      <c r="D26" s="163">
        <v>0.66</v>
      </c>
      <c r="E26" s="163" t="s">
        <v>228</v>
      </c>
      <c r="F26" s="164">
        <v>112532</v>
      </c>
      <c r="G26" s="163">
        <v>0</v>
      </c>
      <c r="H26" s="163">
        <v>0</v>
      </c>
      <c r="I26" s="162" t="s">
        <v>268</v>
      </c>
      <c r="J26" s="164">
        <v>112325</v>
      </c>
      <c r="K26" s="165" t="s">
        <v>234</v>
      </c>
      <c r="L26" s="165"/>
      <c r="M26" s="165"/>
      <c r="N26" s="163">
        <v>121.63</v>
      </c>
    </row>
    <row r="27" spans="1:17" ht="12.75">
      <c r="A27" s="165"/>
      <c r="B27" s="167"/>
      <c r="C27" s="167"/>
      <c r="D27" s="167"/>
      <c r="E27" s="167"/>
      <c r="F27" s="167"/>
      <c r="G27" s="167"/>
      <c r="H27" s="167"/>
      <c r="I27" s="167"/>
      <c r="J27" s="165">
        <v>16384</v>
      </c>
      <c r="K27" s="161">
        <v>0</v>
      </c>
      <c r="L27" s="161">
        <v>0</v>
      </c>
      <c r="M27" s="161">
        <v>0</v>
      </c>
      <c r="N27" s="198"/>
    </row>
    <row r="28" spans="1:17">
      <c r="A28" s="161">
        <v>23624719</v>
      </c>
      <c r="B28" s="160" t="s">
        <v>269</v>
      </c>
      <c r="C28" s="161" t="s">
        <v>217</v>
      </c>
      <c r="D28" s="161">
        <v>0.41</v>
      </c>
      <c r="E28" s="161" t="s">
        <v>230</v>
      </c>
      <c r="F28" s="161">
        <v>0.79491999999999996</v>
      </c>
      <c r="G28" s="161">
        <v>0</v>
      </c>
      <c r="H28" s="161">
        <v>0</v>
      </c>
      <c r="I28" s="160" t="s">
        <v>270</v>
      </c>
      <c r="J28" s="161">
        <v>0.79329000000000005</v>
      </c>
      <c r="K28" s="161" t="s">
        <v>232</v>
      </c>
      <c r="L28" s="161"/>
      <c r="M28" s="161"/>
      <c r="N28" s="161">
        <v>107.6</v>
      </c>
    </row>
    <row r="29" spans="1:17" ht="12.75">
      <c r="A29" s="161"/>
      <c r="B29" s="159"/>
      <c r="C29" s="159"/>
      <c r="D29" s="159"/>
      <c r="E29" s="159"/>
      <c r="F29" s="159"/>
      <c r="G29" s="159"/>
      <c r="H29" s="159"/>
      <c r="I29" s="159"/>
      <c r="J29" s="161">
        <v>16384</v>
      </c>
      <c r="K29" s="163">
        <v>0</v>
      </c>
      <c r="L29" s="163">
        <v>0</v>
      </c>
      <c r="M29" s="163">
        <v>0</v>
      </c>
      <c r="N29" s="198"/>
    </row>
    <row r="30" spans="1:17">
      <c r="A30" s="163">
        <v>23622828</v>
      </c>
      <c r="B30" s="162" t="s">
        <v>252</v>
      </c>
      <c r="C30" s="163" t="s">
        <v>217</v>
      </c>
      <c r="D30" s="163">
        <v>0.28000000000000003</v>
      </c>
      <c r="E30" s="163" t="s">
        <v>190</v>
      </c>
      <c r="F30" s="163">
        <v>0.94072</v>
      </c>
      <c r="G30" s="163">
        <v>0</v>
      </c>
      <c r="H30" s="163">
        <v>0</v>
      </c>
      <c r="I30" s="162" t="s">
        <v>271</v>
      </c>
      <c r="J30" s="163">
        <v>0.94701999999999997</v>
      </c>
      <c r="K30" s="165" t="s">
        <v>232</v>
      </c>
      <c r="L30" s="165"/>
      <c r="M30" s="165"/>
      <c r="N30" s="163">
        <v>-186.27</v>
      </c>
    </row>
    <row r="31" spans="1:17" ht="12.75">
      <c r="A31" s="165"/>
      <c r="B31" s="167"/>
      <c r="C31" s="167"/>
      <c r="D31" s="167"/>
      <c r="E31" s="167"/>
      <c r="F31" s="167"/>
      <c r="G31" s="167"/>
      <c r="H31" s="167"/>
      <c r="I31" s="167"/>
      <c r="J31" s="165">
        <v>16384</v>
      </c>
      <c r="K31" s="161">
        <v>0</v>
      </c>
      <c r="L31" s="161">
        <v>0</v>
      </c>
      <c r="M31" s="161">
        <v>0</v>
      </c>
      <c r="N31" s="198"/>
    </row>
    <row r="32" spans="1:17">
      <c r="A32" s="161">
        <v>23622724</v>
      </c>
      <c r="B32" s="160" t="s">
        <v>250</v>
      </c>
      <c r="C32" s="161" t="s">
        <v>226</v>
      </c>
      <c r="D32" s="161">
        <v>0.24</v>
      </c>
      <c r="E32" s="161" t="s">
        <v>229</v>
      </c>
      <c r="F32" s="166">
        <v>128258</v>
      </c>
      <c r="G32" s="161">
        <v>0</v>
      </c>
      <c r="H32" s="161">
        <v>0</v>
      </c>
      <c r="I32" s="160" t="s">
        <v>272</v>
      </c>
      <c r="J32" s="166">
        <v>127528</v>
      </c>
      <c r="K32" s="161" t="s">
        <v>232</v>
      </c>
      <c r="L32" s="161"/>
      <c r="M32" s="161"/>
      <c r="N32" s="161">
        <v>-175.2</v>
      </c>
    </row>
    <row r="33" spans="1:14" ht="12.75">
      <c r="A33" s="161"/>
      <c r="B33" s="159"/>
      <c r="C33" s="159"/>
      <c r="D33" s="159"/>
      <c r="E33" s="159"/>
      <c r="F33" s="159"/>
      <c r="G33" s="159"/>
      <c r="H33" s="159"/>
      <c r="I33" s="159"/>
      <c r="J33" s="161">
        <v>16384</v>
      </c>
      <c r="K33" s="163">
        <v>0</v>
      </c>
      <c r="L33" s="163">
        <v>0</v>
      </c>
      <c r="M33" s="163">
        <v>0</v>
      </c>
      <c r="N33" s="198"/>
    </row>
    <row r="34" spans="1:14">
      <c r="A34" s="163">
        <v>23626160</v>
      </c>
      <c r="B34" s="162" t="s">
        <v>273</v>
      </c>
      <c r="C34" s="163" t="s">
        <v>217</v>
      </c>
      <c r="D34" s="163">
        <v>0.55000000000000004</v>
      </c>
      <c r="E34" s="163" t="s">
        <v>190</v>
      </c>
      <c r="F34" s="163">
        <v>0.94338999999999995</v>
      </c>
      <c r="G34" s="163">
        <v>0</v>
      </c>
      <c r="H34" s="163">
        <v>0</v>
      </c>
      <c r="I34" s="162" t="s">
        <v>272</v>
      </c>
      <c r="J34" s="163">
        <v>0.94701999999999997</v>
      </c>
      <c r="K34" s="165" t="s">
        <v>235</v>
      </c>
      <c r="L34" s="165"/>
      <c r="M34" s="165"/>
      <c r="N34" s="163">
        <v>-210.82</v>
      </c>
    </row>
    <row r="35" spans="1:14" ht="12.75">
      <c r="A35" s="165"/>
      <c r="B35" s="167"/>
      <c r="C35" s="167"/>
      <c r="D35" s="167"/>
      <c r="E35" s="167"/>
      <c r="F35" s="167"/>
      <c r="G35" s="167"/>
      <c r="H35" s="167"/>
      <c r="I35" s="167"/>
      <c r="J35" s="165">
        <v>16384</v>
      </c>
      <c r="K35" s="161">
        <v>0</v>
      </c>
      <c r="L35" s="161">
        <v>0</v>
      </c>
      <c r="M35" s="161">
        <v>0</v>
      </c>
      <c r="N35" s="198"/>
    </row>
    <row r="36" spans="1:14">
      <c r="A36" s="161">
        <v>23626168</v>
      </c>
      <c r="B36" s="160" t="s">
        <v>264</v>
      </c>
      <c r="C36" s="161" t="s">
        <v>226</v>
      </c>
      <c r="D36" s="161">
        <v>0.24</v>
      </c>
      <c r="E36" s="161" t="s">
        <v>229</v>
      </c>
      <c r="F36" s="166">
        <v>127968</v>
      </c>
      <c r="G36" s="161">
        <v>0</v>
      </c>
      <c r="H36" s="161">
        <v>0</v>
      </c>
      <c r="I36" s="160" t="s">
        <v>272</v>
      </c>
      <c r="J36" s="166">
        <v>127525</v>
      </c>
      <c r="K36" s="161" t="s">
        <v>235</v>
      </c>
      <c r="L36" s="161"/>
      <c r="M36" s="161"/>
      <c r="N36" s="161">
        <v>-106.32</v>
      </c>
    </row>
    <row r="37" spans="1:14" ht="12.75">
      <c r="A37" s="161"/>
      <c r="B37" s="159"/>
      <c r="C37" s="159"/>
      <c r="D37" s="159"/>
      <c r="E37" s="159"/>
      <c r="F37" s="159"/>
      <c r="G37" s="159"/>
      <c r="H37" s="159"/>
      <c r="I37" s="159"/>
      <c r="J37" s="161">
        <v>16384</v>
      </c>
      <c r="K37" s="163">
        <v>0</v>
      </c>
      <c r="L37" s="163">
        <v>0</v>
      </c>
      <c r="M37" s="163">
        <v>0</v>
      </c>
      <c r="N37" s="198"/>
    </row>
    <row r="38" spans="1:14">
      <c r="A38" s="163">
        <v>23626777</v>
      </c>
      <c r="B38" s="162" t="s">
        <v>274</v>
      </c>
      <c r="C38" s="163" t="s">
        <v>217</v>
      </c>
      <c r="D38" s="163">
        <v>1.1000000000000001</v>
      </c>
      <c r="E38" s="163" t="s">
        <v>190</v>
      </c>
      <c r="F38" s="163">
        <v>0.94521999999999995</v>
      </c>
      <c r="G38" s="163">
        <v>0</v>
      </c>
      <c r="H38" s="163">
        <v>0</v>
      </c>
      <c r="I38" s="162" t="s">
        <v>275</v>
      </c>
      <c r="J38" s="163">
        <v>0.94704999999999995</v>
      </c>
      <c r="K38" s="165" t="s">
        <v>234</v>
      </c>
      <c r="L38" s="165"/>
      <c r="M38" s="165"/>
      <c r="N38" s="163">
        <v>-212.55</v>
      </c>
    </row>
    <row r="39" spans="1:14" ht="12.75">
      <c r="A39" s="165"/>
      <c r="B39" s="167"/>
      <c r="C39" s="167"/>
      <c r="D39" s="167"/>
      <c r="E39" s="167"/>
      <c r="F39" s="167"/>
      <c r="G39" s="167"/>
      <c r="H39" s="167"/>
      <c r="I39" s="167"/>
      <c r="J39" s="165">
        <v>16384</v>
      </c>
      <c r="K39" s="161">
        <v>0</v>
      </c>
      <c r="L39" s="161">
        <v>0</v>
      </c>
      <c r="M39" s="161">
        <v>0</v>
      </c>
      <c r="N39" s="198"/>
    </row>
    <row r="40" spans="1:14">
      <c r="A40" s="161">
        <v>23626783</v>
      </c>
      <c r="B40" s="160" t="s">
        <v>276</v>
      </c>
      <c r="C40" s="161" t="s">
        <v>226</v>
      </c>
      <c r="D40" s="161">
        <v>0.48</v>
      </c>
      <c r="E40" s="161" t="s">
        <v>229</v>
      </c>
      <c r="F40" s="166">
        <v>127691</v>
      </c>
      <c r="G40" s="161">
        <v>0</v>
      </c>
      <c r="H40" s="161">
        <v>0</v>
      </c>
      <c r="I40" s="160" t="s">
        <v>275</v>
      </c>
      <c r="J40" s="166">
        <v>127524</v>
      </c>
      <c r="K40" s="161" t="s">
        <v>234</v>
      </c>
      <c r="L40" s="161"/>
      <c r="M40" s="161"/>
      <c r="N40" s="161">
        <v>-80.16</v>
      </c>
    </row>
    <row r="41" spans="1:14" ht="12.75">
      <c r="A41" s="161"/>
      <c r="B41" s="159"/>
      <c r="C41" s="159"/>
      <c r="D41" s="159"/>
      <c r="E41" s="159"/>
      <c r="F41" s="159"/>
      <c r="G41" s="159"/>
      <c r="H41" s="159"/>
      <c r="I41" s="159"/>
      <c r="J41" s="161">
        <v>16384</v>
      </c>
      <c r="K41" s="163">
        <v>0</v>
      </c>
      <c r="L41" s="163">
        <v>0</v>
      </c>
      <c r="M41" s="163">
        <v>0</v>
      </c>
      <c r="N41" s="198"/>
    </row>
    <row r="42" spans="1:14">
      <c r="A42" s="163">
        <v>23628376</v>
      </c>
      <c r="B42" s="162" t="s">
        <v>277</v>
      </c>
      <c r="C42" s="163" t="s">
        <v>217</v>
      </c>
      <c r="D42" s="163">
        <v>4.4000000000000004</v>
      </c>
      <c r="E42" s="163" t="s">
        <v>190</v>
      </c>
      <c r="F42" s="163">
        <v>0.94732000000000005</v>
      </c>
      <c r="G42" s="163">
        <v>0</v>
      </c>
      <c r="H42" s="163">
        <v>0</v>
      </c>
      <c r="I42" s="162" t="s">
        <v>278</v>
      </c>
      <c r="J42" s="163">
        <v>0.94704999999999995</v>
      </c>
      <c r="K42" s="165" t="s">
        <v>233</v>
      </c>
      <c r="L42" s="165"/>
      <c r="M42" s="165"/>
      <c r="N42" s="163">
        <v>125.44</v>
      </c>
    </row>
    <row r="43" spans="1:14" ht="12.75">
      <c r="A43" s="175"/>
      <c r="B43" s="176"/>
      <c r="C43" s="176"/>
      <c r="D43" s="176"/>
      <c r="E43" s="176"/>
      <c r="F43" s="176"/>
      <c r="G43" s="176"/>
      <c r="H43" s="176"/>
      <c r="I43" s="176"/>
      <c r="J43" s="175">
        <v>16384</v>
      </c>
      <c r="K43" s="174"/>
      <c r="L43" s="174"/>
      <c r="M43" s="174"/>
      <c r="N43" s="199"/>
    </row>
    <row r="44" spans="1:14">
      <c r="A44" s="159"/>
      <c r="B44" s="160"/>
      <c r="C44" s="161"/>
      <c r="D44" s="161"/>
      <c r="E44" s="161"/>
      <c r="F44" s="161"/>
      <c r="G44" s="161"/>
      <c r="H44" s="161"/>
      <c r="I44" s="160"/>
      <c r="J44" s="161"/>
      <c r="K44" s="165"/>
      <c r="L44" s="165"/>
      <c r="M44" s="165"/>
      <c r="N44" s="173"/>
    </row>
    <row r="45" spans="1:14" ht="12.75">
      <c r="A45" s="159"/>
      <c r="B45" s="161"/>
      <c r="C45" s="161"/>
      <c r="D45" s="161"/>
      <c r="E45" s="161"/>
      <c r="F45" s="161"/>
      <c r="G45" s="161"/>
      <c r="H45" s="161"/>
      <c r="I45" s="161"/>
      <c r="J45" s="161"/>
      <c r="K45" s="163"/>
      <c r="L45" s="163"/>
      <c r="M45" s="163"/>
      <c r="N45" s="203"/>
    </row>
    <row r="46" spans="1:14">
      <c r="A46" s="192"/>
      <c r="B46" s="162"/>
      <c r="C46" s="163"/>
      <c r="D46" s="163"/>
      <c r="E46" s="163"/>
      <c r="F46" s="163"/>
      <c r="G46" s="163"/>
      <c r="H46" s="163"/>
      <c r="I46" s="162"/>
      <c r="J46" s="163"/>
      <c r="K46" s="161"/>
      <c r="L46" s="161"/>
      <c r="M46" s="161"/>
      <c r="N46" s="172"/>
    </row>
    <row r="47" spans="1:14" ht="12.75">
      <c r="A47" s="167"/>
      <c r="B47" s="165"/>
      <c r="C47" s="165"/>
      <c r="D47" s="165"/>
      <c r="E47" s="165"/>
      <c r="F47" s="165"/>
      <c r="G47" s="165"/>
      <c r="H47" s="165"/>
      <c r="I47" s="165"/>
      <c r="J47" s="165"/>
      <c r="K47" s="161"/>
      <c r="L47" s="161"/>
      <c r="M47" s="161"/>
      <c r="N47" s="203"/>
    </row>
    <row r="48" spans="1:14">
      <c r="A48" s="159"/>
      <c r="B48" s="160"/>
      <c r="C48" s="161"/>
      <c r="D48" s="161"/>
      <c r="E48" s="161"/>
      <c r="F48" s="161"/>
      <c r="G48" s="161"/>
      <c r="H48" s="161"/>
      <c r="I48" s="160"/>
      <c r="J48" s="161"/>
      <c r="K48" s="165"/>
      <c r="L48" s="165"/>
      <c r="M48" s="165"/>
      <c r="N48" s="173"/>
    </row>
    <row r="49" spans="1:14" ht="12.75">
      <c r="A49" s="159"/>
      <c r="B49" s="161"/>
      <c r="C49" s="161"/>
      <c r="D49" s="161"/>
      <c r="E49" s="161"/>
      <c r="F49" s="161"/>
      <c r="G49" s="161"/>
      <c r="H49" s="161"/>
      <c r="I49" s="161"/>
      <c r="J49" s="161"/>
      <c r="K49" s="163"/>
      <c r="L49" s="163"/>
      <c r="M49" s="163"/>
      <c r="N49" s="203"/>
    </row>
    <row r="50" spans="1:14">
      <c r="A50" s="192"/>
      <c r="B50" s="162"/>
      <c r="C50" s="163"/>
      <c r="D50" s="163"/>
      <c r="E50" s="163"/>
      <c r="F50" s="163"/>
      <c r="G50" s="163"/>
      <c r="H50" s="163"/>
      <c r="I50" s="162"/>
      <c r="J50" s="163"/>
      <c r="K50" s="161"/>
      <c r="L50" s="161"/>
      <c r="M50" s="161"/>
      <c r="N50" s="172"/>
    </row>
    <row r="51" spans="1:14" ht="12.75">
      <c r="A51" s="167"/>
      <c r="B51" s="165"/>
      <c r="C51" s="165"/>
      <c r="D51" s="165"/>
      <c r="E51" s="165"/>
      <c r="F51" s="165"/>
      <c r="G51" s="165"/>
      <c r="H51" s="165"/>
      <c r="I51" s="165"/>
      <c r="J51" s="165"/>
      <c r="K51" s="161"/>
      <c r="L51" s="161"/>
      <c r="M51" s="161"/>
      <c r="N51" s="203"/>
    </row>
    <row r="52" spans="1:14">
      <c r="A52" s="159"/>
      <c r="B52" s="160"/>
      <c r="C52" s="161"/>
      <c r="D52" s="161"/>
      <c r="E52" s="161"/>
      <c r="F52" s="161"/>
      <c r="G52" s="161"/>
      <c r="H52" s="161"/>
      <c r="I52" s="160"/>
      <c r="J52" s="161"/>
      <c r="K52" s="165"/>
      <c r="L52" s="165"/>
      <c r="M52" s="165"/>
      <c r="N52" s="173"/>
    </row>
    <row r="53" spans="1:14" ht="12.75">
      <c r="A53" s="159"/>
      <c r="B53" s="161"/>
      <c r="C53" s="161"/>
      <c r="D53" s="161"/>
      <c r="E53" s="161"/>
      <c r="F53" s="161"/>
      <c r="G53" s="161"/>
      <c r="H53" s="161"/>
      <c r="I53" s="161"/>
      <c r="J53" s="161"/>
      <c r="K53" s="163"/>
      <c r="L53" s="163"/>
      <c r="M53" s="163"/>
      <c r="N53" s="203"/>
    </row>
    <row r="54" spans="1:14">
      <c r="A54" s="192"/>
      <c r="B54" s="162"/>
      <c r="C54" s="163"/>
      <c r="D54" s="163"/>
      <c r="E54" s="163"/>
      <c r="F54" s="164"/>
      <c r="G54" s="163"/>
      <c r="H54" s="163"/>
      <c r="I54" s="162"/>
      <c r="J54" s="164"/>
      <c r="K54" s="161"/>
      <c r="L54" s="161"/>
      <c r="M54" s="161"/>
      <c r="N54" s="172"/>
    </row>
    <row r="55" spans="1:14" ht="12.75">
      <c r="A55" s="167"/>
      <c r="B55" s="165"/>
      <c r="C55" s="165"/>
      <c r="D55" s="165"/>
      <c r="E55" s="165"/>
      <c r="F55" s="165"/>
      <c r="G55" s="165"/>
      <c r="H55" s="165"/>
      <c r="I55" s="165"/>
      <c r="J55" s="165"/>
      <c r="K55" s="161"/>
      <c r="L55" s="161"/>
      <c r="M55" s="161"/>
      <c r="N55" s="203"/>
    </row>
    <row r="56" spans="1:14">
      <c r="A56" s="159"/>
      <c r="B56" s="160"/>
      <c r="C56" s="161"/>
      <c r="D56" s="161"/>
      <c r="E56" s="161"/>
      <c r="F56" s="166"/>
      <c r="G56" s="161"/>
      <c r="H56" s="161"/>
      <c r="I56" s="160"/>
      <c r="J56" s="166"/>
      <c r="K56" s="165"/>
      <c r="L56" s="165"/>
      <c r="M56" s="165"/>
      <c r="N56" s="173"/>
    </row>
    <row r="57" spans="1:14" ht="12.75">
      <c r="A57" s="159"/>
      <c r="B57" s="161"/>
      <c r="C57" s="161"/>
      <c r="D57" s="161"/>
      <c r="E57" s="161"/>
      <c r="F57" s="161"/>
      <c r="G57" s="161"/>
      <c r="H57" s="161"/>
      <c r="I57" s="161"/>
      <c r="J57" s="161"/>
      <c r="K57" s="163"/>
      <c r="L57" s="163"/>
      <c r="M57" s="163"/>
      <c r="N57" s="203"/>
    </row>
    <row r="58" spans="1:14">
      <c r="A58" s="192"/>
      <c r="B58" s="162"/>
      <c r="C58" s="163"/>
      <c r="D58" s="163"/>
      <c r="E58" s="163"/>
      <c r="F58" s="164"/>
      <c r="G58" s="163"/>
      <c r="H58" s="163"/>
      <c r="I58" s="162"/>
      <c r="J58" s="164"/>
      <c r="K58" s="161"/>
      <c r="L58" s="161"/>
      <c r="M58" s="161"/>
      <c r="N58" s="172"/>
    </row>
    <row r="59" spans="1:14" ht="12.75">
      <c r="A59" s="167"/>
      <c r="B59" s="165"/>
      <c r="C59" s="165"/>
      <c r="D59" s="165"/>
      <c r="E59" s="165"/>
      <c r="F59" s="165"/>
      <c r="G59" s="165"/>
      <c r="H59" s="165"/>
      <c r="I59" s="165"/>
      <c r="J59" s="165"/>
      <c r="K59" s="161"/>
      <c r="L59" s="161"/>
      <c r="M59" s="161"/>
      <c r="N59" s="203"/>
    </row>
    <row r="60" spans="1:14">
      <c r="A60" s="159"/>
      <c r="B60" s="160"/>
      <c r="C60" s="161"/>
      <c r="D60" s="161"/>
      <c r="E60" s="161"/>
      <c r="F60" s="161"/>
      <c r="G60" s="161"/>
      <c r="H60" s="161"/>
      <c r="I60" s="160"/>
      <c r="J60" s="161"/>
      <c r="K60" s="165"/>
      <c r="L60" s="165"/>
      <c r="M60" s="165"/>
      <c r="N60" s="173"/>
    </row>
    <row r="61" spans="1:14" ht="12.75">
      <c r="A61" s="159"/>
      <c r="B61" s="161"/>
      <c r="C61" s="161"/>
      <c r="D61" s="161"/>
      <c r="E61" s="161"/>
      <c r="F61" s="161"/>
      <c r="G61" s="161"/>
      <c r="H61" s="161"/>
      <c r="I61" s="161"/>
      <c r="J61" s="161"/>
      <c r="K61" s="163"/>
      <c r="L61" s="163"/>
      <c r="M61" s="163"/>
      <c r="N61" s="203"/>
    </row>
    <row r="62" spans="1:14">
      <c r="A62" s="192"/>
      <c r="B62" s="162"/>
      <c r="C62" s="163"/>
      <c r="D62" s="163"/>
      <c r="E62" s="163"/>
      <c r="F62" s="163"/>
      <c r="G62" s="163"/>
      <c r="H62" s="163"/>
      <c r="I62" s="162"/>
      <c r="J62" s="163"/>
      <c r="K62" s="161"/>
      <c r="L62" s="161"/>
      <c r="M62" s="161"/>
      <c r="N62" s="172"/>
    </row>
    <row r="63" spans="1:14" ht="12.75">
      <c r="A63" s="167"/>
      <c r="B63" s="165"/>
      <c r="C63" s="165"/>
      <c r="D63" s="165"/>
      <c r="E63" s="165"/>
      <c r="F63" s="165"/>
      <c r="G63" s="165"/>
      <c r="H63" s="165"/>
      <c r="I63" s="165"/>
      <c r="J63" s="165"/>
      <c r="K63" s="161"/>
      <c r="L63" s="161"/>
      <c r="M63" s="161"/>
      <c r="N63" s="203"/>
    </row>
    <row r="64" spans="1:14">
      <c r="A64" s="159"/>
      <c r="B64" s="160"/>
      <c r="C64" s="161"/>
      <c r="D64" s="161"/>
      <c r="E64" s="161"/>
      <c r="F64" s="166"/>
      <c r="G64" s="161"/>
      <c r="H64" s="161"/>
      <c r="I64" s="160"/>
      <c r="J64" s="166"/>
      <c r="K64" s="165"/>
      <c r="L64" s="165"/>
      <c r="M64" s="165"/>
      <c r="N64" s="173"/>
    </row>
    <row r="65" spans="1:14" ht="12.75">
      <c r="A65" s="159"/>
      <c r="B65" s="161"/>
      <c r="C65" s="161"/>
      <c r="D65" s="161"/>
      <c r="E65" s="161"/>
      <c r="F65" s="161"/>
      <c r="G65" s="161"/>
      <c r="H65" s="161"/>
      <c r="I65" s="161"/>
      <c r="J65" s="161"/>
      <c r="K65" s="163"/>
      <c r="L65" s="163"/>
      <c r="M65" s="163"/>
      <c r="N65" s="203"/>
    </row>
    <row r="66" spans="1:14">
      <c r="A66" s="192"/>
      <c r="B66" s="162"/>
      <c r="C66" s="163"/>
      <c r="D66" s="163"/>
      <c r="E66" s="163"/>
      <c r="F66" s="163"/>
      <c r="G66" s="163"/>
      <c r="H66" s="163"/>
      <c r="I66" s="162"/>
      <c r="J66" s="163"/>
      <c r="K66" s="161"/>
      <c r="L66" s="161"/>
      <c r="M66" s="161"/>
      <c r="N66" s="172"/>
    </row>
    <row r="67" spans="1:14" ht="12.75">
      <c r="A67" s="167"/>
      <c r="B67" s="165"/>
      <c r="C67" s="165"/>
      <c r="D67" s="165"/>
      <c r="E67" s="165"/>
      <c r="F67" s="165"/>
      <c r="G67" s="165"/>
      <c r="H67" s="165"/>
      <c r="I67" s="165"/>
      <c r="J67" s="165"/>
      <c r="K67" s="161"/>
      <c r="L67" s="161"/>
      <c r="M67" s="161"/>
      <c r="N67" s="203"/>
    </row>
    <row r="68" spans="1:14">
      <c r="A68" s="159"/>
      <c r="B68" s="160"/>
      <c r="C68" s="161"/>
      <c r="D68" s="161"/>
      <c r="E68" s="161"/>
      <c r="F68" s="166"/>
      <c r="G68" s="161"/>
      <c r="H68" s="161"/>
      <c r="I68" s="160"/>
      <c r="J68" s="166"/>
      <c r="K68" s="165"/>
      <c r="L68" s="165"/>
      <c r="M68" s="165"/>
      <c r="N68" s="173"/>
    </row>
    <row r="69" spans="1:14" ht="12.75">
      <c r="A69" s="159"/>
      <c r="B69" s="161"/>
      <c r="C69" s="161"/>
      <c r="D69" s="161"/>
      <c r="E69" s="161"/>
      <c r="F69" s="161"/>
      <c r="G69" s="161"/>
      <c r="H69" s="161"/>
      <c r="I69" s="161"/>
      <c r="J69" s="161"/>
      <c r="K69" s="163"/>
      <c r="L69" s="163"/>
      <c r="M69" s="163"/>
      <c r="N69" s="203"/>
    </row>
    <row r="70" spans="1:14">
      <c r="A70" s="192"/>
      <c r="B70" s="162"/>
      <c r="C70" s="163"/>
      <c r="D70" s="163"/>
      <c r="E70" s="163"/>
      <c r="F70" s="163"/>
      <c r="G70" s="163"/>
      <c r="H70" s="163"/>
      <c r="I70" s="162"/>
      <c r="J70" s="163"/>
      <c r="K70" s="161"/>
      <c r="L70" s="161"/>
      <c r="M70" s="161"/>
      <c r="N70" s="172"/>
    </row>
    <row r="71" spans="1:14" ht="12.75">
      <c r="A71" s="167"/>
      <c r="B71" s="165"/>
      <c r="C71" s="165"/>
      <c r="D71" s="165"/>
      <c r="E71" s="165"/>
      <c r="F71" s="165"/>
      <c r="G71" s="165"/>
      <c r="H71" s="165"/>
      <c r="I71" s="165"/>
      <c r="J71" s="165"/>
      <c r="K71" s="161"/>
      <c r="L71" s="161"/>
      <c r="M71" s="161"/>
      <c r="N71" s="203"/>
    </row>
    <row r="72" spans="1:14">
      <c r="A72" s="159"/>
      <c r="B72" s="160"/>
      <c r="C72" s="161"/>
      <c r="D72" s="161"/>
      <c r="E72" s="161"/>
      <c r="F72" s="161"/>
      <c r="G72" s="161"/>
      <c r="H72" s="161"/>
      <c r="I72" s="160"/>
      <c r="J72" s="161"/>
      <c r="K72" s="165"/>
      <c r="L72" s="165"/>
      <c r="M72" s="165"/>
      <c r="N72" s="173"/>
    </row>
    <row r="73" spans="1:14" ht="12.75">
      <c r="A73" s="159"/>
      <c r="B73" s="161"/>
      <c r="C73" s="161"/>
      <c r="D73" s="161"/>
      <c r="E73" s="161"/>
      <c r="F73" s="161"/>
      <c r="G73" s="161"/>
      <c r="H73" s="161"/>
      <c r="I73" s="161"/>
      <c r="J73" s="161"/>
      <c r="K73" s="163"/>
      <c r="L73" s="163"/>
      <c r="M73" s="163"/>
      <c r="N73" s="203"/>
    </row>
    <row r="74" spans="1:14">
      <c r="A74" s="192"/>
      <c r="B74" s="162"/>
      <c r="C74" s="163"/>
      <c r="D74" s="163"/>
      <c r="E74" s="163"/>
      <c r="F74" s="164"/>
      <c r="G74" s="163"/>
      <c r="H74" s="163"/>
      <c r="I74" s="162"/>
      <c r="J74" s="164"/>
      <c r="K74" s="161"/>
      <c r="L74" s="161"/>
      <c r="M74" s="161"/>
      <c r="N74" s="172"/>
    </row>
    <row r="75" spans="1:14" ht="12.75">
      <c r="A75" s="167"/>
      <c r="B75" s="165"/>
      <c r="C75" s="165"/>
      <c r="D75" s="165"/>
      <c r="E75" s="165"/>
      <c r="F75" s="165"/>
      <c r="G75" s="165"/>
      <c r="H75" s="165"/>
      <c r="I75" s="165"/>
      <c r="J75" s="165"/>
      <c r="K75" s="161"/>
      <c r="L75" s="161"/>
      <c r="M75" s="161"/>
      <c r="N75" s="203"/>
    </row>
    <row r="76" spans="1:14">
      <c r="A76" s="159"/>
      <c r="B76" s="160"/>
      <c r="C76" s="161"/>
      <c r="D76" s="161"/>
      <c r="E76" s="161"/>
      <c r="F76" s="161"/>
      <c r="G76" s="161"/>
      <c r="H76" s="161"/>
      <c r="I76" s="160"/>
      <c r="J76" s="161"/>
      <c r="K76" s="165"/>
      <c r="L76" s="165"/>
      <c r="M76" s="165"/>
      <c r="N76" s="173"/>
    </row>
    <row r="77" spans="1:14" ht="12.75">
      <c r="A77" s="159"/>
      <c r="B77" s="161"/>
      <c r="C77" s="161"/>
      <c r="D77" s="161"/>
      <c r="E77" s="161"/>
      <c r="F77" s="161"/>
      <c r="G77" s="161"/>
      <c r="H77" s="161"/>
      <c r="I77" s="161"/>
      <c r="J77" s="161"/>
      <c r="K77" s="163"/>
      <c r="L77" s="163"/>
      <c r="M77" s="163"/>
      <c r="N77" s="203"/>
    </row>
    <row r="78" spans="1:14">
      <c r="A78" s="192"/>
      <c r="B78" s="162"/>
      <c r="C78" s="163"/>
      <c r="D78" s="163"/>
      <c r="E78" s="163"/>
      <c r="F78" s="164"/>
      <c r="G78" s="163"/>
      <c r="H78" s="163"/>
      <c r="I78" s="162"/>
      <c r="J78" s="164"/>
      <c r="K78" s="161"/>
      <c r="L78" s="161"/>
      <c r="M78" s="161"/>
      <c r="N78" s="172"/>
    </row>
    <row r="79" spans="1:14" ht="12.75">
      <c r="A79" s="167"/>
      <c r="B79" s="165"/>
      <c r="C79" s="165"/>
      <c r="D79" s="165"/>
      <c r="E79" s="165"/>
      <c r="F79" s="165"/>
      <c r="G79" s="165"/>
      <c r="H79" s="165"/>
      <c r="I79" s="165"/>
      <c r="J79" s="165"/>
      <c r="K79" s="161"/>
      <c r="L79" s="161"/>
      <c r="M79" s="161"/>
      <c r="N79" s="203"/>
    </row>
    <row r="80" spans="1:14">
      <c r="A80" s="159"/>
      <c r="B80" s="160"/>
      <c r="C80" s="161"/>
      <c r="D80" s="161"/>
      <c r="E80" s="161"/>
      <c r="F80" s="166"/>
      <c r="G80" s="161"/>
      <c r="H80" s="161"/>
      <c r="I80" s="160"/>
      <c r="J80" s="166"/>
      <c r="K80" s="165"/>
      <c r="L80" s="165"/>
      <c r="M80" s="165"/>
      <c r="N80" s="173"/>
    </row>
    <row r="81" spans="1:18" ht="12.75">
      <c r="A81" s="159"/>
      <c r="B81" s="161"/>
      <c r="C81" s="161"/>
      <c r="D81" s="161"/>
      <c r="E81" s="161"/>
      <c r="F81" s="161"/>
      <c r="G81" s="161"/>
      <c r="H81" s="161"/>
      <c r="I81" s="161"/>
      <c r="J81" s="161"/>
      <c r="K81" s="163"/>
      <c r="L81" s="163"/>
      <c r="M81" s="163"/>
      <c r="N81" s="203"/>
    </row>
    <row r="82" spans="1:18">
      <c r="A82" s="192"/>
      <c r="B82" s="162"/>
      <c r="C82" s="163"/>
      <c r="D82" s="163"/>
      <c r="E82" s="163"/>
      <c r="F82" s="163"/>
      <c r="G82" s="163"/>
      <c r="H82" s="163"/>
      <c r="I82" s="162"/>
      <c r="J82" s="163"/>
      <c r="K82" s="161"/>
      <c r="L82" s="161"/>
      <c r="M82" s="161"/>
      <c r="N82" s="172"/>
    </row>
    <row r="83" spans="1:18" ht="12.75">
      <c r="A83" s="167"/>
      <c r="B83" s="165"/>
      <c r="C83" s="165"/>
      <c r="D83" s="165"/>
      <c r="E83" s="165"/>
      <c r="F83" s="165"/>
      <c r="G83" s="165"/>
      <c r="H83" s="165"/>
      <c r="I83" s="165"/>
      <c r="J83" s="165"/>
      <c r="K83" s="161"/>
      <c r="L83" s="161"/>
      <c r="M83" s="161"/>
      <c r="N83" s="203"/>
    </row>
    <row r="84" spans="1:18">
      <c r="A84" s="159"/>
      <c r="B84" s="160"/>
      <c r="C84" s="161"/>
      <c r="D84" s="161"/>
      <c r="E84" s="161"/>
      <c r="F84" s="166"/>
      <c r="G84" s="161"/>
      <c r="H84" s="161"/>
      <c r="I84" s="160"/>
      <c r="J84" s="166"/>
      <c r="K84" s="165"/>
      <c r="L84" s="165"/>
      <c r="M84" s="165"/>
      <c r="N84" s="173"/>
    </row>
    <row r="85" spans="1:18" ht="12.75">
      <c r="A85" s="159"/>
      <c r="B85" s="161"/>
      <c r="C85" s="161"/>
      <c r="D85" s="161"/>
      <c r="E85" s="161"/>
      <c r="F85" s="161"/>
      <c r="G85" s="161"/>
      <c r="H85" s="161"/>
      <c r="I85" s="161"/>
      <c r="J85" s="161"/>
      <c r="K85" s="163"/>
      <c r="L85" s="163"/>
      <c r="M85" s="163"/>
      <c r="N85" s="203"/>
      <c r="Q85" s="181">
        <v>-13.96</v>
      </c>
      <c r="R85" s="189">
        <v>-594.52</v>
      </c>
    </row>
    <row r="86" spans="1:18">
      <c r="A86" s="192"/>
      <c r="B86" s="162"/>
      <c r="C86" s="163"/>
      <c r="D86" s="163"/>
      <c r="E86" s="163"/>
      <c r="F86" s="164"/>
      <c r="G86" s="163"/>
      <c r="H86" s="163"/>
      <c r="I86" s="162"/>
      <c r="J86" s="164"/>
      <c r="K86" s="161"/>
      <c r="L86" s="161"/>
      <c r="M86" s="161"/>
      <c r="N86" s="172"/>
      <c r="Q86" s="163"/>
      <c r="R86" s="172">
        <v>-299.45</v>
      </c>
    </row>
    <row r="87" spans="1:18" ht="12.75">
      <c r="A87" s="167"/>
      <c r="B87" s="165"/>
      <c r="C87" s="165"/>
      <c r="D87" s="165"/>
      <c r="E87" s="165"/>
      <c r="F87" s="165"/>
      <c r="G87" s="165"/>
      <c r="H87" s="165"/>
      <c r="I87" s="165"/>
      <c r="J87" s="165"/>
      <c r="K87" s="161"/>
      <c r="L87" s="161"/>
      <c r="M87" s="161"/>
      <c r="N87" s="203"/>
      <c r="Q87" s="163"/>
      <c r="R87" s="186">
        <v>-401.33</v>
      </c>
    </row>
    <row r="88" spans="1:18">
      <c r="A88" s="159"/>
      <c r="B88" s="160"/>
      <c r="C88" s="161"/>
      <c r="D88" s="161"/>
      <c r="E88" s="161"/>
      <c r="F88" s="166"/>
      <c r="G88" s="161"/>
      <c r="H88" s="161"/>
      <c r="I88" s="160"/>
      <c r="J88" s="166"/>
      <c r="K88" s="165"/>
      <c r="L88" s="165"/>
      <c r="M88" s="165"/>
      <c r="N88" s="173"/>
      <c r="Q88" s="161"/>
      <c r="R88" s="173">
        <v>-194.7</v>
      </c>
    </row>
    <row r="89" spans="1:18" ht="12.75">
      <c r="A89" s="159"/>
      <c r="B89" s="161"/>
      <c r="C89" s="161"/>
      <c r="D89" s="161"/>
      <c r="E89" s="161"/>
      <c r="F89" s="161"/>
      <c r="G89" s="161"/>
      <c r="H89" s="161"/>
      <c r="I89" s="161"/>
      <c r="J89" s="161"/>
      <c r="K89" s="163"/>
      <c r="L89" s="163"/>
      <c r="M89" s="163"/>
      <c r="N89" s="203"/>
      <c r="Q89" s="161"/>
      <c r="R89" s="186">
        <v>-461.63</v>
      </c>
    </row>
    <row r="90" spans="1:18">
      <c r="A90" s="192"/>
      <c r="B90" s="162"/>
      <c r="C90" s="163"/>
      <c r="D90" s="163"/>
      <c r="E90" s="163"/>
      <c r="F90" s="163"/>
      <c r="G90" s="163"/>
      <c r="H90" s="163"/>
      <c r="I90" s="162"/>
      <c r="J90" s="163"/>
      <c r="K90" s="161"/>
      <c r="L90" s="161"/>
      <c r="M90" s="161"/>
      <c r="N90" s="172"/>
      <c r="Q90" s="163">
        <v>-64.61</v>
      </c>
      <c r="R90" s="172">
        <v>1060.2</v>
      </c>
    </row>
    <row r="91" spans="1:18" ht="12.75">
      <c r="A91" s="167"/>
      <c r="B91" s="165"/>
      <c r="C91" s="165"/>
      <c r="D91" s="165"/>
      <c r="E91" s="165"/>
      <c r="F91" s="165"/>
      <c r="G91" s="165"/>
      <c r="H91" s="165"/>
      <c r="I91" s="165"/>
      <c r="J91" s="165"/>
      <c r="K91" s="161"/>
      <c r="L91" s="161"/>
      <c r="M91" s="161"/>
      <c r="N91" s="203"/>
    </row>
    <row r="92" spans="1:18">
      <c r="A92" s="159"/>
      <c r="B92" s="160"/>
      <c r="C92" s="161"/>
      <c r="D92" s="161"/>
      <c r="E92" s="161"/>
      <c r="F92" s="166"/>
      <c r="G92" s="161"/>
      <c r="H92" s="161"/>
      <c r="I92" s="160"/>
      <c r="J92" s="166"/>
      <c r="K92" s="165"/>
      <c r="L92" s="165"/>
      <c r="M92" s="165"/>
      <c r="N92" s="173"/>
    </row>
    <row r="93" spans="1:18" ht="12.75">
      <c r="A93" s="159"/>
      <c r="B93" s="161"/>
      <c r="C93" s="161"/>
      <c r="D93" s="161"/>
      <c r="E93" s="161"/>
      <c r="F93" s="161"/>
      <c r="G93" s="161"/>
      <c r="H93" s="161"/>
      <c r="I93" s="161"/>
      <c r="J93" s="161"/>
      <c r="K93" s="163"/>
      <c r="L93" s="163"/>
      <c r="M93" s="163"/>
      <c r="N93" s="203"/>
    </row>
    <row r="94" spans="1:18">
      <c r="A94" s="192"/>
      <c r="B94" s="162"/>
      <c r="C94" s="163"/>
      <c r="D94" s="163"/>
      <c r="E94" s="163"/>
      <c r="F94" s="164"/>
      <c r="G94" s="163"/>
      <c r="H94" s="163"/>
      <c r="I94" s="162"/>
      <c r="J94" s="164"/>
      <c r="K94" s="161"/>
      <c r="L94" s="161"/>
      <c r="M94" s="161"/>
      <c r="N94" s="172"/>
    </row>
    <row r="95" spans="1:18" ht="12.75">
      <c r="A95" s="167"/>
      <c r="B95" s="165"/>
      <c r="C95" s="165"/>
      <c r="D95" s="165"/>
      <c r="E95" s="165"/>
      <c r="F95" s="165"/>
      <c r="G95" s="165"/>
      <c r="H95" s="165"/>
      <c r="I95" s="165"/>
      <c r="J95" s="165"/>
      <c r="K95" s="161"/>
      <c r="L95" s="161"/>
      <c r="M95" s="161"/>
      <c r="N95" s="203"/>
    </row>
    <row r="96" spans="1:18">
      <c r="A96" s="159"/>
      <c r="B96" s="160"/>
      <c r="C96" s="161"/>
      <c r="D96" s="161"/>
      <c r="E96" s="161"/>
      <c r="F96" s="161"/>
      <c r="G96" s="161"/>
      <c r="H96" s="161"/>
      <c r="I96" s="160"/>
      <c r="J96" s="161"/>
      <c r="K96" s="165"/>
      <c r="L96" s="165"/>
      <c r="M96" s="165"/>
      <c r="N96" s="173"/>
    </row>
    <row r="97" spans="1:14" ht="12.75">
      <c r="A97" s="159"/>
      <c r="B97" s="161"/>
      <c r="C97" s="161"/>
      <c r="D97" s="161"/>
      <c r="E97" s="161"/>
      <c r="F97" s="161"/>
      <c r="G97" s="161"/>
      <c r="H97" s="161"/>
      <c r="I97" s="161"/>
      <c r="J97" s="161"/>
      <c r="K97" s="163"/>
      <c r="L97" s="163"/>
      <c r="M97" s="163"/>
      <c r="N97" s="203"/>
    </row>
    <row r="98" spans="1:14">
      <c r="A98" s="192"/>
      <c r="B98" s="162"/>
      <c r="C98" s="163"/>
      <c r="D98" s="163"/>
      <c r="E98" s="163"/>
      <c r="F98" s="164"/>
      <c r="G98" s="163"/>
      <c r="H98" s="163"/>
      <c r="I98" s="162"/>
      <c r="J98" s="164"/>
      <c r="K98" s="161"/>
      <c r="L98" s="161"/>
      <c r="M98" s="161"/>
      <c r="N98" s="172"/>
    </row>
    <row r="99" spans="1:14" ht="12.75">
      <c r="A99" s="167"/>
      <c r="B99" s="165"/>
      <c r="C99" s="165"/>
      <c r="D99" s="165"/>
      <c r="E99" s="165"/>
      <c r="F99" s="165"/>
      <c r="G99" s="165"/>
      <c r="H99" s="165"/>
      <c r="I99" s="165"/>
      <c r="J99" s="165"/>
      <c r="K99" s="161"/>
      <c r="L99" s="161"/>
      <c r="M99" s="161"/>
      <c r="N99" s="203"/>
    </row>
    <row r="100" spans="1:14">
      <c r="A100" s="159"/>
      <c r="B100" s="160"/>
      <c r="C100" s="161"/>
      <c r="D100" s="161"/>
      <c r="E100" s="161"/>
      <c r="F100" s="161"/>
      <c r="G100" s="161"/>
      <c r="H100" s="161"/>
      <c r="I100" s="160"/>
      <c r="J100" s="161"/>
      <c r="K100" s="165"/>
      <c r="L100" s="165"/>
      <c r="M100" s="165"/>
      <c r="N100" s="173"/>
    </row>
    <row r="101" spans="1:14" ht="12.75">
      <c r="A101" s="159"/>
      <c r="B101" s="161"/>
      <c r="C101" s="161"/>
      <c r="D101" s="161"/>
      <c r="E101" s="161"/>
      <c r="F101" s="161"/>
      <c r="G101" s="161"/>
      <c r="H101" s="161"/>
      <c r="I101" s="161"/>
      <c r="J101" s="161"/>
      <c r="K101" s="163"/>
      <c r="L101" s="163"/>
      <c r="M101" s="163"/>
      <c r="N101" s="203"/>
    </row>
    <row r="102" spans="1:14">
      <c r="A102" s="192"/>
      <c r="B102" s="162"/>
      <c r="C102" s="163"/>
      <c r="D102" s="163"/>
      <c r="E102" s="163"/>
      <c r="F102" s="164"/>
      <c r="G102" s="163"/>
      <c r="H102" s="163"/>
      <c r="I102" s="162"/>
      <c r="J102" s="164"/>
      <c r="K102" s="161"/>
      <c r="L102" s="161"/>
      <c r="M102" s="161"/>
      <c r="N102" s="172"/>
    </row>
    <row r="103" spans="1:14" ht="12.75">
      <c r="A103" s="167"/>
      <c r="B103" s="165"/>
      <c r="C103" s="165"/>
      <c r="D103" s="165"/>
      <c r="E103" s="165"/>
      <c r="F103" s="165"/>
      <c r="G103" s="165"/>
      <c r="H103" s="165"/>
      <c r="I103" s="165"/>
      <c r="J103" s="165"/>
      <c r="K103" s="161"/>
      <c r="L103" s="161"/>
      <c r="M103" s="161"/>
      <c r="N103" s="203"/>
    </row>
    <row r="104" spans="1:14">
      <c r="A104" s="159"/>
      <c r="B104" s="160"/>
      <c r="C104" s="161"/>
      <c r="D104" s="161"/>
      <c r="E104" s="161"/>
      <c r="F104" s="161"/>
      <c r="G104" s="161"/>
      <c r="H104" s="161"/>
      <c r="I104" s="160"/>
      <c r="J104" s="161"/>
      <c r="K104" s="165"/>
      <c r="L104" s="165"/>
      <c r="M104" s="165"/>
      <c r="N104" s="173"/>
    </row>
    <row r="105" spans="1:14" ht="12.75">
      <c r="A105" s="159"/>
      <c r="B105" s="161"/>
      <c r="C105" s="161"/>
      <c r="D105" s="161"/>
      <c r="E105" s="161"/>
      <c r="F105" s="161"/>
      <c r="G105" s="161"/>
      <c r="H105" s="161"/>
      <c r="I105" s="161"/>
      <c r="J105" s="161"/>
      <c r="K105" s="163"/>
      <c r="L105" s="163"/>
      <c r="M105" s="163"/>
      <c r="N105" s="203"/>
    </row>
    <row r="106" spans="1:14">
      <c r="A106" s="192"/>
      <c r="B106" s="162"/>
      <c r="C106" s="163"/>
      <c r="D106" s="163"/>
      <c r="E106" s="163"/>
      <c r="F106" s="164"/>
      <c r="G106" s="163"/>
      <c r="H106" s="163"/>
      <c r="I106" s="162"/>
      <c r="J106" s="164"/>
      <c r="K106" s="161"/>
      <c r="L106" s="161"/>
      <c r="M106" s="161"/>
      <c r="N106" s="172"/>
    </row>
    <row r="107" spans="1:14" ht="12.75">
      <c r="A107" s="167"/>
      <c r="B107" s="165"/>
      <c r="C107" s="165"/>
      <c r="D107" s="165"/>
      <c r="E107" s="165"/>
      <c r="F107" s="165"/>
      <c r="G107" s="165"/>
      <c r="H107" s="165"/>
      <c r="I107" s="165"/>
      <c r="J107" s="165"/>
      <c r="K107" s="161"/>
      <c r="L107" s="161"/>
      <c r="M107" s="161"/>
      <c r="N107" s="203"/>
    </row>
    <row r="108" spans="1:14">
      <c r="A108" s="159"/>
      <c r="B108" s="160"/>
      <c r="C108" s="161"/>
      <c r="D108" s="161"/>
      <c r="E108" s="161"/>
      <c r="F108" s="161"/>
      <c r="G108" s="161"/>
      <c r="H108" s="161"/>
      <c r="I108" s="160"/>
      <c r="J108" s="161"/>
      <c r="K108" s="165"/>
      <c r="L108" s="165"/>
      <c r="M108" s="165"/>
      <c r="N108" s="173"/>
    </row>
    <row r="109" spans="1:14" ht="12.75">
      <c r="A109" s="159"/>
      <c r="B109" s="161"/>
      <c r="C109" s="161"/>
      <c r="D109" s="161"/>
      <c r="E109" s="161"/>
      <c r="F109" s="161"/>
      <c r="G109" s="161"/>
      <c r="H109" s="161"/>
      <c r="I109" s="161"/>
      <c r="J109" s="161"/>
      <c r="K109" s="163"/>
      <c r="L109" s="163"/>
      <c r="M109" s="163"/>
      <c r="N109" s="203"/>
    </row>
    <row r="110" spans="1:14">
      <c r="A110" s="192"/>
      <c r="B110" s="162"/>
      <c r="C110" s="163"/>
      <c r="D110" s="163"/>
      <c r="E110" s="163"/>
      <c r="F110" s="164"/>
      <c r="G110" s="163"/>
      <c r="H110" s="163"/>
      <c r="I110" s="162"/>
      <c r="J110" s="164"/>
      <c r="K110" s="161"/>
      <c r="L110" s="161"/>
      <c r="M110" s="161"/>
      <c r="N110" s="172"/>
    </row>
    <row r="111" spans="1:14" ht="12.75">
      <c r="A111" s="167"/>
      <c r="B111" s="165"/>
      <c r="C111" s="165"/>
      <c r="D111" s="165"/>
      <c r="E111" s="165"/>
      <c r="F111" s="165"/>
      <c r="G111" s="165"/>
      <c r="H111" s="165"/>
      <c r="I111" s="165"/>
      <c r="J111" s="165"/>
      <c r="K111" s="161"/>
      <c r="L111" s="161"/>
      <c r="M111" s="161"/>
      <c r="N111" s="203"/>
    </row>
    <row r="112" spans="1:14">
      <c r="A112" s="159"/>
      <c r="B112" s="160"/>
      <c r="C112" s="161"/>
      <c r="D112" s="161"/>
      <c r="E112" s="161"/>
      <c r="F112" s="161"/>
      <c r="G112" s="161"/>
      <c r="H112" s="161"/>
      <c r="I112" s="160"/>
      <c r="J112" s="161"/>
      <c r="K112" s="165"/>
      <c r="L112" s="165"/>
      <c r="M112" s="165"/>
      <c r="N112" s="173"/>
    </row>
    <row r="113" spans="1:14" ht="12.75">
      <c r="A113" s="159"/>
      <c r="B113" s="161"/>
      <c r="C113" s="161"/>
      <c r="D113" s="161"/>
      <c r="E113" s="161"/>
      <c r="F113" s="161"/>
      <c r="G113" s="161"/>
      <c r="H113" s="161"/>
      <c r="I113" s="161"/>
      <c r="J113" s="161"/>
      <c r="K113" s="163"/>
      <c r="L113" s="163"/>
      <c r="M113" s="163"/>
      <c r="N113" s="203"/>
    </row>
    <row r="114" spans="1:14">
      <c r="A114" s="192"/>
      <c r="B114" s="162"/>
      <c r="C114" s="163"/>
      <c r="D114" s="163"/>
      <c r="E114" s="163"/>
      <c r="F114" s="163"/>
      <c r="G114" s="163"/>
      <c r="H114" s="163"/>
      <c r="I114" s="162"/>
      <c r="J114" s="163"/>
      <c r="K114" s="161"/>
      <c r="L114" s="161"/>
      <c r="M114" s="161"/>
      <c r="N114" s="172"/>
    </row>
    <row r="115" spans="1:14" ht="12.75">
      <c r="A115" s="167"/>
      <c r="B115" s="165"/>
      <c r="C115" s="165"/>
      <c r="D115" s="165"/>
      <c r="E115" s="165"/>
      <c r="F115" s="165"/>
      <c r="G115" s="165"/>
      <c r="H115" s="165"/>
      <c r="I115" s="165"/>
      <c r="J115" s="165"/>
      <c r="K115" s="161"/>
      <c r="L115" s="161"/>
      <c r="M115" s="161"/>
      <c r="N115" s="203"/>
    </row>
    <row r="116" spans="1:14">
      <c r="A116" s="159"/>
      <c r="B116" s="160"/>
      <c r="C116" s="161"/>
      <c r="D116" s="161"/>
      <c r="E116" s="161"/>
      <c r="F116" s="161"/>
      <c r="G116" s="161"/>
      <c r="H116" s="161"/>
      <c r="I116" s="160"/>
      <c r="J116" s="161"/>
      <c r="K116" s="165"/>
      <c r="L116" s="165"/>
      <c r="M116" s="165"/>
      <c r="N116" s="173"/>
    </row>
    <row r="117" spans="1:14" ht="12.75">
      <c r="A117" s="159"/>
      <c r="B117" s="161"/>
      <c r="C117" s="161"/>
      <c r="D117" s="161"/>
      <c r="E117" s="161"/>
      <c r="F117" s="161"/>
      <c r="G117" s="161"/>
      <c r="H117" s="161"/>
      <c r="I117" s="161"/>
      <c r="J117" s="161"/>
      <c r="K117" s="163"/>
      <c r="L117" s="163"/>
      <c r="M117" s="163"/>
      <c r="N117" s="203"/>
    </row>
    <row r="118" spans="1:14">
      <c r="A118" s="192"/>
      <c r="B118" s="162"/>
      <c r="C118" s="163"/>
      <c r="D118" s="163"/>
      <c r="E118" s="163"/>
      <c r="F118" s="164"/>
      <c r="G118" s="163"/>
      <c r="H118" s="163"/>
      <c r="I118" s="162"/>
      <c r="J118" s="164"/>
      <c r="K118" s="161"/>
      <c r="L118" s="161"/>
      <c r="M118" s="161"/>
      <c r="N118" s="172"/>
    </row>
    <row r="119" spans="1:14" ht="12.75">
      <c r="A119" s="167"/>
      <c r="B119" s="165"/>
      <c r="C119" s="165"/>
      <c r="D119" s="165"/>
      <c r="E119" s="165"/>
      <c r="F119" s="165"/>
      <c r="G119" s="165"/>
      <c r="H119" s="165"/>
      <c r="I119" s="165"/>
      <c r="J119" s="165"/>
      <c r="K119" s="161"/>
      <c r="L119" s="161"/>
      <c r="M119" s="161"/>
      <c r="N119" s="203"/>
    </row>
    <row r="120" spans="1:14">
      <c r="A120" s="159"/>
      <c r="B120" s="160"/>
      <c r="C120" s="161"/>
      <c r="D120" s="161"/>
      <c r="E120" s="161"/>
      <c r="F120" s="161"/>
      <c r="G120" s="161"/>
      <c r="H120" s="161"/>
      <c r="I120" s="160"/>
      <c r="J120" s="161"/>
      <c r="K120" s="165"/>
      <c r="L120" s="165"/>
      <c r="M120" s="165"/>
      <c r="N120" s="173"/>
    </row>
    <row r="121" spans="1:14" ht="12.75">
      <c r="A121" s="159"/>
      <c r="B121" s="161"/>
      <c r="C121" s="161"/>
      <c r="D121" s="161"/>
      <c r="E121" s="161"/>
      <c r="F121" s="161"/>
      <c r="G121" s="161"/>
      <c r="H121" s="161"/>
      <c r="I121" s="161"/>
      <c r="J121" s="161"/>
      <c r="K121" s="163"/>
      <c r="L121" s="163"/>
      <c r="M121" s="163"/>
      <c r="N121" s="203"/>
    </row>
    <row r="122" spans="1:14">
      <c r="A122" s="192"/>
      <c r="B122" s="162"/>
      <c r="C122" s="163"/>
      <c r="D122" s="163"/>
      <c r="E122" s="163"/>
      <c r="F122" s="164"/>
      <c r="G122" s="163"/>
      <c r="H122" s="163"/>
      <c r="I122" s="162"/>
      <c r="J122" s="164"/>
      <c r="K122" s="161"/>
      <c r="L122" s="161"/>
      <c r="M122" s="161"/>
      <c r="N122" s="172"/>
    </row>
    <row r="123" spans="1:14" ht="12.75">
      <c r="A123" s="167"/>
      <c r="B123" s="165"/>
      <c r="C123" s="165"/>
      <c r="D123" s="165"/>
      <c r="E123" s="165"/>
      <c r="F123" s="165"/>
      <c r="G123" s="165"/>
      <c r="H123" s="165"/>
      <c r="I123" s="165"/>
      <c r="J123" s="165"/>
      <c r="K123" s="161"/>
      <c r="L123" s="161"/>
      <c r="M123" s="161"/>
      <c r="N123" s="203"/>
    </row>
    <row r="124" spans="1:14">
      <c r="A124" s="159"/>
      <c r="B124" s="160"/>
      <c r="C124" s="161"/>
      <c r="D124" s="161"/>
      <c r="E124" s="161"/>
      <c r="F124" s="166"/>
      <c r="G124" s="161"/>
      <c r="H124" s="161"/>
      <c r="I124" s="160"/>
      <c r="J124" s="166"/>
      <c r="K124" s="165"/>
      <c r="L124" s="165"/>
      <c r="M124" s="165"/>
      <c r="N124" s="173"/>
    </row>
    <row r="125" spans="1:14" ht="12.75">
      <c r="A125" s="159"/>
      <c r="B125" s="161"/>
      <c r="C125" s="161"/>
      <c r="D125" s="161"/>
      <c r="E125" s="161"/>
      <c r="F125" s="161"/>
      <c r="G125" s="161"/>
      <c r="H125" s="161"/>
      <c r="I125" s="161"/>
      <c r="J125" s="161"/>
      <c r="K125" s="163"/>
      <c r="L125" s="163"/>
      <c r="M125" s="163"/>
      <c r="N125" s="203"/>
    </row>
    <row r="126" spans="1:14">
      <c r="A126" s="192"/>
      <c r="B126" s="162"/>
      <c r="C126" s="163"/>
      <c r="D126" s="163"/>
      <c r="E126" s="163"/>
      <c r="F126" s="164"/>
      <c r="G126" s="163"/>
      <c r="H126" s="163"/>
      <c r="I126" s="162"/>
      <c r="J126" s="164"/>
      <c r="K126" s="161"/>
      <c r="L126" s="161"/>
      <c r="M126" s="161"/>
      <c r="N126" s="172"/>
    </row>
    <row r="127" spans="1:14" ht="12.75">
      <c r="A127" s="167"/>
      <c r="B127" s="165"/>
      <c r="C127" s="165"/>
      <c r="D127" s="165"/>
      <c r="E127" s="165"/>
      <c r="F127" s="165"/>
      <c r="G127" s="165"/>
      <c r="H127" s="165"/>
      <c r="I127" s="165"/>
      <c r="J127" s="165"/>
      <c r="K127" s="161"/>
      <c r="L127" s="161"/>
      <c r="M127" s="161"/>
      <c r="N127" s="203"/>
    </row>
    <row r="128" spans="1:14">
      <c r="A128" s="159"/>
      <c r="B128" s="160"/>
      <c r="C128" s="161"/>
      <c r="D128" s="161"/>
      <c r="E128" s="161"/>
      <c r="F128" s="166"/>
      <c r="G128" s="161"/>
      <c r="H128" s="161"/>
      <c r="I128" s="160"/>
      <c r="J128" s="166"/>
      <c r="K128" s="165"/>
      <c r="L128" s="165"/>
      <c r="M128" s="165"/>
      <c r="N128" s="173"/>
    </row>
    <row r="129" spans="1:14" ht="12.75">
      <c r="A129" s="159"/>
      <c r="B129" s="161"/>
      <c r="C129" s="161"/>
      <c r="D129" s="161"/>
      <c r="E129" s="161"/>
      <c r="F129" s="161"/>
      <c r="G129" s="161"/>
      <c r="H129" s="161"/>
      <c r="I129" s="161"/>
      <c r="J129" s="161"/>
      <c r="K129" s="163"/>
      <c r="L129" s="163"/>
      <c r="M129" s="163"/>
      <c r="N129" s="203"/>
    </row>
    <row r="130" spans="1:14">
      <c r="A130" s="192"/>
      <c r="B130" s="162"/>
      <c r="C130" s="163"/>
      <c r="D130" s="163"/>
      <c r="E130" s="163"/>
      <c r="F130" s="164"/>
      <c r="G130" s="163"/>
      <c r="H130" s="163"/>
      <c r="I130" s="162"/>
      <c r="J130" s="164"/>
      <c r="K130" s="161"/>
      <c r="L130" s="161"/>
      <c r="M130" s="161"/>
      <c r="N130" s="172"/>
    </row>
    <row r="131" spans="1:14" ht="12.75">
      <c r="A131" s="167"/>
      <c r="B131" s="165"/>
      <c r="C131" s="165"/>
      <c r="D131" s="165"/>
      <c r="E131" s="165"/>
      <c r="F131" s="165"/>
      <c r="G131" s="165"/>
      <c r="H131" s="165"/>
      <c r="I131" s="165"/>
      <c r="J131" s="165"/>
      <c r="K131" s="161"/>
      <c r="L131" s="161"/>
      <c r="M131" s="161"/>
      <c r="N131" s="203"/>
    </row>
    <row r="132" spans="1:14">
      <c r="A132" s="159"/>
      <c r="B132" s="160"/>
      <c r="C132" s="161"/>
      <c r="D132" s="161"/>
      <c r="E132" s="161"/>
      <c r="F132" s="161"/>
      <c r="G132" s="161"/>
      <c r="H132" s="161"/>
      <c r="I132" s="160"/>
      <c r="J132" s="161"/>
      <c r="K132" s="165"/>
      <c r="L132" s="165"/>
      <c r="M132" s="165"/>
      <c r="N132" s="173"/>
    </row>
    <row r="133" spans="1:14" ht="12.75">
      <c r="A133" s="159"/>
      <c r="B133" s="161"/>
      <c r="C133" s="161"/>
      <c r="D133" s="161"/>
      <c r="E133" s="161"/>
      <c r="F133" s="161"/>
      <c r="G133" s="161"/>
      <c r="H133" s="161"/>
      <c r="I133" s="161"/>
      <c r="J133" s="161"/>
      <c r="K133" s="163"/>
      <c r="L133" s="163"/>
      <c r="M133" s="163"/>
      <c r="N133" s="203"/>
    </row>
    <row r="134" spans="1:14">
      <c r="A134" s="192"/>
      <c r="B134" s="162"/>
      <c r="C134" s="163"/>
      <c r="D134" s="163"/>
      <c r="E134" s="163"/>
      <c r="F134" s="164"/>
      <c r="G134" s="163"/>
      <c r="H134" s="163"/>
      <c r="I134" s="162"/>
      <c r="J134" s="164"/>
      <c r="K134" s="161"/>
      <c r="L134" s="161"/>
      <c r="M134" s="161"/>
      <c r="N134" s="172"/>
    </row>
    <row r="135" spans="1:14" ht="12.75">
      <c r="A135" s="167"/>
      <c r="B135" s="165"/>
      <c r="C135" s="165"/>
      <c r="D135" s="165"/>
      <c r="E135" s="165"/>
      <c r="F135" s="165"/>
      <c r="G135" s="165"/>
      <c r="H135" s="165"/>
      <c r="I135" s="165"/>
      <c r="J135" s="165"/>
      <c r="K135" s="161"/>
      <c r="L135" s="161"/>
      <c r="M135" s="161"/>
      <c r="N135" s="203"/>
    </row>
    <row r="136" spans="1:14">
      <c r="A136" s="159"/>
      <c r="B136" s="160"/>
      <c r="C136" s="161"/>
      <c r="D136" s="161"/>
      <c r="E136" s="161"/>
      <c r="F136" s="161"/>
      <c r="G136" s="161"/>
      <c r="H136" s="161"/>
      <c r="I136" s="160"/>
      <c r="J136" s="161"/>
      <c r="K136" s="165"/>
      <c r="L136" s="165"/>
      <c r="M136" s="165"/>
      <c r="N136" s="173"/>
    </row>
    <row r="137" spans="1:14" ht="12.75">
      <c r="A137" s="159"/>
      <c r="B137" s="161"/>
      <c r="C137" s="161"/>
      <c r="D137" s="161"/>
      <c r="E137" s="161"/>
      <c r="F137" s="161"/>
      <c r="G137" s="161"/>
      <c r="H137" s="161"/>
      <c r="I137" s="161"/>
      <c r="J137" s="161"/>
      <c r="K137" s="163"/>
      <c r="L137" s="163"/>
      <c r="M137" s="163"/>
      <c r="N137" s="203"/>
    </row>
    <row r="138" spans="1:14">
      <c r="A138" s="192"/>
      <c r="B138" s="162"/>
      <c r="C138" s="163"/>
      <c r="D138" s="163"/>
      <c r="E138" s="163"/>
      <c r="F138" s="163"/>
      <c r="G138" s="163"/>
      <c r="H138" s="163"/>
      <c r="I138" s="162"/>
      <c r="J138" s="163"/>
      <c r="K138" s="161"/>
      <c r="L138" s="161"/>
      <c r="M138" s="161"/>
      <c r="N138" s="172"/>
    </row>
    <row r="139" spans="1:14" ht="12.75">
      <c r="A139" s="167"/>
      <c r="B139" s="165"/>
      <c r="C139" s="165"/>
      <c r="D139" s="165"/>
      <c r="E139" s="165"/>
      <c r="F139" s="165"/>
      <c r="G139" s="165"/>
      <c r="H139" s="165"/>
      <c r="I139" s="165"/>
      <c r="J139" s="165"/>
      <c r="K139" s="161"/>
      <c r="L139" s="161"/>
      <c r="M139" s="161"/>
      <c r="N139" s="203"/>
    </row>
    <row r="140" spans="1:14">
      <c r="A140" s="159"/>
      <c r="B140" s="160"/>
      <c r="C140" s="161"/>
      <c r="D140" s="161"/>
      <c r="E140" s="161"/>
      <c r="F140" s="166"/>
      <c r="G140" s="161"/>
      <c r="H140" s="161"/>
      <c r="I140" s="160"/>
      <c r="J140" s="166"/>
      <c r="K140" s="165"/>
      <c r="L140" s="165"/>
      <c r="M140" s="165"/>
      <c r="N140" s="173"/>
    </row>
    <row r="141" spans="1:14" ht="12.75">
      <c r="A141" s="159"/>
      <c r="B141" s="161"/>
      <c r="C141" s="161"/>
      <c r="D141" s="161"/>
      <c r="E141" s="161"/>
      <c r="F141" s="161"/>
      <c r="G141" s="161"/>
      <c r="H141" s="161"/>
      <c r="I141" s="161"/>
      <c r="J141" s="161"/>
      <c r="K141" s="163"/>
      <c r="L141" s="163"/>
      <c r="M141" s="163"/>
      <c r="N141" s="203"/>
    </row>
    <row r="142" spans="1:14">
      <c r="A142" s="192"/>
      <c r="B142" s="162"/>
      <c r="C142" s="163"/>
      <c r="D142" s="163"/>
      <c r="E142" s="163"/>
      <c r="F142" s="164"/>
      <c r="G142" s="163"/>
      <c r="H142" s="163"/>
      <c r="I142" s="162"/>
      <c r="J142" s="164"/>
      <c r="K142" s="161"/>
      <c r="L142" s="161"/>
      <c r="M142" s="161"/>
      <c r="N142" s="172"/>
    </row>
    <row r="143" spans="1:14" ht="12.75">
      <c r="A143" s="167"/>
      <c r="B143" s="165"/>
      <c r="C143" s="165"/>
      <c r="D143" s="165"/>
      <c r="E143" s="165"/>
      <c r="F143" s="165"/>
      <c r="G143" s="165"/>
      <c r="H143" s="165"/>
      <c r="I143" s="165"/>
      <c r="J143" s="165"/>
      <c r="K143" s="161"/>
      <c r="L143" s="161"/>
      <c r="M143" s="161"/>
      <c r="N143" s="203"/>
    </row>
    <row r="144" spans="1:14">
      <c r="A144" s="159"/>
      <c r="B144" s="160"/>
      <c r="C144" s="161"/>
      <c r="D144" s="161"/>
      <c r="E144" s="161"/>
      <c r="F144" s="166"/>
      <c r="G144" s="161"/>
      <c r="H144" s="161"/>
      <c r="I144" s="160"/>
      <c r="J144" s="166"/>
      <c r="K144" s="165"/>
      <c r="L144" s="165"/>
      <c r="M144" s="165"/>
      <c r="N144" s="173"/>
    </row>
    <row r="145" spans="1:14" ht="12.75">
      <c r="A145" s="159"/>
      <c r="B145" s="161"/>
      <c r="C145" s="161"/>
      <c r="D145" s="161"/>
      <c r="E145" s="161"/>
      <c r="F145" s="161"/>
      <c r="G145" s="161"/>
      <c r="H145" s="161"/>
      <c r="I145" s="161"/>
      <c r="J145" s="161"/>
      <c r="K145" s="163"/>
      <c r="L145" s="163"/>
      <c r="M145" s="163"/>
      <c r="N145" s="203"/>
    </row>
    <row r="146" spans="1:14">
      <c r="A146" s="192"/>
      <c r="B146" s="162"/>
      <c r="C146" s="163"/>
      <c r="D146" s="163"/>
      <c r="E146" s="163"/>
      <c r="F146" s="163"/>
      <c r="G146" s="163"/>
      <c r="H146" s="163"/>
      <c r="I146" s="162"/>
      <c r="J146" s="163"/>
      <c r="K146" s="161"/>
      <c r="L146" s="161"/>
      <c r="M146" s="161"/>
      <c r="N146" s="172"/>
    </row>
    <row r="147" spans="1:14" ht="12.75">
      <c r="A147" s="167"/>
      <c r="B147" s="165"/>
      <c r="C147" s="165"/>
      <c r="D147" s="165"/>
      <c r="E147" s="165"/>
      <c r="F147" s="165"/>
      <c r="G147" s="165"/>
      <c r="H147" s="165"/>
      <c r="I147" s="165"/>
      <c r="J147" s="165"/>
      <c r="K147" s="161"/>
      <c r="L147" s="161"/>
      <c r="M147" s="161"/>
      <c r="N147" s="203"/>
    </row>
    <row r="148" spans="1:14">
      <c r="A148" s="159"/>
      <c r="B148" s="160"/>
      <c r="C148" s="161"/>
      <c r="D148" s="161"/>
      <c r="E148" s="161"/>
      <c r="F148" s="166"/>
      <c r="G148" s="161"/>
      <c r="H148" s="161"/>
      <c r="I148" s="160"/>
      <c r="J148" s="166"/>
      <c r="K148" s="165"/>
      <c r="L148" s="165"/>
      <c r="M148" s="165"/>
      <c r="N148" s="173"/>
    </row>
    <row r="149" spans="1:14" ht="12.75">
      <c r="A149" s="159"/>
      <c r="B149" s="161"/>
      <c r="C149" s="161"/>
      <c r="D149" s="161"/>
      <c r="E149" s="161"/>
      <c r="F149" s="161"/>
      <c r="G149" s="161"/>
      <c r="H149" s="161"/>
      <c r="I149" s="161"/>
      <c r="J149" s="161"/>
      <c r="K149" s="163"/>
      <c r="L149" s="163"/>
      <c r="M149" s="163"/>
      <c r="N149" s="203"/>
    </row>
    <row r="150" spans="1:14">
      <c r="A150" s="192"/>
      <c r="B150" s="162"/>
      <c r="C150" s="163"/>
      <c r="D150" s="163"/>
      <c r="E150" s="163"/>
      <c r="F150" s="163"/>
      <c r="G150" s="163"/>
      <c r="H150" s="163"/>
      <c r="I150" s="162"/>
      <c r="J150" s="163"/>
      <c r="K150" s="161"/>
      <c r="L150" s="161"/>
      <c r="M150" s="161"/>
      <c r="N150" s="172"/>
    </row>
    <row r="151" spans="1:14" ht="12.75">
      <c r="A151" s="167"/>
      <c r="B151" s="165"/>
      <c r="C151" s="165"/>
      <c r="D151" s="165"/>
      <c r="E151" s="165"/>
      <c r="F151" s="165"/>
      <c r="G151" s="165"/>
      <c r="H151" s="165"/>
      <c r="I151" s="165"/>
      <c r="J151" s="165"/>
      <c r="K151" s="161"/>
      <c r="L151" s="161"/>
      <c r="M151" s="161"/>
      <c r="N151" s="203"/>
    </row>
    <row r="152" spans="1:14">
      <c r="A152" s="159"/>
      <c r="B152" s="160"/>
      <c r="C152" s="161"/>
      <c r="D152" s="161"/>
      <c r="E152" s="161"/>
      <c r="F152" s="166"/>
      <c r="G152" s="161"/>
      <c r="H152" s="161"/>
      <c r="I152" s="160"/>
      <c r="J152" s="166"/>
      <c r="K152" s="165"/>
      <c r="L152" s="165"/>
      <c r="M152" s="165"/>
      <c r="N152" s="173"/>
    </row>
    <row r="153" spans="1:14" ht="12.75">
      <c r="A153" s="159"/>
      <c r="B153" s="161"/>
      <c r="C153" s="161"/>
      <c r="D153" s="161"/>
      <c r="E153" s="161"/>
      <c r="F153" s="161"/>
      <c r="G153" s="161"/>
      <c r="H153" s="161"/>
      <c r="I153" s="161"/>
      <c r="J153" s="161"/>
      <c r="K153" s="163"/>
      <c r="L153" s="163"/>
      <c r="M153" s="163"/>
      <c r="N153" s="203"/>
    </row>
    <row r="154" spans="1:14">
      <c r="A154" s="192"/>
      <c r="B154" s="162"/>
      <c r="C154" s="163"/>
      <c r="D154" s="163"/>
      <c r="E154" s="163"/>
      <c r="F154" s="164"/>
      <c r="G154" s="163"/>
      <c r="H154" s="163"/>
      <c r="I154" s="162"/>
      <c r="J154" s="164"/>
      <c r="K154" s="161"/>
      <c r="L154" s="161"/>
      <c r="M154" s="161"/>
      <c r="N154" s="172"/>
    </row>
    <row r="155" spans="1:14" ht="12.75">
      <c r="A155" s="167"/>
      <c r="B155" s="165"/>
      <c r="C155" s="165"/>
      <c r="D155" s="165"/>
      <c r="E155" s="165"/>
      <c r="F155" s="165"/>
      <c r="G155" s="165"/>
      <c r="H155" s="165"/>
      <c r="I155" s="165"/>
      <c r="J155" s="165"/>
      <c r="K155" s="161"/>
      <c r="L155" s="161"/>
      <c r="M155" s="161"/>
      <c r="N155" s="203"/>
    </row>
    <row r="156" spans="1:14">
      <c r="A156" s="159"/>
      <c r="B156" s="160"/>
      <c r="C156" s="161"/>
      <c r="D156" s="161"/>
      <c r="E156" s="161"/>
      <c r="F156" s="166"/>
      <c r="G156" s="161"/>
      <c r="H156" s="161"/>
      <c r="I156" s="160"/>
      <c r="J156" s="166"/>
      <c r="K156" s="165"/>
      <c r="L156" s="165"/>
      <c r="M156" s="165"/>
      <c r="N156" s="173"/>
    </row>
    <row r="157" spans="1:14" ht="12.75">
      <c r="A157" s="159"/>
      <c r="B157" s="161"/>
      <c r="C157" s="161"/>
      <c r="D157" s="161"/>
      <c r="E157" s="161"/>
      <c r="F157" s="161"/>
      <c r="G157" s="161"/>
      <c r="H157" s="161"/>
      <c r="I157" s="161"/>
      <c r="J157" s="161"/>
      <c r="K157" s="163"/>
      <c r="L157" s="163"/>
      <c r="M157" s="163"/>
      <c r="N157" s="203"/>
    </row>
    <row r="158" spans="1:14">
      <c r="A158" s="192"/>
      <c r="B158" s="162"/>
      <c r="C158" s="163"/>
      <c r="D158" s="163"/>
      <c r="E158" s="163"/>
      <c r="F158" s="164"/>
      <c r="G158" s="163"/>
      <c r="H158" s="163"/>
      <c r="I158" s="162"/>
      <c r="J158" s="164"/>
      <c r="K158" s="161"/>
      <c r="L158" s="161"/>
      <c r="M158" s="161"/>
      <c r="N158" s="172"/>
    </row>
    <row r="159" spans="1:14" ht="12.75">
      <c r="A159" s="167"/>
      <c r="B159" s="165"/>
      <c r="C159" s="165"/>
      <c r="D159" s="165"/>
      <c r="E159" s="165"/>
      <c r="F159" s="165"/>
      <c r="G159" s="165"/>
      <c r="H159" s="165"/>
      <c r="I159" s="165"/>
      <c r="J159" s="165"/>
      <c r="K159" s="161"/>
      <c r="L159" s="161"/>
      <c r="M159" s="161"/>
      <c r="N159" s="203"/>
    </row>
    <row r="160" spans="1:14">
      <c r="A160" s="159"/>
      <c r="B160" s="160"/>
      <c r="C160" s="161"/>
      <c r="D160" s="161"/>
      <c r="E160" s="161"/>
      <c r="F160" s="161"/>
      <c r="G160" s="161"/>
      <c r="H160" s="161"/>
      <c r="I160" s="160"/>
      <c r="J160" s="161"/>
      <c r="K160" s="165"/>
      <c r="L160" s="165"/>
      <c r="M160" s="165"/>
      <c r="N160" s="173"/>
    </row>
    <row r="161" spans="1:14" ht="12.75">
      <c r="A161" s="159"/>
      <c r="B161" s="161"/>
      <c r="C161" s="161"/>
      <c r="D161" s="161"/>
      <c r="E161" s="161"/>
      <c r="F161" s="161"/>
      <c r="G161" s="161"/>
      <c r="H161" s="161"/>
      <c r="I161" s="161"/>
      <c r="J161" s="161"/>
      <c r="K161" s="163"/>
      <c r="L161" s="163"/>
      <c r="M161" s="163"/>
      <c r="N161" s="203"/>
    </row>
    <row r="162" spans="1:14">
      <c r="A162" s="192"/>
      <c r="B162" s="162"/>
      <c r="C162" s="163"/>
      <c r="D162" s="163"/>
      <c r="E162" s="163"/>
      <c r="F162" s="164"/>
      <c r="G162" s="163"/>
      <c r="H162" s="163"/>
      <c r="I162" s="162"/>
      <c r="J162" s="164"/>
      <c r="K162" s="161"/>
      <c r="L162" s="161"/>
      <c r="M162" s="161"/>
      <c r="N162" s="172"/>
    </row>
    <row r="163" spans="1:14" ht="12.75">
      <c r="A163" s="167"/>
      <c r="B163" s="165"/>
      <c r="C163" s="165"/>
      <c r="D163" s="165"/>
      <c r="E163" s="165"/>
      <c r="F163" s="165"/>
      <c r="G163" s="165"/>
      <c r="H163" s="165"/>
      <c r="I163" s="165"/>
      <c r="J163" s="165"/>
      <c r="K163" s="161"/>
      <c r="L163" s="161"/>
      <c r="M163" s="161"/>
      <c r="N163" s="203"/>
    </row>
    <row r="164" spans="1:14">
      <c r="A164" s="159"/>
      <c r="B164" s="160"/>
      <c r="C164" s="161"/>
      <c r="D164" s="161"/>
      <c r="E164" s="161"/>
      <c r="F164" s="166"/>
      <c r="G164" s="161"/>
      <c r="H164" s="161"/>
      <c r="I164" s="160"/>
      <c r="J164" s="166"/>
      <c r="K164" s="165"/>
      <c r="L164" s="165"/>
      <c r="M164" s="165"/>
      <c r="N164" s="173"/>
    </row>
    <row r="165" spans="1:14" ht="12.75">
      <c r="A165" s="159"/>
      <c r="B165" s="161"/>
      <c r="C165" s="161"/>
      <c r="D165" s="161"/>
      <c r="E165" s="161"/>
      <c r="F165" s="161"/>
      <c r="G165" s="161"/>
      <c r="H165" s="161"/>
      <c r="I165" s="161"/>
      <c r="J165" s="161"/>
      <c r="K165" s="163"/>
      <c r="L165" s="163"/>
      <c r="M165" s="163"/>
      <c r="N165" s="203"/>
    </row>
    <row r="166" spans="1:14">
      <c r="A166" s="192"/>
      <c r="B166" s="162"/>
      <c r="C166" s="163"/>
      <c r="D166" s="163"/>
      <c r="E166" s="163"/>
      <c r="F166" s="163"/>
      <c r="G166" s="163"/>
      <c r="H166" s="163"/>
      <c r="I166" s="162"/>
      <c r="J166" s="163"/>
      <c r="K166" s="161"/>
      <c r="L166" s="161"/>
      <c r="M166" s="161"/>
      <c r="N166" s="172"/>
    </row>
    <row r="167" spans="1:14" ht="12.75">
      <c r="A167" s="167"/>
      <c r="B167" s="165"/>
      <c r="C167" s="165"/>
      <c r="D167" s="165"/>
      <c r="E167" s="165"/>
      <c r="F167" s="165"/>
      <c r="G167" s="165"/>
      <c r="H167" s="165"/>
      <c r="I167" s="165"/>
      <c r="J167" s="165"/>
      <c r="K167" s="161"/>
      <c r="L167" s="161"/>
      <c r="M167" s="161"/>
      <c r="N167" s="203"/>
    </row>
    <row r="168" spans="1:14">
      <c r="A168" s="159"/>
      <c r="B168" s="160"/>
      <c r="C168" s="161"/>
      <c r="D168" s="161"/>
      <c r="E168" s="161"/>
      <c r="F168" s="161"/>
      <c r="G168" s="161"/>
      <c r="H168" s="161"/>
      <c r="I168" s="160"/>
      <c r="J168" s="161"/>
      <c r="K168" s="165"/>
      <c r="L168" s="165"/>
      <c r="M168" s="165"/>
      <c r="N168" s="173"/>
    </row>
    <row r="169" spans="1:14" ht="12.75">
      <c r="A169" s="159"/>
      <c r="B169" s="161"/>
      <c r="C169" s="161"/>
      <c r="D169" s="161"/>
      <c r="E169" s="161"/>
      <c r="F169" s="161"/>
      <c r="G169" s="161"/>
      <c r="H169" s="161"/>
      <c r="I169" s="161"/>
      <c r="J169" s="161"/>
      <c r="K169" s="163"/>
      <c r="L169" s="163"/>
      <c r="M169" s="163"/>
      <c r="N169" s="203"/>
    </row>
    <row r="170" spans="1:14">
      <c r="A170" s="192"/>
      <c r="B170" s="162"/>
      <c r="C170" s="163"/>
      <c r="D170" s="163"/>
      <c r="E170" s="163"/>
      <c r="F170" s="163"/>
      <c r="G170" s="163"/>
      <c r="H170" s="163"/>
      <c r="I170" s="162"/>
      <c r="J170" s="163"/>
      <c r="K170" s="161"/>
      <c r="L170" s="161"/>
      <c r="M170" s="161"/>
      <c r="N170" s="172"/>
    </row>
    <row r="171" spans="1:14" ht="12.75">
      <c r="A171" s="167"/>
      <c r="B171" s="165"/>
      <c r="C171" s="165"/>
      <c r="D171" s="165"/>
      <c r="E171" s="165"/>
      <c r="F171" s="165"/>
      <c r="G171" s="165"/>
      <c r="H171" s="165"/>
      <c r="I171" s="165"/>
      <c r="J171" s="165"/>
      <c r="K171" s="161"/>
      <c r="L171" s="161"/>
      <c r="M171" s="161"/>
      <c r="N171" s="203"/>
    </row>
    <row r="172" spans="1:14">
      <c r="A172" s="159"/>
      <c r="B172" s="160"/>
      <c r="C172" s="161"/>
      <c r="D172" s="161"/>
      <c r="E172" s="161"/>
      <c r="F172" s="166"/>
      <c r="G172" s="161"/>
      <c r="H172" s="161"/>
      <c r="I172" s="160"/>
      <c r="J172" s="166"/>
      <c r="K172" s="165"/>
      <c r="L172" s="165"/>
      <c r="M172" s="165"/>
      <c r="N172" s="173"/>
    </row>
    <row r="173" spans="1:14" ht="12.75">
      <c r="A173" s="159"/>
      <c r="B173" s="161"/>
      <c r="C173" s="161"/>
      <c r="D173" s="161"/>
      <c r="E173" s="161"/>
      <c r="F173" s="161"/>
      <c r="G173" s="161"/>
      <c r="H173" s="161"/>
      <c r="I173" s="161"/>
      <c r="J173" s="161"/>
      <c r="K173" s="163"/>
      <c r="L173" s="163"/>
      <c r="M173" s="163"/>
      <c r="N173" s="203"/>
    </row>
    <row r="174" spans="1:14">
      <c r="A174" s="192"/>
      <c r="B174" s="162"/>
      <c r="C174" s="163"/>
      <c r="D174" s="163"/>
      <c r="E174" s="163"/>
      <c r="F174" s="163"/>
      <c r="G174" s="163"/>
      <c r="H174" s="163"/>
      <c r="I174" s="162"/>
      <c r="J174" s="163"/>
      <c r="K174" s="161"/>
      <c r="L174" s="161"/>
      <c r="M174" s="161"/>
      <c r="N174" s="172"/>
    </row>
    <row r="175" spans="1:14" ht="12.75">
      <c r="A175" s="167"/>
      <c r="B175" s="165"/>
      <c r="C175" s="165"/>
      <c r="D175" s="165"/>
      <c r="E175" s="165"/>
      <c r="F175" s="165"/>
      <c r="G175" s="165"/>
      <c r="H175" s="165"/>
      <c r="I175" s="165"/>
      <c r="J175" s="165"/>
      <c r="K175" s="161"/>
      <c r="L175" s="161"/>
      <c r="M175" s="161"/>
      <c r="N175" s="203"/>
    </row>
    <row r="176" spans="1:14">
      <c r="A176" s="159"/>
      <c r="B176" s="160"/>
      <c r="C176" s="161"/>
      <c r="D176" s="161"/>
      <c r="E176" s="161"/>
      <c r="F176" s="166"/>
      <c r="G176" s="161"/>
      <c r="H176" s="161"/>
      <c r="I176" s="160"/>
      <c r="J176" s="166"/>
      <c r="K176" s="165"/>
      <c r="L176" s="165"/>
      <c r="M176" s="165"/>
      <c r="N176" s="173"/>
    </row>
    <row r="177" spans="1:14" ht="12.75">
      <c r="A177" s="159"/>
      <c r="B177" s="161"/>
      <c r="C177" s="161"/>
      <c r="D177" s="161"/>
      <c r="E177" s="161"/>
      <c r="F177" s="161"/>
      <c r="G177" s="161"/>
      <c r="H177" s="161"/>
      <c r="I177" s="161"/>
      <c r="J177" s="161"/>
      <c r="K177" s="163"/>
      <c r="L177" s="163"/>
      <c r="M177" s="163"/>
      <c r="N177" s="203"/>
    </row>
    <row r="178" spans="1:14">
      <c r="A178" s="192"/>
      <c r="B178" s="162"/>
      <c r="C178" s="163"/>
      <c r="D178" s="163"/>
      <c r="E178" s="163"/>
      <c r="F178" s="164"/>
      <c r="G178" s="163"/>
      <c r="H178" s="163"/>
      <c r="I178" s="162"/>
      <c r="J178" s="164"/>
      <c r="K178" s="161"/>
      <c r="L178" s="161"/>
      <c r="M178" s="161"/>
      <c r="N178" s="172"/>
    </row>
    <row r="179" spans="1:14" ht="12.75">
      <c r="A179" s="167"/>
      <c r="B179" s="165"/>
      <c r="C179" s="165"/>
      <c r="D179" s="165"/>
      <c r="E179" s="165"/>
      <c r="F179" s="165"/>
      <c r="G179" s="165"/>
      <c r="H179" s="165"/>
      <c r="I179" s="165"/>
      <c r="J179" s="165"/>
      <c r="K179" s="161"/>
      <c r="L179" s="161"/>
      <c r="M179" s="161"/>
      <c r="N179" s="203"/>
    </row>
    <row r="180" spans="1:14">
      <c r="A180" s="159"/>
      <c r="B180" s="160"/>
      <c r="C180" s="161"/>
      <c r="D180" s="161"/>
      <c r="E180" s="161"/>
      <c r="F180" s="161"/>
      <c r="G180" s="161"/>
      <c r="H180" s="161"/>
      <c r="I180" s="160"/>
      <c r="J180" s="161"/>
      <c r="K180" s="165"/>
      <c r="L180" s="165"/>
      <c r="M180" s="165"/>
      <c r="N180" s="173"/>
    </row>
    <row r="181" spans="1:14" ht="12.75">
      <c r="A181" s="159"/>
      <c r="B181" s="161"/>
      <c r="C181" s="161"/>
      <c r="D181" s="161"/>
      <c r="E181" s="161"/>
      <c r="F181" s="161"/>
      <c r="G181" s="161"/>
      <c r="H181" s="161"/>
      <c r="I181" s="161"/>
      <c r="J181" s="161"/>
      <c r="K181" s="163"/>
      <c r="L181" s="163"/>
      <c r="M181" s="163"/>
      <c r="N181" s="203"/>
    </row>
    <row r="182" spans="1:14">
      <c r="A182" s="192"/>
      <c r="B182" s="162"/>
      <c r="C182" s="163"/>
      <c r="D182" s="163"/>
      <c r="E182" s="163"/>
      <c r="F182" s="164"/>
      <c r="G182" s="163"/>
      <c r="H182" s="163"/>
      <c r="I182" s="162"/>
      <c r="J182" s="164"/>
      <c r="K182" s="161"/>
      <c r="L182" s="161"/>
      <c r="M182" s="161"/>
      <c r="N182" s="172"/>
    </row>
    <row r="183" spans="1:14" ht="12.75">
      <c r="A183" s="167"/>
      <c r="B183" s="165"/>
      <c r="C183" s="165"/>
      <c r="D183" s="165"/>
      <c r="E183" s="165"/>
      <c r="F183" s="165"/>
      <c r="G183" s="165"/>
      <c r="H183" s="165"/>
      <c r="I183" s="165"/>
      <c r="J183" s="165"/>
      <c r="K183" s="161"/>
      <c r="L183" s="161"/>
      <c r="M183" s="161"/>
      <c r="N183" s="203"/>
    </row>
    <row r="184" spans="1:14">
      <c r="A184" s="159"/>
      <c r="B184" s="160"/>
      <c r="C184" s="161"/>
      <c r="D184" s="161"/>
      <c r="E184" s="161"/>
      <c r="F184" s="161"/>
      <c r="G184" s="161"/>
      <c r="H184" s="161"/>
      <c r="I184" s="160"/>
      <c r="J184" s="161"/>
      <c r="K184" s="165"/>
      <c r="L184" s="165"/>
      <c r="M184" s="165"/>
      <c r="N184" s="173"/>
    </row>
    <row r="185" spans="1:14" ht="12.75">
      <c r="A185" s="159"/>
      <c r="B185" s="161"/>
      <c r="C185" s="161"/>
      <c r="D185" s="161"/>
      <c r="E185" s="161"/>
      <c r="F185" s="161"/>
      <c r="G185" s="161"/>
      <c r="H185" s="161"/>
      <c r="I185" s="161"/>
      <c r="J185" s="161"/>
      <c r="K185" s="163"/>
      <c r="L185" s="163"/>
      <c r="M185" s="163"/>
      <c r="N185" s="203"/>
    </row>
    <row r="186" spans="1:14">
      <c r="A186" s="192"/>
      <c r="B186" s="162"/>
      <c r="C186" s="163"/>
      <c r="D186" s="163"/>
      <c r="E186" s="163"/>
      <c r="F186" s="163"/>
      <c r="G186" s="163"/>
      <c r="H186" s="163"/>
      <c r="I186" s="162"/>
      <c r="J186" s="163"/>
      <c r="K186" s="161"/>
      <c r="L186" s="161"/>
      <c r="M186" s="161"/>
      <c r="N186" s="172"/>
    </row>
    <row r="187" spans="1:14" ht="12.75">
      <c r="A187" s="167"/>
      <c r="B187" s="165"/>
      <c r="C187" s="165"/>
      <c r="D187" s="165"/>
      <c r="E187" s="165"/>
      <c r="F187" s="165"/>
      <c r="G187" s="165"/>
      <c r="H187" s="165"/>
      <c r="I187" s="165"/>
      <c r="J187" s="165"/>
      <c r="K187" s="161"/>
      <c r="L187" s="161"/>
      <c r="M187" s="161"/>
      <c r="N187" s="203"/>
    </row>
    <row r="188" spans="1:14">
      <c r="A188" s="159"/>
      <c r="B188" s="160"/>
      <c r="C188" s="161"/>
      <c r="D188" s="161"/>
      <c r="E188" s="161"/>
      <c r="F188" s="161"/>
      <c r="G188" s="161"/>
      <c r="H188" s="161"/>
      <c r="I188" s="160"/>
      <c r="J188" s="161"/>
      <c r="K188" s="165"/>
      <c r="L188" s="165"/>
      <c r="M188" s="165"/>
      <c r="N188" s="173"/>
    </row>
    <row r="189" spans="1:14" ht="12.75">
      <c r="A189" s="159"/>
      <c r="B189" s="161"/>
      <c r="C189" s="161"/>
      <c r="D189" s="161"/>
      <c r="E189" s="161"/>
      <c r="F189" s="161"/>
      <c r="G189" s="161"/>
      <c r="H189" s="161"/>
      <c r="I189" s="161"/>
      <c r="J189" s="161"/>
      <c r="K189" s="163"/>
      <c r="L189" s="163"/>
      <c r="M189" s="163"/>
      <c r="N189" s="203"/>
    </row>
    <row r="190" spans="1:14">
      <c r="A190" s="192"/>
      <c r="B190" s="162"/>
      <c r="C190" s="163"/>
      <c r="D190" s="163"/>
      <c r="E190" s="163"/>
      <c r="F190" s="164"/>
      <c r="G190" s="163"/>
      <c r="H190" s="163"/>
      <c r="I190" s="162"/>
      <c r="J190" s="164"/>
      <c r="K190" s="161"/>
      <c r="L190" s="161"/>
      <c r="M190" s="161"/>
      <c r="N190" s="172"/>
    </row>
    <row r="191" spans="1:14" ht="12.75">
      <c r="A191" s="167"/>
      <c r="B191" s="165"/>
      <c r="C191" s="165"/>
      <c r="D191" s="165"/>
      <c r="E191" s="165"/>
      <c r="F191" s="165"/>
      <c r="G191" s="165"/>
      <c r="H191" s="165"/>
      <c r="I191" s="165"/>
      <c r="J191" s="165"/>
      <c r="K191" s="161"/>
      <c r="L191" s="161"/>
      <c r="M191" s="161"/>
      <c r="N191" s="203"/>
    </row>
    <row r="192" spans="1:14">
      <c r="A192" s="159"/>
      <c r="B192" s="160"/>
      <c r="C192" s="161"/>
      <c r="D192" s="161"/>
      <c r="E192" s="161"/>
      <c r="F192" s="166"/>
      <c r="G192" s="161"/>
      <c r="H192" s="161"/>
      <c r="I192" s="160"/>
      <c r="J192" s="166"/>
      <c r="K192" s="165"/>
      <c r="L192" s="165"/>
      <c r="M192" s="165"/>
      <c r="N192" s="173"/>
    </row>
    <row r="193" spans="1:14" ht="12.75">
      <c r="A193" s="159"/>
      <c r="B193" s="161"/>
      <c r="C193" s="161"/>
      <c r="D193" s="161"/>
      <c r="E193" s="161"/>
      <c r="F193" s="161"/>
      <c r="G193" s="161"/>
      <c r="H193" s="161"/>
      <c r="I193" s="161"/>
      <c r="J193" s="161"/>
      <c r="K193" s="163"/>
      <c r="L193" s="163"/>
      <c r="M193" s="163"/>
      <c r="N193" s="203"/>
    </row>
    <row r="194" spans="1:14">
      <c r="A194" s="192"/>
      <c r="B194" s="162"/>
      <c r="C194" s="163"/>
      <c r="D194" s="163"/>
      <c r="E194" s="163"/>
      <c r="F194" s="164"/>
      <c r="G194" s="163"/>
      <c r="H194" s="163"/>
      <c r="I194" s="162"/>
      <c r="J194" s="164"/>
      <c r="K194" s="161"/>
      <c r="L194" s="161"/>
      <c r="M194" s="161"/>
      <c r="N194" s="172"/>
    </row>
    <row r="195" spans="1:14" ht="12.75">
      <c r="A195" s="167"/>
      <c r="B195" s="165"/>
      <c r="C195" s="165"/>
      <c r="D195" s="165"/>
      <c r="E195" s="165"/>
      <c r="F195" s="165"/>
      <c r="G195" s="165"/>
      <c r="H195" s="165"/>
      <c r="I195" s="165"/>
      <c r="J195" s="165"/>
      <c r="K195" s="161"/>
      <c r="L195" s="161"/>
      <c r="M195" s="161"/>
      <c r="N195" s="203"/>
    </row>
    <row r="196" spans="1:14">
      <c r="A196" s="159"/>
      <c r="B196" s="160"/>
      <c r="C196" s="161"/>
      <c r="D196" s="161"/>
      <c r="E196" s="161"/>
      <c r="F196" s="166"/>
      <c r="G196" s="161"/>
      <c r="H196" s="161"/>
      <c r="I196" s="160"/>
      <c r="J196" s="166"/>
      <c r="K196" s="165"/>
      <c r="L196" s="165"/>
      <c r="M196" s="165"/>
      <c r="N196" s="173"/>
    </row>
    <row r="197" spans="1:14" ht="12.75">
      <c r="A197" s="159"/>
      <c r="B197" s="161"/>
      <c r="C197" s="161"/>
      <c r="D197" s="161"/>
      <c r="E197" s="161"/>
      <c r="F197" s="161"/>
      <c r="G197" s="161"/>
      <c r="H197" s="161"/>
      <c r="I197" s="161"/>
      <c r="J197" s="161"/>
      <c r="K197" s="163"/>
      <c r="L197" s="163"/>
      <c r="M197" s="163"/>
      <c r="N197" s="203"/>
    </row>
    <row r="198" spans="1:14">
      <c r="A198" s="192"/>
      <c r="B198" s="162"/>
      <c r="C198" s="163"/>
      <c r="D198" s="163"/>
      <c r="E198" s="163"/>
      <c r="F198" s="164"/>
      <c r="G198" s="163"/>
      <c r="H198" s="163"/>
      <c r="I198" s="162"/>
      <c r="J198" s="164"/>
      <c r="K198" s="161"/>
      <c r="L198" s="161"/>
      <c r="M198" s="161"/>
      <c r="N198" s="172"/>
    </row>
    <row r="199" spans="1:14" ht="12.75">
      <c r="A199" s="167"/>
      <c r="B199" s="165"/>
      <c r="C199" s="165"/>
      <c r="D199" s="165"/>
      <c r="E199" s="165"/>
      <c r="F199" s="165"/>
      <c r="G199" s="165"/>
      <c r="H199" s="165"/>
      <c r="I199" s="165"/>
      <c r="J199" s="165"/>
      <c r="K199" s="161"/>
      <c r="L199" s="161"/>
      <c r="M199" s="161"/>
      <c r="N199" s="203"/>
    </row>
    <row r="200" spans="1:14">
      <c r="A200" s="159"/>
      <c r="B200" s="160"/>
      <c r="C200" s="161"/>
      <c r="D200" s="161"/>
      <c r="E200" s="161"/>
      <c r="F200" s="161"/>
      <c r="G200" s="161"/>
      <c r="H200" s="161"/>
      <c r="I200" s="160"/>
      <c r="J200" s="161"/>
      <c r="K200" s="165"/>
      <c r="L200" s="165"/>
      <c r="M200" s="165"/>
      <c r="N200" s="173"/>
    </row>
    <row r="201" spans="1:14" ht="12.75">
      <c r="A201" s="159"/>
      <c r="B201" s="161"/>
      <c r="C201" s="161"/>
      <c r="D201" s="161"/>
      <c r="E201" s="161"/>
      <c r="F201" s="161"/>
      <c r="G201" s="161"/>
      <c r="H201" s="161"/>
      <c r="I201" s="161"/>
      <c r="J201" s="161"/>
      <c r="K201" s="163"/>
      <c r="L201" s="163"/>
      <c r="M201" s="163"/>
      <c r="N201" s="203"/>
    </row>
    <row r="202" spans="1:14">
      <c r="A202" s="192"/>
      <c r="B202" s="162"/>
      <c r="C202" s="163"/>
      <c r="D202" s="163"/>
      <c r="E202" s="163"/>
      <c r="F202" s="163"/>
      <c r="G202" s="163"/>
      <c r="H202" s="163"/>
      <c r="I202" s="162"/>
      <c r="J202" s="163"/>
      <c r="K202" s="161"/>
      <c r="L202" s="161"/>
      <c r="M202" s="161"/>
      <c r="N202" s="172"/>
    </row>
    <row r="203" spans="1:14" ht="12.75">
      <c r="A203" s="167"/>
      <c r="B203" s="165"/>
      <c r="C203" s="165"/>
      <c r="D203" s="165"/>
      <c r="E203" s="165"/>
      <c r="F203" s="165"/>
      <c r="G203" s="165"/>
      <c r="H203" s="165"/>
      <c r="I203" s="165"/>
      <c r="J203" s="165"/>
      <c r="K203" s="161"/>
      <c r="L203" s="161"/>
      <c r="M203" s="161"/>
      <c r="N203" s="203"/>
    </row>
    <row r="204" spans="1:14">
      <c r="A204" s="159"/>
      <c r="B204" s="160"/>
      <c r="C204" s="161"/>
      <c r="D204" s="161"/>
      <c r="E204" s="161"/>
      <c r="F204" s="161"/>
      <c r="G204" s="161"/>
      <c r="H204" s="161"/>
      <c r="I204" s="160"/>
      <c r="J204" s="161"/>
      <c r="K204" s="165"/>
      <c r="L204" s="165"/>
      <c r="M204" s="165"/>
      <c r="N204" s="173"/>
    </row>
    <row r="205" spans="1:14" ht="12.75">
      <c r="A205" s="159"/>
      <c r="B205" s="161"/>
      <c r="C205" s="161"/>
      <c r="D205" s="161"/>
      <c r="E205" s="161"/>
      <c r="F205" s="161"/>
      <c r="G205" s="161"/>
      <c r="H205" s="161"/>
      <c r="I205" s="161"/>
      <c r="J205" s="161"/>
      <c r="K205" s="163"/>
      <c r="L205" s="163"/>
      <c r="M205" s="163"/>
      <c r="N205" s="203"/>
    </row>
    <row r="206" spans="1:14">
      <c r="A206" s="192"/>
      <c r="B206" s="162"/>
      <c r="C206" s="163"/>
      <c r="D206" s="163"/>
      <c r="E206" s="163"/>
      <c r="F206" s="164"/>
      <c r="G206" s="163"/>
      <c r="H206" s="163"/>
      <c r="I206" s="162"/>
      <c r="J206" s="164"/>
      <c r="K206" s="161"/>
      <c r="L206" s="161"/>
      <c r="M206" s="161"/>
      <c r="N206" s="172"/>
    </row>
    <row r="207" spans="1:14" ht="12.75">
      <c r="A207" s="167"/>
      <c r="B207" s="165"/>
      <c r="C207" s="165"/>
      <c r="D207" s="165"/>
      <c r="E207" s="165"/>
      <c r="F207" s="165"/>
      <c r="G207" s="165"/>
      <c r="H207" s="165"/>
      <c r="I207" s="165"/>
      <c r="J207" s="165"/>
      <c r="K207" s="161"/>
      <c r="L207" s="161"/>
      <c r="M207" s="161"/>
      <c r="N207" s="203"/>
    </row>
    <row r="208" spans="1:14">
      <c r="A208" s="159"/>
      <c r="B208" s="160"/>
      <c r="C208" s="161"/>
      <c r="D208" s="161"/>
      <c r="E208" s="161"/>
      <c r="F208" s="166"/>
      <c r="G208" s="161"/>
      <c r="H208" s="161"/>
      <c r="I208" s="160"/>
      <c r="J208" s="166"/>
      <c r="K208" s="165"/>
      <c r="L208" s="165"/>
      <c r="M208" s="165"/>
      <c r="N208" s="173"/>
    </row>
    <row r="209" spans="1:14" ht="12.75">
      <c r="A209" s="159"/>
      <c r="B209" s="161"/>
      <c r="C209" s="161"/>
      <c r="D209" s="161"/>
      <c r="E209" s="161"/>
      <c r="F209" s="161"/>
      <c r="G209" s="161"/>
      <c r="H209" s="161"/>
      <c r="I209" s="161"/>
      <c r="J209" s="161"/>
      <c r="K209" s="163"/>
      <c r="L209" s="163"/>
      <c r="M209" s="163"/>
      <c r="N209" s="203"/>
    </row>
    <row r="210" spans="1:14">
      <c r="A210" s="192"/>
      <c r="B210" s="162"/>
      <c r="C210" s="163"/>
      <c r="D210" s="163"/>
      <c r="E210" s="163"/>
      <c r="F210" s="164"/>
      <c r="G210" s="163"/>
      <c r="H210" s="163"/>
      <c r="I210" s="162"/>
      <c r="J210" s="164"/>
      <c r="K210" s="161"/>
      <c r="L210" s="161"/>
      <c r="M210" s="161"/>
      <c r="N210" s="172"/>
    </row>
    <row r="211" spans="1:14" ht="12.75">
      <c r="A211" s="167"/>
      <c r="B211" s="165"/>
      <c r="C211" s="165"/>
      <c r="D211" s="165"/>
      <c r="E211" s="165"/>
      <c r="F211" s="165"/>
      <c r="G211" s="165"/>
      <c r="H211" s="165"/>
      <c r="I211" s="165"/>
      <c r="J211" s="165"/>
      <c r="K211" s="161"/>
      <c r="L211" s="161"/>
      <c r="M211" s="161"/>
      <c r="N211" s="203"/>
    </row>
    <row r="212" spans="1:14">
      <c r="A212" s="159"/>
      <c r="B212" s="160"/>
      <c r="C212" s="161"/>
      <c r="D212" s="161"/>
      <c r="E212" s="161"/>
      <c r="F212" s="161"/>
      <c r="G212" s="161"/>
      <c r="H212" s="161"/>
      <c r="I212" s="160"/>
      <c r="J212" s="161"/>
      <c r="K212" s="165"/>
      <c r="L212" s="165"/>
      <c r="M212" s="165"/>
      <c r="N212" s="173"/>
    </row>
    <row r="213" spans="1:14" ht="12.75">
      <c r="A213" s="159"/>
      <c r="B213" s="161"/>
      <c r="C213" s="161"/>
      <c r="D213" s="161"/>
      <c r="E213" s="161"/>
      <c r="F213" s="161"/>
      <c r="G213" s="161"/>
      <c r="H213" s="161"/>
      <c r="I213" s="161"/>
      <c r="J213" s="161"/>
      <c r="K213" s="163"/>
      <c r="L213" s="163"/>
      <c r="M213" s="163"/>
      <c r="N213" s="203"/>
    </row>
    <row r="214" spans="1:14">
      <c r="A214" s="192"/>
      <c r="B214" s="162"/>
      <c r="C214" s="163"/>
      <c r="D214" s="163"/>
      <c r="E214" s="163"/>
      <c r="F214" s="163"/>
      <c r="G214" s="163"/>
      <c r="H214" s="163"/>
      <c r="I214" s="162"/>
      <c r="J214" s="163"/>
      <c r="K214" s="161"/>
      <c r="L214" s="161"/>
      <c r="M214" s="161"/>
      <c r="N214" s="172"/>
    </row>
    <row r="215" spans="1:14" ht="12.75">
      <c r="A215" s="167"/>
      <c r="B215" s="165"/>
      <c r="C215" s="165"/>
      <c r="D215" s="165"/>
      <c r="E215" s="165"/>
      <c r="F215" s="165"/>
      <c r="G215" s="165"/>
      <c r="H215" s="165"/>
      <c r="I215" s="165"/>
      <c r="J215" s="165"/>
      <c r="K215" s="161"/>
      <c r="L215" s="161"/>
      <c r="M215" s="161"/>
      <c r="N215" s="203"/>
    </row>
    <row r="216" spans="1:14">
      <c r="A216" s="159"/>
      <c r="B216" s="160"/>
      <c r="C216" s="161"/>
      <c r="D216" s="161"/>
      <c r="E216" s="161"/>
      <c r="F216" s="166"/>
      <c r="G216" s="161"/>
      <c r="H216" s="161"/>
      <c r="I216" s="160"/>
      <c r="J216" s="166"/>
      <c r="K216" s="165"/>
      <c r="L216" s="165"/>
      <c r="M216" s="165"/>
      <c r="N216" s="173"/>
    </row>
    <row r="217" spans="1:14" ht="12.75">
      <c r="A217" s="159"/>
      <c r="B217" s="161"/>
      <c r="C217" s="161"/>
      <c r="D217" s="161"/>
      <c r="E217" s="161"/>
      <c r="F217" s="161"/>
      <c r="G217" s="161"/>
      <c r="H217" s="161"/>
      <c r="I217" s="161"/>
      <c r="J217" s="161"/>
      <c r="K217" s="163"/>
      <c r="L217" s="163"/>
      <c r="M217" s="163"/>
      <c r="N217" s="203"/>
    </row>
    <row r="218" spans="1:14">
      <c r="A218" s="192"/>
      <c r="B218" s="162"/>
      <c r="C218" s="163"/>
      <c r="D218" s="163"/>
      <c r="E218" s="163"/>
      <c r="F218" s="163"/>
      <c r="G218" s="163"/>
      <c r="H218" s="163"/>
      <c r="I218" s="162"/>
      <c r="J218" s="163"/>
      <c r="K218" s="161"/>
      <c r="L218" s="161"/>
      <c r="M218" s="161"/>
      <c r="N218" s="172"/>
    </row>
    <row r="219" spans="1:14" ht="12.75">
      <c r="A219" s="167"/>
      <c r="B219" s="165"/>
      <c r="C219" s="165"/>
      <c r="D219" s="165"/>
      <c r="E219" s="165"/>
      <c r="F219" s="165"/>
      <c r="G219" s="165"/>
      <c r="H219" s="165"/>
      <c r="I219" s="165"/>
      <c r="J219" s="165"/>
      <c r="K219" s="161"/>
      <c r="L219" s="161"/>
      <c r="M219" s="161"/>
      <c r="N219" s="203"/>
    </row>
    <row r="220" spans="1:14">
      <c r="A220" s="159"/>
      <c r="B220" s="160"/>
      <c r="C220" s="161"/>
      <c r="D220" s="161"/>
      <c r="E220" s="161"/>
      <c r="F220" s="161"/>
      <c r="G220" s="161"/>
      <c r="H220" s="161"/>
      <c r="I220" s="160"/>
      <c r="J220" s="161"/>
      <c r="K220" s="165"/>
      <c r="L220" s="165"/>
      <c r="M220" s="165"/>
      <c r="N220" s="173"/>
    </row>
    <row r="221" spans="1:14" ht="12.75">
      <c r="A221" s="159"/>
      <c r="B221" s="161"/>
      <c r="C221" s="161"/>
      <c r="D221" s="161"/>
      <c r="E221" s="161"/>
      <c r="F221" s="161"/>
      <c r="G221" s="161"/>
      <c r="H221" s="161"/>
      <c r="I221" s="161"/>
      <c r="J221" s="161"/>
      <c r="K221" s="163"/>
      <c r="L221" s="163"/>
      <c r="M221" s="163"/>
      <c r="N221" s="203"/>
    </row>
    <row r="222" spans="1:14">
      <c r="A222" s="192"/>
      <c r="B222" s="162"/>
      <c r="C222" s="163"/>
      <c r="D222" s="163"/>
      <c r="E222" s="163"/>
      <c r="F222" s="164"/>
      <c r="G222" s="163"/>
      <c r="H222" s="163"/>
      <c r="I222" s="162"/>
      <c r="J222" s="164"/>
      <c r="K222" s="161"/>
      <c r="L222" s="161"/>
      <c r="M222" s="161"/>
      <c r="N222" s="172"/>
    </row>
    <row r="223" spans="1:14" ht="12.75">
      <c r="A223" s="167"/>
      <c r="B223" s="165"/>
      <c r="C223" s="165"/>
      <c r="D223" s="165"/>
      <c r="E223" s="165"/>
      <c r="F223" s="165"/>
      <c r="G223" s="165"/>
      <c r="H223" s="165"/>
      <c r="I223" s="165"/>
      <c r="J223" s="165"/>
      <c r="K223" s="161"/>
      <c r="L223" s="161"/>
      <c r="M223" s="161"/>
      <c r="N223" s="203"/>
    </row>
    <row r="224" spans="1:14">
      <c r="A224" s="159"/>
      <c r="B224" s="160"/>
      <c r="C224" s="161"/>
      <c r="D224" s="161"/>
      <c r="E224" s="161"/>
      <c r="F224" s="166"/>
      <c r="G224" s="161"/>
      <c r="H224" s="161"/>
      <c r="I224" s="160"/>
      <c r="J224" s="166"/>
      <c r="K224" s="165"/>
      <c r="L224" s="165"/>
      <c r="M224" s="165"/>
      <c r="N224" s="173"/>
    </row>
    <row r="225" spans="1:14" ht="12.75">
      <c r="A225" s="159"/>
      <c r="B225" s="161"/>
      <c r="C225" s="161"/>
      <c r="D225" s="161"/>
      <c r="E225" s="161"/>
      <c r="F225" s="161"/>
      <c r="G225" s="161"/>
      <c r="H225" s="161"/>
      <c r="I225" s="161"/>
      <c r="J225" s="161"/>
      <c r="K225" s="163"/>
      <c r="L225" s="163"/>
      <c r="M225" s="163"/>
      <c r="N225" s="203"/>
    </row>
    <row r="226" spans="1:14">
      <c r="A226" s="192"/>
      <c r="B226" s="162"/>
      <c r="C226" s="163"/>
      <c r="D226" s="163"/>
      <c r="E226" s="163"/>
      <c r="F226" s="163"/>
      <c r="G226" s="163"/>
      <c r="H226" s="163"/>
      <c r="I226" s="162"/>
      <c r="J226" s="163"/>
      <c r="K226" s="161"/>
      <c r="L226" s="161"/>
      <c r="M226" s="161"/>
      <c r="N226" s="172"/>
    </row>
    <row r="227" spans="1:14" ht="12.75">
      <c r="A227" s="167"/>
      <c r="B227" s="165"/>
      <c r="C227" s="165"/>
      <c r="D227" s="165"/>
      <c r="E227" s="165"/>
      <c r="F227" s="165"/>
      <c r="G227" s="165"/>
      <c r="H227" s="165"/>
      <c r="I227" s="165"/>
      <c r="J227" s="165"/>
      <c r="K227" s="161"/>
      <c r="L227" s="161"/>
      <c r="M227" s="161"/>
      <c r="N227" s="203"/>
    </row>
    <row r="228" spans="1:14">
      <c r="A228" s="159"/>
      <c r="B228" s="160"/>
      <c r="C228" s="161"/>
      <c r="D228" s="161"/>
      <c r="E228" s="161"/>
      <c r="F228" s="161"/>
      <c r="G228" s="161"/>
      <c r="H228" s="161"/>
      <c r="I228" s="160"/>
      <c r="J228" s="161"/>
      <c r="K228" s="165"/>
      <c r="L228" s="165"/>
      <c r="M228" s="165"/>
      <c r="N228" s="173"/>
    </row>
    <row r="229" spans="1:14" ht="12.75">
      <c r="A229" s="159"/>
      <c r="B229" s="161"/>
      <c r="C229" s="161"/>
      <c r="D229" s="161"/>
      <c r="E229" s="161"/>
      <c r="F229" s="161"/>
      <c r="G229" s="161"/>
      <c r="H229" s="161"/>
      <c r="I229" s="161"/>
      <c r="J229" s="161"/>
      <c r="K229" s="163"/>
      <c r="L229" s="163"/>
      <c r="M229" s="163"/>
      <c r="N229" s="203"/>
    </row>
    <row r="230" spans="1:14">
      <c r="A230" s="192"/>
      <c r="B230" s="162"/>
      <c r="C230" s="163"/>
      <c r="D230" s="163"/>
      <c r="E230" s="163"/>
      <c r="F230" s="163"/>
      <c r="G230" s="163"/>
      <c r="H230" s="163"/>
      <c r="I230" s="162"/>
      <c r="J230" s="163"/>
      <c r="K230" s="161"/>
      <c r="L230" s="161"/>
      <c r="M230" s="161"/>
      <c r="N230" s="172"/>
    </row>
    <row r="231" spans="1:14" ht="12.75">
      <c r="A231" s="167"/>
      <c r="B231" s="165"/>
      <c r="C231" s="165"/>
      <c r="D231" s="165"/>
      <c r="E231" s="165"/>
      <c r="F231" s="165"/>
      <c r="G231" s="165"/>
      <c r="H231" s="165"/>
      <c r="I231" s="165"/>
      <c r="J231" s="165"/>
      <c r="K231" s="161"/>
      <c r="L231" s="161"/>
      <c r="M231" s="161"/>
      <c r="N231" s="203"/>
    </row>
    <row r="232" spans="1:14">
      <c r="A232" s="159"/>
      <c r="B232" s="160"/>
      <c r="C232" s="161"/>
      <c r="D232" s="161"/>
      <c r="E232" s="161"/>
      <c r="F232" s="166"/>
      <c r="G232" s="161"/>
      <c r="H232" s="161"/>
      <c r="I232" s="160"/>
      <c r="J232" s="166"/>
      <c r="K232" s="165"/>
      <c r="L232" s="165"/>
      <c r="M232" s="165"/>
      <c r="N232" s="173"/>
    </row>
    <row r="233" spans="1:14" ht="12.75">
      <c r="A233" s="159"/>
      <c r="B233" s="161"/>
      <c r="C233" s="161"/>
      <c r="D233" s="161"/>
      <c r="E233" s="161"/>
      <c r="F233" s="161"/>
      <c r="G233" s="161"/>
      <c r="H233" s="161"/>
      <c r="I233" s="161"/>
      <c r="J233" s="161"/>
      <c r="K233" s="163"/>
      <c r="L233" s="163"/>
      <c r="M233" s="163"/>
      <c r="N233" s="203"/>
    </row>
    <row r="234" spans="1:14">
      <c r="A234" s="192"/>
      <c r="B234" s="162"/>
      <c r="C234" s="163"/>
      <c r="D234" s="163"/>
      <c r="E234" s="163"/>
      <c r="F234" s="163"/>
      <c r="G234" s="163"/>
      <c r="H234" s="163"/>
      <c r="I234" s="162"/>
      <c r="J234" s="163"/>
      <c r="K234" s="161"/>
      <c r="L234" s="161"/>
      <c r="M234" s="161"/>
      <c r="N234" s="172"/>
    </row>
    <row r="235" spans="1:14" ht="12.75">
      <c r="A235" s="167"/>
      <c r="B235" s="165"/>
      <c r="C235" s="165"/>
      <c r="D235" s="165"/>
      <c r="E235" s="165"/>
      <c r="F235" s="165"/>
      <c r="G235" s="165"/>
      <c r="H235" s="165"/>
      <c r="I235" s="165"/>
      <c r="J235" s="165"/>
      <c r="K235" s="161"/>
      <c r="L235" s="161"/>
      <c r="M235" s="161"/>
      <c r="N235" s="203"/>
    </row>
    <row r="236" spans="1:14">
      <c r="A236" s="159"/>
      <c r="B236" s="160"/>
      <c r="C236" s="161"/>
      <c r="D236" s="161"/>
      <c r="E236" s="161"/>
      <c r="F236" s="166"/>
      <c r="G236" s="161"/>
      <c r="H236" s="161"/>
      <c r="I236" s="160"/>
      <c r="J236" s="166"/>
      <c r="K236" s="165"/>
      <c r="L236" s="165"/>
      <c r="M236" s="165"/>
      <c r="N236" s="173"/>
    </row>
    <row r="237" spans="1:14" ht="12.75">
      <c r="A237" s="159"/>
      <c r="B237" s="161"/>
      <c r="C237" s="161"/>
      <c r="D237" s="161"/>
      <c r="E237" s="161"/>
      <c r="F237" s="161"/>
      <c r="G237" s="161"/>
      <c r="H237" s="161"/>
      <c r="I237" s="161"/>
      <c r="J237" s="161"/>
      <c r="K237" s="163"/>
      <c r="L237" s="163"/>
      <c r="M237" s="163"/>
      <c r="N237" s="203"/>
    </row>
    <row r="238" spans="1:14">
      <c r="A238" s="192"/>
      <c r="B238" s="162"/>
      <c r="C238" s="163"/>
      <c r="D238" s="163"/>
      <c r="E238" s="163"/>
      <c r="F238" s="164"/>
      <c r="G238" s="163"/>
      <c r="H238" s="163"/>
      <c r="I238" s="162"/>
      <c r="J238" s="164"/>
      <c r="K238" s="161"/>
      <c r="L238" s="161"/>
      <c r="M238" s="161"/>
      <c r="N238" s="172"/>
    </row>
    <row r="239" spans="1:14" ht="12.75">
      <c r="A239" s="167"/>
      <c r="B239" s="165"/>
      <c r="C239" s="165"/>
      <c r="D239" s="165"/>
      <c r="E239" s="165"/>
      <c r="F239" s="165"/>
      <c r="G239" s="165"/>
      <c r="H239" s="165"/>
      <c r="I239" s="165"/>
      <c r="J239" s="165"/>
      <c r="K239" s="161"/>
      <c r="L239" s="161"/>
      <c r="M239" s="161"/>
      <c r="N239" s="203"/>
    </row>
    <row r="240" spans="1:14">
      <c r="A240" s="159"/>
      <c r="B240" s="160"/>
      <c r="C240" s="161"/>
      <c r="D240" s="161"/>
      <c r="E240" s="161"/>
      <c r="F240" s="166"/>
      <c r="G240" s="161"/>
      <c r="H240" s="161"/>
      <c r="I240" s="160"/>
      <c r="J240" s="166"/>
      <c r="K240" s="165"/>
      <c r="L240" s="165"/>
      <c r="M240" s="165"/>
      <c r="N240" s="173"/>
    </row>
    <row r="241" spans="1:14" ht="12.75">
      <c r="A241" s="159"/>
      <c r="B241" s="161"/>
      <c r="C241" s="161"/>
      <c r="D241" s="161"/>
      <c r="E241" s="161"/>
      <c r="F241" s="161"/>
      <c r="G241" s="161"/>
      <c r="H241" s="161"/>
      <c r="I241" s="161"/>
      <c r="J241" s="161"/>
      <c r="K241" s="163"/>
      <c r="L241" s="163"/>
      <c r="M241" s="163"/>
      <c r="N241" s="203"/>
    </row>
    <row r="242" spans="1:14">
      <c r="A242" s="192"/>
      <c r="B242" s="162"/>
      <c r="C242" s="163"/>
      <c r="D242" s="163"/>
      <c r="E242" s="163"/>
      <c r="F242" s="163"/>
      <c r="G242" s="163"/>
      <c r="H242" s="163"/>
      <c r="I242" s="162"/>
      <c r="J242" s="163"/>
      <c r="K242" s="185"/>
      <c r="L242" s="185"/>
      <c r="M242" s="185"/>
      <c r="N242" s="172"/>
    </row>
    <row r="243" spans="1:14" ht="12.75">
      <c r="A243" s="167"/>
      <c r="B243" s="165"/>
      <c r="C243" s="165"/>
      <c r="D243" s="165"/>
      <c r="E243" s="165"/>
      <c r="F243" s="165"/>
      <c r="G243" s="165"/>
      <c r="H243" s="165"/>
      <c r="I243" s="165"/>
      <c r="J243" s="165"/>
      <c r="N243" s="20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2"/>
  <dimension ref="A1:Y94"/>
  <sheetViews>
    <sheetView tabSelected="1" topLeftCell="H1" workbookViewId="0">
      <selection activeCell="T17" sqref="T17"/>
    </sheetView>
  </sheetViews>
  <sheetFormatPr defaultRowHeight="12"/>
  <cols>
    <col min="1" max="1" width="10.5703125" style="177" customWidth="1"/>
    <col min="2" max="2" width="13.7109375" style="177" customWidth="1"/>
    <col min="3" max="3" width="8.85546875" style="177" customWidth="1"/>
    <col min="4" max="5" width="9.7109375" style="177" customWidth="1"/>
    <col min="6" max="6" width="11.5703125" style="177" customWidth="1"/>
    <col min="7" max="8" width="13.42578125" style="177" customWidth="1"/>
    <col min="9" max="9" width="3" style="177" bestFit="1" customWidth="1"/>
    <col min="10" max="10" width="11.28515625" style="178" bestFit="1" customWidth="1"/>
    <col min="11" max="11" width="6.7109375" style="179" bestFit="1" customWidth="1"/>
    <col min="12" max="12" width="11.28515625" style="180" bestFit="1" customWidth="1"/>
    <col min="13" max="13" width="2.85546875" style="177" customWidth="1"/>
    <col min="14" max="14" width="9.140625" style="180" bestFit="1" customWidth="1"/>
    <col min="15" max="15" width="8" style="177" bestFit="1" customWidth="1"/>
    <col min="16" max="16" width="9.140625" style="177"/>
    <col min="17" max="17" width="6.42578125" style="177" bestFit="1" customWidth="1"/>
    <col min="18" max="18" width="16.5703125" style="177" bestFit="1" customWidth="1"/>
    <col min="19" max="19" width="11.28515625" style="177" bestFit="1" customWidth="1"/>
    <col min="20" max="20" width="16.5703125" style="177" bestFit="1" customWidth="1"/>
    <col min="21" max="21" width="12.140625" style="177" bestFit="1" customWidth="1"/>
    <col min="22" max="22" width="9.7109375" style="177" bestFit="1" customWidth="1"/>
    <col min="23" max="23" width="9.7109375" style="177" customWidth="1"/>
    <col min="24" max="25" width="12.140625" style="177" bestFit="1" customWidth="1"/>
    <col min="26" max="16384" width="9.140625" style="177"/>
  </cols>
  <sheetData>
    <row r="1" spans="1:25">
      <c r="A1" s="200" t="s">
        <v>196</v>
      </c>
      <c r="B1" s="177" t="s">
        <v>236</v>
      </c>
      <c r="H1" s="179"/>
    </row>
    <row r="2" spans="1:25">
      <c r="Q2" s="183" t="s">
        <v>213</v>
      </c>
      <c r="R2" s="183" t="s">
        <v>214</v>
      </c>
      <c r="S2" s="183" t="s">
        <v>237</v>
      </c>
      <c r="T2" s="183" t="s">
        <v>215</v>
      </c>
      <c r="U2" s="183" t="s">
        <v>238</v>
      </c>
      <c r="V2" s="183" t="s">
        <v>239</v>
      </c>
      <c r="W2" s="183" t="s">
        <v>240</v>
      </c>
    </row>
    <row r="3" spans="1:25" ht="12.75">
      <c r="B3" s="200" t="s">
        <v>201</v>
      </c>
      <c r="E3"/>
      <c r="F3"/>
      <c r="G3"/>
      <c r="H3"/>
      <c r="N3" s="178"/>
      <c r="O3" s="179"/>
      <c r="P3" s="204">
        <v>1</v>
      </c>
      <c r="Q3" s="182">
        <v>41913</v>
      </c>
      <c r="R3" s="178">
        <v>13305.63</v>
      </c>
      <c r="S3" s="178">
        <v>-260.11</v>
      </c>
      <c r="T3" s="178">
        <f>R3+S3</f>
        <v>13045.519999999999</v>
      </c>
      <c r="U3" s="178">
        <f>SUM(S$3:S3)</f>
        <v>-260.11</v>
      </c>
      <c r="V3" s="179">
        <f>S3/R3</f>
        <v>-1.954886765978011E-2</v>
      </c>
      <c r="W3" s="179">
        <f>U3/R$3</f>
        <v>-1.954886765978011E-2</v>
      </c>
      <c r="X3" s="180">
        <v>100</v>
      </c>
      <c r="Y3" s="191">
        <f>X3*(1+V3)</f>
        <v>98.045113234021983</v>
      </c>
    </row>
    <row r="4" spans="1:25" ht="12.75">
      <c r="A4" s="200" t="s">
        <v>209</v>
      </c>
      <c r="B4" s="177" t="s">
        <v>206</v>
      </c>
      <c r="C4" s="177" t="s">
        <v>212</v>
      </c>
      <c r="D4" s="177" t="s">
        <v>207</v>
      </c>
      <c r="E4"/>
      <c r="F4"/>
      <c r="G4"/>
      <c r="H4"/>
      <c r="N4" s="178"/>
      <c r="O4" s="180"/>
      <c r="P4" s="177">
        <v>2</v>
      </c>
      <c r="Q4" s="182">
        <v>41944</v>
      </c>
      <c r="R4" s="180">
        <f>T3</f>
        <v>13045.519999999999</v>
      </c>
      <c r="S4" s="178">
        <f>T4-R4</f>
        <v>-255.02514403301575</v>
      </c>
      <c r="T4" s="180">
        <f t="shared" ref="T4:T68" si="0">(1+$V$3)*R4</f>
        <v>12790.494855966983</v>
      </c>
      <c r="U4" s="178">
        <f>SUM(S$3:S4)</f>
        <v>-515.13514403301576</v>
      </c>
      <c r="V4" s="179">
        <f>S4/R4</f>
        <v>-1.95488676597802E-2</v>
      </c>
      <c r="W4" s="179">
        <f>U4/R$3</f>
        <v>-3.8715577092780708E-2</v>
      </c>
      <c r="X4" s="180">
        <f>Y3+100</f>
        <v>198.04511323402198</v>
      </c>
      <c r="Y4" s="191">
        <f>X4*(1+V4)</f>
        <v>194.1735555247439</v>
      </c>
    </row>
    <row r="5" spans="1:25" ht="12.75">
      <c r="A5" s="201" t="s">
        <v>227</v>
      </c>
      <c r="B5" s="202">
        <v>3</v>
      </c>
      <c r="C5" s="180"/>
      <c r="D5" s="180">
        <v>-186.95999999999998</v>
      </c>
      <c r="E5"/>
      <c r="F5"/>
      <c r="G5"/>
      <c r="H5"/>
      <c r="N5" s="178"/>
      <c r="O5" s="180"/>
      <c r="P5" s="177">
        <v>3</v>
      </c>
      <c r="Q5" s="182">
        <v>41974</v>
      </c>
      <c r="R5" s="180">
        <f>T4</f>
        <v>12790.494855966983</v>
      </c>
      <c r="S5" s="178">
        <f>T5-R5</f>
        <v>-250.03969124239666</v>
      </c>
      <c r="T5" s="180">
        <f t="shared" si="0"/>
        <v>12540.455164724586</v>
      </c>
      <c r="U5" s="178">
        <f>SUM(S$3:S5)</f>
        <v>-765.17483527541242</v>
      </c>
      <c r="V5" s="179">
        <f>S5/R5</f>
        <v>-1.95488676597801E-2</v>
      </c>
      <c r="W5" s="179">
        <f>U5/R$3</f>
        <v>-5.7507599059602024E-2</v>
      </c>
      <c r="X5" s="180">
        <f>Y4+100</f>
        <v>294.1735555247439</v>
      </c>
      <c r="Y5" s="191">
        <f>X5*(1+V5)</f>
        <v>288.42279561878371</v>
      </c>
    </row>
    <row r="6" spans="1:25" ht="12.75">
      <c r="A6" s="201" t="s">
        <v>230</v>
      </c>
      <c r="B6" s="202">
        <v>2</v>
      </c>
      <c r="C6" s="180"/>
      <c r="D6" s="180">
        <v>170.10999999999999</v>
      </c>
      <c r="E6"/>
      <c r="F6"/>
      <c r="G6"/>
      <c r="H6"/>
      <c r="L6" s="180">
        <v>13565.5</v>
      </c>
      <c r="N6" s="178"/>
      <c r="O6" s="180"/>
      <c r="P6" s="177">
        <v>4</v>
      </c>
      <c r="Q6" s="182">
        <v>42005</v>
      </c>
      <c r="R6" s="180">
        <f t="shared" ref="R6:R14" si="1">T5+100</f>
        <v>12640.455164724586</v>
      </c>
      <c r="S6" s="178">
        <f>T6-R6</f>
        <v>-247.10658517458614</v>
      </c>
      <c r="T6" s="180">
        <f t="shared" si="0"/>
        <v>12393.34857955</v>
      </c>
      <c r="U6" s="178">
        <f>SUM(S$3:S6)</f>
        <v>-1012.2814204499986</v>
      </c>
      <c r="V6" s="179">
        <f>S6/R6</f>
        <v>-1.9548867659780207E-2</v>
      </c>
      <c r="W6" s="179">
        <f>U6/R$3</f>
        <v>-7.6079180050098991E-2</v>
      </c>
      <c r="X6" s="180">
        <f t="shared" ref="X6:X62" si="2">Y5+100</f>
        <v>388.42279561878371</v>
      </c>
      <c r="Y6" s="191">
        <f t="shared" ref="Y6:Y25" si="3">X6*(1+V6)</f>
        <v>380.82956979119024</v>
      </c>
    </row>
    <row r="7" spans="1:25" ht="12.75">
      <c r="A7" s="201" t="s">
        <v>229</v>
      </c>
      <c r="B7" s="202">
        <v>6</v>
      </c>
      <c r="C7" s="180"/>
      <c r="D7" s="180">
        <v>-127.89</v>
      </c>
      <c r="E7"/>
      <c r="F7"/>
      <c r="G7"/>
      <c r="H7"/>
      <c r="L7" s="180">
        <f>L6-S3</f>
        <v>13825.61</v>
      </c>
      <c r="N7" s="178"/>
      <c r="O7" s="178"/>
      <c r="P7" s="177">
        <v>5</v>
      </c>
      <c r="Q7" s="182">
        <v>42036</v>
      </c>
      <c r="R7" s="180">
        <f t="shared" si="1"/>
        <v>12493.34857955</v>
      </c>
      <c r="S7" s="178">
        <f>T7-R7</f>
        <v>-244.23081800912587</v>
      </c>
      <c r="T7" s="180">
        <f t="shared" si="0"/>
        <v>12249.117761540874</v>
      </c>
      <c r="U7" s="178">
        <f>SUM(S$3:S7)</f>
        <v>-1256.5122384591245</v>
      </c>
      <c r="V7" s="179">
        <f>S7/R7</f>
        <v>-1.9548867659780197E-2</v>
      </c>
      <c r="W7" s="179">
        <f>U7/R$3</f>
        <v>-9.443462943574446E-2</v>
      </c>
      <c r="X7" s="180">
        <f t="shared" si="2"/>
        <v>480.82956979119024</v>
      </c>
      <c r="Y7" s="191">
        <f t="shared" si="3"/>
        <v>471.42989616443322</v>
      </c>
    </row>
    <row r="8" spans="1:25" ht="12.75">
      <c r="A8" s="201" t="s">
        <v>225</v>
      </c>
      <c r="B8" s="202">
        <v>1</v>
      </c>
      <c r="C8" s="180"/>
      <c r="D8" s="180">
        <v>35.700000000000003</v>
      </c>
      <c r="E8"/>
      <c r="F8"/>
      <c r="G8"/>
      <c r="H8"/>
      <c r="N8" s="178"/>
      <c r="P8" s="177">
        <v>6</v>
      </c>
      <c r="Q8" s="182">
        <v>42064</v>
      </c>
      <c r="R8" s="180">
        <f t="shared" si="1"/>
        <v>12349.117761540874</v>
      </c>
      <c r="S8" s="178">
        <f>T8-R8</f>
        <v>-241.41126883540346</v>
      </c>
      <c r="T8" s="180">
        <f t="shared" si="0"/>
        <v>12107.706492705471</v>
      </c>
      <c r="U8" s="178">
        <f>SUM(S$3:S8)</f>
        <v>-1497.923507294528</v>
      </c>
      <c r="V8" s="179">
        <f>S8/R8</f>
        <v>-1.9548867659780186E-2</v>
      </c>
      <c r="W8" s="179">
        <f>U8/R$3</f>
        <v>-0.11257817234467876</v>
      </c>
      <c r="X8" s="180">
        <f t="shared" si="2"/>
        <v>571.42989616443322</v>
      </c>
      <c r="Y8" s="191">
        <f t="shared" si="3"/>
        <v>560.25908874747279</v>
      </c>
    </row>
    <row r="9" spans="1:25" ht="12.75">
      <c r="A9" s="201" t="s">
        <v>228</v>
      </c>
      <c r="B9" s="202">
        <v>3</v>
      </c>
      <c r="C9" s="180"/>
      <c r="D9" s="180">
        <v>207.34</v>
      </c>
      <c r="E9"/>
      <c r="F9"/>
      <c r="G9"/>
      <c r="H9"/>
      <c r="P9" s="177">
        <v>7</v>
      </c>
      <c r="Q9" s="182">
        <v>42095</v>
      </c>
      <c r="R9" s="180">
        <f t="shared" si="1"/>
        <v>12207.706492705471</v>
      </c>
      <c r="S9" s="178">
        <f>T9-R9</f>
        <v>-238.6468386553388</v>
      </c>
      <c r="T9" s="180">
        <f t="shared" si="0"/>
        <v>11969.059654050132</v>
      </c>
      <c r="U9" s="178">
        <f>SUM(S$3:S9)</f>
        <v>-1736.5703459498668</v>
      </c>
      <c r="V9" s="179">
        <f>S9/R9</f>
        <v>-1.9548867659780204E-2</v>
      </c>
      <c r="W9" s="179">
        <f>U9/R$3</f>
        <v>-0.13051395130857141</v>
      </c>
      <c r="X9" s="180">
        <f t="shared" si="2"/>
        <v>660.25908874747279</v>
      </c>
      <c r="Y9" s="191">
        <f t="shared" si="3"/>
        <v>647.35177120038134</v>
      </c>
    </row>
    <row r="10" spans="1:25" ht="12.75">
      <c r="A10" s="201" t="s">
        <v>190</v>
      </c>
      <c r="B10" s="202">
        <v>5</v>
      </c>
      <c r="C10" s="180"/>
      <c r="D10" s="180">
        <v>-421.78</v>
      </c>
      <c r="E10"/>
      <c r="F10"/>
      <c r="G10"/>
      <c r="H10"/>
      <c r="P10" s="177">
        <v>8</v>
      </c>
      <c r="Q10" s="182">
        <v>42125</v>
      </c>
      <c r="R10" s="180">
        <f t="shared" si="1"/>
        <v>12069.059654050132</v>
      </c>
      <c r="S10" s="178">
        <f>T10-R10</f>
        <v>-235.93644995501745</v>
      </c>
      <c r="T10" s="180">
        <f t="shared" si="0"/>
        <v>11833.123204095114</v>
      </c>
      <c r="U10" s="178">
        <f>SUM(S$3:S10)</f>
        <v>-1972.5067959048843</v>
      </c>
      <c r="V10" s="179">
        <f>S10/R10</f>
        <v>-1.9548867659780103E-2</v>
      </c>
      <c r="W10" s="179">
        <f>U10/R$3</f>
        <v>-0.14824602787728836</v>
      </c>
      <c r="X10" s="180">
        <f t="shared" si="2"/>
        <v>747.35177120038134</v>
      </c>
      <c r="Y10" s="191">
        <f t="shared" si="3"/>
        <v>732.74189032988284</v>
      </c>
    </row>
    <row r="11" spans="1:25" ht="12.75">
      <c r="A11" s="201" t="s">
        <v>200</v>
      </c>
      <c r="B11" s="202">
        <v>20</v>
      </c>
      <c r="C11" s="180"/>
      <c r="D11" s="180">
        <v>-323.48</v>
      </c>
      <c r="E11"/>
      <c r="F11"/>
      <c r="G11"/>
      <c r="H11"/>
      <c r="P11" s="177">
        <v>9</v>
      </c>
      <c r="Q11" s="182">
        <v>42156</v>
      </c>
      <c r="R11" s="180">
        <f t="shared" si="1"/>
        <v>11933.123204095114</v>
      </c>
      <c r="S11" s="178">
        <f>T11-R11</f>
        <v>-233.27904628470787</v>
      </c>
      <c r="T11" s="180">
        <f t="shared" si="0"/>
        <v>11699.844157810407</v>
      </c>
      <c r="U11" s="178">
        <f>SUM(S$3:S11)</f>
        <v>-2205.7858421895921</v>
      </c>
      <c r="V11" s="179">
        <f>S11/R11</f>
        <v>-1.9548867659780218E-2</v>
      </c>
      <c r="W11" s="179">
        <f>U11/R$3</f>
        <v>-0.16577838420199512</v>
      </c>
      <c r="X11" s="180">
        <f t="shared" si="2"/>
        <v>832.74189032988284</v>
      </c>
      <c r="Y11" s="191">
        <f t="shared" si="3"/>
        <v>816.46272932106876</v>
      </c>
    </row>
    <row r="12" spans="1:25" ht="12.75">
      <c r="A12"/>
      <c r="B12"/>
      <c r="C12"/>
      <c r="D12"/>
      <c r="E12"/>
      <c r="F12"/>
      <c r="G12"/>
      <c r="P12" s="177">
        <v>10</v>
      </c>
      <c r="Q12" s="182">
        <v>42186</v>
      </c>
      <c r="R12" s="180">
        <f t="shared" si="1"/>
        <v>11799.844157810407</v>
      </c>
      <c r="S12" s="178">
        <f>T12-R12</f>
        <v>-230.67359184706584</v>
      </c>
      <c r="T12" s="180">
        <f t="shared" si="0"/>
        <v>11569.170565963341</v>
      </c>
      <c r="U12" s="178">
        <f>SUM(S$3:S12)</f>
        <v>-2436.459434036658</v>
      </c>
      <c r="V12" s="179">
        <f>S12/R12</f>
        <v>-1.9548867659780169E-2</v>
      </c>
      <c r="W12" s="179">
        <f>U12/R$3</f>
        <v>-0.18311492458731066</v>
      </c>
      <c r="X12" s="180">
        <f t="shared" si="2"/>
        <v>916.46272932106876</v>
      </c>
      <c r="Y12" s="191">
        <f t="shared" si="3"/>
        <v>898.54692071045031</v>
      </c>
    </row>
    <row r="13" spans="1:25" ht="12.75">
      <c r="A13"/>
      <c r="B13"/>
      <c r="C13"/>
      <c r="D13"/>
      <c r="E13"/>
      <c r="F13"/>
      <c r="G13"/>
      <c r="P13" s="177">
        <v>11</v>
      </c>
      <c r="Q13" s="182">
        <v>42217</v>
      </c>
      <c r="R13" s="180">
        <f t="shared" si="1"/>
        <v>11669.170565963341</v>
      </c>
      <c r="S13" s="178">
        <f>T13-R13</f>
        <v>-228.11907109341882</v>
      </c>
      <c r="T13" s="180">
        <f t="shared" si="0"/>
        <v>11441.051494869922</v>
      </c>
      <c r="U13" s="178">
        <f>SUM(S$3:S13)</f>
        <v>-2664.5785051300768</v>
      </c>
      <c r="V13" s="179">
        <f>S13/R13</f>
        <v>-1.954886765978012E-2</v>
      </c>
      <c r="W13" s="179">
        <f>U13/R$3</f>
        <v>-0.20025947701311977</v>
      </c>
      <c r="X13" s="180">
        <f t="shared" si="2"/>
        <v>998.54692071045031</v>
      </c>
      <c r="Y13" s="191">
        <f t="shared" si="3"/>
        <v>979.0264591054007</v>
      </c>
    </row>
    <row r="14" spans="1:25" ht="12.75">
      <c r="A14"/>
      <c r="B14"/>
      <c r="C14"/>
      <c r="D14"/>
      <c r="E14"/>
      <c r="F14"/>
      <c r="G14"/>
      <c r="P14" s="177">
        <v>12</v>
      </c>
      <c r="Q14" s="182">
        <v>42248</v>
      </c>
      <c r="R14" s="180">
        <f t="shared" si="1"/>
        <v>11541.051494869922</v>
      </c>
      <c r="S14" s="178">
        <f>T14-R14</f>
        <v>-225.61448832791939</v>
      </c>
      <c r="T14" s="180">
        <f t="shared" si="0"/>
        <v>11315.437006542003</v>
      </c>
      <c r="U14" s="178">
        <f>SUM(S$3:S14)</f>
        <v>-2890.1929934579962</v>
      </c>
      <c r="V14" s="179">
        <f>S14/R14</f>
        <v>-1.95488676597801E-2</v>
      </c>
      <c r="W14" s="179">
        <f>U14/R$3</f>
        <v>-0.21721579462663521</v>
      </c>
      <c r="X14" s="180">
        <f t="shared" si="2"/>
        <v>1079.0264591054006</v>
      </c>
      <c r="Y14" s="191">
        <f t="shared" si="3"/>
        <v>1057.932713654948</v>
      </c>
    </row>
    <row r="15" spans="1:25" ht="12.75">
      <c r="A15"/>
      <c r="B15"/>
      <c r="C15"/>
      <c r="D15"/>
      <c r="E15"/>
      <c r="F15"/>
      <c r="G15"/>
      <c r="P15" s="177">
        <v>13</v>
      </c>
      <c r="Q15" s="182">
        <v>42278</v>
      </c>
      <c r="R15" s="180">
        <f t="shared" ref="R15:R68" si="4">T14</f>
        <v>11315.437006542003</v>
      </c>
      <c r="S15" s="178">
        <f>T15-R15</f>
        <v>-221.20398055346777</v>
      </c>
      <c r="T15" s="180">
        <f t="shared" si="0"/>
        <v>11094.233025988535</v>
      </c>
      <c r="U15" s="178">
        <f>SUM(S$3:S15)</f>
        <v>-3111.396974011464</v>
      </c>
      <c r="V15" s="179">
        <f>S15/R15</f>
        <v>-1.9548867659780089E-2</v>
      </c>
      <c r="W15" s="179">
        <f>U15/R$3</f>
        <v>-0.23384063543112685</v>
      </c>
      <c r="X15" s="180">
        <f t="shared" si="2"/>
        <v>1157.932713654948</v>
      </c>
      <c r="Y15" s="191">
        <f t="shared" si="3"/>
        <v>1135.2964402767773</v>
      </c>
    </row>
    <row r="16" spans="1:25" ht="12.75">
      <c r="A16"/>
      <c r="B16"/>
      <c r="C16"/>
      <c r="D16"/>
      <c r="E16"/>
      <c r="F16"/>
      <c r="G16"/>
      <c r="P16" s="177">
        <v>14</v>
      </c>
      <c r="Q16" s="182">
        <v>42309</v>
      </c>
      <c r="R16" s="180">
        <f t="shared" si="4"/>
        <v>11094.233025988535</v>
      </c>
      <c r="S16" s="178">
        <f>T16-R16</f>
        <v>-216.87969321181299</v>
      </c>
      <c r="T16" s="180">
        <f t="shared" si="0"/>
        <v>10877.353332776722</v>
      </c>
      <c r="U16" s="178">
        <f>SUM(S$3:S16)</f>
        <v>-3328.2766672232769</v>
      </c>
      <c r="V16" s="179">
        <f>S16/R16</f>
        <v>-1.9548867659780228E-2</v>
      </c>
      <c r="W16" s="179">
        <f>U16/R$3</f>
        <v>-0.25014047942286666</v>
      </c>
      <c r="X16" s="180">
        <f t="shared" si="2"/>
        <v>1235.2964402767773</v>
      </c>
      <c r="Y16" s="191">
        <f t="shared" si="3"/>
        <v>1211.1477936452088</v>
      </c>
    </row>
    <row r="17" spans="1:25" ht="12.75">
      <c r="A17"/>
      <c r="B17"/>
      <c r="C17"/>
      <c r="D17"/>
      <c r="E17"/>
      <c r="F17"/>
      <c r="G17"/>
      <c r="P17" s="177">
        <v>15</v>
      </c>
      <c r="Q17" s="182">
        <v>42339</v>
      </c>
      <c r="R17" s="180">
        <f t="shared" si="4"/>
        <v>10877.353332776722</v>
      </c>
      <c r="S17" s="178">
        <f>T17-R17</f>
        <v>-212.63994079112126</v>
      </c>
      <c r="T17" s="180">
        <f t="shared" si="0"/>
        <v>10664.713391985601</v>
      </c>
      <c r="U17" s="178">
        <f>SUM(S$3:S17)</f>
        <v>-3540.9166080143982</v>
      </c>
      <c r="V17" s="179">
        <f>S17/R17</f>
        <v>-1.9548867659780204E-2</v>
      </c>
      <c r="W17" s="179">
        <f>U17/R$3</f>
        <v>-0.26612167992153685</v>
      </c>
      <c r="X17" s="180">
        <f t="shared" si="2"/>
        <v>1311.1477936452088</v>
      </c>
      <c r="Y17" s="191">
        <f t="shared" si="3"/>
        <v>1285.5163389448257</v>
      </c>
    </row>
    <row r="18" spans="1:25" ht="12.75">
      <c r="A18"/>
      <c r="B18"/>
      <c r="C18"/>
      <c r="D18"/>
      <c r="P18" s="177">
        <v>16</v>
      </c>
      <c r="Q18" s="182">
        <v>42370</v>
      </c>
      <c r="R18" s="180">
        <f t="shared" si="4"/>
        <v>10664.713391985601</v>
      </c>
      <c r="S18" s="178">
        <f>T18-R18</f>
        <v>-208.48307072941134</v>
      </c>
      <c r="T18" s="180">
        <f t="shared" si="0"/>
        <v>10456.230321256189</v>
      </c>
      <c r="U18" s="178">
        <f>SUM(S$3:S18)</f>
        <v>-3749.3996787438095</v>
      </c>
      <c r="V18" s="179">
        <f>S18/R18</f>
        <v>-1.9548867659780127E-2</v>
      </c>
      <c r="W18" s="179">
        <f>U18/R$3</f>
        <v>-0.28179046604661406</v>
      </c>
      <c r="X18" s="180">
        <f t="shared" si="2"/>
        <v>1385.5163389448257</v>
      </c>
      <c r="Y18" s="191">
        <f t="shared" si="3"/>
        <v>1358.4310633943303</v>
      </c>
    </row>
    <row r="19" spans="1:25" ht="12.75">
      <c r="A19"/>
      <c r="B19"/>
      <c r="C19"/>
      <c r="D19"/>
      <c r="P19" s="177">
        <v>17</v>
      </c>
      <c r="Q19" s="182">
        <v>42401</v>
      </c>
      <c r="R19" s="180">
        <f t="shared" si="4"/>
        <v>10456.230321256189</v>
      </c>
      <c r="S19" s="178">
        <f>T19-R19</f>
        <v>-204.40746277041762</v>
      </c>
      <c r="T19" s="180">
        <f t="shared" si="0"/>
        <v>10251.822858485772</v>
      </c>
      <c r="U19" s="178">
        <f>SUM(S$3:S19)</f>
        <v>-3953.8071415142272</v>
      </c>
      <c r="V19" s="179">
        <f>S19/R19</f>
        <v>-1.9548867659780141E-2</v>
      </c>
      <c r="W19" s="179">
        <f>U19/R$3</f>
        <v>-0.2971529451453428</v>
      </c>
      <c r="X19" s="180">
        <f t="shared" si="2"/>
        <v>1458.4310633943303</v>
      </c>
      <c r="Y19" s="191">
        <f t="shared" si="3"/>
        <v>1429.9203875451221</v>
      </c>
    </row>
    <row r="20" spans="1:25" ht="12.75">
      <c r="A20"/>
      <c r="B20"/>
      <c r="C20"/>
      <c r="D20"/>
      <c r="P20" s="177">
        <v>18</v>
      </c>
      <c r="Q20" s="182">
        <v>42430</v>
      </c>
      <c r="R20" s="180">
        <f t="shared" si="4"/>
        <v>10251.822858485772</v>
      </c>
      <c r="S20" s="178">
        <f>T20-R20</f>
        <v>-200.41152833204796</v>
      </c>
      <c r="T20" s="180">
        <f t="shared" si="0"/>
        <v>10051.411330153724</v>
      </c>
      <c r="U20" s="178">
        <f>SUM(S$3:S20)</f>
        <v>-4154.2186698462756</v>
      </c>
      <c r="V20" s="179">
        <f>S20/R20</f>
        <v>-1.9548867659780207E-2</v>
      </c>
      <c r="W20" s="179">
        <f>U20/R$3</f>
        <v>-0.31221510517324441</v>
      </c>
      <c r="X20" s="180">
        <f t="shared" si="2"/>
        <v>1529.9203875451221</v>
      </c>
      <c r="Y20" s="191">
        <f t="shared" si="3"/>
        <v>1500.0121763590028</v>
      </c>
    </row>
    <row r="21" spans="1:25" ht="12.75">
      <c r="A21"/>
      <c r="B21"/>
      <c r="C21"/>
      <c r="D21"/>
      <c r="P21" s="177">
        <v>19</v>
      </c>
      <c r="Q21" s="182">
        <v>42461</v>
      </c>
      <c r="R21" s="180">
        <f t="shared" si="4"/>
        <v>10051.411330153724</v>
      </c>
      <c r="S21" s="178">
        <f>T21-R21</f>
        <v>-196.49370988719056</v>
      </c>
      <c r="T21" s="180">
        <f t="shared" si="0"/>
        <v>9854.917620266533</v>
      </c>
      <c r="U21" s="178">
        <f>SUM(S$3:S21)</f>
        <v>-4350.7123797334662</v>
      </c>
      <c r="V21" s="179">
        <f>S21/R21</f>
        <v>-1.9548867659780214E-2</v>
      </c>
      <c r="W21" s="179">
        <f>U21/R$3</f>
        <v>-0.32698281702809012</v>
      </c>
      <c r="X21" s="180">
        <f t="shared" si="2"/>
        <v>1600.0121763590028</v>
      </c>
      <c r="Y21" s="191">
        <f t="shared" si="3"/>
        <v>1568.7337500693236</v>
      </c>
    </row>
    <row r="22" spans="1:25" ht="12.75">
      <c r="A22"/>
      <c r="B22"/>
      <c r="C22"/>
      <c r="D22"/>
      <c r="P22" s="177">
        <v>20</v>
      </c>
      <c r="Q22" s="182">
        <v>42491</v>
      </c>
      <c r="R22" s="180">
        <f t="shared" si="4"/>
        <v>9854.917620266533</v>
      </c>
      <c r="S22" s="178">
        <f>T22-R22</f>
        <v>-192.65248035662626</v>
      </c>
      <c r="T22" s="180">
        <f t="shared" si="0"/>
        <v>9662.2651399099068</v>
      </c>
      <c r="U22" s="178">
        <f>SUM(S$3:S22)</f>
        <v>-4543.3648600900924</v>
      </c>
      <c r="V22" s="179">
        <f>S22/R22</f>
        <v>-1.9548867659780176E-2</v>
      </c>
      <c r="W22" s="179">
        <f>U22/R$3</f>
        <v>-0.3414618368382476</v>
      </c>
      <c r="X22" s="180">
        <f t="shared" si="2"/>
        <v>1668.7337500693236</v>
      </c>
      <c r="Y22" s="191">
        <f t="shared" si="3"/>
        <v>1636.1118948298097</v>
      </c>
    </row>
    <row r="23" spans="1:25" ht="12.75">
      <c r="A23"/>
      <c r="B23"/>
      <c r="C23"/>
      <c r="D23"/>
      <c r="P23" s="177">
        <v>21</v>
      </c>
      <c r="Q23" s="182">
        <v>42522</v>
      </c>
      <c r="R23" s="180">
        <f t="shared" si="4"/>
        <v>9662.2651399099068</v>
      </c>
      <c r="S23" s="178">
        <f>T23-R23</f>
        <v>-188.88634251380608</v>
      </c>
      <c r="T23" s="180">
        <f t="shared" si="0"/>
        <v>9473.3787973961007</v>
      </c>
      <c r="U23" s="178">
        <f>SUM(S$3:S23)</f>
        <v>-4732.2512026038985</v>
      </c>
      <c r="V23" s="179">
        <f>S23/R23</f>
        <v>-1.9548867659780169E-2</v>
      </c>
      <c r="W23" s="179">
        <f>U23/R$3</f>
        <v>-0.35565780820629306</v>
      </c>
      <c r="X23" s="180">
        <f t="shared" si="2"/>
        <v>1736.1118948298097</v>
      </c>
      <c r="Y23" s="191">
        <f t="shared" si="3"/>
        <v>1702.1728731552116</v>
      </c>
    </row>
    <row r="24" spans="1:25" ht="12.75">
      <c r="A24"/>
      <c r="B24"/>
      <c r="C24"/>
      <c r="D24"/>
      <c r="P24" s="177">
        <v>22</v>
      </c>
      <c r="Q24" s="182">
        <v>42552</v>
      </c>
      <c r="R24" s="180">
        <f t="shared" si="4"/>
        <v>9473.3787973961007</v>
      </c>
      <c r="S24" s="178">
        <f>T24-R24</f>
        <v>-185.19382840126309</v>
      </c>
      <c r="T24" s="180">
        <f t="shared" si="0"/>
        <v>9288.1849689948376</v>
      </c>
      <c r="U24" s="178">
        <f>SUM(S$3:S24)</f>
        <v>-4917.4450310051616</v>
      </c>
      <c r="V24" s="179">
        <f>S24/R24</f>
        <v>-1.9548867659780096E-2</v>
      </c>
      <c r="W24" s="179">
        <f>U24/R$3</f>
        <v>-0.36957626440876246</v>
      </c>
      <c r="X24" s="180">
        <f t="shared" si="2"/>
        <v>1802.1728731552116</v>
      </c>
      <c r="Y24" s="191">
        <f t="shared" si="3"/>
        <v>1766.9424341578547</v>
      </c>
    </row>
    <row r="25" spans="1:25" ht="12.75">
      <c r="A25"/>
      <c r="B25"/>
      <c r="C25"/>
      <c r="D25"/>
      <c r="P25" s="177">
        <v>23</v>
      </c>
      <c r="Q25" s="182">
        <v>42583</v>
      </c>
      <c r="R25" s="180">
        <f t="shared" si="4"/>
        <v>9288.1849689948376</v>
      </c>
      <c r="S25" s="178">
        <f>T25-R25</f>
        <v>-181.57349875844011</v>
      </c>
      <c r="T25" s="180">
        <f t="shared" si="0"/>
        <v>9106.6114702363975</v>
      </c>
      <c r="U25" s="178">
        <f>SUM(S$3:S25)</f>
        <v>-5099.0185297636017</v>
      </c>
      <c r="V25" s="179">
        <f>S25/R25</f>
        <v>-1.9548867659780238E-2</v>
      </c>
      <c r="W25" s="179">
        <f>U25/R$3</f>
        <v>-0.38322263055290146</v>
      </c>
      <c r="X25" s="180">
        <f t="shared" si="2"/>
        <v>1866.9424341578547</v>
      </c>
      <c r="Y25" s="191">
        <f t="shared" si="3"/>
        <v>1830.4458235840748</v>
      </c>
    </row>
    <row r="26" spans="1:25" ht="12.75">
      <c r="A26"/>
      <c r="B26"/>
      <c r="C26"/>
      <c r="D26"/>
      <c r="P26" s="177">
        <v>24</v>
      </c>
      <c r="Q26" s="182">
        <v>42614</v>
      </c>
      <c r="R26" s="180">
        <f t="shared" si="4"/>
        <v>9106.6114702363975</v>
      </c>
      <c r="S26" s="178">
        <f>T26-R26</f>
        <v>-178.02394246068798</v>
      </c>
      <c r="T26" s="180">
        <f t="shared" si="0"/>
        <v>8928.5875277757095</v>
      </c>
      <c r="U26" s="178">
        <f>SUM(S$3:S26)</f>
        <v>-5277.0424722242897</v>
      </c>
      <c r="V26" s="179">
        <f>S26/R26</f>
        <v>-1.9548867659780228E-2</v>
      </c>
      <c r="W26" s="179">
        <f>U26/R$3</f>
        <v>-0.39660222569125175</v>
      </c>
      <c r="X26" s="180">
        <f t="shared" si="2"/>
        <v>1930.4458235840748</v>
      </c>
      <c r="Y26" s="191">
        <f t="shared" ref="Y26:Y45" si="5">X26*(1+V26)</f>
        <v>1892.7077936544542</v>
      </c>
    </row>
    <row r="27" spans="1:25" ht="12.75">
      <c r="A27"/>
      <c r="B27"/>
      <c r="C27"/>
      <c r="D27"/>
      <c r="P27" s="177">
        <v>25</v>
      </c>
      <c r="Q27" s="182">
        <v>42644</v>
      </c>
      <c r="R27" s="180">
        <f t="shared" si="4"/>
        <v>8928.5875277757095</v>
      </c>
      <c r="S27" s="178">
        <f>T27-R27</f>
        <v>-174.54377596925042</v>
      </c>
      <c r="T27" s="180">
        <f t="shared" si="0"/>
        <v>8754.0437518064591</v>
      </c>
      <c r="U27" s="178">
        <f>SUM(S$3:S27)</f>
        <v>-5451.5862481935401</v>
      </c>
      <c r="V27" s="179">
        <f>S27/R27</f>
        <v>-1.9548867659780089E-2</v>
      </c>
      <c r="W27" s="179">
        <f>U27/R$3</f>
        <v>-0.40972026489490093</v>
      </c>
      <c r="X27" s="180">
        <f t="shared" si="2"/>
        <v>1992.7077936544542</v>
      </c>
      <c r="Y27" s="191">
        <f t="shared" si="5"/>
        <v>1953.7526127116907</v>
      </c>
    </row>
    <row r="28" spans="1:25" ht="12.75">
      <c r="A28"/>
      <c r="B28"/>
      <c r="C28"/>
      <c r="D28"/>
      <c r="P28" s="177">
        <v>26</v>
      </c>
      <c r="Q28" s="182">
        <v>42675</v>
      </c>
      <c r="R28" s="180">
        <f t="shared" si="4"/>
        <v>8754.0437518064591</v>
      </c>
      <c r="S28" s="178">
        <f>T28-R28</f>
        <v>-171.13164279199009</v>
      </c>
      <c r="T28" s="180">
        <f t="shared" si="0"/>
        <v>8582.912109014469</v>
      </c>
      <c r="U28" s="178">
        <f>SUM(S$3:S28)</f>
        <v>-5622.7178909855302</v>
      </c>
      <c r="V28" s="179">
        <f>S28/R28</f>
        <v>-1.9548867659780186E-2</v>
      </c>
      <c r="W28" s="179">
        <f>U28/R$3</f>
        <v>-0.42258186128620218</v>
      </c>
      <c r="X28" s="180">
        <f t="shared" si="2"/>
        <v>2053.7526127116907</v>
      </c>
      <c r="Y28" s="191">
        <f t="shared" si="5"/>
        <v>2013.6040746798622</v>
      </c>
    </row>
    <row r="29" spans="1:25" ht="12.75">
      <c r="A29"/>
      <c r="B29"/>
      <c r="C29"/>
      <c r="D29"/>
      <c r="P29" s="177">
        <v>27</v>
      </c>
      <c r="Q29" s="182">
        <v>42705</v>
      </c>
      <c r="R29" s="180">
        <f t="shared" si="4"/>
        <v>8582.912109014469</v>
      </c>
      <c r="S29" s="178">
        <f>T29-R29</f>
        <v>-167.78621295464836</v>
      </c>
      <c r="T29" s="180">
        <f t="shared" si="0"/>
        <v>8415.1258960598207</v>
      </c>
      <c r="U29" s="178">
        <f>SUM(S$3:S29)</f>
        <v>-5790.5041039401785</v>
      </c>
      <c r="V29" s="179">
        <f>S29/R29</f>
        <v>-1.9548867659780145E-2</v>
      </c>
      <c r="W29" s="179">
        <f>U29/R$3</f>
        <v>-0.43519202803175638</v>
      </c>
      <c r="X29" s="180">
        <f t="shared" si="2"/>
        <v>2113.6040746798622</v>
      </c>
      <c r="Y29" s="191">
        <f t="shared" si="5"/>
        <v>2072.2855083387735</v>
      </c>
    </row>
    <row r="30" spans="1:25" ht="12.75">
      <c r="A30"/>
      <c r="B30"/>
      <c r="C30"/>
      <c r="D30"/>
      <c r="P30" s="177">
        <v>28</v>
      </c>
      <c r="Q30" s="182">
        <v>42736</v>
      </c>
      <c r="R30" s="180">
        <f t="shared" si="4"/>
        <v>8415.1258960598207</v>
      </c>
      <c r="S30" s="178">
        <f>T30-R30</f>
        <v>-164.50618248246246</v>
      </c>
      <c r="T30" s="180">
        <f t="shared" si="0"/>
        <v>8250.6197135773582</v>
      </c>
      <c r="U30" s="178">
        <f>SUM(S$3:S30)</f>
        <v>-5955.010286422641</v>
      </c>
      <c r="V30" s="179">
        <f>S30/R30</f>
        <v>-1.9548867659780172E-2</v>
      </c>
      <c r="W30" s="179">
        <f>U30/R$3</f>
        <v>-0.447555680296434</v>
      </c>
      <c r="X30" s="180">
        <f t="shared" si="2"/>
        <v>2172.2855083387735</v>
      </c>
      <c r="Y30" s="191">
        <f t="shared" si="5"/>
        <v>2129.8197864170006</v>
      </c>
    </row>
    <row r="31" spans="1:25" ht="12.75">
      <c r="A31"/>
      <c r="B31"/>
      <c r="C31"/>
      <c r="D31"/>
      <c r="P31" s="177">
        <v>29</v>
      </c>
      <c r="Q31" s="182">
        <v>42767</v>
      </c>
      <c r="R31" s="180">
        <f t="shared" si="4"/>
        <v>8250.6197135773582</v>
      </c>
      <c r="S31" s="178">
        <f>T31-R31</f>
        <v>-161.29027289189708</v>
      </c>
      <c r="T31" s="180">
        <f t="shared" si="0"/>
        <v>8089.3294406854611</v>
      </c>
      <c r="U31" s="178">
        <f>SUM(S$3:S31)</f>
        <v>-6116.3005593145381</v>
      </c>
      <c r="V31" s="179">
        <f>S31/R31</f>
        <v>-1.9548867659780162E-2</v>
      </c>
      <c r="W31" s="179">
        <f>U31/R$3</f>
        <v>-0.4596776371591979</v>
      </c>
      <c r="X31" s="180">
        <f t="shared" si="2"/>
        <v>2229.8197864170006</v>
      </c>
      <c r="Y31" s="191">
        <f t="shared" si="5"/>
        <v>2186.2293345071753</v>
      </c>
    </row>
    <row r="32" spans="1:25" ht="12.75">
      <c r="A32"/>
      <c r="B32"/>
      <c r="C32"/>
      <c r="D32"/>
      <c r="P32" s="177">
        <v>30</v>
      </c>
      <c r="Q32" s="182">
        <v>42795</v>
      </c>
      <c r="R32" s="180">
        <f t="shared" si="4"/>
        <v>8089.3294406854611</v>
      </c>
      <c r="S32" s="178">
        <f>T32-R32</f>
        <v>-158.1372306923231</v>
      </c>
      <c r="T32" s="180">
        <f t="shared" si="0"/>
        <v>7931.192209993138</v>
      </c>
      <c r="U32" s="178">
        <f>SUM(S$3:S32)</f>
        <v>-6274.4377900068612</v>
      </c>
      <c r="V32" s="179">
        <f>S32/R32</f>
        <v>-1.9548867659780107E-2</v>
      </c>
      <c r="W32" s="179">
        <f>U32/R$3</f>
        <v>-0.47156262349147404</v>
      </c>
      <c r="X32" s="180">
        <f t="shared" si="2"/>
        <v>2286.2293345071753</v>
      </c>
      <c r="Y32" s="191">
        <f t="shared" si="5"/>
        <v>2241.5361398069872</v>
      </c>
    </row>
    <row r="33" spans="1:25" ht="12.75">
      <c r="A33"/>
      <c r="B33"/>
      <c r="C33"/>
      <c r="D33"/>
      <c r="P33" s="177">
        <v>31</v>
      </c>
      <c r="Q33" s="182">
        <v>42826</v>
      </c>
      <c r="R33" s="180">
        <f t="shared" si="4"/>
        <v>7931.192209993138</v>
      </c>
      <c r="S33" s="178">
        <f>T33-R33</f>
        <v>-155.04582689743529</v>
      </c>
      <c r="T33" s="180">
        <f t="shared" si="0"/>
        <v>7776.1463830957027</v>
      </c>
      <c r="U33" s="178">
        <f>SUM(S$3:S33)</f>
        <v>-6429.4836169042965</v>
      </c>
      <c r="V33" s="179">
        <f>S33/R33</f>
        <v>-1.9548867659780172E-2</v>
      </c>
      <c r="W33" s="179">
        <f>U33/R$3</f>
        <v>-0.48321527179880225</v>
      </c>
      <c r="X33" s="180">
        <f t="shared" si="2"/>
        <v>2341.5361398069872</v>
      </c>
      <c r="Y33" s="191">
        <f t="shared" si="5"/>
        <v>2295.7617596893078</v>
      </c>
    </row>
    <row r="34" spans="1:25" ht="12.75">
      <c r="A34"/>
      <c r="B34"/>
      <c r="C34"/>
      <c r="D34"/>
      <c r="P34" s="177">
        <v>32</v>
      </c>
      <c r="Q34" s="182">
        <v>42856</v>
      </c>
      <c r="R34" s="180">
        <f t="shared" si="4"/>
        <v>7776.1463830957027</v>
      </c>
      <c r="S34" s="178">
        <f>T34-R34</f>
        <v>-152.01485654621592</v>
      </c>
      <c r="T34" s="180">
        <f t="shared" si="0"/>
        <v>7624.1315265494868</v>
      </c>
      <c r="U34" s="178">
        <f>SUM(S$3:S34)</f>
        <v>-6581.4984734505124</v>
      </c>
      <c r="V34" s="179">
        <f>S34/R34</f>
        <v>-1.9548867659780145E-2</v>
      </c>
      <c r="W34" s="179">
        <f>U34/R$3</f>
        <v>-0.4946401240264845</v>
      </c>
      <c r="X34" s="180">
        <f t="shared" si="2"/>
        <v>2395.7617596893078</v>
      </c>
      <c r="Y34" s="191">
        <f t="shared" si="5"/>
        <v>2348.9273301047797</v>
      </c>
    </row>
    <row r="35" spans="1:25" ht="12.75">
      <c r="A35"/>
      <c r="B35"/>
      <c r="C35"/>
      <c r="D35"/>
      <c r="P35" s="177">
        <v>33</v>
      </c>
      <c r="Q35" s="182">
        <v>42887</v>
      </c>
      <c r="R35" s="180">
        <f t="shared" si="4"/>
        <v>7624.1315265494868</v>
      </c>
      <c r="S35" s="178">
        <f>T35-R35</f>
        <v>-149.04313823327357</v>
      </c>
      <c r="T35" s="180">
        <f t="shared" si="0"/>
        <v>7475.0883883162132</v>
      </c>
      <c r="U35" s="178">
        <f>SUM(S$3:S35)</f>
        <v>-6730.541611683786</v>
      </c>
      <c r="V35" s="179">
        <f>S35/R35</f>
        <v>-1.9548867659780155E-2</v>
      </c>
      <c r="W35" s="179">
        <f>U35/R$3</f>
        <v>-0.50584163332993526</v>
      </c>
      <c r="X35" s="180">
        <f t="shared" si="2"/>
        <v>2448.9273301047797</v>
      </c>
      <c r="Y35" s="191">
        <f t="shared" si="5"/>
        <v>2401.0535738201424</v>
      </c>
    </row>
    <row r="36" spans="1:25" ht="12.75">
      <c r="A36"/>
      <c r="B36"/>
      <c r="C36"/>
      <c r="D36"/>
      <c r="P36" s="177">
        <v>34</v>
      </c>
      <c r="Q36" s="182">
        <v>42917</v>
      </c>
      <c r="R36" s="180">
        <f t="shared" si="4"/>
        <v>7475.0883883162132</v>
      </c>
      <c r="S36" s="178">
        <f>T36-R36</f>
        <v>-146.12951364835317</v>
      </c>
      <c r="T36" s="180">
        <f t="shared" si="0"/>
        <v>7328.9588746678601</v>
      </c>
      <c r="U36" s="178">
        <f>SUM(S$3:S36)</f>
        <v>-6876.6711253321391</v>
      </c>
      <c r="V36" s="179">
        <f>S36/R36</f>
        <v>-1.9548867659780179E-2</v>
      </c>
      <c r="W36" s="179">
        <f>U36/R$3</f>
        <v>-0.51682416581042312</v>
      </c>
      <c r="X36" s="180">
        <f t="shared" si="2"/>
        <v>2501.0535738201424</v>
      </c>
      <c r="Y36" s="191">
        <f t="shared" si="5"/>
        <v>2452.1608084955124</v>
      </c>
    </row>
    <row r="37" spans="1:25" ht="12.75">
      <c r="A37"/>
      <c r="B37"/>
      <c r="C37"/>
      <c r="D37"/>
      <c r="P37" s="177">
        <v>35</v>
      </c>
      <c r="Q37" s="182">
        <v>42948</v>
      </c>
      <c r="R37" s="180">
        <f t="shared" si="4"/>
        <v>7328.9588746678601</v>
      </c>
      <c r="S37" s="178">
        <f>T37-R37</f>
        <v>-143.27284712485289</v>
      </c>
      <c r="T37" s="180">
        <f t="shared" si="0"/>
        <v>7185.6860275430072</v>
      </c>
      <c r="U37" s="178">
        <f>SUM(S$3:S37)</f>
        <v>-7019.943972456992</v>
      </c>
      <c r="V37" s="179">
        <f>S37/R37</f>
        <v>-1.95488676597801E-2</v>
      </c>
      <c r="W37" s="179">
        <f>U37/R$3</f>
        <v>-0.52759200221688052</v>
      </c>
      <c r="X37" s="180">
        <f t="shared" si="2"/>
        <v>2552.1608084955124</v>
      </c>
      <c r="Y37" s="191">
        <f t="shared" si="5"/>
        <v>2502.2689546037559</v>
      </c>
    </row>
    <row r="38" spans="1:25" ht="12.75">
      <c r="A38"/>
      <c r="B38"/>
      <c r="C38"/>
      <c r="D38"/>
      <c r="P38" s="177">
        <v>36</v>
      </c>
      <c r="Q38" s="182">
        <v>42979</v>
      </c>
      <c r="R38" s="180">
        <f t="shared" si="4"/>
        <v>7185.6860275430072</v>
      </c>
      <c r="S38" s="178">
        <f>T38-R38</f>
        <v>-140.47202519716939</v>
      </c>
      <c r="T38" s="180">
        <f t="shared" si="0"/>
        <v>7045.2140023458378</v>
      </c>
      <c r="U38" s="178">
        <f>SUM(S$3:S38)</f>
        <v>-7160.4159976541614</v>
      </c>
      <c r="V38" s="179">
        <f>S38/R38</f>
        <v>-1.954886765978012E-2</v>
      </c>
      <c r="W38" s="179">
        <f>U38/R$3</f>
        <v>-0.538149339614446</v>
      </c>
      <c r="X38" s="180">
        <f t="shared" si="2"/>
        <v>2602.2689546037559</v>
      </c>
      <c r="Y38" s="191">
        <f t="shared" si="5"/>
        <v>2551.3975431950525</v>
      </c>
    </row>
    <row r="39" spans="1:25" ht="12.75">
      <c r="A39"/>
      <c r="B39"/>
      <c r="C39"/>
      <c r="D39"/>
      <c r="P39" s="177">
        <v>37</v>
      </c>
      <c r="Q39" s="182">
        <v>43009</v>
      </c>
      <c r="R39" s="180">
        <f t="shared" si="4"/>
        <v>7045.2140023458378</v>
      </c>
      <c r="S39" s="178">
        <f>T39-R39</f>
        <v>-137.72595616668877</v>
      </c>
      <c r="T39" s="180">
        <f t="shared" si="0"/>
        <v>6907.488046179149</v>
      </c>
      <c r="U39" s="178">
        <f>SUM(S$3:S39)</f>
        <v>-7298.1419538208502</v>
      </c>
      <c r="V39" s="179">
        <f>S39/R39</f>
        <v>-1.9548867659780145E-2</v>
      </c>
      <c r="W39" s="179">
        <f>U39/R$3</f>
        <v>-0.54850029302038694</v>
      </c>
      <c r="X39" s="180">
        <f t="shared" si="2"/>
        <v>2651.3975431950525</v>
      </c>
      <c r="Y39" s="191">
        <f t="shared" si="5"/>
        <v>2599.5657235096664</v>
      </c>
    </row>
    <row r="40" spans="1:25" ht="12.75">
      <c r="A40"/>
      <c r="B40"/>
      <c r="C40"/>
      <c r="D40"/>
      <c r="P40" s="177">
        <v>38</v>
      </c>
      <c r="Q40" s="182">
        <v>43040</v>
      </c>
      <c r="R40" s="180">
        <f t="shared" si="4"/>
        <v>6907.488046179149</v>
      </c>
      <c r="S40" s="178">
        <f>T40-R40</f>
        <v>-135.03356967626951</v>
      </c>
      <c r="T40" s="180">
        <f t="shared" si="0"/>
        <v>6772.4544765028795</v>
      </c>
      <c r="U40" s="178">
        <f>SUM(S$3:S40)</f>
        <v>-7433.1755234971197</v>
      </c>
      <c r="V40" s="179">
        <f>S40/R40</f>
        <v>-1.9548867659780145E-2</v>
      </c>
      <c r="W40" s="179">
        <f>U40/R$3</f>
        <v>-0.55864889700804243</v>
      </c>
      <c r="X40" s="180">
        <f t="shared" si="2"/>
        <v>2699.5657235096664</v>
      </c>
      <c r="Y40" s="191">
        <f t="shared" si="5"/>
        <v>2646.7922704418975</v>
      </c>
    </row>
    <row r="41" spans="1:25" ht="12.75">
      <c r="A41"/>
      <c r="B41"/>
      <c r="C41"/>
      <c r="D41"/>
      <c r="P41" s="177">
        <v>39</v>
      </c>
      <c r="Q41" s="182">
        <v>43070</v>
      </c>
      <c r="R41" s="180">
        <f t="shared" si="4"/>
        <v>6772.4544765028795</v>
      </c>
      <c r="S41" s="178">
        <f>T41-R41</f>
        <v>-132.3938162930408</v>
      </c>
      <c r="T41" s="180">
        <f t="shared" si="0"/>
        <v>6640.0606602098387</v>
      </c>
      <c r="U41" s="178">
        <f>SUM(S$3:S41)</f>
        <v>-7565.5693397901605</v>
      </c>
      <c r="V41" s="179">
        <f>S41/R41</f>
        <v>-1.9548867659780204E-2</v>
      </c>
      <c r="W41" s="179">
        <f>U41/R$3</f>
        <v>-0.56859910727941188</v>
      </c>
      <c r="X41" s="180">
        <f t="shared" si="2"/>
        <v>2746.7922704418975</v>
      </c>
      <c r="Y41" s="191">
        <f t="shared" si="5"/>
        <v>2693.0955918581217</v>
      </c>
    </row>
    <row r="42" spans="1:25" ht="12.75">
      <c r="A42"/>
      <c r="B42"/>
      <c r="C42"/>
      <c r="D42"/>
      <c r="P42" s="177">
        <v>40</v>
      </c>
      <c r="Q42" s="182">
        <v>43101</v>
      </c>
      <c r="R42" s="180">
        <f t="shared" si="4"/>
        <v>6640.0606602098387</v>
      </c>
      <c r="S42" s="178">
        <f>T42-R42</f>
        <v>-129.80566709935465</v>
      </c>
      <c r="T42" s="180">
        <f t="shared" si="0"/>
        <v>6510.2549931104841</v>
      </c>
      <c r="U42" s="178">
        <f>SUM(S$3:S42)</f>
        <v>-7695.3750068895151</v>
      </c>
      <c r="V42" s="179">
        <f>S42/R42</f>
        <v>-1.9548867659780166E-2</v>
      </c>
      <c r="W42" s="179">
        <f>U42/R$3</f>
        <v>-0.57835480220699931</v>
      </c>
      <c r="X42" s="180">
        <f t="shared" si="2"/>
        <v>2793.0955918581217</v>
      </c>
      <c r="Y42" s="191">
        <f t="shared" si="5"/>
        <v>2738.4937357717718</v>
      </c>
    </row>
    <row r="43" spans="1:25" ht="12.75">
      <c r="A43"/>
      <c r="B43"/>
      <c r="C43"/>
      <c r="D43"/>
      <c r="P43" s="177">
        <v>41</v>
      </c>
      <c r="Q43" s="182">
        <v>43132</v>
      </c>
      <c r="R43" s="180">
        <f t="shared" si="4"/>
        <v>6510.2549931104841</v>
      </c>
      <c r="S43" s="178">
        <f>T43-R43</f>
        <v>-127.26811329173961</v>
      </c>
      <c r="T43" s="180">
        <f t="shared" si="0"/>
        <v>6382.9868798187445</v>
      </c>
      <c r="U43" s="178">
        <f>SUM(S$3:S43)</f>
        <v>-7822.6431201812547</v>
      </c>
      <c r="V43" s="179">
        <f>S43/R43</f>
        <v>-1.9548867659780124E-2</v>
      </c>
      <c r="W43" s="179">
        <f>U43/R$3</f>
        <v>-0.58791978434551806</v>
      </c>
      <c r="X43" s="180">
        <f t="shared" si="2"/>
        <v>2838.4937357717718</v>
      </c>
      <c r="Y43" s="191">
        <f t="shared" si="5"/>
        <v>2783.0043973780544</v>
      </c>
    </row>
    <row r="44" spans="1:25" ht="12.75">
      <c r="A44"/>
      <c r="B44"/>
      <c r="C44"/>
      <c r="D44"/>
      <c r="P44" s="177">
        <v>42</v>
      </c>
      <c r="Q44" s="182">
        <v>43160</v>
      </c>
      <c r="R44" s="180">
        <f t="shared" si="4"/>
        <v>6382.9868798187445</v>
      </c>
      <c r="S44" s="178">
        <f>T44-R44</f>
        <v>-124.78016578768984</v>
      </c>
      <c r="T44" s="180">
        <f t="shared" si="0"/>
        <v>6258.2067140310546</v>
      </c>
      <c r="U44" s="178">
        <f>SUM(S$3:S44)</f>
        <v>-7947.4232859689446</v>
      </c>
      <c r="V44" s="179">
        <f>S44/R44</f>
        <v>-1.9548867659780179E-2</v>
      </c>
      <c r="W44" s="179">
        <f>U44/R$3</f>
        <v>-0.59729778191404281</v>
      </c>
      <c r="X44" s="180">
        <f t="shared" si="2"/>
        <v>2883.0043973780544</v>
      </c>
      <c r="Y44" s="191">
        <f t="shared" si="5"/>
        <v>2826.6449259511464</v>
      </c>
    </row>
    <row r="45" spans="1:25" ht="12.75">
      <c r="A45"/>
      <c r="B45"/>
      <c r="C45"/>
      <c r="D45"/>
      <c r="P45" s="177">
        <v>43</v>
      </c>
      <c r="Q45" s="182">
        <v>43191</v>
      </c>
      <c r="R45" s="180">
        <f t="shared" si="4"/>
        <v>6258.2067140310546</v>
      </c>
      <c r="S45" s="178">
        <f>T45-R45</f>
        <v>-122.34085484014031</v>
      </c>
      <c r="T45" s="180">
        <f t="shared" si="0"/>
        <v>6135.8658591909143</v>
      </c>
      <c r="U45" s="178">
        <f>SUM(S$3:S45)</f>
        <v>-8069.7641408090849</v>
      </c>
      <c r="V45" s="179">
        <f>S45/R45</f>
        <v>-1.9548867659780089E-2</v>
      </c>
      <c r="W45" s="179">
        <f>U45/R$3</f>
        <v>-0.60649245024918663</v>
      </c>
      <c r="X45" s="180">
        <f t="shared" si="2"/>
        <v>2926.6449259511464</v>
      </c>
      <c r="Y45" s="191">
        <f t="shared" si="5"/>
        <v>2869.4323316065602</v>
      </c>
    </row>
    <row r="46" spans="1:25" ht="12.75">
      <c r="A46"/>
      <c r="B46"/>
      <c r="C46"/>
      <c r="D46"/>
      <c r="P46" s="177">
        <v>44</v>
      </c>
      <c r="Q46" s="182">
        <v>43221</v>
      </c>
      <c r="R46" s="180">
        <f t="shared" si="4"/>
        <v>6135.8658591909143</v>
      </c>
      <c r="S46" s="178">
        <f>T46-R46</f>
        <v>-119.94922965948626</v>
      </c>
      <c r="T46" s="180">
        <f t="shared" si="0"/>
        <v>6015.916629531428</v>
      </c>
      <c r="U46" s="178">
        <f>SUM(S$3:S46)</f>
        <v>-8189.7133704685712</v>
      </c>
      <c r="V46" s="179">
        <f>S46/R46</f>
        <v>-1.9548867659780127E-2</v>
      </c>
      <c r="W46" s="179">
        <f>U46/R$3</f>
        <v>-0.61550737322987126</v>
      </c>
      <c r="X46" s="180">
        <f t="shared" si="2"/>
        <v>2969.4323316065602</v>
      </c>
      <c r="Y46" s="191">
        <f t="shared" ref="Y46:Y59" si="6">X46*(1+V46)</f>
        <v>2911.3832919313113</v>
      </c>
    </row>
    <row r="47" spans="1:25" ht="12.75">
      <c r="A47"/>
      <c r="B47"/>
      <c r="C47"/>
      <c r="D47"/>
      <c r="P47" s="177">
        <v>45</v>
      </c>
      <c r="Q47" s="182">
        <v>43252</v>
      </c>
      <c r="R47" s="180">
        <f t="shared" si="4"/>
        <v>6015.916629531428</v>
      </c>
      <c r="S47" s="178">
        <f>T47-R47</f>
        <v>-117.60435804298049</v>
      </c>
      <c r="T47" s="180">
        <f t="shared" si="0"/>
        <v>5898.3122714884475</v>
      </c>
      <c r="U47" s="178">
        <f>SUM(S$3:S47)</f>
        <v>-8307.3177285115526</v>
      </c>
      <c r="V47" s="179">
        <f>S47/R47</f>
        <v>-1.9548867659780145E-2</v>
      </c>
      <c r="W47" s="179">
        <f>U47/R$3</f>
        <v>-0.62434606467424336</v>
      </c>
      <c r="X47" s="180">
        <f t="shared" si="2"/>
        <v>3011.3832919313113</v>
      </c>
      <c r="Y47" s="191">
        <f t="shared" si="6"/>
        <v>2952.5141584844732</v>
      </c>
    </row>
    <row r="48" spans="1:25" ht="12.75">
      <c r="A48"/>
      <c r="B48"/>
      <c r="C48"/>
      <c r="D48"/>
      <c r="P48" s="177">
        <v>46</v>
      </c>
      <c r="Q48" s="182">
        <v>43282</v>
      </c>
      <c r="R48" s="180">
        <f t="shared" si="4"/>
        <v>5898.3122714884475</v>
      </c>
      <c r="S48" s="178">
        <f>T48-R48</f>
        <v>-115.30532601138475</v>
      </c>
      <c r="T48" s="180">
        <f t="shared" si="0"/>
        <v>5783.0069454770628</v>
      </c>
      <c r="U48" s="178">
        <f>SUM(S$3:S48)</f>
        <v>-8422.6230545229373</v>
      </c>
      <c r="V48" s="179">
        <f>S48/R48</f>
        <v>-1.9548867659780124E-2</v>
      </c>
      <c r="W48" s="179">
        <f>U48/R$3</f>
        <v>-0.63301196970928375</v>
      </c>
      <c r="X48" s="180">
        <f t="shared" si="2"/>
        <v>3052.5141584844732</v>
      </c>
      <c r="Y48" s="191">
        <f t="shared" si="6"/>
        <v>2992.840963170655</v>
      </c>
    </row>
    <row r="49" spans="1:25" ht="12.75">
      <c r="A49"/>
      <c r="B49"/>
      <c r="C49"/>
      <c r="D49"/>
      <c r="P49" s="177">
        <v>47</v>
      </c>
      <c r="Q49" s="182">
        <v>43313</v>
      </c>
      <c r="R49" s="180">
        <f t="shared" si="4"/>
        <v>5783.0069454770628</v>
      </c>
      <c r="S49" s="178">
        <f>T49-R49</f>
        <v>-113.05123745272067</v>
      </c>
      <c r="T49" s="180">
        <f t="shared" si="0"/>
        <v>5669.9557080243421</v>
      </c>
      <c r="U49" s="178">
        <f>SUM(S$3:S49)</f>
        <v>-8535.674291975658</v>
      </c>
      <c r="V49" s="179">
        <f>S49/R49</f>
        <v>-1.9548867659780172E-2</v>
      </c>
      <c r="W49" s="179">
        <f>U49/R$3</f>
        <v>-0.64150846611364198</v>
      </c>
      <c r="X49" s="180">
        <f t="shared" si="2"/>
        <v>3092.840963170655</v>
      </c>
      <c r="Y49" s="191">
        <f t="shared" si="6"/>
        <v>3032.379424488885</v>
      </c>
    </row>
    <row r="50" spans="1:25" ht="12.75">
      <c r="A50"/>
      <c r="B50"/>
      <c r="C50"/>
      <c r="D50"/>
      <c r="P50" s="177">
        <v>48</v>
      </c>
      <c r="Q50" s="182">
        <v>43344</v>
      </c>
      <c r="R50" s="180">
        <f t="shared" si="4"/>
        <v>5669.9557080243421</v>
      </c>
      <c r="S50" s="178">
        <f>T50-R50</f>
        <v>-110.84121377298288</v>
      </c>
      <c r="T50" s="180">
        <f t="shared" si="0"/>
        <v>5559.1144942513592</v>
      </c>
      <c r="U50" s="178">
        <f>SUM(S$3:S50)</f>
        <v>-8646.5155057486409</v>
      </c>
      <c r="V50" s="179">
        <f>S50/R50</f>
        <v>-1.9548867659780141E-2</v>
      </c>
      <c r="W50" s="179">
        <f>U50/R$3</f>
        <v>-0.64983886563421955</v>
      </c>
      <c r="X50" s="180">
        <f t="shared" si="2"/>
        <v>3132.379424488885</v>
      </c>
      <c r="Y50" s="191">
        <f t="shared" si="6"/>
        <v>3071.1449536593336</v>
      </c>
    </row>
    <row r="51" spans="1:25" ht="12.75">
      <c r="A51"/>
      <c r="B51"/>
      <c r="C51"/>
      <c r="D51"/>
      <c r="P51" s="177">
        <v>49</v>
      </c>
      <c r="Q51" s="182">
        <v>43374</v>
      </c>
      <c r="R51" s="180">
        <f t="shared" si="4"/>
        <v>5559.1144942513592</v>
      </c>
      <c r="S51" s="178">
        <f>T51-R51</f>
        <v>-108.67439355368515</v>
      </c>
      <c r="T51" s="180">
        <f t="shared" si="0"/>
        <v>5450.4401006976741</v>
      </c>
      <c r="U51" s="178">
        <f>SUM(S$3:S51)</f>
        <v>-8755.189899302326</v>
      </c>
      <c r="V51" s="179">
        <f>S51/R51</f>
        <v>-1.9548867659780089E-2</v>
      </c>
      <c r="W51" s="179">
        <f>U51/R$3</f>
        <v>-0.65800641527701631</v>
      </c>
      <c r="X51" s="180">
        <f t="shared" si="2"/>
        <v>3171.1449536593336</v>
      </c>
      <c r="Y51" s="191">
        <f t="shared" si="6"/>
        <v>3109.1526606302677</v>
      </c>
    </row>
    <row r="52" spans="1:25" ht="12.75">
      <c r="A52"/>
      <c r="B52"/>
      <c r="C52"/>
      <c r="D52"/>
      <c r="P52" s="177">
        <v>50</v>
      </c>
      <c r="Q52" s="182">
        <v>43405</v>
      </c>
      <c r="R52" s="180">
        <f t="shared" si="4"/>
        <v>5450.4401006976741</v>
      </c>
      <c r="S52" s="178">
        <f>T52-R52</f>
        <v>-106.54993221609766</v>
      </c>
      <c r="T52" s="180">
        <f t="shared" si="0"/>
        <v>5343.8901684815764</v>
      </c>
      <c r="U52" s="178">
        <f>SUM(S$3:S52)</f>
        <v>-8861.7398315184237</v>
      </c>
      <c r="V52" s="179">
        <f>S52/R52</f>
        <v>-1.9548867659780155E-2</v>
      </c>
      <c r="W52" s="179">
        <f>U52/R$3</f>
        <v>-0.6660142985727413</v>
      </c>
      <c r="X52" s="180">
        <f t="shared" si="2"/>
        <v>3209.1526606302677</v>
      </c>
      <c r="Y52" s="191">
        <f t="shared" si="6"/>
        <v>3146.4173599675755</v>
      </c>
    </row>
    <row r="53" spans="1:25">
      <c r="P53" s="177">
        <v>51</v>
      </c>
      <c r="Q53" s="182">
        <v>43435</v>
      </c>
      <c r="R53" s="180">
        <f t="shared" si="4"/>
        <v>5343.8901684815764</v>
      </c>
      <c r="S53" s="178">
        <f>T53-R53</f>
        <v>-104.46700169204632</v>
      </c>
      <c r="T53" s="180">
        <f t="shared" si="0"/>
        <v>5239.4231667895301</v>
      </c>
      <c r="U53" s="178">
        <f>SUM(S$3:S53)</f>
        <v>-8966.20683321047</v>
      </c>
      <c r="V53" s="179">
        <f>S53/R53</f>
        <v>-1.95488676597801E-2</v>
      </c>
      <c r="W53" s="179">
        <f>U53/R$3</f>
        <v>-0.67386563681768319</v>
      </c>
      <c r="X53" s="180">
        <f t="shared" si="2"/>
        <v>3246.4173599675755</v>
      </c>
      <c r="Y53" s="191">
        <f t="shared" si="6"/>
        <v>3182.9535766291565</v>
      </c>
    </row>
    <row r="54" spans="1:25">
      <c r="P54" s="177">
        <v>52</v>
      </c>
      <c r="Q54" s="182">
        <v>43466</v>
      </c>
      <c r="R54" s="180">
        <f t="shared" si="4"/>
        <v>5239.4231667895301</v>
      </c>
      <c r="S54" s="178">
        <f>T54-R54</f>
        <v>-102.42479010115494</v>
      </c>
      <c r="T54" s="180">
        <f t="shared" si="0"/>
        <v>5136.9983766883752</v>
      </c>
      <c r="U54" s="178">
        <f>SUM(S$3:S54)</f>
        <v>-9068.6316233116249</v>
      </c>
      <c r="V54" s="179">
        <f>S54/R54</f>
        <v>-1.9548867659780186E-2</v>
      </c>
      <c r="W54" s="179">
        <f>U54/R$3</f>
        <v>-0.68156349029032259</v>
      </c>
      <c r="X54" s="180">
        <f t="shared" si="2"/>
        <v>3282.9535766291565</v>
      </c>
      <c r="Y54" s="191">
        <f t="shared" si="6"/>
        <v>3218.775551626431</v>
      </c>
    </row>
    <row r="55" spans="1:25">
      <c r="P55" s="177">
        <v>53</v>
      </c>
      <c r="Q55" s="182">
        <v>43497</v>
      </c>
      <c r="R55" s="180">
        <f t="shared" si="4"/>
        <v>5136.9983766883752</v>
      </c>
      <c r="S55" s="178">
        <f>T55-R55</f>
        <v>-100.4225014343865</v>
      </c>
      <c r="T55" s="180">
        <f t="shared" si="0"/>
        <v>5036.5758752539887</v>
      </c>
      <c r="U55" s="178">
        <f>SUM(S$3:S55)</f>
        <v>-9169.0541247460114</v>
      </c>
      <c r="V55" s="179">
        <f>S55/R55</f>
        <v>-1.9548867659780148E-2</v>
      </c>
      <c r="W55" s="179">
        <f>U55/R$3</f>
        <v>-0.68911085944416095</v>
      </c>
      <c r="X55" s="180">
        <f t="shared" si="2"/>
        <v>3318.775551626431</v>
      </c>
      <c r="Y55" s="191">
        <f t="shared" si="6"/>
        <v>3253.8972475751721</v>
      </c>
    </row>
    <row r="56" spans="1:25">
      <c r="P56" s="177">
        <v>54</v>
      </c>
      <c r="Q56" s="182">
        <v>43525</v>
      </c>
      <c r="R56" s="180">
        <f t="shared" si="4"/>
        <v>5036.5758752539887</v>
      </c>
      <c r="S56" s="178">
        <f>T56-R56</f>
        <v>-98.459355243781829</v>
      </c>
      <c r="T56" s="180">
        <f t="shared" si="0"/>
        <v>4938.1165200102068</v>
      </c>
      <c r="U56" s="178">
        <f>SUM(S$3:S56)</f>
        <v>-9267.5134799897933</v>
      </c>
      <c r="V56" s="179">
        <f>S56/R56</f>
        <v>-1.9548867659780193E-2</v>
      </c>
      <c r="W56" s="179">
        <f>U56/R$3</f>
        <v>-0.69651068607723154</v>
      </c>
      <c r="X56" s="180">
        <f t="shared" si="2"/>
        <v>3353.8972475751721</v>
      </c>
      <c r="Y56" s="191">
        <f t="shared" si="6"/>
        <v>3288.332354137824</v>
      </c>
    </row>
    <row r="57" spans="1:25">
      <c r="P57" s="177">
        <v>55</v>
      </c>
      <c r="Q57" s="182">
        <v>43556</v>
      </c>
      <c r="R57" s="180">
        <f t="shared" si="4"/>
        <v>4938.1165200102068</v>
      </c>
      <c r="S57" s="178">
        <f>T57-R57</f>
        <v>-96.534586338253575</v>
      </c>
      <c r="T57" s="180">
        <f t="shared" si="0"/>
        <v>4841.5819336719533</v>
      </c>
      <c r="U57" s="178">
        <f>SUM(S$3:S57)</f>
        <v>-9364.0480663280468</v>
      </c>
      <c r="V57" s="179">
        <f>S57/R57</f>
        <v>-1.9548867659780138E-2</v>
      </c>
      <c r="W57" s="179">
        <f>U57/R$3</f>
        <v>-0.70376585447874673</v>
      </c>
      <c r="X57" s="180">
        <f t="shared" si="2"/>
        <v>3388.332354137824</v>
      </c>
      <c r="Y57" s="191">
        <f t="shared" si="6"/>
        <v>3322.0942933594324</v>
      </c>
    </row>
    <row r="58" spans="1:25">
      <c r="P58" s="177">
        <v>56</v>
      </c>
      <c r="Q58" s="182">
        <v>43586</v>
      </c>
      <c r="R58" s="180">
        <f t="shared" si="4"/>
        <v>4841.5819336719533</v>
      </c>
      <c r="S58" s="178">
        <f>T58-R58</f>
        <v>-94.647444485335654</v>
      </c>
      <c r="T58" s="180">
        <f t="shared" si="0"/>
        <v>4746.9344891866176</v>
      </c>
      <c r="U58" s="178">
        <f>SUM(S$3:S58)</f>
        <v>-9458.6955108133825</v>
      </c>
      <c r="V58" s="179">
        <f>S58/R58</f>
        <v>-1.9548867659780183E-2</v>
      </c>
      <c r="W58" s="179">
        <f>U58/R$3</f>
        <v>-0.71087919255333143</v>
      </c>
      <c r="X58" s="180">
        <f t="shared" si="2"/>
        <v>3422.0942933594324</v>
      </c>
      <c r="Y58" s="191">
        <f t="shared" si="6"/>
        <v>3355.19622489926</v>
      </c>
    </row>
    <row r="59" spans="1:25">
      <c r="P59" s="177">
        <v>57</v>
      </c>
      <c r="Q59" s="182">
        <v>43617</v>
      </c>
      <c r="R59" s="180">
        <f t="shared" si="4"/>
        <v>4746.9344891866176</v>
      </c>
      <c r="S59" s="178">
        <f>T59-R59</f>
        <v>-92.797194118755215</v>
      </c>
      <c r="T59" s="180">
        <f t="shared" si="0"/>
        <v>4654.1372950678624</v>
      </c>
      <c r="U59" s="178">
        <f>SUM(S$3:S59)</f>
        <v>-9551.4927049321377</v>
      </c>
      <c r="V59" s="179">
        <f>S59/R59</f>
        <v>-1.9548867659780138E-2</v>
      </c>
      <c r="W59" s="179">
        <f>U59/R$3</f>
        <v>-0.71785347292327673</v>
      </c>
      <c r="X59" s="180">
        <f t="shared" si="2"/>
        <v>3455.19622489926</v>
      </c>
      <c r="Y59" s="191">
        <f t="shared" si="6"/>
        <v>3387.6510511601323</v>
      </c>
    </row>
    <row r="60" spans="1:25">
      <c r="P60" s="177">
        <v>58</v>
      </c>
      <c r="Q60" s="182">
        <v>43647</v>
      </c>
      <c r="R60" s="180">
        <f t="shared" si="4"/>
        <v>4654.1372950678624</v>
      </c>
      <c r="S60" s="178">
        <f>T60-R60</f>
        <v>-90.98311405172899</v>
      </c>
      <c r="T60" s="180">
        <f t="shared" si="0"/>
        <v>4563.1541810161334</v>
      </c>
      <c r="U60" s="178">
        <f>SUM(S$3:S60)</f>
        <v>-9642.4758189838667</v>
      </c>
      <c r="V60" s="179">
        <f>S60/R60</f>
        <v>-1.954886765978019E-2</v>
      </c>
      <c r="W60" s="179">
        <f>U60/R$3</f>
        <v>-0.72469141400924775</v>
      </c>
      <c r="X60" s="180">
        <f t="shared" si="2"/>
        <v>3487.6510511601323</v>
      </c>
      <c r="Y60" s="191">
        <f>X60*(1+V60)</f>
        <v>3419.4714223175097</v>
      </c>
    </row>
    <row r="61" spans="1:25">
      <c r="P61" s="177">
        <v>59</v>
      </c>
      <c r="Q61" s="182">
        <v>43678</v>
      </c>
      <c r="R61" s="180">
        <f t="shared" si="4"/>
        <v>4563.1541810161334</v>
      </c>
      <c r="S61" s="178">
        <f>T61-R61</f>
        <v>-89.204497195856675</v>
      </c>
      <c r="T61" s="180">
        <f t="shared" si="0"/>
        <v>4473.9496838202767</v>
      </c>
      <c r="U61" s="178">
        <f>SUM(S$3:S61)</f>
        <v>-9731.6803161797234</v>
      </c>
      <c r="V61" s="179">
        <f>S61/R61</f>
        <v>-1.9548867659780107E-2</v>
      </c>
      <c r="W61" s="179">
        <f>U61/R$3</f>
        <v>-0.73139568108986375</v>
      </c>
      <c r="X61" s="180">
        <f t="shared" si="2"/>
        <v>3519.4714223175097</v>
      </c>
      <c r="Y61" s="191">
        <f>X61*(1+V61)</f>
        <v>3450.6697412502463</v>
      </c>
    </row>
    <row r="62" spans="1:25">
      <c r="P62" s="177">
        <v>60</v>
      </c>
      <c r="Q62" s="182">
        <v>43709</v>
      </c>
      <c r="R62" s="180">
        <f t="shared" si="4"/>
        <v>4473.9496838202767</v>
      </c>
      <c r="S62" s="178">
        <f>T62-R62</f>
        <v>-87.460650285517659</v>
      </c>
      <c r="T62" s="180">
        <f t="shared" si="0"/>
        <v>4386.4890335347591</v>
      </c>
      <c r="U62" s="178">
        <f>SUM(S$3:S62)</f>
        <v>-9819.1409664652419</v>
      </c>
      <c r="V62" s="179">
        <f>S62/R62</f>
        <v>-1.954886765978011E-2</v>
      </c>
      <c r="W62" s="179">
        <f>U62/R$3</f>
        <v>-0.73796888734056509</v>
      </c>
      <c r="X62" s="180">
        <f t="shared" si="2"/>
        <v>3550.6697412502463</v>
      </c>
      <c r="Y62" s="191">
        <f>X62*(1+V62)</f>
        <v>3481.2581683749595</v>
      </c>
    </row>
    <row r="63" spans="1:25">
      <c r="P63" s="177">
        <v>61</v>
      </c>
      <c r="Q63" s="182">
        <v>43739</v>
      </c>
      <c r="R63" s="180">
        <f t="shared" si="4"/>
        <v>4386.4890335347591</v>
      </c>
      <c r="S63" s="178">
        <f>T63-R63</f>
        <v>-85.750893607648322</v>
      </c>
      <c r="T63" s="180">
        <f t="shared" si="0"/>
        <v>4300.7381399271108</v>
      </c>
      <c r="U63" s="178">
        <f>SUM(S$3:S63)</f>
        <v>-9904.8918600728903</v>
      </c>
    </row>
    <row r="64" spans="1:25">
      <c r="P64" s="177">
        <v>62</v>
      </c>
      <c r="Q64" s="182">
        <v>43770</v>
      </c>
      <c r="R64" s="180">
        <f t="shared" si="4"/>
        <v>4300.7381399271108</v>
      </c>
      <c r="S64" s="178">
        <f>T64-R64</f>
        <v>-84.074560736804415</v>
      </c>
      <c r="T64" s="180">
        <f t="shared" si="0"/>
        <v>4216.6635791903063</v>
      </c>
      <c r="U64" s="178">
        <f>SUM(S$3:S64)</f>
        <v>-9988.9664208096947</v>
      </c>
    </row>
    <row r="65" spans="16:21">
      <c r="P65" s="177">
        <v>63</v>
      </c>
      <c r="Q65" s="182">
        <v>43800</v>
      </c>
      <c r="R65" s="180">
        <f t="shared" si="4"/>
        <v>4216.6635791903063</v>
      </c>
      <c r="S65" s="178">
        <f>T65-R65</f>
        <v>-82.430998275405727</v>
      </c>
      <c r="T65" s="180">
        <f t="shared" si="0"/>
        <v>4134.2325809149006</v>
      </c>
      <c r="U65" s="178">
        <f>SUM(S$3:S65)</f>
        <v>-10071.3974190851</v>
      </c>
    </row>
    <row r="66" spans="16:21">
      <c r="P66" s="177">
        <v>64</v>
      </c>
      <c r="Q66" s="182">
        <v>43831</v>
      </c>
      <c r="R66" s="180">
        <f t="shared" si="4"/>
        <v>4134.2325809149006</v>
      </c>
      <c r="S66" s="178">
        <f>T66-R66</f>
        <v>-80.819565599056659</v>
      </c>
      <c r="T66" s="180">
        <f t="shared" si="0"/>
        <v>4053.4130153158439</v>
      </c>
      <c r="U66" s="178">
        <f>SUM(S$3:S66)</f>
        <v>-10152.216984684157</v>
      </c>
    </row>
    <row r="67" spans="16:21">
      <c r="P67" s="177">
        <v>65</v>
      </c>
      <c r="Q67" s="182">
        <v>43862</v>
      </c>
      <c r="R67" s="180">
        <f t="shared" si="4"/>
        <v>4053.4130153158439</v>
      </c>
      <c r="S67" s="178">
        <f>T67-R67</f>
        <v>-79.2396346068399</v>
      </c>
      <c r="T67" s="180">
        <f t="shared" si="0"/>
        <v>3974.1733807090041</v>
      </c>
      <c r="U67" s="178">
        <f>SUM(S$3:S67)</f>
        <v>-10231.456619290997</v>
      </c>
    </row>
    <row r="68" spans="16:21">
      <c r="P68" s="177">
        <v>66</v>
      </c>
      <c r="Q68" s="182">
        <v>43891</v>
      </c>
      <c r="R68" s="180">
        <f t="shared" si="4"/>
        <v>3974.1733807090041</v>
      </c>
      <c r="S68" s="178">
        <f>T68-R68</f>
        <v>-77.690589476501373</v>
      </c>
      <c r="T68" s="180">
        <f t="shared" si="0"/>
        <v>3896.4827912325027</v>
      </c>
      <c r="U68" s="178">
        <f>SUM(S$3:S68)</f>
        <v>-10309.147208767499</v>
      </c>
    </row>
    <row r="69" spans="16:21">
      <c r="P69" s="177">
        <v>67</v>
      </c>
      <c r="Q69" s="182">
        <v>43922</v>
      </c>
      <c r="R69" s="180">
        <f t="shared" ref="R69:R94" si="7">T68</f>
        <v>3896.4827912325027</v>
      </c>
      <c r="S69" s="178">
        <f>T69-R69</f>
        <v>-76.17182642441503</v>
      </c>
      <c r="T69" s="180">
        <f t="shared" ref="T69:T94" si="8">(1+$V$3)*R69</f>
        <v>3820.3109648080876</v>
      </c>
      <c r="U69" s="178">
        <f>SUM(S$3:S69)</f>
        <v>-10385.319035191915</v>
      </c>
    </row>
    <row r="70" spans="16:21">
      <c r="P70" s="177">
        <v>68</v>
      </c>
      <c r="Q70" s="182">
        <v>43952</v>
      </c>
      <c r="R70" s="180">
        <f t="shared" si="7"/>
        <v>3820.3109648080876</v>
      </c>
      <c r="S70" s="178">
        <f>T70-R70</f>
        <v>-74.682753470240186</v>
      </c>
      <c r="T70" s="180">
        <f t="shared" si="8"/>
        <v>3745.6282113378475</v>
      </c>
      <c r="U70" s="178">
        <f>SUM(S$3:S70)</f>
        <v>-10460.001788662155</v>
      </c>
    </row>
    <row r="71" spans="16:21">
      <c r="P71" s="177">
        <v>69</v>
      </c>
      <c r="Q71" s="182">
        <v>43983</v>
      </c>
      <c r="R71" s="180">
        <f t="shared" si="7"/>
        <v>3745.6282113378475</v>
      </c>
      <c r="S71" s="178">
        <f>T71-R71</f>
        <v>-73.222790206182708</v>
      </c>
      <c r="T71" s="180">
        <f t="shared" si="8"/>
        <v>3672.4054211316648</v>
      </c>
      <c r="U71" s="178">
        <f>SUM(S$3:S71)</f>
        <v>-10533.224578868338</v>
      </c>
    </row>
    <row r="72" spans="16:21">
      <c r="P72" s="177">
        <v>70</v>
      </c>
      <c r="Q72" s="182">
        <v>44013</v>
      </c>
      <c r="R72" s="180">
        <f t="shared" si="7"/>
        <v>3672.4054211316648</v>
      </c>
      <c r="S72" s="178">
        <f>T72-R72</f>
        <v>-71.791367570762304</v>
      </c>
      <c r="T72" s="180">
        <f t="shared" si="8"/>
        <v>3600.6140535609024</v>
      </c>
      <c r="U72" s="178">
        <f>SUM(S$3:S72)</f>
        <v>-10605.0159464391</v>
      </c>
    </row>
    <row r="73" spans="16:21">
      <c r="P73" s="177">
        <v>71</v>
      </c>
      <c r="Q73" s="182">
        <v>44044</v>
      </c>
      <c r="R73" s="180">
        <f t="shared" si="7"/>
        <v>3600.6140535609024</v>
      </c>
      <c r="S73" s="178">
        <f>T73-R73</f>
        <v>-70.387927627006775</v>
      </c>
      <c r="T73" s="180">
        <f t="shared" si="8"/>
        <v>3530.2261259338957</v>
      </c>
      <c r="U73" s="178">
        <f>SUM(S$3:S73)</f>
        <v>-10675.403874066107</v>
      </c>
    </row>
    <row r="74" spans="16:21">
      <c r="P74" s="177">
        <v>72</v>
      </c>
      <c r="Q74" s="182">
        <v>44075</v>
      </c>
      <c r="R74" s="180">
        <f t="shared" si="7"/>
        <v>3530.2261259338957</v>
      </c>
      <c r="S74" s="178">
        <f>T74-R74</f>
        <v>-69.011923344980005</v>
      </c>
      <c r="T74" s="180">
        <f t="shared" si="8"/>
        <v>3461.2142025889157</v>
      </c>
      <c r="U74" s="178">
        <f>SUM(S$3:S74)</f>
        <v>-10744.415797411088</v>
      </c>
    </row>
    <row r="75" spans="16:21">
      <c r="P75" s="177">
        <v>73</v>
      </c>
      <c r="Q75" s="182">
        <v>44105</v>
      </c>
      <c r="R75" s="180">
        <f t="shared" si="7"/>
        <v>3461.2142025889157</v>
      </c>
      <c r="S75" s="178">
        <f>T75-R75</f>
        <v>-67.6628183885623</v>
      </c>
      <c r="T75" s="180">
        <f t="shared" si="8"/>
        <v>3393.5513842003534</v>
      </c>
      <c r="U75" s="178">
        <f>SUM(S$3:S75)</f>
        <v>-10812.07861579965</v>
      </c>
    </row>
    <row r="76" spans="16:21">
      <c r="P76" s="177">
        <v>74</v>
      </c>
      <c r="Q76" s="182">
        <v>44136</v>
      </c>
      <c r="R76" s="180">
        <f t="shared" si="7"/>
        <v>3393.5513842003534</v>
      </c>
      <c r="S76" s="178">
        <f>T76-R76</f>
        <v>-66.340086906396209</v>
      </c>
      <c r="T76" s="180">
        <f t="shared" si="8"/>
        <v>3327.2112972939572</v>
      </c>
      <c r="U76" s="178">
        <f>SUM(S$3:S76)</f>
        <v>-10878.418702706047</v>
      </c>
    </row>
    <row r="77" spans="16:21">
      <c r="P77" s="177">
        <v>75</v>
      </c>
      <c r="Q77" s="182">
        <v>44166</v>
      </c>
      <c r="R77" s="180">
        <f t="shared" si="7"/>
        <v>3327.2112972939572</v>
      </c>
      <c r="S77" s="178">
        <f>T77-R77</f>
        <v>-65.04321332692507</v>
      </c>
      <c r="T77" s="180">
        <f t="shared" si="8"/>
        <v>3262.1680839670321</v>
      </c>
      <c r="U77" s="178">
        <f>SUM(S$3:S77)</f>
        <v>-10943.461916032971</v>
      </c>
    </row>
    <row r="78" spans="16:21">
      <c r="P78" s="177">
        <v>76</v>
      </c>
      <c r="Q78" s="182">
        <v>44197</v>
      </c>
      <c r="R78" s="180">
        <f t="shared" si="7"/>
        <v>3262.1680839670321</v>
      </c>
      <c r="S78" s="178">
        <f>T78-R78</f>
        <v>-63.771692157430152</v>
      </c>
      <c r="T78" s="180">
        <f t="shared" si="8"/>
        <v>3198.3963918096019</v>
      </c>
      <c r="U78" s="178">
        <f>SUM(S$3:S78)</f>
        <v>-11007.233608190401</v>
      </c>
    </row>
    <row r="79" spans="16:21">
      <c r="P79" s="177">
        <v>77</v>
      </c>
      <c r="Q79" s="182">
        <v>44228</v>
      </c>
      <c r="R79" s="180">
        <f t="shared" si="7"/>
        <v>3198.3963918096019</v>
      </c>
      <c r="S79" s="178">
        <f>T79-R79</f>
        <v>-62.525027787004092</v>
      </c>
      <c r="T79" s="180">
        <f t="shared" si="8"/>
        <v>3135.8713640225978</v>
      </c>
      <c r="U79" s="178">
        <f>SUM(S$3:S79)</f>
        <v>-11069.758635977405</v>
      </c>
    </row>
    <row r="80" spans="16:21">
      <c r="P80" s="177">
        <v>78</v>
      </c>
      <c r="Q80" s="182">
        <v>44256</v>
      </c>
      <c r="R80" s="180">
        <f t="shared" si="7"/>
        <v>3135.8713640225978</v>
      </c>
      <c r="S80" s="178">
        <f>T80-R80</f>
        <v>-61.302734293371941</v>
      </c>
      <c r="T80" s="180">
        <f t="shared" si="8"/>
        <v>3074.5686297292259</v>
      </c>
      <c r="U80" s="178">
        <f>SUM(S$3:S80)</f>
        <v>-11131.061370270778</v>
      </c>
    </row>
    <row r="81" spans="16:21">
      <c r="P81" s="177">
        <v>79</v>
      </c>
      <c r="Q81" s="182">
        <v>44287</v>
      </c>
      <c r="R81" s="180">
        <f t="shared" si="7"/>
        <v>3074.5686297292259</v>
      </c>
      <c r="S81" s="178">
        <f>T81-R81</f>
        <v>-60.104335253488443</v>
      </c>
      <c r="T81" s="180">
        <f t="shared" si="8"/>
        <v>3014.4642944757375</v>
      </c>
      <c r="U81" s="178">
        <f>SUM(S$3:S81)</f>
        <v>-11191.165705524267</v>
      </c>
    </row>
    <row r="82" spans="16:21">
      <c r="P82" s="177">
        <v>80</v>
      </c>
      <c r="Q82" s="182">
        <v>44317</v>
      </c>
      <c r="R82" s="180">
        <f t="shared" si="7"/>
        <v>3014.4642944757375</v>
      </c>
      <c r="S82" s="178">
        <f>T82-R82</f>
        <v>-58.929363557838769</v>
      </c>
      <c r="T82" s="180">
        <f t="shared" si="8"/>
        <v>2955.5349309178987</v>
      </c>
      <c r="U82" s="178">
        <f>SUM(S$3:S82)</f>
        <v>-11250.095069082105</v>
      </c>
    </row>
    <row r="83" spans="16:21">
      <c r="P83" s="177">
        <v>81</v>
      </c>
      <c r="Q83" s="182">
        <v>44348</v>
      </c>
      <c r="R83" s="180">
        <f t="shared" si="7"/>
        <v>2955.5349309178987</v>
      </c>
      <c r="S83" s="178">
        <f>T83-R83</f>
        <v>-57.777361228371319</v>
      </c>
      <c r="T83" s="180">
        <f t="shared" si="8"/>
        <v>2897.7575696895274</v>
      </c>
      <c r="U83" s="178">
        <f>SUM(S$3:S83)</f>
        <v>-11307.872430310475</v>
      </c>
    </row>
    <row r="84" spans="16:21">
      <c r="P84" s="177">
        <v>82</v>
      </c>
      <c r="Q84" s="182">
        <v>44378</v>
      </c>
      <c r="R84" s="180">
        <f t="shared" si="7"/>
        <v>2897.7575696895274</v>
      </c>
      <c r="S84" s="178">
        <f>T84-R84</f>
        <v>-56.647879239986651</v>
      </c>
      <c r="T84" s="180">
        <f t="shared" si="8"/>
        <v>2841.1096904495407</v>
      </c>
      <c r="U84" s="178">
        <f>SUM(S$3:S84)</f>
        <v>-11364.520309550462</v>
      </c>
    </row>
    <row r="85" spans="16:21">
      <c r="P85" s="177">
        <v>83</v>
      </c>
      <c r="Q85" s="182">
        <v>44409</v>
      </c>
      <c r="R85" s="180">
        <f t="shared" si="7"/>
        <v>2841.1096904495407</v>
      </c>
      <c r="S85" s="178">
        <f>T85-R85</f>
        <v>-55.540477345517047</v>
      </c>
      <c r="T85" s="180">
        <f t="shared" si="8"/>
        <v>2785.5692131040237</v>
      </c>
      <c r="U85" s="178">
        <f>SUM(S$3:S85)</f>
        <v>-11420.06078689598</v>
      </c>
    </row>
    <row r="86" spans="16:21">
      <c r="P86" s="177">
        <v>84</v>
      </c>
      <c r="Q86" s="182">
        <v>44440</v>
      </c>
      <c r="R86" s="180">
        <f t="shared" si="7"/>
        <v>2785.5692131040237</v>
      </c>
      <c r="S86" s="178">
        <f>T86-R86</f>
        <v>-54.454723904128514</v>
      </c>
      <c r="T86" s="180">
        <f t="shared" si="8"/>
        <v>2731.1144891998952</v>
      </c>
      <c r="U86" s="178">
        <f>SUM(S$3:S86)</f>
        <v>-11474.515510800109</v>
      </c>
    </row>
    <row r="87" spans="16:21">
      <c r="P87" s="177">
        <v>85</v>
      </c>
      <c r="Q87" s="182">
        <v>44470</v>
      </c>
      <c r="R87" s="180">
        <f t="shared" si="7"/>
        <v>2731.1144891998952</v>
      </c>
      <c r="S87" s="178">
        <f>T87-R87</f>
        <v>-53.390195713076992</v>
      </c>
      <c r="T87" s="180">
        <f t="shared" si="8"/>
        <v>2677.7242934868182</v>
      </c>
      <c r="U87" s="178">
        <f>SUM(S$3:S87)</f>
        <v>-11527.905706513186</v>
      </c>
    </row>
    <row r="88" spans="16:21">
      <c r="P88" s="177">
        <v>86</v>
      </c>
      <c r="Q88" s="182">
        <v>44501</v>
      </c>
      <c r="R88" s="180">
        <f t="shared" si="7"/>
        <v>2677.7242934868182</v>
      </c>
      <c r="S88" s="178">
        <f>T88-R88</f>
        <v>-52.346477842751938</v>
      </c>
      <c r="T88" s="180">
        <f t="shared" si="8"/>
        <v>2625.3778156440662</v>
      </c>
      <c r="U88" s="178">
        <f>SUM(S$3:S88)</f>
        <v>-11580.252184355937</v>
      </c>
    </row>
    <row r="89" spans="16:21">
      <c r="P89" s="177">
        <v>87</v>
      </c>
      <c r="Q89" s="182">
        <v>44531</v>
      </c>
      <c r="R89" s="180">
        <f t="shared" si="7"/>
        <v>2625.3778156440662</v>
      </c>
      <c r="S89" s="178">
        <f>T89-R89</f>
        <v>-51.323163474948615</v>
      </c>
      <c r="T89" s="180">
        <f t="shared" si="8"/>
        <v>2574.0546521691176</v>
      </c>
      <c r="U89" s="178">
        <f>SUM(S$3:S89)</f>
        <v>-11631.575347830885</v>
      </c>
    </row>
    <row r="90" spans="16:21">
      <c r="P90" s="177">
        <v>88</v>
      </c>
      <c r="Q90" s="182">
        <v>44562</v>
      </c>
      <c r="R90" s="180">
        <f t="shared" si="7"/>
        <v>2574.0546521691176</v>
      </c>
      <c r="S90" s="178">
        <f>T90-R90</f>
        <v>-50.319853744295415</v>
      </c>
      <c r="T90" s="180">
        <f t="shared" si="8"/>
        <v>2523.7347984248222</v>
      </c>
      <c r="U90" s="178">
        <f>SUM(S$3:S90)</f>
        <v>-11681.89520157518</v>
      </c>
    </row>
    <row r="91" spans="16:21">
      <c r="P91" s="177">
        <v>89</v>
      </c>
      <c r="Q91" s="182">
        <v>44593</v>
      </c>
      <c r="R91" s="180">
        <f t="shared" si="7"/>
        <v>2523.7347984248222</v>
      </c>
      <c r="S91" s="178">
        <f>T91-R91</f>
        <v>-49.336157582788928</v>
      </c>
      <c r="T91" s="180">
        <f t="shared" si="8"/>
        <v>2474.3986408420333</v>
      </c>
      <c r="U91" s="178">
        <f>SUM(S$3:S91)</f>
        <v>-11731.23135915797</v>
      </c>
    </row>
    <row r="92" spans="16:21">
      <c r="P92" s="177">
        <v>90</v>
      </c>
      <c r="Q92" s="182">
        <v>44621</v>
      </c>
      <c r="R92" s="180">
        <f t="shared" si="7"/>
        <v>2474.3986408420333</v>
      </c>
      <c r="S92" s="178">
        <f>T92-R92</f>
        <v>-48.371691567360813</v>
      </c>
      <c r="T92" s="180">
        <f t="shared" si="8"/>
        <v>2426.0269492746725</v>
      </c>
      <c r="U92" s="178">
        <f>SUM(S$3:S92)</f>
        <v>-11779.603050725331</v>
      </c>
    </row>
    <row r="93" spans="16:21">
      <c r="P93" s="177">
        <v>91</v>
      </c>
      <c r="Q93" s="182">
        <v>44652</v>
      </c>
      <c r="R93" s="180">
        <f t="shared" si="7"/>
        <v>2426.0269492746725</v>
      </c>
      <c r="S93" s="178">
        <f>T93-R93</f>
        <v>-47.426079770430533</v>
      </c>
      <c r="T93" s="180">
        <f t="shared" si="8"/>
        <v>2378.6008695042419</v>
      </c>
      <c r="U93" s="178">
        <f>SUM(S$3:S93)</f>
        <v>-11827.029130495761</v>
      </c>
    </row>
    <row r="94" spans="16:21">
      <c r="P94" s="177">
        <v>92</v>
      </c>
      <c r="Q94" s="182">
        <v>44682</v>
      </c>
      <c r="R94" s="180">
        <f t="shared" si="7"/>
        <v>2378.6008695042419</v>
      </c>
      <c r="S94" s="178">
        <f>T94-R94</f>
        <v>-46.498953613376216</v>
      </c>
      <c r="T94" s="180">
        <f t="shared" si="8"/>
        <v>2332.1019158908657</v>
      </c>
      <c r="U94" s="178">
        <f>SUM(S$3:S94)</f>
        <v>-11873.528084109137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1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5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5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5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5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5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5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6"/>
      <c r="I15" s="127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6"/>
      <c r="I17" s="127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5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5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6"/>
      <c r="I20" s="127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6"/>
      <c r="I21" s="127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5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6"/>
      <c r="I23" s="127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5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6"/>
      <c r="I25" s="127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5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6"/>
      <c r="I27" s="127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5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6"/>
      <c r="I29" s="127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5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6"/>
      <c r="I31" s="127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5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6"/>
      <c r="I33" s="127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5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6"/>
      <c r="I35" s="127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5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6"/>
      <c r="I37" s="127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5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6"/>
      <c r="I39" s="127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5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6"/>
      <c r="I41" s="127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5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6"/>
      <c r="I43" s="127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5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6"/>
      <c r="I45" s="127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5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6"/>
      <c r="I47" s="127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5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6"/>
      <c r="I49" s="127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5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6"/>
      <c r="I51" s="127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6"/>
      <c r="I52" s="127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5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6"/>
      <c r="I54" s="127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6"/>
      <c r="I55" s="127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5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5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2" t="s">
        <v>25</v>
      </c>
      <c r="E58" s="115">
        <v>41211</v>
      </c>
      <c r="F58" s="114">
        <v>2500</v>
      </c>
      <c r="G58" s="116">
        <v>0.02</v>
      </c>
      <c r="H58" s="126"/>
      <c r="I58" s="127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2" t="s">
        <v>25</v>
      </c>
      <c r="E59" s="115">
        <v>41212</v>
      </c>
      <c r="F59" s="114">
        <v>300</v>
      </c>
      <c r="G59" s="116">
        <v>0.12</v>
      </c>
      <c r="H59" s="126"/>
      <c r="I59" s="127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5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5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28">
        <f>SUBTOTAL(104,[ID])</f>
        <v>60</v>
      </c>
      <c r="B62" s="128"/>
      <c r="C62" s="128"/>
      <c r="D62" s="128"/>
      <c r="E62" s="128"/>
      <c r="F62" s="128"/>
      <c r="G62" s="128"/>
      <c r="H62" s="78"/>
      <c r="I62" s="15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5"/>
      <c r="Y62" s="128"/>
      <c r="Z62" s="15"/>
      <c r="AA62" s="15"/>
      <c r="AB62" s="128"/>
      <c r="AC62" s="15">
        <f>SUBTOTAL(109,[IRRF])</f>
        <v>0.72000000000000008</v>
      </c>
      <c r="AD62" s="15"/>
      <c r="AE62" s="128"/>
      <c r="AF62" s="128"/>
      <c r="AG62" s="15"/>
      <c r="AH62" s="15">
        <f>SUBTOTAL(109,[LUCRO P/ OP])</f>
        <v>1017.4900000000001</v>
      </c>
      <c r="AI62" s="15"/>
      <c r="AJ62" s="129"/>
      <c r="AK62" s="130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defaultColWidth="11.5703125" defaultRowHeight="11.25"/>
  <cols>
    <col min="1" max="1" width="7.42578125" style="7" bestFit="1" customWidth="1"/>
    <col min="2" max="2" width="11.5703125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f>200</f>
        <v>200</v>
      </c>
      <c r="C2" s="25">
        <v>21.16</v>
      </c>
      <c r="D2" s="25">
        <v>1.1200000000000001</v>
      </c>
      <c r="E2" s="39">
        <v>21.6</v>
      </c>
      <c r="F2" s="28">
        <f>ROUNDDOWN([APLICAÇÃO]/[PREÇO OPÇÃO], 0)</f>
        <v>178</v>
      </c>
      <c r="G2" s="28">
        <f>[QTDE TMP] - MOD([QTDE TMP], 100)</f>
        <v>100</v>
      </c>
      <c r="H2" s="25">
        <f>[EXERCÍCIO] + ([PREÇO OPÇÃO] * 2)</f>
        <v>23.4</v>
      </c>
      <c r="I2" s="27">
        <f>[TARGET 100%] / [PREÇO AÇÃO] - 1</f>
        <v>8.3333333333333259E-2</v>
      </c>
      <c r="J2" s="25">
        <f>[PREÇO OPÇÃO] * [QTDE]</f>
        <v>112.00000000000001</v>
      </c>
      <c r="K2" s="25">
        <f>IF([PREÇO AÇÃO] &gt; [EXERCÍCIO], [PREÇO OPÇÃO] -([PREÇO AÇÃO] - [EXERCÍCIO]), [PREÇO OPÇÃO])</f>
        <v>0.67999999999999883</v>
      </c>
    </row>
    <row r="3" spans="1:15">
      <c r="A3" s="7" t="s">
        <v>179</v>
      </c>
      <c r="B3" s="25">
        <f>200</f>
        <v>200</v>
      </c>
      <c r="C3" s="25">
        <v>22.16</v>
      </c>
      <c r="D3" s="25">
        <v>0.75</v>
      </c>
      <c r="E3" s="39">
        <v>21.6</v>
      </c>
      <c r="F3" s="28">
        <f>ROUNDDOWN([APLICAÇÃO]/[PREÇO OPÇÃO], 0)</f>
        <v>266</v>
      </c>
      <c r="G3" s="28">
        <f>[QTDE TMP] - MOD([QTDE TMP], 100)</f>
        <v>200</v>
      </c>
      <c r="H3" s="25">
        <f>[EXERCÍCIO] + ([PREÇO OPÇÃO] * 2)</f>
        <v>23.66</v>
      </c>
      <c r="I3" s="27">
        <f>[TARGET 100%] / [PREÇO AÇÃO] - 1</f>
        <v>9.5370370370370328E-2</v>
      </c>
      <c r="J3" s="25">
        <f>[PREÇO OPÇÃO] * [QTDE]</f>
        <v>150</v>
      </c>
      <c r="K3" s="25">
        <f>IF([PREÇO AÇÃO] &gt; [EXERCÍCIO], [PREÇO OPÇÃO] -([PREÇO AÇÃO] - [EXERCÍCIO]), [PREÇO OPÇÃO])</f>
        <v>0.75</v>
      </c>
    </row>
    <row r="4" spans="1:15">
      <c r="A4" s="7" t="s">
        <v>179</v>
      </c>
      <c r="B4" s="144">
        <f>200</f>
        <v>200</v>
      </c>
      <c r="C4" s="25">
        <v>24.42</v>
      </c>
      <c r="D4" s="25">
        <v>0.54</v>
      </c>
      <c r="E4" s="39">
        <v>24.26</v>
      </c>
      <c r="F4" s="145">
        <f>ROUNDDOWN([APLICAÇÃO]/[PREÇO OPÇÃO], 0)</f>
        <v>370</v>
      </c>
      <c r="G4" s="145">
        <f>[QTDE TMP] - MOD([QTDE TMP], 100)</f>
        <v>300</v>
      </c>
      <c r="H4" s="144">
        <f>[EXERCÍCIO] + ([PREÇO OPÇÃO] * 2)</f>
        <v>25.5</v>
      </c>
      <c r="I4" s="146">
        <f>[TARGET 100%] / [PREÇO AÇÃO] - 1</f>
        <v>5.1112943116240706E-2</v>
      </c>
      <c r="J4" s="147">
        <f>[PREÇO OPÇÃO] * [QTDE]</f>
        <v>162</v>
      </c>
      <c r="K4" s="147">
        <f>IF([PREÇO AÇÃO] &gt; [EXERCÍCIO], [PREÇO OPÇÃO] -([PREÇO AÇÃO] - [EXERCÍCIO]), [PREÇO OPÇÃO])</f>
        <v>0.54</v>
      </c>
      <c r="M4" s="7">
        <v>33.15</v>
      </c>
      <c r="N4" s="150">
        <f>M4*N7/M7</f>
        <v>4.9732104586369479</v>
      </c>
      <c r="O4" s="151">
        <f>N4/5*M1</f>
        <v>2.9839262751821689</v>
      </c>
    </row>
    <row r="5" spans="1:15">
      <c r="A5" s="143" t="s">
        <v>179</v>
      </c>
      <c r="B5" s="144">
        <f>200</f>
        <v>200</v>
      </c>
      <c r="C5" s="144">
        <v>28.24</v>
      </c>
      <c r="D5" s="144">
        <v>0.26</v>
      </c>
      <c r="E5" s="39">
        <v>27.81</v>
      </c>
      <c r="F5" s="145">
        <f>ROUNDDOWN([APLICAÇÃO]/[PREÇO OPÇÃO], 0)</f>
        <v>769</v>
      </c>
      <c r="G5" s="145">
        <f>[QTDE TMP] - MOD([QTDE TMP], 100)</f>
        <v>700</v>
      </c>
      <c r="H5" s="144">
        <f>[EXERCÍCIO] + ([PREÇO OPÇÃO] * 2)</f>
        <v>28.759999999999998</v>
      </c>
      <c r="I5" s="146">
        <f>[TARGET 100%] / [PREÇO AÇÃO] - 1</f>
        <v>3.4160373966199087E-2</v>
      </c>
      <c r="J5" s="147">
        <f>[PREÇO OPÇÃO] * [QTDE]</f>
        <v>182</v>
      </c>
      <c r="K5" s="147">
        <f>IF([PREÇO AÇÃO] &gt; [EXERCÍCIO], [PREÇO OPÇÃO] -([PREÇO AÇÃO] - [EXERCÍCIO]), [PREÇO OPÇÃO])</f>
        <v>0.26</v>
      </c>
      <c r="M5" s="7">
        <v>23.84</v>
      </c>
      <c r="N5" s="150">
        <f>M5*N7/M7</f>
        <v>3.5765109301328764</v>
      </c>
      <c r="O5" s="151">
        <f>N5/5*M1</f>
        <v>2.1459065580797256</v>
      </c>
    </row>
    <row r="7" spans="1:15">
      <c r="D7" s="25">
        <f>D5-K5</f>
        <v>0</v>
      </c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R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22" sqref="E22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hidden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8">
      <c r="A1" s="24" t="s">
        <v>55</v>
      </c>
      <c r="B1" s="24" t="s">
        <v>112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216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8">
      <c r="A2" s="7" t="s">
        <v>83</v>
      </c>
      <c r="B2" s="25">
        <f>1800</f>
        <v>1800</v>
      </c>
      <c r="C2" s="25">
        <v>17.29</v>
      </c>
      <c r="D2" s="25">
        <v>16.16</v>
      </c>
      <c r="E2" s="25">
        <v>1.44</v>
      </c>
      <c r="F2" s="25">
        <v>17.16</v>
      </c>
      <c r="G2" s="25">
        <v>0.8</v>
      </c>
      <c r="H2" s="25">
        <f>[VOLUME]/([PREÇO VENDA]+[PREÇO COMPRA])</f>
        <v>803.57142857142844</v>
      </c>
      <c r="I2" s="25">
        <f>[PREÇO VENDA]-[PREÇO COMPRA]</f>
        <v>0.6399999999999999</v>
      </c>
      <c r="J2" s="25">
        <f>(0.01 - [PREÇO COMPRA]) + ([PREÇO VENDA] - ([EXERC. COMPRA]-[EXERC. VENDA]+0.01))</f>
        <v>-0.3600000000000001</v>
      </c>
      <c r="K2" s="28">
        <f>ROUNDDOWN([VOLUME]/ABS([PERDA P/ OPÇÃO]), 0)</f>
        <v>5000</v>
      </c>
      <c r="L2" s="28">
        <f>[QTD] - MOD([QTD], 100)</f>
        <v>800</v>
      </c>
      <c r="M2" s="25">
        <f>([QTDE]*[LUCRO P/ OPÇÃO])-48</f>
        <v>463.99999999999994</v>
      </c>
      <c r="N2" s="25">
        <f>[QTDE]*[PERDA P/ OPÇÃO]-48</f>
        <v>-336.00000000000006</v>
      </c>
      <c r="O2" s="27">
        <f>[EXERC. VENDA]/[PREÇO AÇÃO]-1</f>
        <v>-6.535569693464427E-2</v>
      </c>
      <c r="P2" s="38">
        <f>[LUCRO*]/ABS([PERDA*])</f>
        <v>1.3809523809523805</v>
      </c>
    </row>
    <row r="3" spans="1:18">
      <c r="A3" s="7" t="s">
        <v>83</v>
      </c>
      <c r="B3" s="25">
        <f>1800</f>
        <v>1800</v>
      </c>
      <c r="C3" s="25">
        <v>17.64</v>
      </c>
      <c r="D3" s="25">
        <v>16.16</v>
      </c>
      <c r="E3" s="25">
        <v>1.65</v>
      </c>
      <c r="F3" s="25">
        <v>18.16</v>
      </c>
      <c r="G3" s="25">
        <v>0.5</v>
      </c>
      <c r="H3" s="25">
        <f>[VOLUME]/([PREÇO VENDA]+[PREÇO COMPRA])</f>
        <v>837.20930232558146</v>
      </c>
      <c r="I3" s="25">
        <f>[PREÇO VENDA]-[PREÇO COMPRA]</f>
        <v>1.1499999999999999</v>
      </c>
      <c r="J3" s="25">
        <f>(0.01 - [PREÇO COMPRA]) + ([PREÇO VENDA] - ([EXERC. COMPRA]-[EXERC. VENDA]+0.01))</f>
        <v>-0.84999999999999987</v>
      </c>
      <c r="K3" s="28">
        <f>ROUNDDOWN([VOLUME]/ABS([PERDA P/ OPÇÃO]), 0)</f>
        <v>2117</v>
      </c>
      <c r="L3" s="28">
        <f>[QTD] - MOD([QTD], 100)</f>
        <v>800</v>
      </c>
      <c r="M3" s="25">
        <f>([QTDE]*[LUCRO P/ OPÇÃO])-48</f>
        <v>871.99999999999989</v>
      </c>
      <c r="N3" s="25">
        <f>[QTDE]*[PERDA P/ OPÇÃO]-48</f>
        <v>-727.99999999999989</v>
      </c>
      <c r="O3" s="27">
        <f>[EXERC. VENDA]/[PREÇO AÇÃO]-1</f>
        <v>-8.3900226757369634E-2</v>
      </c>
      <c r="P3" s="38">
        <f>[LUCRO*]/ABS([PERDA*])</f>
        <v>1.1978021978021978</v>
      </c>
    </row>
    <row r="4" spans="1:18">
      <c r="A4" s="102" t="s">
        <v>69</v>
      </c>
      <c r="B4" s="25">
        <f>1800</f>
        <v>1800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[VOLUME]/([PREÇO VENDA]+[PREÇO COMPRA])</f>
        <v>857.14285714285711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ROUNDDOWN([VOLUME]/ABS([PERDA P/ OPÇÃO]), 0)</f>
        <v>18000</v>
      </c>
      <c r="L4" s="103">
        <f>[QTD] - MOD([QTD], 100)</f>
        <v>800</v>
      </c>
      <c r="M4" s="81">
        <f>([QTDE]*[LUCRO P/ OPÇÃO])-48</f>
        <v>672</v>
      </c>
      <c r="N4" s="81">
        <f>[QTDE]*[PERDA P/ OPÇÃO]-48</f>
        <v>-127.99999999999999</v>
      </c>
      <c r="O4" s="82">
        <f>[EXERC. VENDA]/[PREÇO AÇÃO]-1</f>
        <v>-0.12280701754385959</v>
      </c>
      <c r="P4" s="83">
        <f>[LUCRO*]/ABS([PERDA*])</f>
        <v>5.2500000000000009</v>
      </c>
      <c r="R4" s="7">
        <v>36.979999999999997</v>
      </c>
    </row>
    <row r="5" spans="1:18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R5" s="7">
        <f>R4/10*1.5</f>
        <v>5.5469999999999988</v>
      </c>
    </row>
    <row r="6" spans="1:18">
      <c r="R6" s="7">
        <f>R5/10*1.5</f>
        <v>0.83204999999999973</v>
      </c>
    </row>
    <row r="7" spans="1:18">
      <c r="R7" s="27">
        <f>R6/100</f>
        <v>8.320499999999998E-3</v>
      </c>
    </row>
    <row r="9" spans="1:18">
      <c r="R9" s="7">
        <f>17.14*(1-R7)</f>
        <v>16.997386630000001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B3" sqref="B3"/>
    </sheetView>
  </sheetViews>
  <sheetFormatPr defaultRowHeight="11.25"/>
  <cols>
    <col min="1" max="1" width="9.5703125" style="1" bestFit="1" customWidth="1"/>
    <col min="2" max="2" width="6.85546875" style="1" bestFit="1" customWidth="1"/>
    <col min="3" max="3" width="6.7109375" style="1" bestFit="1" customWidth="1"/>
    <col min="4" max="4" width="8.7109375" style="1" bestFit="1" customWidth="1"/>
    <col min="5" max="5" width="7.42578125" style="1" bestFit="1" customWidth="1"/>
    <col min="6" max="6" width="11.42578125" style="1" bestFit="1" customWidth="1"/>
    <col min="7" max="7" width="12.28515625" style="1" bestFit="1" customWidth="1"/>
    <col min="8" max="16384" width="9.140625" style="1"/>
  </cols>
  <sheetData>
    <row r="1" spans="1:7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</row>
    <row r="2" spans="1:7">
      <c r="A2" s="1">
        <v>1600</v>
      </c>
      <c r="B2" s="1">
        <v>54110</v>
      </c>
      <c r="C2" s="1">
        <v>54300</v>
      </c>
      <c r="D2" s="1">
        <f>ABS(B2-C2)</f>
        <v>190</v>
      </c>
      <c r="E2" s="1">
        <f>A2*10%</f>
        <v>160</v>
      </c>
      <c r="F2" s="1">
        <f>E2/(0.2*D2)-MOD(E2/(0.2*D2),1)</f>
        <v>4</v>
      </c>
      <c r="G2" s="1">
        <f>IF([Start]&lt;[Stop],[Start]-([Pontos]*3.5),[Start]+([Pontos]*3.5))</f>
        <v>53445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0" width="11.140625" style="7" bestFit="1" customWidth="1"/>
    <col min="11" max="11" width="11.140625" style="24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160</v>
      </c>
      <c r="C2" s="51">
        <v>17.29</v>
      </c>
      <c r="D2" s="51">
        <v>15.16</v>
      </c>
      <c r="E2" s="51">
        <v>17.16</v>
      </c>
      <c r="F2" s="51">
        <v>2.2599999999999998</v>
      </c>
      <c r="G2" s="62">
        <v>500</v>
      </c>
      <c r="H2" s="52">
        <f>([RISCO])/[QTDE]</f>
        <v>0.32</v>
      </c>
      <c r="I2" s="52">
        <f>[PR Venda] * [QTDE]+[QTDE]*[PR Compra]</f>
        <v>1420</v>
      </c>
      <c r="J2" s="63">
        <f>[PR Venda]-[PR Compra]</f>
        <v>1.6799999999999997</v>
      </c>
      <c r="K2" s="187">
        <f>(-[PERDA P/ OPÇÃO] + ([EX. COMPRA] - [EX. VENDA] + 0.01) - 0.01 -[PR Venda])*-1</f>
        <v>0.58000000000000007</v>
      </c>
      <c r="L2" s="52">
        <f>([QTDE]*[LUCRO UNI])-64</f>
        <v>775.99999999999989</v>
      </c>
      <c r="M2" s="52">
        <f>-[PERDA P/ OPÇÃO]*[QTDE]-64</f>
        <v>-224</v>
      </c>
      <c r="N2" s="53">
        <f>[EX. VENDA]/[PREÇO AÇÃO]-1</f>
        <v>-0.12319259687680739</v>
      </c>
      <c r="O2" s="54">
        <f>[LUCRO]/ABS([PERDA])</f>
        <v>3.464285714285714</v>
      </c>
    </row>
    <row r="3" spans="1:15">
      <c r="A3" s="143" t="s">
        <v>83</v>
      </c>
      <c r="B3" s="144">
        <v>185</v>
      </c>
      <c r="C3" s="51">
        <v>27.25</v>
      </c>
      <c r="D3" s="144">
        <v>27.18</v>
      </c>
      <c r="E3" s="144">
        <v>28.18</v>
      </c>
      <c r="F3" s="144">
        <v>1.21</v>
      </c>
      <c r="G3" s="148">
        <v>600</v>
      </c>
      <c r="H3" s="147">
        <f>([RISCO])/[QTDE]</f>
        <v>0.30833333333333335</v>
      </c>
      <c r="I3" s="147">
        <f>[PR Venda] * [QTDE]+[QTDE]*[PR Compra]</f>
        <v>1037</v>
      </c>
      <c r="J3" s="63">
        <f>[PR Venda]-[PR Compra]</f>
        <v>0.69166666666666665</v>
      </c>
      <c r="K3" s="188">
        <f>(-[PERDA P/ OPÇÃO] + ([EX. COMPRA] - [EX. VENDA] + 0.01) - 0.01 -[PR Venda])*-1</f>
        <v>0.51833333333333331</v>
      </c>
      <c r="L3" s="147">
        <f>([QTDE]*[LUCRO UNI])-64</f>
        <v>351</v>
      </c>
      <c r="M3" s="147">
        <f>-[PERDA P/ OPÇÃO]*[QTDE]-64</f>
        <v>-249</v>
      </c>
      <c r="N3" s="146">
        <f>[EX. VENDA]/[PREÇO AÇÃO]-1</f>
        <v>-2.5688073394495303E-3</v>
      </c>
      <c r="O3" s="149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NOTAS</vt:lpstr>
      <vt:lpstr>NOTAS 80%</vt:lpstr>
      <vt:lpstr>IR</vt:lpstr>
      <vt:lpstr>VOLAT-TENDENCIA</vt:lpstr>
      <vt:lpstr>TRAVA BAIXA</vt:lpstr>
      <vt:lpstr>MINI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2014-10-23T11:44:29Z</dcterms:modified>
</cp:coreProperties>
</file>