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/>
  <bookViews>
    <workbookView xWindow="0" yWindow="120" windowWidth="16380" windowHeight="8070" tabRatio="211" activeTab="1"/>
  </bookViews>
  <sheets>
    <sheet name="Plan3" sheetId="6" r:id="rId1"/>
    <sheet name="Planilha1" sheetId="1" r:id="rId2"/>
    <sheet name="SETUP" sheetId="2" r:id="rId3"/>
    <sheet name="Planilha3" sheetId="3" r:id="rId4"/>
  </sheet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I27" i="1" l="1"/>
  <c r="J27" i="1" s="1"/>
  <c r="L27" i="1"/>
  <c r="Q27" i="1"/>
  <c r="R27" i="1" s="1"/>
  <c r="U27" i="1"/>
  <c r="Y27" i="1"/>
  <c r="Z27" i="1"/>
  <c r="I26" i="1"/>
  <c r="J26" i="1" s="1"/>
  <c r="L26" i="1"/>
  <c r="Q26" i="1"/>
  <c r="R26" i="1" s="1"/>
  <c r="U26" i="1"/>
  <c r="Y26" i="1"/>
  <c r="Z26" i="1"/>
  <c r="AD26" i="1"/>
  <c r="AE26" i="1"/>
  <c r="AG26" i="1" s="1"/>
  <c r="AF26" i="1"/>
  <c r="AH26" i="1" s="1"/>
  <c r="I25" i="1"/>
  <c r="J25" i="1" s="1"/>
  <c r="L25" i="1"/>
  <c r="Q25" i="1"/>
  <c r="R25" i="1" s="1"/>
  <c r="U25" i="1"/>
  <c r="Y25" i="1"/>
  <c r="Z25" i="1"/>
  <c r="AB25" i="1"/>
  <c r="I24" i="1"/>
  <c r="J24" i="1" s="1"/>
  <c r="L24" i="1"/>
  <c r="Y24" i="1" s="1"/>
  <c r="Q24" i="1"/>
  <c r="S24" i="1" s="1"/>
  <c r="U24" i="1"/>
  <c r="Z24" i="1"/>
  <c r="AD24" i="1"/>
  <c r="AE24" i="1"/>
  <c r="AG24" i="1" s="1"/>
  <c r="AF24" i="1"/>
  <c r="AH24" i="1" s="1"/>
  <c r="I23" i="1"/>
  <c r="J23" i="1" s="1"/>
  <c r="L23" i="1"/>
  <c r="Y23" i="1" s="1"/>
  <c r="Q23" i="1"/>
  <c r="R23" i="1" s="1"/>
  <c r="U23" i="1"/>
  <c r="Z23" i="1"/>
  <c r="AD23" i="1"/>
  <c r="AE23" i="1"/>
  <c r="AG23" i="1" s="1"/>
  <c r="AF23" i="1"/>
  <c r="AH23" i="1" s="1"/>
  <c r="I22" i="1"/>
  <c r="J22" i="1" s="1"/>
  <c r="L22" i="1"/>
  <c r="Q22" i="1"/>
  <c r="R22" i="1" s="1"/>
  <c r="U22" i="1"/>
  <c r="Y22" i="1"/>
  <c r="Z22" i="1"/>
  <c r="AB22" i="1"/>
  <c r="AD22" i="1"/>
  <c r="AE22" i="1"/>
  <c r="AG22" i="1" s="1"/>
  <c r="AF22" i="1"/>
  <c r="AH22" i="1" s="1"/>
  <c r="I21" i="1"/>
  <c r="J21" i="1" s="1"/>
  <c r="L21" i="1"/>
  <c r="Q21" i="1"/>
  <c r="R21" i="1" s="1"/>
  <c r="U21" i="1"/>
  <c r="Y21" i="1"/>
  <c r="Z21" i="1"/>
  <c r="AB21" i="1"/>
  <c r="AD21" i="1"/>
  <c r="AE21" i="1"/>
  <c r="AG21" i="1" s="1"/>
  <c r="AF21" i="1"/>
  <c r="AH21" i="1" s="1"/>
  <c r="S27" i="1" l="1"/>
  <c r="AI26" i="1"/>
  <c r="AJ26" i="1" s="1"/>
  <c r="AK26" i="1" s="1"/>
  <c r="S26" i="1"/>
  <c r="R24" i="1"/>
  <c r="S25" i="1"/>
  <c r="AI24" i="1"/>
  <c r="AJ24" i="1" s="1"/>
  <c r="AK24" i="1" s="1"/>
  <c r="S23" i="1"/>
  <c r="AI23" i="1"/>
  <c r="AJ23" i="1" s="1"/>
  <c r="AK23" i="1" s="1"/>
  <c r="AI22" i="1"/>
  <c r="AJ22" i="1" s="1"/>
  <c r="AK22" i="1" s="1"/>
  <c r="S22" i="1"/>
  <c r="AI21" i="1"/>
  <c r="AJ21" i="1" s="1"/>
  <c r="AK21" i="1" s="1"/>
  <c r="S21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J18" i="1" s="1"/>
  <c r="I19" i="1"/>
  <c r="J19" i="1" s="1"/>
  <c r="I20" i="1"/>
  <c r="J20" i="1" s="1"/>
  <c r="L20" i="1"/>
  <c r="Q20" i="1"/>
  <c r="R20" i="1" s="1"/>
  <c r="U20" i="1"/>
  <c r="Y20" i="1"/>
  <c r="Z20" i="1"/>
  <c r="AB20" i="1"/>
  <c r="L19" i="1"/>
  <c r="Y19" i="1" s="1"/>
  <c r="Q19" i="1"/>
  <c r="R19" i="1" s="1"/>
  <c r="U19" i="1"/>
  <c r="Z19" i="1"/>
  <c r="AG19" i="1"/>
  <c r="AF19" i="1"/>
  <c r="AH19" i="1" s="1"/>
  <c r="L18" i="1"/>
  <c r="Y18" i="1" s="1"/>
  <c r="Q18" i="1"/>
  <c r="R18" i="1" s="1"/>
  <c r="U18" i="1"/>
  <c r="Z18" i="1"/>
  <c r="S20" i="1" l="1"/>
  <c r="S19" i="1"/>
  <c r="AI19" i="1"/>
  <c r="AJ19" i="1" s="1"/>
  <c r="AK19" i="1" s="1"/>
  <c r="S18" i="1"/>
  <c r="J17" i="1"/>
  <c r="L17" i="1"/>
  <c r="Y17" i="1" s="1"/>
  <c r="Q17" i="1"/>
  <c r="R17" i="1" s="1"/>
  <c r="U17" i="1"/>
  <c r="Z17" i="1"/>
  <c r="S17" i="1" l="1"/>
  <c r="J16" i="1"/>
  <c r="L16" i="1"/>
  <c r="Q16" i="1"/>
  <c r="R16" i="1" s="1"/>
  <c r="U16" i="1"/>
  <c r="Y16" i="1"/>
  <c r="Z16" i="1"/>
  <c r="AB16" i="1"/>
  <c r="S16" i="1" l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U2" i="1" l="1"/>
  <c r="U3" i="1"/>
  <c r="U4" i="1"/>
  <c r="U6" i="1"/>
  <c r="U7" i="1"/>
  <c r="U8" i="1"/>
  <c r="U9" i="1"/>
  <c r="U11" i="1"/>
  <c r="U12" i="1"/>
  <c r="U13" i="1"/>
  <c r="U14" i="1"/>
  <c r="U15" i="1"/>
  <c r="J13" i="1"/>
  <c r="L13" i="1"/>
  <c r="Y13" i="1" s="1"/>
  <c r="Q13" i="1"/>
  <c r="S13" i="1" s="1"/>
  <c r="Z13" i="1"/>
  <c r="J14" i="1"/>
  <c r="L14" i="1"/>
  <c r="Y14" i="1" s="1"/>
  <c r="Q14" i="1"/>
  <c r="R14" i="1" s="1"/>
  <c r="Z14" i="1"/>
  <c r="J15" i="1"/>
  <c r="L15" i="1"/>
  <c r="Y15" i="1" s="1"/>
  <c r="Q15" i="1"/>
  <c r="S15" i="1" s="1"/>
  <c r="Z15" i="1"/>
  <c r="J11" i="1"/>
  <c r="L11" i="1"/>
  <c r="Q11" i="1"/>
  <c r="S11" i="1" s="1"/>
  <c r="Y11" i="1"/>
  <c r="Z11" i="1"/>
  <c r="AB11" i="1"/>
  <c r="J12" i="1"/>
  <c r="L12" i="1"/>
  <c r="Q12" i="1"/>
  <c r="S12" i="1" s="1"/>
  <c r="Y12" i="1"/>
  <c r="Z12" i="1"/>
  <c r="AB12" i="1"/>
  <c r="J9" i="1"/>
  <c r="L9" i="1"/>
  <c r="Q9" i="1"/>
  <c r="R9" i="1" s="1"/>
  <c r="Y9" i="1"/>
  <c r="Z9" i="1"/>
  <c r="AB9" i="1"/>
  <c r="J10" i="1"/>
  <c r="L10" i="1"/>
  <c r="Y10" i="1" s="1"/>
  <c r="Q10" i="1"/>
  <c r="S10" i="1" s="1"/>
  <c r="Z10" i="1"/>
  <c r="J7" i="1"/>
  <c r="L7" i="1"/>
  <c r="Q7" i="1"/>
  <c r="S7" i="1" s="1"/>
  <c r="Y7" i="1"/>
  <c r="Z7" i="1"/>
  <c r="AB7" i="1"/>
  <c r="J8" i="1"/>
  <c r="L8" i="1"/>
  <c r="Y8" i="1" s="1"/>
  <c r="Q8" i="1"/>
  <c r="S8" i="1" s="1"/>
  <c r="Z8" i="1"/>
  <c r="J6" i="1"/>
  <c r="L6" i="1"/>
  <c r="Y6" i="1" s="1"/>
  <c r="Q6" i="1"/>
  <c r="R6" i="1" s="1"/>
  <c r="Z6" i="1"/>
  <c r="A28" i="1"/>
  <c r="S6" i="1" l="1"/>
  <c r="R7" i="1"/>
  <c r="R11" i="1"/>
  <c r="R8" i="1"/>
  <c r="R13" i="1"/>
  <c r="R10" i="1"/>
  <c r="S9" i="1"/>
  <c r="S14" i="1"/>
  <c r="R12" i="1"/>
  <c r="R15" i="1"/>
  <c r="AB2" i="1"/>
  <c r="AB3" i="1"/>
  <c r="AB4" i="1"/>
  <c r="J4" i="1"/>
  <c r="J5" i="1"/>
  <c r="L5" i="1"/>
  <c r="Y5" i="1" s="1"/>
  <c r="Q5" i="1"/>
  <c r="R5" i="1" s="1"/>
  <c r="Z5" i="1"/>
  <c r="L4" i="1"/>
  <c r="Q4" i="1"/>
  <c r="R4" i="1" s="1"/>
  <c r="Y4" i="1"/>
  <c r="Z4" i="1"/>
  <c r="S5" i="1" l="1"/>
  <c r="S4" i="1"/>
  <c r="J3" i="1"/>
  <c r="L3" i="1"/>
  <c r="Q3" i="1"/>
  <c r="Y3" i="1"/>
  <c r="Z3" i="1"/>
  <c r="L2" i="1"/>
  <c r="Q2" i="1"/>
  <c r="S2" i="1" s="1"/>
  <c r="Y2" i="1"/>
  <c r="Z2" i="1"/>
  <c r="K27" i="1" s="1"/>
  <c r="M27" i="1" l="1"/>
  <c r="P27" i="1"/>
  <c r="N27" i="1"/>
  <c r="O27" i="1"/>
  <c r="K25" i="1"/>
  <c r="K26" i="1"/>
  <c r="M26" i="1"/>
  <c r="P26" i="1"/>
  <c r="N26" i="1"/>
  <c r="O26" i="1"/>
  <c r="M25" i="1"/>
  <c r="P25" i="1"/>
  <c r="N25" i="1"/>
  <c r="O25" i="1"/>
  <c r="K23" i="1"/>
  <c r="K24" i="1"/>
  <c r="O24" i="1"/>
  <c r="P24" i="1"/>
  <c r="M24" i="1"/>
  <c r="N24" i="1"/>
  <c r="N23" i="1"/>
  <c r="O23" i="1"/>
  <c r="P23" i="1"/>
  <c r="M23" i="1"/>
  <c r="N22" i="1"/>
  <c r="O22" i="1"/>
  <c r="P22" i="1"/>
  <c r="M22" i="1"/>
  <c r="K21" i="1"/>
  <c r="K22" i="1"/>
  <c r="N21" i="1"/>
  <c r="O21" i="1"/>
  <c r="P21" i="1"/>
  <c r="M21" i="1"/>
  <c r="K20" i="1"/>
  <c r="M20" i="1"/>
  <c r="N20" i="1"/>
  <c r="P20" i="1"/>
  <c r="O20" i="1"/>
  <c r="M19" i="1"/>
  <c r="N19" i="1"/>
  <c r="P19" i="1"/>
  <c r="O19" i="1"/>
  <c r="K18" i="1"/>
  <c r="K19" i="1"/>
  <c r="M18" i="1"/>
  <c r="P18" i="1"/>
  <c r="N18" i="1"/>
  <c r="O18" i="1"/>
  <c r="K17" i="1"/>
  <c r="N17" i="1"/>
  <c r="P17" i="1"/>
  <c r="M17" i="1"/>
  <c r="O17" i="1"/>
  <c r="K16" i="1"/>
  <c r="M16" i="1"/>
  <c r="P16" i="1"/>
  <c r="N16" i="1"/>
  <c r="O16" i="1"/>
  <c r="K13" i="1"/>
  <c r="K14" i="1"/>
  <c r="K15" i="1"/>
  <c r="M13" i="1"/>
  <c r="N13" i="1"/>
  <c r="O13" i="1"/>
  <c r="P13" i="1"/>
  <c r="M14" i="1"/>
  <c r="N14" i="1"/>
  <c r="O14" i="1"/>
  <c r="P14" i="1"/>
  <c r="M15" i="1"/>
  <c r="N15" i="1"/>
  <c r="O15" i="1"/>
  <c r="P15" i="1"/>
  <c r="K11" i="1"/>
  <c r="K12" i="1"/>
  <c r="M11" i="1"/>
  <c r="N11" i="1"/>
  <c r="O11" i="1"/>
  <c r="P11" i="1"/>
  <c r="M12" i="1"/>
  <c r="N12" i="1"/>
  <c r="O12" i="1"/>
  <c r="P12" i="1"/>
  <c r="K9" i="1"/>
  <c r="K10" i="1"/>
  <c r="M9" i="1"/>
  <c r="N9" i="1"/>
  <c r="O9" i="1"/>
  <c r="P9" i="1"/>
  <c r="M10" i="1"/>
  <c r="N10" i="1"/>
  <c r="O10" i="1"/>
  <c r="P10" i="1"/>
  <c r="K7" i="1"/>
  <c r="K8" i="1"/>
  <c r="M7" i="1"/>
  <c r="N7" i="1"/>
  <c r="O7" i="1"/>
  <c r="P7" i="1"/>
  <c r="M8" i="1"/>
  <c r="N8" i="1"/>
  <c r="O8" i="1"/>
  <c r="P8" i="1"/>
  <c r="K6" i="1"/>
  <c r="M6" i="1"/>
  <c r="N6" i="1"/>
  <c r="O6" i="1"/>
  <c r="P6" i="1"/>
  <c r="P4" i="1"/>
  <c r="O5" i="1"/>
  <c r="N2" i="1"/>
  <c r="P2" i="1"/>
  <c r="O3" i="1"/>
  <c r="N4" i="1"/>
  <c r="P3" i="1"/>
  <c r="O4" i="1"/>
  <c r="N5" i="1"/>
  <c r="P5" i="1"/>
  <c r="O2" i="1"/>
  <c r="N3" i="1"/>
  <c r="R3" i="1"/>
  <c r="S3" i="1"/>
  <c r="K5" i="1"/>
  <c r="M5" i="1"/>
  <c r="J2" i="1"/>
  <c r="R2" i="1"/>
  <c r="T26" i="1" l="1"/>
  <c r="T27" i="1"/>
  <c r="T25" i="1"/>
  <c r="T24" i="1"/>
  <c r="T23" i="1"/>
  <c r="T22" i="1"/>
  <c r="T21" i="1"/>
  <c r="AF18" i="1"/>
  <c r="T20" i="1"/>
  <c r="T19" i="1"/>
  <c r="T18" i="1"/>
  <c r="T17" i="1"/>
  <c r="T16" i="1"/>
  <c r="T15" i="1"/>
  <c r="T14" i="1"/>
  <c r="T13" i="1"/>
  <c r="T12" i="1"/>
  <c r="T11" i="1"/>
  <c r="T10" i="1"/>
  <c r="U10" i="1" s="1"/>
  <c r="T9" i="1"/>
  <c r="T8" i="1"/>
  <c r="T7" i="1"/>
  <c r="T6" i="1"/>
  <c r="T5" i="1"/>
  <c r="U5" i="1" s="1"/>
  <c r="K4" i="1"/>
  <c r="K3" i="1"/>
  <c r="K2" i="1"/>
  <c r="V26" i="1" l="1"/>
  <c r="V27" i="1"/>
  <c r="V25" i="1"/>
  <c r="V24" i="1"/>
  <c r="V23" i="1"/>
  <c r="V22" i="1"/>
  <c r="V21" i="1"/>
  <c r="AH18" i="1"/>
  <c r="AG18" i="1"/>
  <c r="V20" i="1"/>
  <c r="V19" i="1"/>
  <c r="V18" i="1"/>
  <c r="V17" i="1"/>
  <c r="V16" i="1"/>
  <c r="M4" i="1"/>
  <c r="M3" i="1"/>
  <c r="T3" i="1" s="1"/>
  <c r="M2" i="1"/>
  <c r="AI18" i="1" l="1"/>
  <c r="AJ18" i="1" s="1"/>
  <c r="AK18" i="1" s="1"/>
  <c r="V13" i="1"/>
  <c r="V15" i="1"/>
  <c r="V14" i="1"/>
  <c r="V5" i="1"/>
  <c r="V12" i="1"/>
  <c r="V11" i="1"/>
  <c r="V9" i="1"/>
  <c r="V10" i="1"/>
  <c r="V8" i="1"/>
  <c r="V7" i="1"/>
  <c r="V6" i="1"/>
  <c r="V3" i="1"/>
  <c r="T4" i="1"/>
  <c r="V4" i="1" s="1"/>
  <c r="T2" i="1"/>
  <c r="V2" i="1" s="1"/>
  <c r="Y28" i="1"/>
  <c r="W27" i="1" l="1"/>
  <c r="X27" i="1" s="1"/>
  <c r="AB27" i="1" s="1"/>
  <c r="W26" i="1"/>
  <c r="X26" i="1" s="1"/>
  <c r="AB26" i="1" s="1"/>
  <c r="W25" i="1"/>
  <c r="X25" i="1" s="1"/>
  <c r="W24" i="1"/>
  <c r="X24" i="1" s="1"/>
  <c r="AB24" i="1" s="1"/>
  <c r="W23" i="1"/>
  <c r="X23" i="1" s="1"/>
  <c r="AB23" i="1" s="1"/>
  <c r="W22" i="1"/>
  <c r="X22" i="1" s="1"/>
  <c r="W21" i="1"/>
  <c r="X21" i="1" s="1"/>
  <c r="W20" i="1"/>
  <c r="X20" i="1" s="1"/>
  <c r="W19" i="1"/>
  <c r="X19" i="1" s="1"/>
  <c r="AB19" i="1" s="1"/>
  <c r="W18" i="1"/>
  <c r="X18" i="1" s="1"/>
  <c r="AB18" i="1" s="1"/>
  <c r="W17" i="1"/>
  <c r="X17" i="1" s="1"/>
  <c r="AB17" i="1" s="1"/>
  <c r="W16" i="1"/>
  <c r="X16" i="1" s="1"/>
  <c r="W13" i="1"/>
  <c r="X13" i="1" s="1"/>
  <c r="AB13" i="1" s="1"/>
  <c r="W14" i="1"/>
  <c r="X14" i="1" s="1"/>
  <c r="AB14" i="1" s="1"/>
  <c r="W15" i="1"/>
  <c r="X15" i="1" s="1"/>
  <c r="AB15" i="1" s="1"/>
  <c r="W11" i="1"/>
  <c r="X11" i="1" s="1"/>
  <c r="W12" i="1"/>
  <c r="X12" i="1" s="1"/>
  <c r="W10" i="1"/>
  <c r="X10" i="1" s="1"/>
  <c r="AB10" i="1" s="1"/>
  <c r="W9" i="1"/>
  <c r="X9" i="1" s="1"/>
  <c r="W7" i="1"/>
  <c r="X7" i="1" s="1"/>
  <c r="W8" i="1"/>
  <c r="X8" i="1" s="1"/>
  <c r="AB8" i="1" s="1"/>
  <c r="W6" i="1"/>
  <c r="X6" i="1" s="1"/>
  <c r="AB6" i="1" s="1"/>
  <c r="W5" i="1"/>
  <c r="W2" i="1"/>
  <c r="W4" i="1"/>
  <c r="W3" i="1"/>
  <c r="X3" i="1" s="1"/>
  <c r="AA27" i="1" l="1"/>
  <c r="AC27" i="1" s="1"/>
  <c r="AA26" i="1"/>
  <c r="AC26" i="1" s="1"/>
  <c r="AA25" i="1"/>
  <c r="AC25" i="1" s="1"/>
  <c r="AA24" i="1"/>
  <c r="AC24" i="1" s="1"/>
  <c r="AA23" i="1"/>
  <c r="AC23" i="1" s="1"/>
  <c r="AA22" i="1"/>
  <c r="AC22" i="1" s="1"/>
  <c r="AA21" i="1"/>
  <c r="AC21" i="1" s="1"/>
  <c r="AA20" i="1"/>
  <c r="AC20" i="1" s="1"/>
  <c r="AA19" i="1"/>
  <c r="AC19" i="1" s="1"/>
  <c r="AA18" i="1"/>
  <c r="AC18" i="1" s="1"/>
  <c r="AA17" i="1"/>
  <c r="AC17" i="1" s="1"/>
  <c r="AA16" i="1"/>
  <c r="AC16" i="1" s="1"/>
  <c r="AA13" i="1"/>
  <c r="AC13" i="1" s="1"/>
  <c r="AA14" i="1"/>
  <c r="AC14" i="1" s="1"/>
  <c r="AA15" i="1"/>
  <c r="AC15" i="1" s="1"/>
  <c r="AA11" i="1"/>
  <c r="AC11" i="1" s="1"/>
  <c r="AA12" i="1"/>
  <c r="AC12" i="1" s="1"/>
  <c r="AA9" i="1"/>
  <c r="AC9" i="1" s="1"/>
  <c r="AA10" i="1"/>
  <c r="AC10" i="1" s="1"/>
  <c r="AA7" i="1"/>
  <c r="AC7" i="1" s="1"/>
  <c r="AA8" i="1"/>
  <c r="AC8" i="1" s="1"/>
  <c r="AA6" i="1"/>
  <c r="AC6" i="1" s="1"/>
  <c r="AA4" i="1"/>
  <c r="AC4" i="1" s="1"/>
  <c r="AA5" i="1"/>
  <c r="AA2" i="1"/>
  <c r="AC2" i="1" s="1"/>
  <c r="AA3" i="1"/>
  <c r="AC3" i="1" s="1"/>
  <c r="X5" i="1"/>
  <c r="AB5" i="1" s="1"/>
  <c r="X2" i="1"/>
  <c r="X4" i="1"/>
  <c r="AC5" i="1" l="1"/>
  <c r="AF25" i="1" s="1"/>
  <c r="AH25" i="1" s="1"/>
  <c r="AH9" i="1"/>
  <c r="AH13" i="1"/>
  <c r="AH4" i="1"/>
  <c r="AH5" i="1"/>
  <c r="AH2" i="1"/>
  <c r="AH7" i="1"/>
  <c r="AH6" i="1"/>
  <c r="AH11" i="1"/>
  <c r="AH10" i="1"/>
  <c r="AH14" i="1"/>
  <c r="AH3" i="1"/>
  <c r="AG13" i="1"/>
  <c r="AH12" i="1"/>
  <c r="AG3" i="1"/>
  <c r="AF27" i="1" l="1"/>
  <c r="AH27" i="1" s="1"/>
  <c r="AD27" i="1"/>
  <c r="AD25" i="1"/>
  <c r="AD20" i="1"/>
  <c r="AF20" i="1"/>
  <c r="AH20" i="1" s="1"/>
  <c r="AG17" i="1"/>
  <c r="AF17" i="1"/>
  <c r="AF16" i="1"/>
  <c r="AG16" i="1"/>
  <c r="AC28" i="1"/>
  <c r="AF15" i="1"/>
  <c r="AG15" i="1"/>
  <c r="AH8" i="1"/>
  <c r="AG14" i="1"/>
  <c r="AI14" i="1" s="1"/>
  <c r="AJ14" i="1" s="1"/>
  <c r="AK14" i="1" s="1"/>
  <c r="AG4" i="1"/>
  <c r="AI4" i="1" s="1"/>
  <c r="AJ4" i="1" s="1"/>
  <c r="AK4" i="1" s="1"/>
  <c r="AG7" i="1"/>
  <c r="AI7" i="1" s="1"/>
  <c r="AJ7" i="1" s="1"/>
  <c r="AK7" i="1" s="1"/>
  <c r="AG8" i="1"/>
  <c r="AG5" i="1"/>
  <c r="AI5" i="1" s="1"/>
  <c r="AJ5" i="1" s="1"/>
  <c r="AK5" i="1" s="1"/>
  <c r="AG12" i="1"/>
  <c r="AI12" i="1" s="1"/>
  <c r="AJ12" i="1" s="1"/>
  <c r="AK12" i="1" s="1"/>
  <c r="AG10" i="1"/>
  <c r="AI10" i="1" s="1"/>
  <c r="AJ10" i="1" s="1"/>
  <c r="AK10" i="1" s="1"/>
  <c r="AG2" i="1"/>
  <c r="AI2" i="1" s="1"/>
  <c r="AJ2" i="1" s="1"/>
  <c r="AK2" i="1" s="1"/>
  <c r="AG9" i="1"/>
  <c r="AI9" i="1" s="1"/>
  <c r="AJ9" i="1" s="1"/>
  <c r="AK9" i="1" s="1"/>
  <c r="AG11" i="1"/>
  <c r="AI11" i="1" s="1"/>
  <c r="AJ11" i="1" s="1"/>
  <c r="AK11" i="1" s="1"/>
  <c r="AG6" i="1"/>
  <c r="AI6" i="1" s="1"/>
  <c r="AJ6" i="1" s="1"/>
  <c r="AK6" i="1" s="1"/>
  <c r="AI3" i="1"/>
  <c r="AJ3" i="1" s="1"/>
  <c r="AK3" i="1" s="1"/>
  <c r="AI13" i="1"/>
  <c r="AJ13" i="1" s="1"/>
  <c r="AK13" i="1" s="1"/>
  <c r="AE27" i="1" l="1"/>
  <c r="AG27" i="1" s="1"/>
  <c r="AI27" i="1" s="1"/>
  <c r="AJ27" i="1" s="1"/>
  <c r="AK27" i="1" s="1"/>
  <c r="AE25" i="1"/>
  <c r="AG25" i="1" s="1"/>
  <c r="AI25" i="1" s="1"/>
  <c r="AJ25" i="1" s="1"/>
  <c r="AK25" i="1" s="1"/>
  <c r="AE20" i="1"/>
  <c r="AG20" i="1" s="1"/>
  <c r="AI20" i="1" s="1"/>
  <c r="AH16" i="1"/>
  <c r="AH15" i="1"/>
  <c r="AI15" i="1" s="1"/>
  <c r="AJ15" i="1" s="1"/>
  <c r="AK15" i="1" s="1"/>
  <c r="AH17" i="1"/>
  <c r="AI8" i="1"/>
  <c r="AJ8" i="1" s="1"/>
  <c r="AK8" i="1" s="1"/>
  <c r="AJ20" i="1" l="1"/>
  <c r="AK20" i="1" s="1"/>
  <c r="AI16" i="1"/>
  <c r="AJ16" i="1" s="1"/>
  <c r="AK16" i="1" s="1"/>
  <c r="AI17" i="1"/>
  <c r="AJ17" i="1" s="1"/>
  <c r="AK17" i="1" s="1"/>
  <c r="AK28" i="1" l="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<sst xmlns="http://schemas.openxmlformats.org/spreadsheetml/2006/main" count="152" uniqueCount="75">
  <si>
    <t>ATIVO</t>
  </si>
  <si>
    <t>QTDE</t>
  </si>
  <si>
    <t>PREÇO</t>
  </si>
  <si>
    <t>[D/N]</t>
  </si>
  <si>
    <t>ISS</t>
  </si>
  <si>
    <t>LÍQUIDO</t>
  </si>
  <si>
    <t>MNDL4</t>
  </si>
  <si>
    <t>N</t>
  </si>
  <si>
    <t>INET3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</si>
  <si>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</si>
  <si>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</si>
  <si>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</si>
  <si>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</si>
  <si>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</si>
  <si>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</si>
  <si>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</si>
  <si>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</si>
  <si>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GOLL4</t>
  </si>
  <si>
    <t>MRFG3</t>
  </si>
  <si>
    <t>JBSS3</t>
  </si>
  <si>
    <t>GFSA3</t>
  </si>
  <si>
    <t>KLBN4</t>
  </si>
  <si>
    <t>RSID3</t>
  </si>
  <si>
    <t>AGEN11</t>
  </si>
  <si>
    <t>INEP4</t>
  </si>
  <si>
    <t>(vazio)</t>
  </si>
  <si>
    <t>Total Geral</t>
  </si>
  <si>
    <t>Total</t>
  </si>
  <si>
    <t>Soma de VALOR P/ OPERAÇÃO</t>
  </si>
  <si>
    <t>DATA</t>
  </si>
  <si>
    <t>ID</t>
  </si>
  <si>
    <t>VALOR P/ OP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</si>
  <si>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</si>
  <si>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</si>
  <si>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</si>
  <si>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</si>
  <si>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</si>
  <si>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</si>
  <si>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</si>
  <si>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</si>
  <si>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</si>
  <si>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</si>
  <si>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</si>
  <si>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</si>
  <si>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</si>
  <si>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</si>
  <si>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</si>
  <si>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</si>
  <si>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</si>
  <si>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</si>
  <si>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</si>
  <si>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</si>
  <si>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</si>
  <si>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</si>
  <si>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</si>
  <si>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</si>
  <si>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</si>
  <si>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</si>
  <si>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</si>
  <si>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</si>
  <si>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</si>
  <si>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IR DEVIDO DT</t>
  </si>
  <si>
    <t>LUCRO P/ OP</t>
  </si>
  <si>
    <t>IR DEVIDO</t>
  </si>
  <si>
    <t>RESGATE</t>
  </si>
  <si>
    <t>LUCRO TRIB. DT</t>
  </si>
  <si>
    <t>LUCRO LÍQUIDO</t>
  </si>
  <si>
    <t>U</t>
  </si>
  <si>
    <t>OGXPD17</t>
  </si>
  <si>
    <t>BVMFD12</t>
  </si>
  <si>
    <t>OGXPD16</t>
  </si>
  <si>
    <t>LUCRO [N]</t>
  </si>
  <si>
    <t xml:space="preserve"> TRIB. [N]</t>
  </si>
  <si>
    <t>IR [N]</t>
  </si>
  <si>
    <t>VALED42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</si>
</sst>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4" formatCode="[$R$-416]\ #,##0.00;[Red]\-[$R$-416]\ #,##0.00"/>
    <numFmt numFmtId="165" formatCode="0.000%"/>
    <numFmt numFmtId="166" formatCode="0.0000%"/>
    <numFmt numFmtId="167" formatCode="d/m/yy;@"/>
    <numFmt numFmtId="168" formatCode="0.000"/>
  </numFmts>
  <fonts count="8" x14ac:knownFonts="1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1" xfId="0" applyFont="1" applyBorder="1"/>
    <xf numFmtId="165" fontId="1" fillId="0" borderId="0" xfId="0" applyNumberFormat="1" applyFont="1"/>
    <xf numFmtId="166" fontId="1" fillId="0" borderId="0" xfId="0" applyNumberFormat="1" applyFont="1"/>
    <xf numFmtId="10" fontId="1" fillId="0" borderId="0" xfId="0" applyNumberFormat="1" applyFont="1"/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3" fillId="0" borderId="0" xfId="0" applyFont="1"/>
    <xf numFmtId="2" fontId="3" fillId="0" borderId="0" xfId="0" applyNumberFormat="1" applyFont="1"/>
    <xf numFmtId="164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7" fontId="3" fillId="0" borderId="0" xfId="0" applyNumberFormat="1" applyFont="1" applyAlignment="1"/>
    <xf numFmtId="44" fontId="3" fillId="0" borderId="0" xfId="0" applyNumberFormat="1" applyFont="1" applyAlignment="1"/>
    <xf numFmtId="168" fontId="3" fillId="0" borderId="0" xfId="0" applyNumberFormat="1" applyFont="1" applyAlignment="1"/>
    <xf numFmtId="44" fontId="1" fillId="0" borderId="0" xfId="1" applyFont="1"/>
    <xf numFmtId="0" fontId="2" fillId="0" borderId="0" xfId="0" applyFont="1"/>
    <xf numFmtId="44" fontId="3" fillId="0" borderId="0" xfId="1" applyFont="1" applyAlignment="1"/>
    <xf numFmtId="4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0" fontId="3" fillId="0" borderId="0" xfId="0" applyFont="1" applyAlignment="1"/>
    <xf numFmtId="44" fontId="7" fillId="0" borderId="0" xfId="0" applyNumberFormat="1" applyFont="1" applyAlignment="1"/>
    <xf numFmtId="0" fontId="3" fillId="0" borderId="0" xfId="0" applyFont="1" applyAlignment="1">
      <alignment vertical="top"/>
    </xf>
    <xf numFmtId="44" fontId="3" fillId="0" borderId="0" xfId="0" applyNumberFormat="1" applyFont="1"/>
    <xf numFmtId="44" fontId="3" fillId="0" borderId="0" xfId="0" applyNumberFormat="1" applyFont="1" applyAlignment="1">
      <alignment vertical="top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7" formatCode="d/m/yy;@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7" formatCode="d/m/yy;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uno" refreshedDate="40969.946527199078" createdVersion="1" refreshedVersion="4" recordCount="28" upgradeOnRefresh="1">
  <cacheSource type="worksheet">
    <worksheetSource ref="A1:Q65531" sheet="Planilha1"/>
  </cacheSource>
  <cacheFields count="18">
    <cacheField name="Nº NOTA" numFmtId="0">
      <sharedItems containsString="0" containsBlank="1" containsNumber="1" containsInteger="1" minValue="2763455" maxValue="3002965"/>
    </cacheField>
    <cacheField name="ATIVO" numFmtId="0">
      <sharedItems containsBlank="1" count="11">
        <s v="GOLL4"/>
        <s v="MRFG3"/>
        <s v="JBSS3"/>
        <s v="GFSA3"/>
        <s v="KLBN4"/>
        <s v="RSID3"/>
        <s v="MNDL4"/>
        <s v="AGEN11"/>
        <s v="INEP4"/>
        <s v="INET3"/>
        <m/>
      </sharedItems>
    </cacheField>
    <cacheField name="[C/V]" numFmtId="0">
      <sharedItems containsBlank="1"/>
    </cacheField>
    <cacheField name="DATA" numFmtId="0">
      <sharedItems containsNonDate="0" containsDate="1" containsString="0" containsBlank="1" minDate="2011-12-05T00:00:00" maxDate="2012-03-06T00:00:00"/>
    </cacheField>
    <cacheField name="QTDE" numFmtId="0">
      <sharedItems containsString="0" containsBlank="1" containsNumber="1" containsInteger="1" minValue="100" maxValue="3700"/>
    </cacheField>
    <cacheField name="PREÇO" numFmtId="0">
      <sharedItems containsString="0" containsBlank="1" containsNumber="1" minValue="0.17" maxValue="16"/>
    </cacheField>
    <cacheField name="[D/N]" numFmtId="0">
      <sharedItems containsBlank="1"/>
    </cacheField>
    <cacheField name="VALOR" numFmtId="0">
      <sharedItems containsString="0" containsBlank="1" containsNumber="1" minValue="152" maxValue="2829"/>
    </cacheField>
    <cacheField name="VL LÍQUIDO" numFmtId="0">
      <sharedItems containsString="0" containsBlank="1" containsNumber="1" minValue="-3818" maxValue="3823.9999999999995"/>
    </cacheField>
    <cacheField name="TX LIQUID" numFmtId="0">
      <sharedItems containsString="0" containsBlank="1" containsNumber="1" minValue="0.04" maxValue="1.33"/>
    </cacheField>
    <cacheField name="EMOL" numFmtId="0">
      <sharedItems containsString="0" containsBlank="1" containsNumber="1" minValue="0.01" maxValue="0.34"/>
    </cacheField>
    <cacheField name="CORR. BASE" numFmtId="0">
      <sharedItems containsString="0" containsBlank="1" containsNumber="1" minValue="14.9" maxValue="44.7"/>
    </cacheField>
    <cacheField name="ISS" numFmtId="0">
      <sharedItems containsString="0" containsBlank="1" containsNumber="1" minValue="0.28999999999999998" maxValue="0.89"/>
    </cacheField>
    <cacheField name="OUTRAS TMP" numFmtId="0">
      <sharedItems containsString="0" containsBlank="1" containsNumber="1" minValue="0.57999999999999996" maxValue="0.57999999999999996"/>
    </cacheField>
    <cacheField name="OUTRAS" numFmtId="0">
      <sharedItems containsString="0" containsBlank="1" containsNumber="1" minValue="0.57999999999999996" maxValue="1.7399999999999998"/>
    </cacheField>
    <cacheField name="LÍQUIDO" numFmtId="0">
      <sharedItems containsString="0" containsBlank="1" containsNumber="1" minValue="-3850.8500000000004" maxValue="3791.139999999999"/>
    </cacheField>
    <cacheField name="VALOR P/ OPERAÇÃO" numFmtId="0">
      <sharedItems containsString="0" containsBlank="1" containsNumber="1" minValue="-2845.73" maxValue="2695.31"/>
    </cacheField>
    <cacheField name="SALDO" numFmtId="0">
      <sharedItems containsString="0" containsBlank="1" containsNumber="1" minValue="-4873.55" maxValue="481.529999999999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n v="2763455"/>
    <x v="0"/>
    <s v="C"/>
    <d v="2011-12-05T00:00:00"/>
    <n v="100"/>
    <n v="13.62"/>
    <s v="N"/>
    <n v="1362"/>
    <n v="-1362"/>
    <n v="0.37"/>
    <n v="0.09"/>
    <n v="14.9"/>
    <n v="0.28999999999999998"/>
    <n v="0.57999999999999996"/>
    <n v="0.57999999999999996"/>
    <n v="-1378.2299999999998"/>
    <n v="-1378.2299999999998"/>
    <n v="-1378.2299999999998"/>
  </r>
  <r>
    <n v="2779377"/>
    <x v="1"/>
    <s v="C"/>
    <d v="2011-12-09T00:00:00"/>
    <n v="100"/>
    <n v="8.4499999999999993"/>
    <s v="N"/>
    <n v="844.99999999999989"/>
    <n v="-844.99999999999989"/>
    <n v="0.23"/>
    <n v="0.05"/>
    <n v="14.9"/>
    <n v="0.28999999999999998"/>
    <n v="0.57999999999999996"/>
    <n v="0.57999999999999996"/>
    <n v="-861.04999999999984"/>
    <n v="-861.04999999999984"/>
    <n v="-2239.2799999999997"/>
  </r>
  <r>
    <n v="2783172"/>
    <x v="0"/>
    <s v="V"/>
    <d v="2011-12-12T00:00:00"/>
    <n v="100"/>
    <n v="16"/>
    <s v="N"/>
    <n v="1600"/>
    <n v="1600"/>
    <n v="0.44"/>
    <n v="0.11"/>
    <n v="14.9"/>
    <n v="0.28999999999999998"/>
    <n v="0.57999999999999996"/>
    <n v="0.57999999999999996"/>
    <n v="1583.68"/>
    <n v="1583.68"/>
    <n v="-655.59999999999968"/>
  </r>
  <r>
    <n v="2797072"/>
    <x v="2"/>
    <s v="C"/>
    <d v="2011-12-16T00:00:00"/>
    <n v="200"/>
    <n v="5.66"/>
    <s v="D"/>
    <n v="1132"/>
    <n v="-1132"/>
    <n v="0.2"/>
    <n v="7.0000000000000007E-2"/>
    <n v="14.9"/>
    <n v="0.28999999999999998"/>
    <n v="0.57999999999999996"/>
    <n v="0.57999999999999996"/>
    <n v="-1148.04"/>
    <n v="-1148.04"/>
    <n v="-1803.6399999999996"/>
  </r>
  <r>
    <n v="2797072"/>
    <x v="2"/>
    <s v="V"/>
    <d v="2011-12-16T00:00:00"/>
    <n v="200"/>
    <n v="5.64"/>
    <s v="D"/>
    <n v="1128"/>
    <n v="-4"/>
    <n v="0.4"/>
    <n v="0.15"/>
    <n v="29.8"/>
    <n v="0.59"/>
    <n v="0.57999999999999996"/>
    <n v="1.1599999999999999"/>
    <n v="-36.1"/>
    <n v="1111.94"/>
    <n v="-691.69999999999959"/>
  </r>
  <r>
    <n v="2797072"/>
    <x v="2"/>
    <s v="C"/>
    <d v="2011-12-16T00:00:00"/>
    <n v="200"/>
    <n v="5.65"/>
    <s v="N"/>
    <n v="1130"/>
    <n v="-1134"/>
    <n v="0.71"/>
    <n v="0.23"/>
    <n v="44.7"/>
    <n v="0.89"/>
    <n v="0.57999999999999996"/>
    <n v="1.7399999999999998"/>
    <n v="-1182.2700000000002"/>
    <n v="-1146.1700000000003"/>
    <n v="-1837.87"/>
  </r>
  <r>
    <n v="2815630"/>
    <x v="3"/>
    <s v="V"/>
    <d v="2011-12-23T00:00:00"/>
    <n v="200"/>
    <n v="4.2699999999999996"/>
    <s v="N"/>
    <n v="853.99999999999989"/>
    <n v="853.99999999999989"/>
    <n v="0.23"/>
    <n v="0.05"/>
    <n v="14.9"/>
    <n v="0.28999999999999998"/>
    <n v="0.57999999999999996"/>
    <n v="0.57999999999999996"/>
    <n v="837.94999999999993"/>
    <n v="837.94999999999993"/>
    <n v="-999.92"/>
  </r>
  <r>
    <n v="2825056"/>
    <x v="4"/>
    <s v="C"/>
    <d v="2011-12-28T00:00:00"/>
    <n v="300"/>
    <n v="7.86"/>
    <s v="N"/>
    <n v="2358"/>
    <n v="-2358"/>
    <n v="0.64"/>
    <n v="0.16"/>
    <n v="14.9"/>
    <n v="0.28999999999999998"/>
    <n v="0.57999999999999996"/>
    <n v="0.57999999999999996"/>
    <n v="-2374.5699999999997"/>
    <n v="-2374.5699999999997"/>
    <n v="-3374.49"/>
  </r>
  <r>
    <n v="2826799"/>
    <x v="2"/>
    <s v="V"/>
    <d v="2011-12-29T00:00:00"/>
    <n v="100"/>
    <n v="6.9"/>
    <s v="N"/>
    <n v="690"/>
    <n v="690"/>
    <n v="0.18"/>
    <n v="0.04"/>
    <n v="14.9"/>
    <n v="0.28999999999999998"/>
    <n v="0.57999999999999996"/>
    <n v="0.57999999999999996"/>
    <n v="674.0100000000001"/>
    <n v="674.0100000000001"/>
    <n v="-2700.4799999999996"/>
  </r>
  <r>
    <n v="2836312"/>
    <x v="2"/>
    <s v="V"/>
    <d v="2012-01-05T00:00:00"/>
    <n v="100"/>
    <n v="5.83"/>
    <s v="N"/>
    <n v="583"/>
    <n v="583"/>
    <n v="0.16"/>
    <n v="0.04"/>
    <n v="14.9"/>
    <n v="0.28999999999999998"/>
    <n v="0.57999999999999996"/>
    <n v="0.57999999999999996"/>
    <n v="567.03000000000009"/>
    <n v="567.03000000000009"/>
    <n v="-2133.4499999999994"/>
  </r>
  <r>
    <n v="2840144"/>
    <x v="2"/>
    <s v="C"/>
    <d v="2012-01-06T00:00:00"/>
    <n v="200"/>
    <n v="5.8"/>
    <s v="N"/>
    <n v="1160"/>
    <n v="-1160"/>
    <n v="0.31"/>
    <n v="0.08"/>
    <n v="14.9"/>
    <n v="0.28999999999999998"/>
    <n v="0.57999999999999996"/>
    <n v="0.57999999999999996"/>
    <n v="-1176.1599999999999"/>
    <n v="-1176.1599999999999"/>
    <n v="-3309.6099999999992"/>
  </r>
  <r>
    <n v="2864808"/>
    <x v="5"/>
    <s v="V"/>
    <d v="2012-01-17T00:00:00"/>
    <n v="300"/>
    <n v="9.0399999999999991"/>
    <s v="N"/>
    <n v="2711.9999999999995"/>
    <n v="2711.9999999999995"/>
    <n v="0.74"/>
    <n v="0.18"/>
    <n v="14.9"/>
    <n v="0.28999999999999998"/>
    <n v="0.57999999999999996"/>
    <n v="0.57999999999999996"/>
    <n v="2695.31"/>
    <n v="2695.31"/>
    <n v="-614.29999999999927"/>
  </r>
  <r>
    <n v="2864808"/>
    <x v="2"/>
    <s v="V"/>
    <d v="2012-01-17T00:00:00"/>
    <n v="200"/>
    <n v="5.56"/>
    <s v="N"/>
    <n v="1112"/>
    <n v="3823.9999999999995"/>
    <n v="1.05"/>
    <n v="0.26"/>
    <n v="29.8"/>
    <n v="0.59"/>
    <n v="0.57999999999999996"/>
    <n v="1.1599999999999999"/>
    <n v="3791.139999999999"/>
    <n v="1095.829999999999"/>
    <n v="481.52999999999975"/>
  </r>
  <r>
    <n v="2886886"/>
    <x v="6"/>
    <s v="C"/>
    <d v="2012-01-24T00:00:00"/>
    <n v="2000"/>
    <n v="0.5"/>
    <s v="N"/>
    <n v="1000"/>
    <n v="-1000"/>
    <n v="0.27"/>
    <n v="7.0000000000000007E-2"/>
    <n v="14.9"/>
    <n v="0.28999999999999998"/>
    <n v="0.57999999999999996"/>
    <n v="0.57999999999999996"/>
    <n v="-1016.11"/>
    <n v="-1016.11"/>
    <n v="-534.58000000000027"/>
  </r>
  <r>
    <n v="2899138"/>
    <x v="1"/>
    <s v="V"/>
    <d v="2012-01-30T00:00:00"/>
    <n v="100"/>
    <n v="7.89"/>
    <s v="N"/>
    <n v="789"/>
    <n v="789"/>
    <n v="0.21"/>
    <n v="0.05"/>
    <n v="14.9"/>
    <n v="0.28999999999999998"/>
    <n v="0.57999999999999996"/>
    <n v="0.57999999999999996"/>
    <n v="772.97"/>
    <n v="772.97"/>
    <n v="238.38999999999976"/>
  </r>
  <r>
    <n v="2904206"/>
    <x v="5"/>
    <s v="C"/>
    <d v="2012-01-31T00:00:00"/>
    <n v="300"/>
    <n v="9.43"/>
    <s v="N"/>
    <n v="2829"/>
    <n v="-2829"/>
    <n v="0.77"/>
    <n v="0.19"/>
    <n v="14.9"/>
    <n v="0.28999999999999998"/>
    <n v="0.57999999999999996"/>
    <n v="0.57999999999999996"/>
    <n v="-2845.73"/>
    <n v="-2845.73"/>
    <n v="-2607.34"/>
  </r>
  <r>
    <n v="2904206"/>
    <x v="7"/>
    <s v="C"/>
    <d v="2012-01-31T00:00:00"/>
    <n v="2300"/>
    <n v="0.43"/>
    <s v="N"/>
    <n v="989"/>
    <n v="-3818"/>
    <n v="1.04"/>
    <n v="0.26"/>
    <n v="29.8"/>
    <n v="0.59"/>
    <n v="0.57999999999999996"/>
    <n v="1.1599999999999999"/>
    <n v="-3850.8500000000004"/>
    <n v="-1005.1200000000003"/>
    <n v="-3612.4600000000005"/>
  </r>
  <r>
    <n v="2916301"/>
    <x v="3"/>
    <s v="C"/>
    <d v="2012-02-03T00:00:00"/>
    <n v="200"/>
    <n v="4.76"/>
    <s v="N"/>
    <n v="952"/>
    <n v="-952"/>
    <n v="0.26"/>
    <n v="0.06"/>
    <n v="14.9"/>
    <n v="0.28999999999999998"/>
    <n v="0.57999999999999996"/>
    <n v="0.57999999999999996"/>
    <n v="-968.08999999999992"/>
    <n v="-968.08999999999992"/>
    <n v="-4580.55"/>
  </r>
  <r>
    <n v="2935127"/>
    <x v="4"/>
    <s v="V"/>
    <d v="2012-02-09T00:00:00"/>
    <n v="300"/>
    <n v="7.7"/>
    <s v="N"/>
    <n v="2310"/>
    <n v="2310"/>
    <n v="0.63"/>
    <n v="0.16"/>
    <n v="14.9"/>
    <n v="0.28999999999999998"/>
    <n v="0.57999999999999996"/>
    <n v="0.57999999999999996"/>
    <n v="2293.44"/>
    <n v="2293.44"/>
    <n v="-2287.11"/>
  </r>
  <r>
    <n v="2935127"/>
    <x v="7"/>
    <s v="C"/>
    <d v="2012-02-09T00:00:00"/>
    <n v="3700"/>
    <n v="0.37"/>
    <s v="N"/>
    <n v="1369"/>
    <n v="941"/>
    <n v="1.01"/>
    <n v="0.25"/>
    <n v="29.8"/>
    <n v="0.59"/>
    <n v="0.57999999999999996"/>
    <n v="1.1599999999999999"/>
    <n v="908.19"/>
    <n v="-1385.25"/>
    <n v="-3672.36"/>
  </r>
  <r>
    <n v="2935127"/>
    <x v="8"/>
    <s v="C"/>
    <d v="2012-02-09T00:00:00"/>
    <n v="500"/>
    <n v="2.37"/>
    <s v="N"/>
    <n v="1185"/>
    <n v="-244"/>
    <n v="1.33"/>
    <n v="0.34"/>
    <n v="44.7"/>
    <n v="0.89"/>
    <n v="0.57999999999999996"/>
    <n v="1.7399999999999998"/>
    <n v="-293"/>
    <n v="-1201.19"/>
    <n v="-4873.55"/>
  </r>
  <r>
    <n v="2948844"/>
    <x v="6"/>
    <s v="V"/>
    <d v="2012-02-14T00:00:00"/>
    <n v="1600"/>
    <n v="0.4"/>
    <s v="N"/>
    <n v="640"/>
    <n v="640"/>
    <n v="0.17"/>
    <n v="0.04"/>
    <n v="14.9"/>
    <n v="0.28999999999999998"/>
    <n v="0.57999999999999996"/>
    <n v="0.57999999999999996"/>
    <n v="624.0200000000001"/>
    <n v="624.0200000000001"/>
    <n v="-4249.53"/>
  </r>
  <r>
    <n v="2948844"/>
    <x v="9"/>
    <s v="C"/>
    <d v="2012-02-14T00:00:00"/>
    <n v="3000"/>
    <n v="0.2"/>
    <s v="N"/>
    <n v="600"/>
    <n v="40"/>
    <n v="0.34"/>
    <n v="0.08"/>
    <n v="29.8"/>
    <n v="0.59"/>
    <n v="0.57999999999999996"/>
    <n v="1.1599999999999999"/>
    <n v="8.0299999999999976"/>
    <n v="-615.99000000000012"/>
    <n v="-4865.5199999999995"/>
  </r>
  <r>
    <n v="2985169"/>
    <x v="6"/>
    <s v="V"/>
    <d v="2012-02-28T00:00:00"/>
    <n v="400"/>
    <n v="0.38"/>
    <s v="N"/>
    <n v="152"/>
    <n v="152"/>
    <n v="0.04"/>
    <n v="0.01"/>
    <n v="14.9"/>
    <n v="0.28999999999999998"/>
    <n v="0.57999999999999996"/>
    <n v="0.57999999999999996"/>
    <n v="136.18"/>
    <n v="136.18"/>
    <n v="-4729.3399999999992"/>
  </r>
  <r>
    <n v="2998380"/>
    <x v="9"/>
    <s v="V"/>
    <d v="2012-03-02T00:00:00"/>
    <n v="3000"/>
    <n v="0.17"/>
    <s v="N"/>
    <n v="510.00000000000006"/>
    <n v="510.00000000000006"/>
    <n v="0.14000000000000001"/>
    <n v="0.03"/>
    <n v="14.9"/>
    <n v="0.28999999999999998"/>
    <n v="0.57999999999999996"/>
    <n v="0.57999999999999996"/>
    <n v="494.06000000000012"/>
    <n v="494.06000000000012"/>
    <n v="-4235.2799999999988"/>
  </r>
  <r>
    <n v="2998380"/>
    <x v="7"/>
    <s v="V"/>
    <d v="2012-03-02T00:00:00"/>
    <n v="3000"/>
    <n v="0.27"/>
    <s v="N"/>
    <n v="810"/>
    <n v="1320"/>
    <n v="0.36"/>
    <n v="0.09"/>
    <n v="29.8"/>
    <n v="0.59"/>
    <n v="0.57999999999999996"/>
    <n v="1.1599999999999999"/>
    <n v="1288.0000000000002"/>
    <n v="793.94"/>
    <n v="-3441.3399999999988"/>
  </r>
  <r>
    <n v="3002965"/>
    <x v="7"/>
    <s v="V"/>
    <d v="2012-03-05T00:00:00"/>
    <n v="3000"/>
    <n v="0.25"/>
    <s v="N"/>
    <n v="750"/>
    <n v="750"/>
    <n v="0.2"/>
    <n v="0.05"/>
    <n v="14.9"/>
    <n v="0.28999999999999998"/>
    <n v="0.57999999999999996"/>
    <n v="0.57999999999999996"/>
    <n v="733.98"/>
    <n v="733.98"/>
    <n v="-2707.3599999999988"/>
  </r>
  <r>
    <m/>
    <x v="10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0" dataOnRows="1" applyNumberFormats="0" applyBorderFormats="0" applyFontFormats="0" applyPatternFormats="0" applyAlignmentFormats="0" applyWidthHeightFormats="1" dataCaption="Dados" updatedVersion="4" showMemberPropertyTips="0" useAutoFormatting="1" itemPrintTitles="1" createdVersion="1" indent="0" compact="0" compactData="0" gridDropZones="1">
  <location ref="A3:B16" firstHeaderRow="2" firstDataRow="2" firstDataCol="1"/>
  <pivotFields count="18">
    <pivotField compact="0" outline="0" subtotalTop="0" showAll="0" includeNewItemsInFilter="1"/>
    <pivotField axis="axisRow" compact="0" outline="0" subtotalTop="0" showAll="0" includeNewItemsInFilter="1">
      <items count="12">
        <item x="7"/>
        <item x="3"/>
        <item x="0"/>
        <item x="8"/>
        <item x="9"/>
        <item x="2"/>
        <item x="4"/>
        <item x="6"/>
        <item x="1"/>
        <item x="5"/>
        <item x="1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a de VALOR P/ OPERAÇÃO" fld="16" baseField="1" baseItem="3"/>
  </dataField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NC" displayName="NC" ref="A1:AK28" totalsRowCount="1" headerRowDxfId="75" dataDxfId="74" totalsRowDxfId="73">
  <autoFilter ref="A1:AK27"/>
  <sortState ref="A2:AG8">
    <sortCondition ref="A1:A8"/>
  </sortState>
  <tableColumns count="37">
    <tableColumn id="19" name="ID" totalsRowFunction="max" dataDxfId="72" totalsRowDxfId="36"/>
    <tableColumn id="36" name="U" dataDxfId="71" totalsRowDxfId="35"/>
    <tableColumn id="2" name="ATIVO" dataDxfId="70" totalsRowDxfId="34"/>
    <tableColumn id="3" name="T" dataDxfId="69" totalsRowDxfId="33"/>
    <tableColumn id="4" name="DATA" dataDxfId="68" totalsRowDxfId="32"/>
    <tableColumn id="5" name="QTDE" dataDxfId="67" totalsRowDxfId="31"/>
    <tableColumn id="6" name="PREÇO" dataDxfId="66" totalsRowDxfId="30"/>
    <tableColumn id="7" name="[D/N]" dataDxfId="65" totalsRowDxfId="29"/>
    <tableColumn id="34" name="DATA DE LIQUIDAÇÃO" dataDxfId="64" totalsRowDxfId="28">
      <calculatedColumnFormula>WORKDAY(NC[[#This Row],[DATA]],1,0)</calculatedColumnFormula>
    </tableColumn>
    <tableColumn id="31" name="DATA BASE" dataDxfId="63" totalsRowDxfId="27">
      <calculatedColumnFormula>EOMONTH(NC[[#This Row],[DATA DE LIQUIDAÇÃO]],0)</calculatedColumnFormula>
    </tableColumn>
    <tableColumn id="21" name="PAR" dataDxfId="62" totalsRowDxfId="26">
      <calculatedColumnFormula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calculatedColumnFormula>
    </tableColumn>
    <tableColumn id="8" name="VALOR DAS OPERAÇÕES" dataDxfId="61" totalsRowDxfId="25">
      <calculatedColumnFormula>NC[QTDE]*NC[PREÇO]</calculatedColumnFormula>
    </tableColumn>
    <tableColumn id="9" name="VALOR LÍQUIDO DAS OPERAÇÕES" dataDxfId="60" totalsRowDxfId="24">
      <calculatedColumnFormula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calculatedColumnFormula>
    </tableColumn>
    <tableColumn id="10" name="TAXA DE LIQUIDAÇÃO" dataDxfId="59" totalsRowDxfId="23">
      <calculatedColumnFormula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calculatedColumnFormula>
    </tableColumn>
    <tableColumn id="11" name="EMOLUMENTOS" dataDxfId="58" totalsRowDxfId="22">
      <calculatedColumnFormula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calculatedColumnFormula>
    </tableColumn>
    <tableColumn id="28" name="TAXA DE REGISTRO" dataDxfId="57" totalsRowDxfId="21">
      <calculatedColumnFormula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calculatedColumnFormula>
    </tableColumn>
    <tableColumn id="12" name="CORRETAGEM" dataDxfId="56" totalsRowDxfId="20">
      <calculatedColumnFormula>SETUP!$E$3*SUMPRODUCT(N(NC[DATA]=NC[[#This Row],[DATA]]),N(NC[ID]&lt;=NC[[#This Row],[ID]]))</calculatedColumnFormula>
    </tableColumn>
    <tableColumn id="13" name="ISS" dataDxfId="55" totalsRowDxfId="19">
      <calculatedColumnFormula>TRUNC(NC[CORRETAGEM]*SETUP!$F$3,2)</calculatedColumnFormula>
    </tableColumn>
    <tableColumn id="15" name="OUTRAS BOVESPA" dataDxfId="54" totalsRowDxfId="18">
      <calculatedColumnFormula>ROUND(NC[CORRETAGEM]*SETUP!$G$3,2)</calculatedColumnFormula>
    </tableColumn>
    <tableColumn id="16" name="LÍQUIDO BASE" dataDxfId="53" totalsRowDxfId="17">
      <calculatedColumnFormula>NC[VALOR LÍQUIDO DAS OPERAÇÕES]-NC[TAXA DE LIQUIDAÇÃO]-NC[EMOLUMENTOS]-NC[TAXA DE REGISTRO]-NC[CORRETAGEM]-NC[ISS]-IF(NC['[D/N']]="D",    0,    NC[OUTRAS BOVESPA])</calculatedColumnFormula>
    </tableColumn>
    <tableColumn id="33" name="IRRF FONTE" dataDxfId="52" totalsRowDxfId="16">
      <calculatedColumnFormula>IF(AND(NC['[D/N']]="D",    NC[T]="CV"),    ROUND(NC[LÍQUIDO BASE]*0.01, 2),    0)</calculatedColumnFormula>
    </tableColumn>
    <tableColumn id="35" name="LÍQUIDO" totalsRowDxfId="15">
      <calculatedColumnFormula>NC[LÍQUIDO BASE]-SUMPRODUCT(N(NC[DATA]=NC[[#This Row],[DATA]]),    NC[IRRF FONTE])</calculatedColumnFormula>
    </tableColumn>
    <tableColumn id="17" name="VALOR P/ OP" dataDxfId="51" totalsRowDxfId="14" dataCellStyle="Moeda">
      <calculatedColumnFormula>NC[LÍQUIDO]-SUMPRODUCT(N(NC[DATA]=NC[[#This Row],[DATA]]),N(NC[ID]=(NC[[#This Row],[ID]]-1)),NC[LÍQUIDO])</calculatedColumnFormula>
    </tableColumn>
    <tableColumn id="18" name="MEDIO P/ OP" dataDxfId="50" totalsRowDxfId="13">
      <calculatedColumnFormula>ABS(W2)/F2</calculatedColumnFormula>
    </tableColumn>
    <tableColumn id="20" name="IRRF" totalsRowFunction="sum" dataDxfId="49" totalsRowDxfId="12">
      <calculatedColumnFormula>TRUNC(IF(OR(NC[T]="CV",NC[T]="VV"),     L2*SETUP!$H$3,     0),2)</calculatedColumnFormula>
    </tableColumn>
    <tableColumn id="24" name="SALDO" dataDxfId="48" totalsRowDxfId="11">
      <calculatedColumnFormula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calculatedColumnFormula>
    </tableColumn>
    <tableColumn id="22" name="MED CP" dataDxfId="47" totalsRowDxfId="10">
      <calculatedColumnFormula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calculatedColumnFormula>
    </tableColumn>
    <tableColumn id="23" name="MED VD" dataDxfId="46" totalsRowDxfId="9">
      <calculatedColumnFormula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calculatedColumnFormula>
    </tableColumn>
    <tableColumn id="25" name="LUCRO P/ OP" totalsRowFunction="sum" dataDxfId="45" totalsRowDxfId="8">
      <calculatedColumnFormula>IF(AND(NC[MED CP] &gt; 0, NC[MED VD] &gt; 0), (NC[MED VD] - NC[MED CP]) * NC[QTDE], 0) + NC[IRRF FONTE]</calculatedColumnFormula>
    </tableColumn>
    <tableColumn id="1" name="LUCRO [N]" dataDxfId="44" totalsRowDxfId="7">
      <calculatedColumnFormula>IF(NC[U] = "U", SUMPRODUCT(N(NC[ID]&lt;=NC[[#This Row],[ID]]),N(NC[DATA BASE]=NC[[#This Row],[DATA BASE]]), N(NC['[D/N']] = "N"),    NC[LUCRO P/ OP]), 0)</calculatedColumnFormula>
    </tableColumn>
    <tableColumn id="37" name=" TRIB. [N]" dataDxfId="43" totalsRowDxfId="6">
      <calculatedColumnFormula>IF(NC[U] = "U",NC[LUCRO '[N']] + SUMPRODUCT(N(MONTH(NC[DATA BASE])=MONTH(NC[[#This Row],[DATA BASE]]) - 1), NC[LUCRO '[N']]),0)</calculatedColumnFormula>
    </tableColumn>
    <tableColumn id="39" name="LUCRO TRIB. DT" dataDxfId="42" totalsRowDxfId="5">
      <calculatedColumnFormula>IF(NC[U] = "U", SUMPRODUCT(N(NC[DATA BASE]=NC[[#This Row],[DATA BASE]]), N(NC['[D/N']] = "D"),    NC[LUCRO P/ OP]), 0)</calculatedColumnFormula>
    </tableColumn>
    <tableColumn id="32" name="IR [N]" dataDxfId="41" totalsRowDxfId="4" dataCellStyle="Moeda">
      <calculatedColumnFormula>IF(NC[ TRIB. '[N']] &gt; 0,     ROUND(NC[ TRIB. '[N']]*0.15,    2),    0)</calculatedColumnFormula>
    </tableColumn>
    <tableColumn id="38" name="IR DEVIDO DT" dataDxfId="40" totalsRowDxfId="3" dataCellStyle="Moeda">
      <calculatedColumnFormula>IF(NC[LUCRO TRIB. DT] &gt; 0,     ROUND(NC[LUCRO TRIB. DT]*0.2,    2)  -  SUMPRODUCT(N(NC[DATA BASE]=NC[[#This Row],[DATA BASE]]),    NC[IRRF FONTE]),    0)</calculatedColumnFormula>
    </tableColumn>
    <tableColumn id="14" name="IR DEVIDO" dataDxfId="39" totalsRowDxfId="2" dataCellStyle="Moeda">
      <calculatedColumnFormula>NC[IR '[N']] + NC[IR DEVIDO DT]</calculatedColumnFormula>
    </tableColumn>
    <tableColumn id="26" name="RESGATE" dataDxfId="38" totalsRowDxfId="1" dataCellStyle="Moeda">
      <calculatedColumnFormula>IF(AND(NC[U] = "U",NC[IR DEVIDO] &gt; 0), NC[IR DEVIDO] + 8.9, 0)</calculatedColumnFormula>
    </tableColumn>
    <tableColumn id="27" name="LUCRO LÍQUIDO" totalsRowFunction="sum" dataDxfId="37" totalsRowDxfId="0" dataCellStyle="Moeda">
      <calculatedColumnFormula>NC[LUCRO '[N']]  + NC[LUCRO TRIB. DT] - NC[RESGATE]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3:B16"/>
  <sheetViews>
    <sheetView workbookViewId="0">
      <selection activeCell="A14" sqref="A14"/>
    </sheetView>
  </sheetViews>
  <sheetFormatPr defaultRowHeight="12.75" x14ac:dyDescent="0.2"/>
  <cols>
    <col min="1" max="1" width="29.42578125" customWidth="1"/>
    <col min="2" max="2" width="8.5703125" bestFit="1" customWidth="1"/>
    <col min="3" max="3" width="10.7109375" customWidth="1"/>
    <col min="4" max="6" width="10.7109375" bestFit="1" customWidth="1"/>
    <col min="7" max="7" width="10" customWidth="1"/>
    <col min="8" max="8" width="10" bestFit="1" customWidth="1"/>
  </cols>
  <sheetData>
    <row r="3" spans="1:2" x14ac:dyDescent="0.2">
      <c r="A3" s="8" t="s">
        <v>28</v>
      </c>
      <c r="B3" s="11"/>
    </row>
    <row r="4" spans="1:2" x14ac:dyDescent="0.2">
      <c r="A4" s="8" t="s">
        <v>0</v>
      </c>
      <c r="B4" s="11" t="s">
        <v>27</v>
      </c>
    </row>
    <row r="5" spans="1:2" x14ac:dyDescent="0.2">
      <c r="A5" s="7" t="s">
        <v>23</v>
      </c>
      <c r="B5" s="12">
        <v>-862.45000000000027</v>
      </c>
    </row>
    <row r="6" spans="1:2" x14ac:dyDescent="0.2">
      <c r="A6" s="9" t="s">
        <v>20</v>
      </c>
      <c r="B6" s="13">
        <v>-130.13999999999999</v>
      </c>
    </row>
    <row r="7" spans="1:2" x14ac:dyDescent="0.2">
      <c r="A7" s="9" t="s">
        <v>17</v>
      </c>
      <c r="B7" s="13">
        <v>205.45000000000027</v>
      </c>
    </row>
    <row r="8" spans="1:2" x14ac:dyDescent="0.2">
      <c r="A8" s="9" t="s">
        <v>24</v>
      </c>
      <c r="B8" s="13">
        <v>-1201.19</v>
      </c>
    </row>
    <row r="9" spans="1:2" x14ac:dyDescent="0.2">
      <c r="A9" s="9" t="s">
        <v>8</v>
      </c>
      <c r="B9" s="13">
        <v>-121.93</v>
      </c>
    </row>
    <row r="10" spans="1:2" x14ac:dyDescent="0.2">
      <c r="A10" s="9" t="s">
        <v>19</v>
      </c>
      <c r="B10" s="13">
        <v>-21.560000000000855</v>
      </c>
    </row>
    <row r="11" spans="1:2" x14ac:dyDescent="0.2">
      <c r="A11" s="9" t="s">
        <v>21</v>
      </c>
      <c r="B11" s="13">
        <v>-81.129999999999654</v>
      </c>
    </row>
    <row r="12" spans="1:2" x14ac:dyDescent="0.2">
      <c r="A12" s="9" t="s">
        <v>6</v>
      </c>
      <c r="B12" s="13">
        <v>-255.90999999999991</v>
      </c>
    </row>
    <row r="13" spans="1:2" x14ac:dyDescent="0.2">
      <c r="A13" s="9" t="s">
        <v>18</v>
      </c>
      <c r="B13" s="13">
        <v>-88.079999999999814</v>
      </c>
    </row>
    <row r="14" spans="1:2" x14ac:dyDescent="0.2">
      <c r="A14" s="9" t="s">
        <v>22</v>
      </c>
      <c r="B14" s="13">
        <v>-150.42000000000007</v>
      </c>
    </row>
    <row r="15" spans="1:2" x14ac:dyDescent="0.2">
      <c r="A15" s="9" t="s">
        <v>25</v>
      </c>
      <c r="B15" s="13"/>
    </row>
    <row r="16" spans="1:2" x14ac:dyDescent="0.2">
      <c r="A16" s="10" t="s">
        <v>26</v>
      </c>
      <c r="B16" s="14">
        <v>-2707.36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/>
  <dimension ref="A1:AK29"/>
  <sheetViews>
    <sheetView tabSelected="1" zoomScaleNormal="100" workbookViewId="0">
      <pane xSplit="8" ySplit="1" topLeftCell="U2" activePane="bottomRight" state="frozen"/>
      <selection pane="topRight" activeCell="I1" sqref="I1"/>
      <selection pane="bottomLeft" activeCell="A2" sqref="A2"/>
      <selection pane="bottomRight" activeCell="B26" sqref="B26"/>
    </sheetView>
  </sheetViews>
  <sheetFormatPr defaultColWidth="11.5703125" defaultRowHeight="11.25" x14ac:dyDescent="0.2"/>
  <cols>
    <col min="1" max="1" width="4.7109375" style="15" bestFit="1" customWidth="1"/>
    <col min="2" max="2" width="4.28515625" style="15" bestFit="1" customWidth="1"/>
    <col min="3" max="3" width="7.42578125" style="15" bestFit="1" customWidth="1"/>
    <col min="4" max="4" width="4" style="15" bestFit="1" customWidth="1"/>
    <col min="5" max="6" width="6.85546875" style="15" bestFit="1" customWidth="1"/>
    <col min="7" max="7" width="7.7109375" style="15" bestFit="1" customWidth="1"/>
    <col min="8" max="8" width="7.140625" style="15" bestFit="1" customWidth="1"/>
    <col min="9" max="9" width="10.5703125" style="15" hidden="1" customWidth="1"/>
    <col min="10" max="10" width="10.5703125" style="16" hidden="1" customWidth="1"/>
    <col min="11" max="11" width="19" style="15" hidden="1" customWidth="1"/>
    <col min="12" max="12" width="25.28515625" style="17" hidden="1" customWidth="1"/>
    <col min="13" max="13" width="17.85546875" style="15" hidden="1" customWidth="1"/>
    <col min="14" max="14" width="13.7109375" style="16" hidden="1" customWidth="1"/>
    <col min="15" max="15" width="15.5703125" style="16" hidden="1" customWidth="1"/>
    <col min="16" max="16" width="12.42578125" style="15" hidden="1" customWidth="1"/>
    <col min="17" max="17" width="6.85546875" style="15" hidden="1" customWidth="1"/>
    <col min="18" max="18" width="15" style="15" hidden="1" customWidth="1"/>
    <col min="19" max="19" width="12.5703125" style="15" hidden="1" customWidth="1"/>
    <col min="20" max="20" width="10.42578125" style="15" hidden="1" customWidth="1"/>
    <col min="21" max="21" width="10.5703125" style="15" bestFit="1" customWidth="1"/>
    <col min="22" max="22" width="9.85546875" style="15" bestFit="1" customWidth="1"/>
    <col min="23" max="23" width="11.85546875" style="15" customWidth="1"/>
    <col min="24" max="24" width="11.85546875" style="15" hidden="1" customWidth="1"/>
    <col min="25" max="25" width="8.5703125" style="15" hidden="1" customWidth="1"/>
    <col min="26" max="26" width="9.85546875" style="15" hidden="1" customWidth="1"/>
    <col min="27" max="27" width="11.140625" style="15" hidden="1" customWidth="1"/>
    <col min="28" max="28" width="11.7109375" style="15" hidden="1" customWidth="1"/>
    <col min="29" max="29" width="11.7109375" style="15" bestFit="1" customWidth="1"/>
    <col min="30" max="30" width="10.140625" style="15" bestFit="1" customWidth="1"/>
    <col min="31" max="31" width="9.85546875" style="15" bestFit="1" customWidth="1"/>
    <col min="32" max="32" width="13.28515625" style="15" bestFit="1" customWidth="1"/>
    <col min="33" max="33" width="7.7109375" style="15" bestFit="1" customWidth="1"/>
    <col min="34" max="34" width="12" style="15" bestFit="1" customWidth="1"/>
    <col min="35" max="35" width="10" style="15" bestFit="1" customWidth="1"/>
    <col min="36" max="36" width="9" style="15" bestFit="1" customWidth="1"/>
    <col min="37" max="37" width="13.7109375" style="15" bestFit="1" customWidth="1"/>
    <col min="38" max="16384" width="11.5703125" style="15"/>
  </cols>
  <sheetData>
    <row r="1" spans="1:37" s="18" customFormat="1" x14ac:dyDescent="0.2">
      <c r="A1" s="18" t="s">
        <v>30</v>
      </c>
      <c r="B1" s="18" t="s">
        <v>67</v>
      </c>
      <c r="C1" s="18" t="s">
        <v>0</v>
      </c>
      <c r="D1" s="18" t="s">
        <v>60</v>
      </c>
      <c r="E1" s="18" t="s">
        <v>29</v>
      </c>
      <c r="F1" s="18" t="s">
        <v>1</v>
      </c>
      <c r="G1" s="18" t="s">
        <v>2</v>
      </c>
      <c r="H1" s="18" t="s">
        <v>3</v>
      </c>
      <c r="I1" s="18" t="s">
        <v>53</v>
      </c>
      <c r="J1" s="18" t="s">
        <v>54</v>
      </c>
      <c r="K1" s="18" t="s">
        <v>35</v>
      </c>
      <c r="L1" s="18" t="s">
        <v>47</v>
      </c>
      <c r="M1" s="18" t="s">
        <v>48</v>
      </c>
      <c r="N1" s="19" t="s">
        <v>49</v>
      </c>
      <c r="O1" s="18" t="s">
        <v>50</v>
      </c>
      <c r="P1" s="18" t="s">
        <v>51</v>
      </c>
      <c r="Q1" s="20" t="s">
        <v>11</v>
      </c>
      <c r="R1" s="18" t="s">
        <v>4</v>
      </c>
      <c r="S1" s="20" t="s">
        <v>52</v>
      </c>
      <c r="T1" s="18" t="s">
        <v>46</v>
      </c>
      <c r="U1" s="20" t="s">
        <v>58</v>
      </c>
      <c r="V1" s="20" t="s">
        <v>5</v>
      </c>
      <c r="W1" s="18" t="s">
        <v>31</v>
      </c>
      <c r="X1" s="18" t="s">
        <v>55</v>
      </c>
      <c r="Y1" s="18" t="s">
        <v>32</v>
      </c>
      <c r="Z1" s="18" t="s">
        <v>36</v>
      </c>
      <c r="AA1" s="18" t="s">
        <v>33</v>
      </c>
      <c r="AB1" s="18" t="s">
        <v>34</v>
      </c>
      <c r="AC1" s="18" t="s">
        <v>62</v>
      </c>
      <c r="AD1" s="18" t="s">
        <v>71</v>
      </c>
      <c r="AE1" s="18" t="s">
        <v>72</v>
      </c>
      <c r="AF1" s="18" t="s">
        <v>65</v>
      </c>
      <c r="AG1" s="18" t="s">
        <v>73</v>
      </c>
      <c r="AH1" s="18" t="s">
        <v>61</v>
      </c>
      <c r="AI1" s="18" t="s">
        <v>63</v>
      </c>
      <c r="AJ1" s="18" t="s">
        <v>64</v>
      </c>
      <c r="AK1" s="18" t="s">
        <v>66</v>
      </c>
    </row>
    <row r="2" spans="1:37" x14ac:dyDescent="0.2">
      <c r="A2" s="21">
        <v>1</v>
      </c>
      <c r="B2" s="21"/>
      <c r="C2" s="21" t="s">
        <v>42</v>
      </c>
      <c r="D2" s="21" t="s">
        <v>38</v>
      </c>
      <c r="E2" s="22">
        <v>40980</v>
      </c>
      <c r="F2" s="21">
        <v>600</v>
      </c>
      <c r="G2" s="23">
        <v>0.28000000000000003</v>
      </c>
      <c r="H2" s="21" t="s">
        <v>7</v>
      </c>
      <c r="I2" s="22">
        <f>WORKDAY(NC[[#This Row],[DATA]],1,0)</f>
        <v>40981</v>
      </c>
      <c r="J2" s="29">
        <f>EOMONTH(NC[[#This Row],[DATA DE LIQUIDAÇÃO]],0)</f>
        <v>40999</v>
      </c>
      <c r="K2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2" s="23">
        <f>NC[QTDE]*NC[PREÇO]</f>
        <v>168.00000000000003</v>
      </c>
      <c r="M2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-168.00000000000003</v>
      </c>
      <c r="N2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0.04</v>
      </c>
      <c r="O2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0.06</v>
      </c>
      <c r="P2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0.11</v>
      </c>
      <c r="Q2" s="23">
        <f>SETUP!$E$3*SUMPRODUCT(N(NC[DATA]=NC[[#This Row],[DATA]]),N(NC[ID]&lt;=NC[[#This Row],[ID]]))</f>
        <v>14.9</v>
      </c>
      <c r="R2" s="23">
        <f>TRUNC(NC[CORRETAGEM]*SETUP!$F$3,2)</f>
        <v>0.28999999999999998</v>
      </c>
      <c r="S2" s="23">
        <f>ROUND(NC[CORRETAGEM]*SETUP!$G$3,2)</f>
        <v>0.57999999999999996</v>
      </c>
      <c r="T2" s="23">
        <f>NC[VALOR LÍQUIDO DAS OPERAÇÕES]-NC[TAXA DE LIQUIDAÇÃO]-NC[EMOLUMENTOS]-NC[TAXA DE REGISTRO]-NC[CORRETAGEM]-NC[ISS]-IF(NC['[D/N']]="D",    0,    NC[OUTRAS BOVESPA])</f>
        <v>-183.98000000000005</v>
      </c>
      <c r="U2" s="23">
        <f>IF(AND(NC['[D/N']]="D",    NC[T]="CV"),    ROUND(NC[LÍQUIDO BASE]*0.01, 2),    0)</f>
        <v>0</v>
      </c>
      <c r="V2" s="23">
        <f>NC[LÍQUIDO BASE]-SUMPRODUCT(N(NC[DATA]=NC[[#This Row],[DATA]]),    NC[IRRF FONTE])</f>
        <v>-183.98000000000005</v>
      </c>
      <c r="W2" s="23">
        <f>NC[LÍQUIDO]-SUMPRODUCT(N(NC[DATA]=NC[[#This Row],[DATA]]),N(NC[ID]=(NC[[#This Row],[ID]]-1)),NC[LÍQUIDO])</f>
        <v>-183.98000000000005</v>
      </c>
      <c r="X2" s="23">
        <f t="shared" ref="X2:X8" si="0">ABS(W2)/F2</f>
        <v>0.30663333333333342</v>
      </c>
      <c r="Y2" s="23">
        <f>TRUNC(IF(OR(NC[T]="CV",NC[T]="VV"),     L2*SETUP!$H$3,     0),2)</f>
        <v>0</v>
      </c>
      <c r="Z2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600</v>
      </c>
      <c r="AA2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0.30663333333333342</v>
      </c>
      <c r="AB2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2" s="23">
        <f>IF(AND(NC[MED CP] &gt; 0, NC[MED VD] &gt; 0), (NC[MED VD] - NC[MED CP]) * NC[QTDE], 0) + NC[IRRF FONTE]</f>
        <v>0</v>
      </c>
      <c r="AD2" s="23">
        <f>IF(NC[U] = "U", SUMPRODUCT(N(NC[ID]&lt;=NC[[#This Row],[ID]]),N(NC[DATA BASE]=NC[[#This Row],[DATA BASE]]), N(NC['[D/N']] = "N"),    NC[LUCRO P/ OP]), 0)</f>
        <v>0</v>
      </c>
      <c r="AE2" s="23">
        <f>IF(NC[U] = "U",NC[LUCRO '[N']] + SUMPRODUCT(N(MONTH(NC[DATA BASE])=MONTH(NC[[#This Row],[DATA BASE]]) - 1), NC[LUCRO '[N']]),0)</f>
        <v>0</v>
      </c>
      <c r="AF2" s="23">
        <f>IF(NC[U] = "U", SUMPRODUCT(N(NC[DATA BASE]=NC[[#This Row],[DATA BASE]]), N(NC['[D/N']] = "D"),    NC[LUCRO P/ OP]), 0)</f>
        <v>0</v>
      </c>
      <c r="AG2" s="27">
        <f>IF(NC[ TRIB. '[N']] &gt; 0,     ROUND(NC[ TRIB. '[N']]*0.15,    2),    0)</f>
        <v>0</v>
      </c>
      <c r="AH2" s="27">
        <f>IF(NC[LUCRO TRIB. DT] &gt; 0,     ROUND(NC[LUCRO TRIB. DT]*0.2,    2)  -  SUMPRODUCT(N(NC[DATA BASE]=NC[[#This Row],[DATA BASE]]),    NC[IRRF FONTE]),    0)</f>
        <v>0</v>
      </c>
      <c r="AI2" s="27">
        <f>NC[IR '[N']] + NC[IR DEVIDO DT]</f>
        <v>0</v>
      </c>
      <c r="AJ2" s="27">
        <f>IF(AND(NC[U] = "U",NC[IR DEVIDO] &gt; 0), NC[IR DEVIDO] + 8.9, 0)</f>
        <v>0</v>
      </c>
      <c r="AK2" s="27">
        <f>NC[LUCRO '[N']]  + NC[LUCRO TRIB. DT] - NC[RESGATE]</f>
        <v>0</v>
      </c>
    </row>
    <row r="3" spans="1:37" x14ac:dyDescent="0.2">
      <c r="A3" s="21">
        <v>2</v>
      </c>
      <c r="B3" s="21"/>
      <c r="C3" s="21" t="s">
        <v>43</v>
      </c>
      <c r="D3" s="21" t="s">
        <v>38</v>
      </c>
      <c r="E3" s="22">
        <v>40980</v>
      </c>
      <c r="F3" s="21">
        <v>400</v>
      </c>
      <c r="G3" s="23">
        <v>0.4</v>
      </c>
      <c r="H3" s="21" t="s">
        <v>7</v>
      </c>
      <c r="I3" s="22">
        <f>WORKDAY(NC[[#This Row],[DATA]],1,0)</f>
        <v>40981</v>
      </c>
      <c r="J3" s="29">
        <f>EOMONTH(NC[[#This Row],[DATA DE LIQUIDAÇÃO]],0)</f>
        <v>40999</v>
      </c>
      <c r="K3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3" s="23">
        <f>NC[QTDE]*NC[PREÇO]</f>
        <v>160</v>
      </c>
      <c r="M3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-328</v>
      </c>
      <c r="N3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0.09</v>
      </c>
      <c r="O3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0.12</v>
      </c>
      <c r="P3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0.22</v>
      </c>
      <c r="Q3" s="23">
        <f>SETUP!$E$3*SUMPRODUCT(N(NC[DATA]=NC[[#This Row],[DATA]]),N(NC[ID]&lt;=NC[[#This Row],[ID]]))</f>
        <v>29.8</v>
      </c>
      <c r="R3" s="23">
        <f>TRUNC(NC[CORRETAGEM]*SETUP!$F$3,2)</f>
        <v>0.59</v>
      </c>
      <c r="S3" s="23">
        <f>ROUND(NC[CORRETAGEM]*SETUP!$G$3,2)</f>
        <v>1.1599999999999999</v>
      </c>
      <c r="T3" s="23">
        <f>NC[VALOR LÍQUIDO DAS OPERAÇÕES]-NC[TAXA DE LIQUIDAÇÃO]-NC[EMOLUMENTOS]-NC[TAXA DE REGISTRO]-NC[CORRETAGEM]-NC[ISS]-IF(NC['[D/N']]="D",    0,    NC[OUTRAS BOVESPA])</f>
        <v>-359.98</v>
      </c>
      <c r="U3" s="23">
        <f>IF(AND(NC['[D/N']]="D",    NC[T]="CV"),    ROUND(NC[LÍQUIDO BASE]*0.01, 2),    0)</f>
        <v>0</v>
      </c>
      <c r="V3" s="23">
        <f>NC[LÍQUIDO BASE]-SUMPRODUCT(N(NC[DATA]=NC[[#This Row],[DATA]]),    NC[IRRF FONTE])</f>
        <v>-359.98</v>
      </c>
      <c r="W3" s="23">
        <f>NC[LÍQUIDO]-SUMPRODUCT(N(NC[DATA]=NC[[#This Row],[DATA]]),N(NC[ID]=(NC[[#This Row],[ID]]-1)),NC[LÍQUIDO])</f>
        <v>-175.99999999999997</v>
      </c>
      <c r="X3" s="23">
        <f t="shared" si="0"/>
        <v>0.43999999999999995</v>
      </c>
      <c r="Y3" s="23">
        <f>TRUNC(IF(OR(NC[T]="CV",NC[T]="VV"),     L3*SETUP!$H$3,     0),2)</f>
        <v>0</v>
      </c>
      <c r="Z3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400</v>
      </c>
      <c r="AA3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0.43999999999999995</v>
      </c>
      <c r="AB3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3" s="23">
        <f>IF(AND(NC[MED CP] &gt; 0, NC[MED VD] &gt; 0), (NC[MED VD] - NC[MED CP]) * NC[QTDE], 0) + NC[IRRF FONTE]</f>
        <v>0</v>
      </c>
      <c r="AD3" s="23">
        <f>IF(NC[U] = "U", SUMPRODUCT(N(NC[ID]&lt;=NC[[#This Row],[ID]]),N(NC[DATA BASE]=NC[[#This Row],[DATA BASE]]), N(NC['[D/N']] = "N"),    NC[LUCRO P/ OP]), 0)</f>
        <v>0</v>
      </c>
      <c r="AE3" s="23">
        <f>IF(NC[U] = "U",NC[LUCRO '[N']] + SUMPRODUCT(N(MONTH(NC[DATA BASE])=MONTH(NC[[#This Row],[DATA BASE]]) - 1), NC[LUCRO '[N']]),0)</f>
        <v>0</v>
      </c>
      <c r="AF3" s="23">
        <f>IF(NC[U] = "U", SUMPRODUCT(N(NC[DATA BASE]=NC[[#This Row],[DATA BASE]]), N(NC['[D/N']] = "D"),    NC[LUCRO P/ OP]), 0)</f>
        <v>0</v>
      </c>
      <c r="AG3" s="27">
        <f>IF(NC[ TRIB. '[N']] &gt; 0,     ROUND(NC[ TRIB. '[N']]*0.15,    2),    0)</f>
        <v>0</v>
      </c>
      <c r="AH3" s="27">
        <f>IF(NC[LUCRO TRIB. DT] &gt; 0,     ROUND(NC[LUCRO TRIB. DT]*0.2,    2)  -  SUMPRODUCT(N(NC[DATA BASE]=NC[[#This Row],[DATA BASE]]),    NC[IRRF FONTE]),    0)</f>
        <v>0</v>
      </c>
      <c r="AI3" s="27">
        <f>NC[IR '[N']] + NC[IR DEVIDO DT]</f>
        <v>0</v>
      </c>
      <c r="AJ3" s="27">
        <f>IF(AND(NC[U] = "U",NC[IR DEVIDO] &gt; 0), NC[IR DEVIDO] + 8.9, 0)</f>
        <v>0</v>
      </c>
      <c r="AK3" s="27">
        <f>NC[LUCRO '[N']]  + NC[LUCRO TRIB. DT] - NC[RESGATE]</f>
        <v>0</v>
      </c>
    </row>
    <row r="4" spans="1:37" x14ac:dyDescent="0.2">
      <c r="A4" s="21">
        <v>3</v>
      </c>
      <c r="B4" s="21"/>
      <c r="C4" s="21" t="s">
        <v>44</v>
      </c>
      <c r="D4" s="21" t="s">
        <v>38</v>
      </c>
      <c r="E4" s="22">
        <v>40981</v>
      </c>
      <c r="F4" s="21">
        <v>1200</v>
      </c>
      <c r="G4" s="23">
        <v>0.19</v>
      </c>
      <c r="H4" s="21" t="s">
        <v>16</v>
      </c>
      <c r="I4" s="22">
        <f>WORKDAY(NC[[#This Row],[DATA]],1,0)</f>
        <v>40982</v>
      </c>
      <c r="J4" s="29">
        <f>EOMONTH(NC[[#This Row],[DATA DE LIQUIDAÇÃO]],0)</f>
        <v>40999</v>
      </c>
      <c r="K4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L4" s="23">
        <f>NC[QTDE]*NC[PREÇO]</f>
        <v>228</v>
      </c>
      <c r="M4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-228</v>
      </c>
      <c r="N4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0.04</v>
      </c>
      <c r="O4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0.02</v>
      </c>
      <c r="P4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0.03</v>
      </c>
      <c r="Q4" s="23">
        <f>SETUP!$E$3*SUMPRODUCT(N(NC[DATA]=NC[[#This Row],[DATA]]),N(NC[ID]&lt;=NC[[#This Row],[ID]]))</f>
        <v>14.9</v>
      </c>
      <c r="R4" s="23">
        <f>TRUNC(NC[CORRETAGEM]*SETUP!$F$3,2)</f>
        <v>0.28999999999999998</v>
      </c>
      <c r="S4" s="23">
        <f>ROUND(NC[CORRETAGEM]*SETUP!$G$3,2)</f>
        <v>0.57999999999999996</v>
      </c>
      <c r="T4" s="23">
        <f>NC[VALOR LÍQUIDO DAS OPERAÇÕES]-NC[TAXA DE LIQUIDAÇÃO]-NC[EMOLUMENTOS]-NC[TAXA DE REGISTRO]-NC[CORRETAGEM]-NC[ISS]-IF(NC['[D/N']]="D",    0,    NC[OUTRAS BOVESPA])</f>
        <v>-243.28</v>
      </c>
      <c r="U4" s="23">
        <f>IF(AND(NC['[D/N']]="D",    NC[T]="CV"),    ROUND(NC[LÍQUIDO BASE]*0.01, 2),    0)</f>
        <v>0</v>
      </c>
      <c r="V4" s="23">
        <f>NC[LÍQUIDO BASE]-SUMPRODUCT(N(NC[DATA]=NC[[#This Row],[DATA]]),    NC[IRRF FONTE])</f>
        <v>-245.25</v>
      </c>
      <c r="W4" s="23">
        <f>NC[LÍQUIDO]-SUMPRODUCT(N(NC[DATA]=NC[[#This Row],[DATA]]),N(NC[ID]=(NC[[#This Row],[ID]]-1)),NC[LÍQUIDO])</f>
        <v>-245.25</v>
      </c>
      <c r="X4" s="23">
        <f t="shared" si="0"/>
        <v>0.204375</v>
      </c>
      <c r="Y4" s="23">
        <f>TRUNC(IF(OR(NC[T]="CV",NC[T]="VV"),     L4*SETUP!$H$3,     0),2)</f>
        <v>0</v>
      </c>
      <c r="Z4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4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0.204375</v>
      </c>
      <c r="AB4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4" s="23">
        <f>IF(AND(NC[MED CP] &gt; 0, NC[MED VD] &gt; 0), (NC[MED VD] - NC[MED CP]) * NC[QTDE], 0) + NC[IRRF FONTE]</f>
        <v>0</v>
      </c>
      <c r="AD4" s="23">
        <f>IF(NC[U] = "U", SUMPRODUCT(N(NC[ID]&lt;=NC[[#This Row],[ID]]),N(NC[DATA BASE]=NC[[#This Row],[DATA BASE]]), N(NC['[D/N']] = "N"),    NC[LUCRO P/ OP]), 0)</f>
        <v>0</v>
      </c>
      <c r="AE4" s="23">
        <f>IF(NC[U] = "U",NC[LUCRO '[N']] + SUMPRODUCT(N(MONTH(NC[DATA BASE])=MONTH(NC[[#This Row],[DATA BASE]]) - 1), NC[LUCRO '[N']]),0)</f>
        <v>0</v>
      </c>
      <c r="AF4" s="23">
        <f>IF(NC[U] = "U", SUMPRODUCT(N(NC[DATA BASE]=NC[[#This Row],[DATA BASE]]), N(NC['[D/N']] = "D"),    NC[LUCRO P/ OP]), 0)</f>
        <v>0</v>
      </c>
      <c r="AG4" s="28">
        <f>IF(NC[ TRIB. '[N']] &gt; 0,     ROUND(NC[ TRIB. '[N']]*0.15,    2),    0)</f>
        <v>0</v>
      </c>
      <c r="AH4" s="28">
        <f>IF(NC[LUCRO TRIB. DT] &gt; 0,     ROUND(NC[LUCRO TRIB. DT]*0.2,    2)  -  SUMPRODUCT(N(NC[DATA BASE]=NC[[#This Row],[DATA BASE]]),    NC[IRRF FONTE]),    0)</f>
        <v>0</v>
      </c>
      <c r="AI4" s="27">
        <f>NC[IR '[N']] + NC[IR DEVIDO DT]</f>
        <v>0</v>
      </c>
      <c r="AJ4" s="27">
        <f>IF(AND(NC[U] = "U",NC[IR DEVIDO] &gt; 0), NC[IR DEVIDO] + 8.9, 0)</f>
        <v>0</v>
      </c>
      <c r="AK4" s="27">
        <f>NC[LUCRO '[N']]  + NC[LUCRO TRIB. DT] - NC[RESGATE]</f>
        <v>0</v>
      </c>
    </row>
    <row r="5" spans="1:37" x14ac:dyDescent="0.2">
      <c r="A5" s="21">
        <v>4</v>
      </c>
      <c r="B5" s="21"/>
      <c r="C5" s="21" t="s">
        <v>44</v>
      </c>
      <c r="D5" s="21" t="s">
        <v>39</v>
      </c>
      <c r="E5" s="22">
        <v>40981</v>
      </c>
      <c r="F5" s="21">
        <v>1200</v>
      </c>
      <c r="G5" s="23">
        <v>0.38</v>
      </c>
      <c r="H5" s="21" t="s">
        <v>16</v>
      </c>
      <c r="I5" s="22">
        <f>WORKDAY(NC[[#This Row],[DATA]],1,0)</f>
        <v>40982</v>
      </c>
      <c r="J5" s="29">
        <f>EOMONTH(NC[[#This Row],[DATA DE LIQUIDAÇÃO]],0)</f>
        <v>40999</v>
      </c>
      <c r="K5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L5" s="23">
        <f>NC[QTDE]*NC[PREÇO]</f>
        <v>456</v>
      </c>
      <c r="M5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228</v>
      </c>
      <c r="N5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0.12</v>
      </c>
      <c r="O5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0.08</v>
      </c>
      <c r="P5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</v>
      </c>
      <c r="Q5" s="23">
        <f>SETUP!$E$3*SUMPRODUCT(N(NC[DATA]=NC[[#This Row],[DATA]]),N(NC[ID]&lt;=NC[[#This Row],[ID]]))</f>
        <v>29.8</v>
      </c>
      <c r="R5" s="23">
        <f>TRUNC(NC[CORRETAGEM]*SETUP!$F$3,2)</f>
        <v>0.59</v>
      </c>
      <c r="S5" s="23">
        <f>ROUND(NC[CORRETAGEM]*SETUP!$G$3,2)</f>
        <v>1.1599999999999999</v>
      </c>
      <c r="T5" s="23">
        <f>NC[VALOR LÍQUIDO DAS OPERAÇÕES]-NC[TAXA DE LIQUIDAÇÃO]-NC[EMOLUMENTOS]-NC[TAXA DE REGISTRO]-NC[CORRETAGEM]-NC[ISS]-IF(NC['[D/N']]="D",    0,    NC[OUTRAS BOVESPA])</f>
        <v>197.30999999999997</v>
      </c>
      <c r="U5" s="23">
        <f>IF(AND(NC['[D/N']]="D",    NC[T]="CV"),    ROUND(NC[LÍQUIDO BASE]*0.01, 2),    0)</f>
        <v>1.97</v>
      </c>
      <c r="V5" s="23">
        <f>NC[LÍQUIDO BASE]-SUMPRODUCT(N(NC[DATA]=NC[[#This Row],[DATA]]),    NC[IRRF FONTE])</f>
        <v>195.33999999999997</v>
      </c>
      <c r="W5" s="23">
        <f>NC[LÍQUIDO]-SUMPRODUCT(N(NC[DATA]=NC[[#This Row],[DATA]]),N(NC[ID]=(NC[[#This Row],[ID]]-1)),NC[LÍQUIDO])</f>
        <v>440.59</v>
      </c>
      <c r="X5" s="23">
        <f t="shared" si="0"/>
        <v>0.36715833333333331</v>
      </c>
      <c r="Y5" s="23">
        <f>TRUNC(IF(OR(NC[T]="CV",NC[T]="VV"),     L5*SETUP!$H$3,     0),2)</f>
        <v>0.02</v>
      </c>
      <c r="Z5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5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0.204375</v>
      </c>
      <c r="AB5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0.36715833333333331</v>
      </c>
      <c r="AC5" s="23">
        <f>IF(AND(NC[MED CP] &gt; 0, NC[MED VD] &gt; 0), (NC[MED VD] - NC[MED CP]) * NC[QTDE], 0) + NC[IRRF FONTE]</f>
        <v>197.30999999999997</v>
      </c>
      <c r="AD5" s="23">
        <f>IF(NC[U] = "U", SUMPRODUCT(N(NC[ID]&lt;=NC[[#This Row],[ID]]),N(NC[DATA BASE]=NC[[#This Row],[DATA BASE]]), N(NC['[D/N']] = "N"),    NC[LUCRO P/ OP]), 0)</f>
        <v>0</v>
      </c>
      <c r="AE5" s="23">
        <f>IF(NC[U] = "U",NC[LUCRO '[N']] + SUMPRODUCT(N(MONTH(NC[DATA BASE])=MONTH(NC[[#This Row],[DATA BASE]]) - 1), NC[LUCRO '[N']]),0)</f>
        <v>0</v>
      </c>
      <c r="AF5" s="23">
        <f>IF(NC[U] = "U", SUMPRODUCT(N(NC[DATA BASE]=NC[[#This Row],[DATA BASE]]), N(NC['[D/N']] = "D"),    NC[LUCRO P/ OP]), 0)</f>
        <v>0</v>
      </c>
      <c r="AG5" s="28">
        <f>IF(NC[ TRIB. '[N']] &gt; 0,     ROUND(NC[ TRIB. '[N']]*0.15,    2),    0)</f>
        <v>0</v>
      </c>
      <c r="AH5" s="28">
        <f>IF(NC[LUCRO TRIB. DT] &gt; 0,     ROUND(NC[LUCRO TRIB. DT]*0.2,    2)  -  SUMPRODUCT(N(NC[DATA BASE]=NC[[#This Row],[DATA BASE]]),    NC[IRRF FONTE]),    0)</f>
        <v>0</v>
      </c>
      <c r="AI5" s="27">
        <f>NC[IR '[N']] + NC[IR DEVIDO DT]</f>
        <v>0</v>
      </c>
      <c r="AJ5" s="27">
        <f>IF(AND(NC[U] = "U",NC[IR DEVIDO] &gt; 0), NC[IR DEVIDO] + 8.9, 0)</f>
        <v>0</v>
      </c>
      <c r="AK5" s="27">
        <f>NC[LUCRO '[N']]  + NC[LUCRO TRIB. DT] - NC[RESGATE]</f>
        <v>0</v>
      </c>
    </row>
    <row r="6" spans="1:37" x14ac:dyDescent="0.2">
      <c r="A6" s="21">
        <v>5</v>
      </c>
      <c r="B6" s="21"/>
      <c r="C6" s="21" t="s">
        <v>43</v>
      </c>
      <c r="D6" s="21" t="s">
        <v>39</v>
      </c>
      <c r="E6" s="22">
        <v>40981</v>
      </c>
      <c r="F6" s="21">
        <v>400</v>
      </c>
      <c r="G6" s="23">
        <v>0.8</v>
      </c>
      <c r="H6" s="21" t="s">
        <v>7</v>
      </c>
      <c r="I6" s="22">
        <f>WORKDAY(NC[[#This Row],[DATA]],1,0)</f>
        <v>40982</v>
      </c>
      <c r="J6" s="29">
        <f>EOMONTH(NC[[#This Row],[DATA DE LIQUIDAÇÃO]],0)</f>
        <v>40999</v>
      </c>
      <c r="K6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6" s="23">
        <f>NC[QTDE]*NC[PREÇO]</f>
        <v>320</v>
      </c>
      <c r="M6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548</v>
      </c>
      <c r="N6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0.21</v>
      </c>
      <c r="O6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</v>
      </c>
      <c r="P6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0.32</v>
      </c>
      <c r="Q6" s="23">
        <f>SETUP!$E$3*SUMPRODUCT(N(NC[DATA]=NC[[#This Row],[DATA]]),N(NC[ID]&lt;=NC[[#This Row],[ID]]))</f>
        <v>44.7</v>
      </c>
      <c r="R6" s="23">
        <f>TRUNC(NC[CORRETAGEM]*SETUP!$F$3,2)</f>
        <v>0.89</v>
      </c>
      <c r="S6" s="23">
        <f>ROUND(NC[CORRETAGEM]*SETUP!$G$3,2)</f>
        <v>1.74</v>
      </c>
      <c r="T6" s="23">
        <f>NC[VALOR LÍQUIDO DAS OPERAÇÕES]-NC[TAXA DE LIQUIDAÇÃO]-NC[EMOLUMENTOS]-NC[TAXA DE REGISTRO]-NC[CORRETAGEM]-NC[ISS]-IF(NC['[D/N']]="D",    0,    NC[OUTRAS BOVESPA])</f>
        <v>499.93999999999988</v>
      </c>
      <c r="U6" s="23">
        <f>IF(AND(NC['[D/N']]="D",    NC[T]="CV"),    ROUND(NC[LÍQUIDO BASE]*0.01, 2),    0)</f>
        <v>0</v>
      </c>
      <c r="V6" s="23">
        <f>NC[LÍQUIDO BASE]-SUMPRODUCT(N(NC[DATA]=NC[[#This Row],[DATA]]),    NC[IRRF FONTE])</f>
        <v>497.96999999999986</v>
      </c>
      <c r="W6" s="23">
        <f>NC[LÍQUIDO]-SUMPRODUCT(N(NC[DATA]=NC[[#This Row],[DATA]]),N(NC[ID]=(NC[[#This Row],[ID]]-1)),NC[LÍQUIDO])</f>
        <v>302.62999999999988</v>
      </c>
      <c r="X6" s="23">
        <f t="shared" si="0"/>
        <v>0.75657499999999966</v>
      </c>
      <c r="Y6" s="23">
        <f>TRUNC(IF(OR(NC[T]="CV",NC[T]="VV"),     L6*SETUP!$H$3,     0),2)</f>
        <v>0.01</v>
      </c>
      <c r="Z6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6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0.43999999999999995</v>
      </c>
      <c r="AB6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0.75657499999999966</v>
      </c>
      <c r="AC6" s="23">
        <f>IF(AND(NC[MED CP] &gt; 0, NC[MED VD] &gt; 0), (NC[MED VD] - NC[MED CP]) * NC[QTDE], 0) + NC[IRRF FONTE]</f>
        <v>126.62999999999988</v>
      </c>
      <c r="AD6" s="23">
        <f>IF(NC[U] = "U", SUMPRODUCT(N(NC[ID]&lt;=NC[[#This Row],[ID]]),N(NC[DATA BASE]=NC[[#This Row],[DATA BASE]]), N(NC['[D/N']] = "N"),    NC[LUCRO P/ OP]), 0)</f>
        <v>0</v>
      </c>
      <c r="AE6" s="23">
        <f>IF(NC[U] = "U",NC[LUCRO '[N']] + SUMPRODUCT(N(MONTH(NC[DATA BASE])=MONTH(NC[[#This Row],[DATA BASE]]) - 1), NC[LUCRO '[N']]),0)</f>
        <v>0</v>
      </c>
      <c r="AF6" s="23">
        <f>IF(NC[U] = "U", SUMPRODUCT(N(NC[DATA BASE]=NC[[#This Row],[DATA BASE]]), N(NC['[D/N']] = "D"),    NC[LUCRO P/ OP]), 0)</f>
        <v>0</v>
      </c>
      <c r="AG6" s="28">
        <f>IF(NC[ TRIB. '[N']] &gt; 0,     ROUND(NC[ TRIB. '[N']]*0.15,    2),    0)</f>
        <v>0</v>
      </c>
      <c r="AH6" s="28">
        <f>IF(NC[LUCRO TRIB. DT] &gt; 0,     ROUND(NC[LUCRO TRIB. DT]*0.2,    2)  -  SUMPRODUCT(N(NC[DATA BASE]=NC[[#This Row],[DATA BASE]]),    NC[IRRF FONTE]),    0)</f>
        <v>0</v>
      </c>
      <c r="AI6" s="27">
        <f>NC[IR '[N']] + NC[IR DEVIDO DT]</f>
        <v>0</v>
      </c>
      <c r="AJ6" s="27">
        <f>IF(AND(NC[U] = "U",NC[IR DEVIDO] &gt; 0), NC[IR DEVIDO] + 8.9, 0)</f>
        <v>0</v>
      </c>
      <c r="AK6" s="27">
        <f>NC[LUCRO '[N']]  + NC[LUCRO TRIB. DT] - NC[RESGATE]</f>
        <v>0</v>
      </c>
    </row>
    <row r="7" spans="1:37" x14ac:dyDescent="0.2">
      <c r="A7" s="21">
        <v>6</v>
      </c>
      <c r="B7" s="21"/>
      <c r="C7" s="21" t="s">
        <v>45</v>
      </c>
      <c r="D7" s="21" t="s">
        <v>38</v>
      </c>
      <c r="E7" s="22">
        <v>40981</v>
      </c>
      <c r="F7" s="21">
        <v>200</v>
      </c>
      <c r="G7" s="23">
        <v>0.8</v>
      </c>
      <c r="H7" s="21" t="s">
        <v>7</v>
      </c>
      <c r="I7" s="22">
        <f>WORKDAY(NC[[#This Row],[DATA]],1,0)</f>
        <v>40982</v>
      </c>
      <c r="J7" s="29">
        <f>EOMONTH(NC[[#This Row],[DATA DE LIQUIDAÇÃO]],0)</f>
        <v>40999</v>
      </c>
      <c r="K7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L7" s="23">
        <f>NC[QTDE]*NC[PREÇO]</f>
        <v>160</v>
      </c>
      <c r="M7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388</v>
      </c>
      <c r="N7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0.25</v>
      </c>
      <c r="O7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0.25</v>
      </c>
      <c r="P7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0.43</v>
      </c>
      <c r="Q7" s="23">
        <f>SETUP!$E$3*SUMPRODUCT(N(NC[DATA]=NC[[#This Row],[DATA]]),N(NC[ID]&lt;=NC[[#This Row],[ID]]))</f>
        <v>59.6</v>
      </c>
      <c r="R7" s="23">
        <f>TRUNC(NC[CORRETAGEM]*SETUP!$F$3,2)</f>
        <v>1.19</v>
      </c>
      <c r="S7" s="23">
        <f>ROUND(NC[CORRETAGEM]*SETUP!$G$3,2)</f>
        <v>2.3199999999999998</v>
      </c>
      <c r="T7" s="23">
        <f>NC[VALOR LÍQUIDO DAS OPERAÇÕES]-NC[TAXA DE LIQUIDAÇÃO]-NC[EMOLUMENTOS]-NC[TAXA DE REGISTRO]-NC[CORRETAGEM]-NC[ISS]-IF(NC['[D/N']]="D",    0,    NC[OUTRAS BOVESPA])</f>
        <v>323.95999999999998</v>
      </c>
      <c r="U7" s="23">
        <f>IF(AND(NC['[D/N']]="D",    NC[T]="CV"),    ROUND(NC[LÍQUIDO BASE]*0.01, 2),    0)</f>
        <v>0</v>
      </c>
      <c r="V7" s="23">
        <f>NC[LÍQUIDO BASE]-SUMPRODUCT(N(NC[DATA]=NC[[#This Row],[DATA]]),    NC[IRRF FONTE])</f>
        <v>321.98999999999995</v>
      </c>
      <c r="W7" s="23">
        <f>NC[LÍQUIDO]-SUMPRODUCT(N(NC[DATA]=NC[[#This Row],[DATA]]),N(NC[ID]=(NC[[#This Row],[ID]]-1)),NC[LÍQUIDO])</f>
        <v>-175.9799999999999</v>
      </c>
      <c r="X7" s="23">
        <f t="shared" si="0"/>
        <v>0.87989999999999957</v>
      </c>
      <c r="Y7" s="23">
        <f>TRUNC(IF(OR(NC[T]="CV",NC[T]="VV"),     L7*SETUP!$H$3,     0),2)</f>
        <v>0</v>
      </c>
      <c r="Z7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200</v>
      </c>
      <c r="AA7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0.87989999999999957</v>
      </c>
      <c r="AB7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7" s="23">
        <f>IF(AND(NC[MED CP] &gt; 0, NC[MED VD] &gt; 0), (NC[MED VD] - NC[MED CP]) * NC[QTDE], 0) + NC[IRRF FONTE]</f>
        <v>0</v>
      </c>
      <c r="AD7" s="23">
        <f>IF(NC[U] = "U", SUMPRODUCT(N(NC[ID]&lt;=NC[[#This Row],[ID]]),N(NC[DATA BASE]=NC[[#This Row],[DATA BASE]]), N(NC['[D/N']] = "N"),    NC[LUCRO P/ OP]), 0)</f>
        <v>0</v>
      </c>
      <c r="AE7" s="23">
        <f>IF(NC[U] = "U",NC[LUCRO '[N']] + SUMPRODUCT(N(MONTH(NC[DATA BASE])=MONTH(NC[[#This Row],[DATA BASE]]) - 1), NC[LUCRO '[N']]),0)</f>
        <v>0</v>
      </c>
      <c r="AF7" s="23">
        <f>IF(NC[U] = "U", SUMPRODUCT(N(NC[DATA BASE]=NC[[#This Row],[DATA BASE]]), N(NC['[D/N']] = "D"),    NC[LUCRO P/ OP]), 0)</f>
        <v>0</v>
      </c>
      <c r="AG7" s="28">
        <f>IF(NC[ TRIB. '[N']] &gt; 0,     ROUND(NC[ TRIB. '[N']]*0.15,    2),    0)</f>
        <v>0</v>
      </c>
      <c r="AH7" s="28">
        <f>IF(NC[LUCRO TRIB. DT] &gt; 0,     ROUND(NC[LUCRO TRIB. DT]*0.2,    2)  -  SUMPRODUCT(N(NC[DATA BASE]=NC[[#This Row],[DATA BASE]]),    NC[IRRF FONTE]),    0)</f>
        <v>0</v>
      </c>
      <c r="AI7" s="27">
        <f>NC[IR '[N']] + NC[IR DEVIDO DT]</f>
        <v>0</v>
      </c>
      <c r="AJ7" s="27">
        <f>IF(AND(NC[U] = "U",NC[IR DEVIDO] &gt; 0), NC[IR DEVIDO] + 8.9, 0)</f>
        <v>0</v>
      </c>
      <c r="AK7" s="27">
        <f>NC[LUCRO '[N']]  + NC[LUCRO TRIB. DT] - NC[RESGATE]</f>
        <v>0</v>
      </c>
    </row>
    <row r="8" spans="1:37" x14ac:dyDescent="0.2">
      <c r="A8" s="21">
        <v>7</v>
      </c>
      <c r="B8" s="21"/>
      <c r="C8" s="21" t="s">
        <v>42</v>
      </c>
      <c r="D8" s="21" t="s">
        <v>39</v>
      </c>
      <c r="E8" s="22">
        <v>40981</v>
      </c>
      <c r="F8" s="21">
        <v>600</v>
      </c>
      <c r="G8" s="23">
        <v>0.56000000000000005</v>
      </c>
      <c r="H8" s="21" t="s">
        <v>7</v>
      </c>
      <c r="I8" s="22">
        <f>WORKDAY(NC[[#This Row],[DATA]],1,0)</f>
        <v>40982</v>
      </c>
      <c r="J8" s="29">
        <f>EOMONTH(NC[[#This Row],[DATA DE LIQUIDAÇÃO]],0)</f>
        <v>40999</v>
      </c>
      <c r="K8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8" s="23">
        <f>NC[QTDE]*NC[PREÇO]</f>
        <v>336.00000000000006</v>
      </c>
      <c r="M8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724</v>
      </c>
      <c r="N8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0.34</v>
      </c>
      <c r="O8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0.38</v>
      </c>
      <c r="P8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0.66</v>
      </c>
      <c r="Q8" s="23">
        <f>SETUP!$E$3*SUMPRODUCT(N(NC[DATA]=NC[[#This Row],[DATA]]),N(NC[ID]&lt;=NC[[#This Row],[ID]]))</f>
        <v>74.5</v>
      </c>
      <c r="R8" s="23">
        <f>TRUNC(NC[CORRETAGEM]*SETUP!$F$3,2)</f>
        <v>1.49</v>
      </c>
      <c r="S8" s="23">
        <f>ROUND(NC[CORRETAGEM]*SETUP!$G$3,2)</f>
        <v>2.91</v>
      </c>
      <c r="T8" s="23">
        <f>NC[VALOR LÍQUIDO DAS OPERAÇÕES]-NC[TAXA DE LIQUIDAÇÃO]-NC[EMOLUMENTOS]-NC[TAXA DE REGISTRO]-NC[CORRETAGEM]-NC[ISS]-IF(NC['[D/N']]="D",    0,    NC[OUTRAS BOVESPA])</f>
        <v>643.72</v>
      </c>
      <c r="U8" s="23">
        <f>IF(AND(NC['[D/N']]="D",    NC[T]="CV"),    ROUND(NC[LÍQUIDO BASE]*0.01, 2),    0)</f>
        <v>0</v>
      </c>
      <c r="V8" s="23">
        <f>NC[LÍQUIDO BASE]-SUMPRODUCT(N(NC[DATA]=NC[[#This Row],[DATA]]),    NC[IRRF FONTE])</f>
        <v>641.75</v>
      </c>
      <c r="W8" s="23">
        <f>NC[LÍQUIDO]-SUMPRODUCT(N(NC[DATA]=NC[[#This Row],[DATA]]),N(NC[ID]=(NC[[#This Row],[ID]]-1)),NC[LÍQUIDO])</f>
        <v>319.76000000000005</v>
      </c>
      <c r="X8" s="23">
        <f t="shared" si="0"/>
        <v>0.53293333333333337</v>
      </c>
      <c r="Y8" s="23">
        <f>TRUNC(IF(OR(NC[T]="CV",NC[T]="VV"),     L8*SETUP!$H$3,     0),2)</f>
        <v>0.01</v>
      </c>
      <c r="Z8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8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0.30663333333333342</v>
      </c>
      <c r="AB8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0.53293333333333337</v>
      </c>
      <c r="AC8" s="23">
        <f>IF(AND(NC[MED CP] &gt; 0, NC[MED VD] &gt; 0), (NC[MED VD] - NC[MED CP]) * NC[QTDE], 0) + NC[IRRF FONTE]</f>
        <v>135.77999999999997</v>
      </c>
      <c r="AD8" s="23">
        <f>IF(NC[U] = "U", SUMPRODUCT(N(NC[ID]&lt;=NC[[#This Row],[ID]]),N(NC[DATA BASE]=NC[[#This Row],[DATA BASE]]), N(NC['[D/N']] = "N"),    NC[LUCRO P/ OP]), 0)</f>
        <v>0</v>
      </c>
      <c r="AE8" s="23">
        <f>IF(NC[U] = "U",NC[LUCRO '[N']] + SUMPRODUCT(N(MONTH(NC[DATA BASE])=MONTH(NC[[#This Row],[DATA BASE]]) - 1), NC[LUCRO '[N']]),0)</f>
        <v>0</v>
      </c>
      <c r="AF8" s="23">
        <f>IF(NC[U] = "U", SUMPRODUCT(N(NC[DATA BASE]=NC[[#This Row],[DATA BASE]]), N(NC['[D/N']] = "D"),    NC[LUCRO P/ OP]), 0)</f>
        <v>0</v>
      </c>
      <c r="AG8" s="28">
        <f>IF(NC[ TRIB. '[N']] &gt; 0,     ROUND(NC[ TRIB. '[N']]*0.15,    2),    0)</f>
        <v>0</v>
      </c>
      <c r="AH8" s="28">
        <f>IF(NC[LUCRO TRIB. DT] &gt; 0,     ROUND(NC[LUCRO TRIB. DT]*0.2,    2)  -  SUMPRODUCT(N(NC[DATA BASE]=NC[[#This Row],[DATA BASE]]),    NC[IRRF FONTE]),    0)</f>
        <v>0</v>
      </c>
      <c r="AI8" s="27">
        <f>NC[IR '[N']] + NC[IR DEVIDO DT]</f>
        <v>0</v>
      </c>
      <c r="AJ8" s="27">
        <f>IF(AND(NC[U] = "U",NC[IR DEVIDO] &gt; 0), NC[IR DEVIDO] + 8.9, 0)</f>
        <v>0</v>
      </c>
      <c r="AK8" s="27">
        <f>NC[LUCRO '[N']]  + NC[LUCRO TRIB. DT] - NC[RESGATE]</f>
        <v>0</v>
      </c>
    </row>
    <row r="9" spans="1:37" x14ac:dyDescent="0.2">
      <c r="A9" s="21">
        <v>8</v>
      </c>
      <c r="B9" s="21"/>
      <c r="C9" s="21" t="s">
        <v>56</v>
      </c>
      <c r="D9" s="21" t="s">
        <v>38</v>
      </c>
      <c r="E9" s="22">
        <v>40982</v>
      </c>
      <c r="F9" s="21">
        <v>2400</v>
      </c>
      <c r="G9" s="23">
        <v>0.13</v>
      </c>
      <c r="H9" s="21" t="s">
        <v>16</v>
      </c>
      <c r="I9" s="22">
        <f>WORKDAY(NC[[#This Row],[DATA]],1,0)</f>
        <v>40983</v>
      </c>
      <c r="J9" s="30">
        <f>EOMONTH(NC[[#This Row],[DATA DE LIQUIDAÇÃO]],0)</f>
        <v>40999</v>
      </c>
      <c r="K9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L9" s="23">
        <f>NC[QTDE]*NC[PREÇO]</f>
        <v>312</v>
      </c>
      <c r="M9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-312</v>
      </c>
      <c r="N9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0.05</v>
      </c>
      <c r="O9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0.03</v>
      </c>
      <c r="P9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0.04</v>
      </c>
      <c r="Q9" s="23">
        <f>SETUP!$E$3*SUMPRODUCT(N(NC[DATA]=NC[[#This Row],[DATA]]),N(NC[ID]&lt;=NC[[#This Row],[ID]]))</f>
        <v>14.9</v>
      </c>
      <c r="R9" s="23">
        <f>TRUNC(NC[CORRETAGEM]*SETUP!$F$3,2)</f>
        <v>0.28999999999999998</v>
      </c>
      <c r="S9" s="23">
        <f>ROUND(NC[CORRETAGEM]*SETUP!$G$3,2)</f>
        <v>0.57999999999999996</v>
      </c>
      <c r="T9" s="23">
        <f>NC[VALOR LÍQUIDO DAS OPERAÇÕES]-NC[TAXA DE LIQUIDAÇÃO]-NC[EMOLUMENTOS]-NC[TAXA DE REGISTRO]-NC[CORRETAGEM]-NC[ISS]-IF(NC['[D/N']]="D",    0,    NC[OUTRAS BOVESPA])</f>
        <v>-327.31</v>
      </c>
      <c r="U9" s="23">
        <f>IF(AND(NC['[D/N']]="D",    NC[T]="CV"),    ROUND(NC[LÍQUIDO BASE]*0.01, 2),    0)</f>
        <v>0</v>
      </c>
      <c r="V9" s="23">
        <f>NC[LÍQUIDO BASE]-SUMPRODUCT(N(NC[DATA]=NC[[#This Row],[DATA]]),    NC[IRRF FONTE])</f>
        <v>-330.12</v>
      </c>
      <c r="W9" s="23">
        <f>NC[LÍQUIDO]-SUMPRODUCT(N(NC[DATA]=NC[[#This Row],[DATA]]),N(NC[ID]=(NC[[#This Row],[ID]]-1)),NC[LÍQUIDO])</f>
        <v>-330.12</v>
      </c>
      <c r="X9" s="23">
        <f t="shared" ref="X9:X14" si="1">ABS(W9)/F9</f>
        <v>0.13755000000000001</v>
      </c>
      <c r="Y9" s="23">
        <f>TRUNC(IF(OR(NC[T]="CV",NC[T]="VV"),     L9*SETUP!$H$3,     0),2)</f>
        <v>0</v>
      </c>
      <c r="Z9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9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0.13755000000000001</v>
      </c>
      <c r="AB9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9" s="23">
        <f>IF(AND(NC[MED CP] &gt; 0, NC[MED VD] &gt; 0), (NC[MED VD] - NC[MED CP]) * NC[QTDE], 0) + NC[IRRF FONTE]</f>
        <v>0</v>
      </c>
      <c r="AD9" s="23">
        <f>IF(NC[U] = "U", SUMPRODUCT(N(NC[ID]&lt;=NC[[#This Row],[ID]]),N(NC[DATA BASE]=NC[[#This Row],[DATA BASE]]), N(NC['[D/N']] = "N"),    NC[LUCRO P/ OP]), 0)</f>
        <v>0</v>
      </c>
      <c r="AE9" s="23">
        <f>IF(NC[U] = "U",NC[LUCRO '[N']] + SUMPRODUCT(N(MONTH(NC[DATA BASE])=MONTH(NC[[#This Row],[DATA BASE]]) - 1), NC[LUCRO '[N']]),0)</f>
        <v>0</v>
      </c>
      <c r="AF9" s="23">
        <f>IF(NC[U] = "U", SUMPRODUCT(N(NC[DATA BASE]=NC[[#This Row],[DATA BASE]]), N(NC['[D/N']] = "D"),    NC[LUCRO P/ OP]), 0)</f>
        <v>0</v>
      </c>
      <c r="AG9" s="28">
        <f>IF(NC[ TRIB. '[N']] &gt; 0,     ROUND(NC[ TRIB. '[N']]*0.15,    2),    0)</f>
        <v>0</v>
      </c>
      <c r="AH9" s="27">
        <f>IF(NC[LUCRO TRIB. DT] &gt; 0,     ROUND(NC[LUCRO TRIB. DT]*0.2,    2)  -  SUMPRODUCT(N(NC[DATA BASE]=NC[[#This Row],[DATA BASE]]),    NC[IRRF FONTE]),    0)</f>
        <v>0</v>
      </c>
      <c r="AI9" s="27">
        <f>NC[IR '[N']] + NC[IR DEVIDO DT]</f>
        <v>0</v>
      </c>
      <c r="AJ9" s="27">
        <f>IF(AND(NC[U] = "U",NC[IR DEVIDO] &gt; 0), NC[IR DEVIDO] + 8.9, 0)</f>
        <v>0</v>
      </c>
      <c r="AK9" s="27">
        <f>NC[LUCRO '[N']]  + NC[LUCRO TRIB. DT] - NC[RESGATE]</f>
        <v>0</v>
      </c>
    </row>
    <row r="10" spans="1:37" x14ac:dyDescent="0.2">
      <c r="A10" s="21">
        <v>9</v>
      </c>
      <c r="B10" s="21"/>
      <c r="C10" s="21" t="s">
        <v>56</v>
      </c>
      <c r="D10" s="21" t="s">
        <v>39</v>
      </c>
      <c r="E10" s="22">
        <v>40982</v>
      </c>
      <c r="F10" s="21">
        <v>2400</v>
      </c>
      <c r="G10" s="23">
        <v>0.26</v>
      </c>
      <c r="H10" s="21" t="s">
        <v>16</v>
      </c>
      <c r="I10" s="22">
        <f>WORKDAY(NC[[#This Row],[DATA]],1,0)</f>
        <v>40983</v>
      </c>
      <c r="J10" s="30">
        <f>EOMONTH(NC[[#This Row],[DATA DE LIQUIDAÇÃO]],0)</f>
        <v>40999</v>
      </c>
      <c r="K10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L10" s="23">
        <f>NC[QTDE]*NC[PREÇO]</f>
        <v>624</v>
      </c>
      <c r="M10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312</v>
      </c>
      <c r="N10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0.16</v>
      </c>
      <c r="O10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0.11</v>
      </c>
      <c r="P10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0.14000000000000001</v>
      </c>
      <c r="Q10" s="23">
        <f>SETUP!$E$3*SUMPRODUCT(N(NC[DATA]=NC[[#This Row],[DATA]]),N(NC[ID]&lt;=NC[[#This Row],[ID]]))</f>
        <v>29.8</v>
      </c>
      <c r="R10" s="23">
        <f>TRUNC(NC[CORRETAGEM]*SETUP!$F$3,2)</f>
        <v>0.59</v>
      </c>
      <c r="S10" s="23">
        <f>ROUND(NC[CORRETAGEM]*SETUP!$G$3,2)</f>
        <v>1.1599999999999999</v>
      </c>
      <c r="T10" s="23">
        <f>NC[VALOR LÍQUIDO DAS OPERAÇÕES]-NC[TAXA DE LIQUIDAÇÃO]-NC[EMOLUMENTOS]-NC[TAXA DE REGISTRO]-NC[CORRETAGEM]-NC[ISS]-IF(NC['[D/N']]="D",    0,    NC[OUTRAS BOVESPA])</f>
        <v>281.2</v>
      </c>
      <c r="U10" s="23">
        <f>IF(AND(NC['[D/N']]="D",    NC[T]="CV"),    ROUND(NC[LÍQUIDO BASE]*0.01, 2),    0)</f>
        <v>2.81</v>
      </c>
      <c r="V10" s="23">
        <f>NC[LÍQUIDO BASE]-SUMPRODUCT(N(NC[DATA]=NC[[#This Row],[DATA]]),    NC[IRRF FONTE])</f>
        <v>278.39</v>
      </c>
      <c r="W10" s="23">
        <f>NC[LÍQUIDO]-SUMPRODUCT(N(NC[DATA]=NC[[#This Row],[DATA]]),N(NC[ID]=(NC[[#This Row],[ID]]-1)),NC[LÍQUIDO])</f>
        <v>608.51</v>
      </c>
      <c r="X10" s="23">
        <f t="shared" si="1"/>
        <v>0.2535458333333333</v>
      </c>
      <c r="Y10" s="23">
        <f>TRUNC(IF(OR(NC[T]="CV",NC[T]="VV"),     L10*SETUP!$H$3,     0),2)</f>
        <v>0.03</v>
      </c>
      <c r="Z10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10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0.13755000000000001</v>
      </c>
      <c r="AB10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0.2535458333333333</v>
      </c>
      <c r="AC10" s="23">
        <f>IF(AND(NC[MED CP] &gt; 0, NC[MED VD] &gt; 0), (NC[MED VD] - NC[MED CP]) * NC[QTDE], 0) + NC[IRRF FONTE]</f>
        <v>281.19999999999993</v>
      </c>
      <c r="AD10" s="23">
        <f>IF(NC[U] = "U", SUMPRODUCT(N(NC[ID]&lt;=NC[[#This Row],[ID]]),N(NC[DATA BASE]=NC[[#This Row],[DATA BASE]]), N(NC['[D/N']] = "N"),    NC[LUCRO P/ OP]), 0)</f>
        <v>0</v>
      </c>
      <c r="AE10" s="23">
        <f>IF(NC[U] = "U",NC[LUCRO '[N']] + SUMPRODUCT(N(MONTH(NC[DATA BASE])=MONTH(NC[[#This Row],[DATA BASE]]) - 1), NC[LUCRO '[N']]),0)</f>
        <v>0</v>
      </c>
      <c r="AF10" s="23">
        <f>IF(NC[U] = "U", SUMPRODUCT(N(NC[DATA BASE]=NC[[#This Row],[DATA BASE]]), N(NC['[D/N']] = "D"),    NC[LUCRO P/ OP]), 0)</f>
        <v>0</v>
      </c>
      <c r="AG10" s="28">
        <f>IF(NC[ TRIB. '[N']] &gt; 0,     ROUND(NC[ TRIB. '[N']]*0.15,    2),    0)</f>
        <v>0</v>
      </c>
      <c r="AH10" s="27">
        <f>IF(NC[LUCRO TRIB. DT] &gt; 0,     ROUND(NC[LUCRO TRIB. DT]*0.2,    2)  -  SUMPRODUCT(N(NC[DATA BASE]=NC[[#This Row],[DATA BASE]]),    NC[IRRF FONTE]),    0)</f>
        <v>0</v>
      </c>
      <c r="AI10" s="27">
        <f>NC[IR '[N']] + NC[IR DEVIDO DT]</f>
        <v>0</v>
      </c>
      <c r="AJ10" s="27">
        <f>IF(AND(NC[U] = "U",NC[IR DEVIDO] &gt; 0), NC[IR DEVIDO] + 8.9, 0)</f>
        <v>0</v>
      </c>
      <c r="AK10" s="27">
        <f>NC[LUCRO '[N']]  + NC[LUCRO TRIB. DT] - NC[RESGATE]</f>
        <v>0</v>
      </c>
    </row>
    <row r="11" spans="1:37" x14ac:dyDescent="0.2">
      <c r="A11" s="21">
        <v>10</v>
      </c>
      <c r="B11" s="21"/>
      <c r="C11" s="21" t="s">
        <v>57</v>
      </c>
      <c r="D11" s="21" t="s">
        <v>38</v>
      </c>
      <c r="E11" s="22">
        <v>40982</v>
      </c>
      <c r="F11" s="21">
        <v>800</v>
      </c>
      <c r="G11" s="23">
        <v>0.39</v>
      </c>
      <c r="H11" s="21" t="s">
        <v>7</v>
      </c>
      <c r="I11" s="22">
        <f>WORKDAY(NC[[#This Row],[DATA]],1,0)</f>
        <v>40983</v>
      </c>
      <c r="J11" s="30">
        <f>EOMONTH(NC[[#This Row],[DATA DE LIQUIDAÇÃO]],0)</f>
        <v>40999</v>
      </c>
      <c r="K11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11" s="23">
        <f>NC[QTDE]*NC[PREÇO]</f>
        <v>312</v>
      </c>
      <c r="M11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0</v>
      </c>
      <c r="N11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0.25</v>
      </c>
      <c r="O11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0.22</v>
      </c>
      <c r="P11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0.35</v>
      </c>
      <c r="Q11" s="23">
        <f>SETUP!$E$3*SUMPRODUCT(N(NC[DATA]=NC[[#This Row],[DATA]]),N(NC[ID]&lt;=NC[[#This Row],[ID]]))</f>
        <v>44.7</v>
      </c>
      <c r="R11" s="23">
        <f>TRUNC(NC[CORRETAGEM]*SETUP!$F$3,2)</f>
        <v>0.89</v>
      </c>
      <c r="S11" s="23">
        <f>ROUND(NC[CORRETAGEM]*SETUP!$G$3,2)</f>
        <v>1.74</v>
      </c>
      <c r="T11" s="23">
        <f>NC[VALOR LÍQUIDO DAS OPERAÇÕES]-NC[TAXA DE LIQUIDAÇÃO]-NC[EMOLUMENTOS]-NC[TAXA DE REGISTRO]-NC[CORRETAGEM]-NC[ISS]-IF(NC['[D/N']]="D",    0,    NC[OUTRAS BOVESPA])</f>
        <v>-48.150000000000006</v>
      </c>
      <c r="U11" s="23">
        <f>IF(AND(NC['[D/N']]="D",    NC[T]="CV"),    ROUND(NC[LÍQUIDO BASE]*0.01, 2),    0)</f>
        <v>0</v>
      </c>
      <c r="V11" s="23">
        <f>NC[LÍQUIDO BASE]-SUMPRODUCT(N(NC[DATA]=NC[[#This Row],[DATA]]),    NC[IRRF FONTE])</f>
        <v>-50.960000000000008</v>
      </c>
      <c r="W11" s="23">
        <f>NC[LÍQUIDO]-SUMPRODUCT(N(NC[DATA]=NC[[#This Row],[DATA]]),N(NC[ID]=(NC[[#This Row],[ID]]-1)),NC[LÍQUIDO])</f>
        <v>-329.35</v>
      </c>
      <c r="X11" s="23">
        <f t="shared" si="1"/>
        <v>0.41168750000000004</v>
      </c>
      <c r="Y11" s="23">
        <f>TRUNC(IF(OR(NC[T]="CV",NC[T]="VV"),     L11*SETUP!$H$3,     0),2)</f>
        <v>0</v>
      </c>
      <c r="Z11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800</v>
      </c>
      <c r="AA11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0.41168750000000004</v>
      </c>
      <c r="AB11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11" s="23">
        <f>IF(AND(NC[MED CP] &gt; 0, NC[MED VD] &gt; 0), (NC[MED VD] - NC[MED CP]) * NC[QTDE], 0) + NC[IRRF FONTE]</f>
        <v>0</v>
      </c>
      <c r="AD11" s="23">
        <f>IF(NC[U] = "U", SUMPRODUCT(N(NC[ID]&lt;=NC[[#This Row],[ID]]),N(NC[DATA BASE]=NC[[#This Row],[DATA BASE]]), N(NC['[D/N']] = "N"),    NC[LUCRO P/ OP]), 0)</f>
        <v>0</v>
      </c>
      <c r="AE11" s="23">
        <f>IF(NC[U] = "U",NC[LUCRO '[N']] + SUMPRODUCT(N(MONTH(NC[DATA BASE])=MONTH(NC[[#This Row],[DATA BASE]]) - 1), NC[LUCRO '[N']]),0)</f>
        <v>0</v>
      </c>
      <c r="AF11" s="23">
        <f>IF(NC[U] = "U", SUMPRODUCT(N(NC[DATA BASE]=NC[[#This Row],[DATA BASE]]), N(NC['[D/N']] = "D"),    NC[LUCRO P/ OP]), 0)</f>
        <v>0</v>
      </c>
      <c r="AG11" s="27">
        <f>IF(NC[ TRIB. '[N']] &gt; 0,     ROUND(NC[ TRIB. '[N']]*0.15,    2),    0)</f>
        <v>0</v>
      </c>
      <c r="AH11" s="27">
        <f>IF(NC[LUCRO TRIB. DT] &gt; 0,     ROUND(NC[LUCRO TRIB. DT]*0.2,    2)  -  SUMPRODUCT(N(NC[DATA BASE]=NC[[#This Row],[DATA BASE]]),    NC[IRRF FONTE]),    0)</f>
        <v>0</v>
      </c>
      <c r="AI11" s="27">
        <f>NC[IR '[N']] + NC[IR DEVIDO DT]</f>
        <v>0</v>
      </c>
      <c r="AJ11" s="27">
        <f>IF(AND(NC[U] = "U",NC[IR DEVIDO] &gt; 0), NC[IR DEVIDO] + 8.9, 0)</f>
        <v>0</v>
      </c>
      <c r="AK11" s="27">
        <f>NC[LUCRO '[N']]  + NC[LUCRO TRIB. DT] - NC[RESGATE]</f>
        <v>0</v>
      </c>
    </row>
    <row r="12" spans="1:37" x14ac:dyDescent="0.2">
      <c r="A12" s="21">
        <v>11</v>
      </c>
      <c r="B12" s="21"/>
      <c r="C12" s="21" t="s">
        <v>59</v>
      </c>
      <c r="D12" s="21" t="s">
        <v>38</v>
      </c>
      <c r="E12" s="22">
        <v>40983</v>
      </c>
      <c r="F12" s="21">
        <v>500</v>
      </c>
      <c r="G12" s="23">
        <v>0.72</v>
      </c>
      <c r="H12" s="21" t="s">
        <v>7</v>
      </c>
      <c r="I12" s="22">
        <f>WORKDAY(NC[[#This Row],[DATA]],1,0)</f>
        <v>40984</v>
      </c>
      <c r="J12" s="30">
        <f>EOMONTH(NC[[#This Row],[DATA DE LIQUIDAÇÃO]],0)</f>
        <v>40999</v>
      </c>
      <c r="K12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12" s="23">
        <f>NC[QTDE]*NC[PREÇO]</f>
        <v>360</v>
      </c>
      <c r="M12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-360</v>
      </c>
      <c r="N12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0.09</v>
      </c>
      <c r="O12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0.13</v>
      </c>
      <c r="P12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0.25</v>
      </c>
      <c r="Q12" s="23">
        <f>SETUP!$E$3*SUMPRODUCT(N(NC[DATA]=NC[[#This Row],[DATA]]),N(NC[ID]&lt;=NC[[#This Row],[ID]]))</f>
        <v>14.9</v>
      </c>
      <c r="R12" s="23">
        <f>TRUNC(NC[CORRETAGEM]*SETUP!$F$3,2)</f>
        <v>0.28999999999999998</v>
      </c>
      <c r="S12" s="23">
        <f>ROUND(NC[CORRETAGEM]*SETUP!$G$3,2)</f>
        <v>0.57999999999999996</v>
      </c>
      <c r="T12" s="23">
        <f>NC[VALOR LÍQUIDO DAS OPERAÇÕES]-NC[TAXA DE LIQUIDAÇÃO]-NC[EMOLUMENTOS]-NC[TAXA DE REGISTRO]-NC[CORRETAGEM]-NC[ISS]-IF(NC['[D/N']]="D",    0,    NC[OUTRAS BOVESPA])</f>
        <v>-376.23999999999995</v>
      </c>
      <c r="U12" s="23">
        <f>IF(AND(NC['[D/N']]="D",    NC[T]="CV"),    ROUND(NC[LÍQUIDO BASE]*0.01, 2),    0)</f>
        <v>0</v>
      </c>
      <c r="V12" s="23">
        <f>NC[LÍQUIDO BASE]-SUMPRODUCT(N(NC[DATA]=NC[[#This Row],[DATA]]),    NC[IRRF FONTE])</f>
        <v>-376.23999999999995</v>
      </c>
      <c r="W12" s="23">
        <f>NC[LÍQUIDO]-SUMPRODUCT(N(NC[DATA]=NC[[#This Row],[DATA]]),N(NC[ID]=(NC[[#This Row],[ID]]-1)),NC[LÍQUIDO])</f>
        <v>-376.23999999999995</v>
      </c>
      <c r="X12" s="23">
        <f t="shared" si="1"/>
        <v>0.75247999999999993</v>
      </c>
      <c r="Y12" s="23">
        <f>TRUNC(IF(OR(NC[T]="CV",NC[T]="VV"),     L12*SETUP!$H$3,     0),2)</f>
        <v>0</v>
      </c>
      <c r="Z12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500</v>
      </c>
      <c r="AA12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0.75247999999999993</v>
      </c>
      <c r="AB12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12" s="23">
        <f>IF(AND(NC[MED CP] &gt; 0, NC[MED VD] &gt; 0), (NC[MED VD] - NC[MED CP]) * NC[QTDE], 0) + NC[IRRF FONTE]</f>
        <v>0</v>
      </c>
      <c r="AD12" s="23">
        <f>IF(NC[U] = "U", SUMPRODUCT(N(NC[ID]&lt;=NC[[#This Row],[ID]]),N(NC[DATA BASE]=NC[[#This Row],[DATA BASE]]), N(NC['[D/N']] = "N"),    NC[LUCRO P/ OP]), 0)</f>
        <v>0</v>
      </c>
      <c r="AE12" s="23">
        <f>IF(NC[U] = "U",NC[LUCRO '[N']] + SUMPRODUCT(N(MONTH(NC[DATA BASE])=MONTH(NC[[#This Row],[DATA BASE]]) - 1), NC[LUCRO '[N']]),0)</f>
        <v>0</v>
      </c>
      <c r="AF12" s="23">
        <f>IF(NC[U] = "U", SUMPRODUCT(N(NC[DATA BASE]=NC[[#This Row],[DATA BASE]]), N(NC['[D/N']] = "D"),    NC[LUCRO P/ OP]), 0)</f>
        <v>0</v>
      </c>
      <c r="AG12" s="28">
        <f>IF(NC[ TRIB. '[N']] &gt; 0,     ROUND(NC[ TRIB. '[N']]*0.15,    2),    0)</f>
        <v>0</v>
      </c>
      <c r="AH12" s="28">
        <f>IF(NC[LUCRO TRIB. DT] &gt; 0,     ROUND(NC[LUCRO TRIB. DT]*0.2,    2)  -  SUMPRODUCT(N(NC[DATA BASE]=NC[[#This Row],[DATA BASE]]),    NC[IRRF FONTE]),    0)</f>
        <v>0</v>
      </c>
      <c r="AI12" s="27">
        <f>NC[IR '[N']] + NC[IR DEVIDO DT]</f>
        <v>0</v>
      </c>
      <c r="AJ12" s="27">
        <f>IF(AND(NC[U] = "U",NC[IR DEVIDO] &gt; 0), NC[IR DEVIDO] + 8.9, 0)</f>
        <v>0</v>
      </c>
      <c r="AK12" s="27">
        <f>NC[LUCRO '[N']]  + NC[LUCRO TRIB. DT] - NC[RESGATE]</f>
        <v>0</v>
      </c>
    </row>
    <row r="13" spans="1:37" x14ac:dyDescent="0.2">
      <c r="A13" s="21">
        <v>12</v>
      </c>
      <c r="B13" s="21"/>
      <c r="C13" s="21" t="s">
        <v>57</v>
      </c>
      <c r="D13" s="21" t="s">
        <v>39</v>
      </c>
      <c r="E13" s="22">
        <v>40984</v>
      </c>
      <c r="F13" s="21">
        <v>800</v>
      </c>
      <c r="G13" s="23">
        <v>0.21</v>
      </c>
      <c r="H13" s="21" t="s">
        <v>7</v>
      </c>
      <c r="I13" s="22">
        <f>WORKDAY(NC[[#This Row],[DATA]],1,0)</f>
        <v>40987</v>
      </c>
      <c r="J13" s="30">
        <f>EOMONTH(NC[[#This Row],[DATA DE LIQUIDAÇÃO]],0)</f>
        <v>40999</v>
      </c>
      <c r="K13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13" s="23">
        <f>NC[QTDE]*NC[PREÇO]</f>
        <v>168</v>
      </c>
      <c r="M13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168</v>
      </c>
      <c r="N13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0.04</v>
      </c>
      <c r="O13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0.06</v>
      </c>
      <c r="P13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0.11</v>
      </c>
      <c r="Q13" s="23">
        <f>SETUP!$E$3*SUMPRODUCT(N(NC[DATA]=NC[[#This Row],[DATA]]),N(NC[ID]&lt;=NC[[#This Row],[ID]]))</f>
        <v>14.9</v>
      </c>
      <c r="R13" s="23">
        <f>TRUNC(NC[CORRETAGEM]*SETUP!$F$3,2)</f>
        <v>0.28999999999999998</v>
      </c>
      <c r="S13" s="23">
        <f>ROUND(NC[CORRETAGEM]*SETUP!$G$3,2)</f>
        <v>0.57999999999999996</v>
      </c>
      <c r="T13" s="23">
        <f>NC[VALOR LÍQUIDO DAS OPERAÇÕES]-NC[TAXA DE LIQUIDAÇÃO]-NC[EMOLUMENTOS]-NC[TAXA DE REGISTRO]-NC[CORRETAGEM]-NC[ISS]-IF(NC['[D/N']]="D",    0,    NC[OUTRAS BOVESPA])</f>
        <v>152.01999999999998</v>
      </c>
      <c r="U13" s="23">
        <f>IF(AND(NC['[D/N']]="D",    NC[T]="CV"),    ROUND(NC[LÍQUIDO BASE]*0.01, 2),    0)</f>
        <v>0</v>
      </c>
      <c r="V13" s="23">
        <f>NC[LÍQUIDO BASE]-SUMPRODUCT(N(NC[DATA]=NC[[#This Row],[DATA]]),    NC[IRRF FONTE])</f>
        <v>152.01999999999998</v>
      </c>
      <c r="W13" s="28">
        <f>NC[LÍQUIDO]-SUMPRODUCT(N(NC[DATA]=NC[[#This Row],[DATA]]),N(NC[ID]=(NC[[#This Row],[ID]]-1)),NC[LÍQUIDO])</f>
        <v>152.01999999999998</v>
      </c>
      <c r="X13" s="23">
        <f t="shared" si="1"/>
        <v>0.19002499999999997</v>
      </c>
      <c r="Y13" s="23">
        <f>TRUNC(IF(OR(NC[T]="CV",NC[T]="VV"),     L13*SETUP!$H$3,     0),2)</f>
        <v>0</v>
      </c>
      <c r="Z13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13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0.41168750000000004</v>
      </c>
      <c r="AB13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0.19002499999999997</v>
      </c>
      <c r="AC13" s="23">
        <f>IF(AND(NC[MED CP] &gt; 0, NC[MED VD] &gt; 0), (NC[MED VD] - NC[MED CP]) * NC[QTDE], 0) + NC[IRRF FONTE]</f>
        <v>-177.33000000000004</v>
      </c>
      <c r="AD13" s="23">
        <f>IF(NC[U] = "U", SUMPRODUCT(N(NC[ID]&lt;=NC[[#This Row],[ID]]),N(NC[DATA BASE]=NC[[#This Row],[DATA BASE]]), N(NC['[D/N']] = "N"),    NC[LUCRO P/ OP]), 0)</f>
        <v>0</v>
      </c>
      <c r="AE13" s="23">
        <f>IF(NC[U] = "U",NC[LUCRO '[N']] + SUMPRODUCT(N(MONTH(NC[DATA BASE])=MONTH(NC[[#This Row],[DATA BASE]]) - 1), NC[LUCRO '[N']]),0)</f>
        <v>0</v>
      </c>
      <c r="AF13" s="23">
        <f>IF(NC[U] = "U", SUMPRODUCT(N(NC[DATA BASE]=NC[[#This Row],[DATA BASE]]), N(NC['[D/N']] = "D"),    NC[LUCRO P/ OP]), 0)</f>
        <v>0</v>
      </c>
      <c r="AG13" s="28">
        <f>IF(NC[ TRIB. '[N']] &gt; 0,     ROUND(NC[ TRIB. '[N']]*0.15,    2),    0)</f>
        <v>0</v>
      </c>
      <c r="AH13" s="28">
        <f>IF(NC[LUCRO TRIB. DT] &gt; 0,     ROUND(NC[LUCRO TRIB. DT]*0.2,    2)  -  SUMPRODUCT(N(NC[DATA BASE]=NC[[#This Row],[DATA BASE]]),    NC[IRRF FONTE]),    0)</f>
        <v>0</v>
      </c>
      <c r="AI13" s="27">
        <f>NC[IR '[N']] + NC[IR DEVIDO DT]</f>
        <v>0</v>
      </c>
      <c r="AJ13" s="27">
        <f>IF(AND(NC[U] = "U",NC[IR DEVIDO] &gt; 0), NC[IR DEVIDO] + 8.9, 0)</f>
        <v>0</v>
      </c>
      <c r="AK13" s="27">
        <f>NC[LUCRO '[N']]  + NC[LUCRO TRIB. DT] - NC[RESGATE]</f>
        <v>0</v>
      </c>
    </row>
    <row r="14" spans="1:37" x14ac:dyDescent="0.2">
      <c r="A14" s="21">
        <v>13</v>
      </c>
      <c r="B14" s="21"/>
      <c r="C14" s="21" t="s">
        <v>59</v>
      </c>
      <c r="D14" s="21" t="s">
        <v>39</v>
      </c>
      <c r="E14" s="22">
        <v>40984</v>
      </c>
      <c r="F14" s="21">
        <v>500</v>
      </c>
      <c r="G14" s="23">
        <v>0.64</v>
      </c>
      <c r="H14" s="21" t="s">
        <v>7</v>
      </c>
      <c r="I14" s="22">
        <f>WORKDAY(NC[[#This Row],[DATA]],1,0)</f>
        <v>40987</v>
      </c>
      <c r="J14" s="30">
        <f>EOMONTH(NC[[#This Row],[DATA DE LIQUIDAÇÃO]],0)</f>
        <v>40999</v>
      </c>
      <c r="K14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14" s="23">
        <f>NC[QTDE]*NC[PREÇO]</f>
        <v>320</v>
      </c>
      <c r="M14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488</v>
      </c>
      <c r="N14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0.13</v>
      </c>
      <c r="O14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0.18</v>
      </c>
      <c r="P14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0.33</v>
      </c>
      <c r="Q14" s="23">
        <f>SETUP!$E$3*SUMPRODUCT(N(NC[DATA]=NC[[#This Row],[DATA]]),N(NC[ID]&lt;=NC[[#This Row],[ID]]))</f>
        <v>29.8</v>
      </c>
      <c r="R14" s="23">
        <f>TRUNC(NC[CORRETAGEM]*SETUP!$F$3,2)</f>
        <v>0.59</v>
      </c>
      <c r="S14" s="23">
        <f>ROUND(NC[CORRETAGEM]*SETUP!$G$3,2)</f>
        <v>1.1599999999999999</v>
      </c>
      <c r="T14" s="23">
        <f>NC[VALOR LÍQUIDO DAS OPERAÇÕES]-NC[TAXA DE LIQUIDAÇÃO]-NC[EMOLUMENTOS]-NC[TAXA DE REGISTRO]-NC[CORRETAGEM]-NC[ISS]-IF(NC['[D/N']]="D",    0,    NC[OUTRAS BOVESPA])</f>
        <v>455.81</v>
      </c>
      <c r="U14" s="23">
        <f>IF(AND(NC['[D/N']]="D",    NC[T]="CV"),    ROUND(NC[LÍQUIDO BASE]*0.01, 2),    0)</f>
        <v>0</v>
      </c>
      <c r="V14" s="23">
        <f>NC[LÍQUIDO BASE]-SUMPRODUCT(N(NC[DATA]=NC[[#This Row],[DATA]]),    NC[IRRF FONTE])</f>
        <v>455.81</v>
      </c>
      <c r="W14" s="28">
        <f>NC[LÍQUIDO]-SUMPRODUCT(N(NC[DATA]=NC[[#This Row],[DATA]]),N(NC[ID]=(NC[[#This Row],[ID]]-1)),NC[LÍQUIDO])</f>
        <v>303.79000000000002</v>
      </c>
      <c r="X14" s="23">
        <f t="shared" si="1"/>
        <v>0.60758000000000001</v>
      </c>
      <c r="Y14" s="23">
        <f>TRUNC(IF(OR(NC[T]="CV",NC[T]="VV"),     L14*SETUP!$H$3,     0),2)</f>
        <v>0.01</v>
      </c>
      <c r="Z14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14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0.75247999999999993</v>
      </c>
      <c r="AB14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0.60758000000000001</v>
      </c>
      <c r="AC14" s="23">
        <f>IF(AND(NC[MED CP] &gt; 0, NC[MED VD] &gt; 0), (NC[MED VD] - NC[MED CP]) * NC[QTDE], 0) + NC[IRRF FONTE]</f>
        <v>-72.44999999999996</v>
      </c>
      <c r="AD14" s="23">
        <f>IF(NC[U] = "U", SUMPRODUCT(N(NC[ID]&lt;=NC[[#This Row],[ID]]),N(NC[DATA BASE]=NC[[#This Row],[DATA BASE]]), N(NC['[D/N']] = "N"),    NC[LUCRO P/ OP]), 0)</f>
        <v>0</v>
      </c>
      <c r="AE14" s="23">
        <f>IF(NC[U] = "U",NC[LUCRO '[N']] + SUMPRODUCT(N(MONTH(NC[DATA BASE])=MONTH(NC[[#This Row],[DATA BASE]]) - 1), NC[LUCRO '[N']]),0)</f>
        <v>0</v>
      </c>
      <c r="AF14" s="23">
        <f>IF(NC[U] = "U", SUMPRODUCT(N(NC[DATA BASE]=NC[[#This Row],[DATA BASE]]), N(NC['[D/N']] = "D"),    NC[LUCRO P/ OP]), 0)</f>
        <v>0</v>
      </c>
      <c r="AG14" s="28">
        <f>IF(NC[ TRIB. '[N']] &gt; 0,     ROUND(NC[ TRIB. '[N']]*0.15,    2),    0)</f>
        <v>0</v>
      </c>
      <c r="AH14" s="28">
        <f>IF(NC[LUCRO TRIB. DT] &gt; 0,     ROUND(NC[LUCRO TRIB. DT]*0.2,    2)  -  SUMPRODUCT(N(NC[DATA BASE]=NC[[#This Row],[DATA BASE]]),    NC[IRRF FONTE]),    0)</f>
        <v>0</v>
      </c>
      <c r="AI14" s="27">
        <f>NC[IR '[N']] + NC[IR DEVIDO DT]</f>
        <v>0</v>
      </c>
      <c r="AJ14" s="27">
        <f>IF(AND(NC[U] = "U",NC[IR DEVIDO] &gt; 0), NC[IR DEVIDO] + 8.9, 0)</f>
        <v>0</v>
      </c>
      <c r="AK14" s="27">
        <f>NC[LUCRO '[N']]  + NC[LUCRO TRIB. DT] - NC[RESGATE]</f>
        <v>0</v>
      </c>
    </row>
    <row r="15" spans="1:37" x14ac:dyDescent="0.2">
      <c r="A15" s="21">
        <v>14</v>
      </c>
      <c r="B15" s="21"/>
      <c r="C15" s="21" t="s">
        <v>45</v>
      </c>
      <c r="D15" s="21" t="s">
        <v>39</v>
      </c>
      <c r="E15" s="22">
        <v>40984</v>
      </c>
      <c r="F15" s="21">
        <v>100</v>
      </c>
      <c r="G15" s="23">
        <v>1.06</v>
      </c>
      <c r="H15" s="21" t="s">
        <v>7</v>
      </c>
      <c r="I15" s="22">
        <f>WORKDAY(NC[[#This Row],[DATA]],1,0)</f>
        <v>40987</v>
      </c>
      <c r="J15" s="30">
        <f>EOMONTH(NC[[#This Row],[DATA DE LIQUIDAÇÃO]],0)</f>
        <v>40999</v>
      </c>
      <c r="K15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L15" s="23">
        <f>NC[QTDE]*NC[PREÇO]</f>
        <v>106</v>
      </c>
      <c r="M15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594</v>
      </c>
      <c r="N15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0.16</v>
      </c>
      <c r="O15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0.21</v>
      </c>
      <c r="P15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0.41</v>
      </c>
      <c r="Q15" s="23">
        <f>SETUP!$E$3*SUMPRODUCT(N(NC[DATA]=NC[[#This Row],[DATA]]),N(NC[ID]&lt;=NC[[#This Row],[ID]]))</f>
        <v>44.7</v>
      </c>
      <c r="R15" s="23">
        <f>TRUNC(NC[CORRETAGEM]*SETUP!$F$3,2)</f>
        <v>0.89</v>
      </c>
      <c r="S15" s="23">
        <f>ROUND(NC[CORRETAGEM]*SETUP!$G$3,2)</f>
        <v>1.74</v>
      </c>
      <c r="T15" s="23">
        <f>NC[VALOR LÍQUIDO DAS OPERAÇÕES]-NC[TAXA DE LIQUIDAÇÃO]-NC[EMOLUMENTOS]-NC[TAXA DE REGISTRO]-NC[CORRETAGEM]-NC[ISS]-IF(NC['[D/N']]="D",    0,    NC[OUTRAS BOVESPA])</f>
        <v>545.89</v>
      </c>
      <c r="U15" s="23">
        <f>IF(AND(NC['[D/N']]="D",    NC[T]="CV"),    ROUND(NC[LÍQUIDO BASE]*0.01, 2),    0)</f>
        <v>0</v>
      </c>
      <c r="V15" s="23">
        <f>NC[LÍQUIDO BASE]-SUMPRODUCT(N(NC[DATA]=NC[[#This Row],[DATA]]),    NC[IRRF FONTE])</f>
        <v>545.89</v>
      </c>
      <c r="W15" s="28">
        <f>NC[LÍQUIDO]-SUMPRODUCT(N(NC[DATA]=NC[[#This Row],[DATA]]),N(NC[ID]=(NC[[#This Row],[ID]]-1)),NC[LÍQUIDO])</f>
        <v>90.079999999999984</v>
      </c>
      <c r="X15" s="23">
        <f t="shared" ref="X15:X20" si="2">ABS(W15)/F15</f>
        <v>0.90079999999999982</v>
      </c>
      <c r="Y15" s="23">
        <f>TRUNC(IF(OR(NC[T]="CV",NC[T]="VV"),     L15*SETUP!$H$3,     0),2)</f>
        <v>0</v>
      </c>
      <c r="Z15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100</v>
      </c>
      <c r="AA15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0.87989999999999957</v>
      </c>
      <c r="AB15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0.90079999999999982</v>
      </c>
      <c r="AC15" s="23">
        <f>IF(AND(NC[MED CP] &gt; 0, NC[MED VD] &gt; 0), (NC[MED VD] - NC[MED CP]) * NC[QTDE], 0) + NC[IRRF FONTE]</f>
        <v>2.0900000000000252</v>
      </c>
      <c r="AD15" s="23">
        <f>IF(NC[U] = "U", SUMPRODUCT(N(NC[ID]&lt;=NC[[#This Row],[ID]]),N(NC[DATA BASE]=NC[[#This Row],[DATA BASE]]), N(NC['[D/N']] = "N"),    NC[LUCRO P/ OP]), 0)</f>
        <v>0</v>
      </c>
      <c r="AE15" s="23">
        <f>IF(NC[U] = "U",NC[LUCRO '[N']] + SUMPRODUCT(N(MONTH(NC[DATA BASE])=MONTH(NC[[#This Row],[DATA BASE]]) - 1), NC[LUCRO '[N']]),0)</f>
        <v>0</v>
      </c>
      <c r="AF15" s="23">
        <f>IF(NC[U] = "U", SUMPRODUCT(N(NC[DATA BASE]=NC[[#This Row],[DATA BASE]]), N(NC['[D/N']] = "D"),    NC[LUCRO P/ OP]), 0)</f>
        <v>0</v>
      </c>
      <c r="AG15" s="28">
        <f>IF(NC[ TRIB. '[N']] &gt; 0,     ROUND(NC[ TRIB. '[N']]*0.15,    2),    0)</f>
        <v>0</v>
      </c>
      <c r="AH15" s="28">
        <f>IF(NC[LUCRO TRIB. DT] &gt; 0,     ROUND(NC[LUCRO TRIB. DT]*0.2,    2)  -  SUMPRODUCT(N(NC[DATA BASE]=NC[[#This Row],[DATA BASE]]),    NC[IRRF FONTE]),    0)</f>
        <v>0</v>
      </c>
      <c r="AI15" s="27">
        <f>NC[IR '[N']] + NC[IR DEVIDO DT]</f>
        <v>0</v>
      </c>
      <c r="AJ15" s="27">
        <f>IF(AND(NC[U] = "U",NC[IR DEVIDO] &gt; 0), NC[IR DEVIDO] + 8.9, 0)</f>
        <v>0</v>
      </c>
      <c r="AK15" s="27">
        <f>NC[LUCRO '[N']]  + NC[LUCRO TRIB. DT] - NC[RESGATE]</f>
        <v>0</v>
      </c>
    </row>
    <row r="16" spans="1:37" x14ac:dyDescent="0.2">
      <c r="A16" s="21">
        <v>15</v>
      </c>
      <c r="B16" s="21"/>
      <c r="C16" s="21" t="s">
        <v>68</v>
      </c>
      <c r="D16" s="21" t="s">
        <v>38</v>
      </c>
      <c r="E16" s="22">
        <v>40990</v>
      </c>
      <c r="F16" s="21">
        <v>700</v>
      </c>
      <c r="G16" s="23">
        <v>0.6</v>
      </c>
      <c r="H16" s="21" t="s">
        <v>7</v>
      </c>
      <c r="I16" s="22">
        <f>WORKDAY(NC[[#This Row],[DATA]],1,0)</f>
        <v>40991</v>
      </c>
      <c r="J16" s="30">
        <f>EOMONTH(NC[[#This Row],[DATA DE LIQUIDAÇÃO]],0)</f>
        <v>40999</v>
      </c>
      <c r="K16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16" s="23">
        <f>NC[QTDE]*NC[PREÇO]</f>
        <v>420</v>
      </c>
      <c r="M16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-420</v>
      </c>
      <c r="N16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0.11</v>
      </c>
      <c r="O16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0.15</v>
      </c>
      <c r="P16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0.28999999999999998</v>
      </c>
      <c r="Q16" s="23">
        <f>SETUP!$E$3*SUMPRODUCT(N(NC[DATA]=NC[[#This Row],[DATA]]),N(NC[ID]&lt;=NC[[#This Row],[ID]]))</f>
        <v>14.9</v>
      </c>
      <c r="R16" s="23">
        <f>TRUNC(NC[CORRETAGEM]*SETUP!$F$3,2)</f>
        <v>0.28999999999999998</v>
      </c>
      <c r="S16" s="23">
        <f>ROUND(NC[CORRETAGEM]*SETUP!$G$3,2)</f>
        <v>0.57999999999999996</v>
      </c>
      <c r="T16" s="23">
        <f>NC[VALOR LÍQUIDO DAS OPERAÇÕES]-NC[TAXA DE LIQUIDAÇÃO]-NC[EMOLUMENTOS]-NC[TAXA DE REGISTRO]-NC[CORRETAGEM]-NC[ISS]-IF(NC['[D/N']]="D",    0,    NC[OUTRAS BOVESPA])</f>
        <v>-436.32</v>
      </c>
      <c r="U16" s="23">
        <f>IF(AND(NC['[D/N']]="D",    NC[T]="CV"),    ROUND(NC[LÍQUIDO BASE]*0.01, 2),    0)</f>
        <v>0</v>
      </c>
      <c r="V16" s="23">
        <f>NC[LÍQUIDO BASE]-SUMPRODUCT(N(NC[DATA]=NC[[#This Row],[DATA]]),    NC[IRRF FONTE])</f>
        <v>-436.32</v>
      </c>
      <c r="W16" s="28">
        <f>NC[LÍQUIDO]-SUMPRODUCT(N(NC[DATA]=NC[[#This Row],[DATA]]),N(NC[ID]=(NC[[#This Row],[ID]]-1)),NC[LÍQUIDO])</f>
        <v>-436.32</v>
      </c>
      <c r="X16" s="23">
        <f t="shared" si="2"/>
        <v>0.62331428571428571</v>
      </c>
      <c r="Y16" s="23">
        <f>TRUNC(IF(OR(NC[T]="CV",NC[T]="VV"),     L16*SETUP!$H$3,     0),2)</f>
        <v>0</v>
      </c>
      <c r="Z16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700</v>
      </c>
      <c r="AA16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0.62331428571428571</v>
      </c>
      <c r="AB16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16" s="23">
        <f>IF(AND(NC[MED CP] &gt; 0, NC[MED VD] &gt; 0), (NC[MED VD] - NC[MED CP]) * NC[QTDE], 0) + NC[IRRF FONTE]</f>
        <v>0</v>
      </c>
      <c r="AD16" s="23">
        <f>IF(NC[U] = "U", SUMPRODUCT(N(NC[ID]&lt;=NC[[#This Row],[ID]]),N(NC[DATA BASE]=NC[[#This Row],[DATA BASE]]), N(NC['[D/N']] = "N"),    NC[LUCRO P/ OP]), 0)</f>
        <v>0</v>
      </c>
      <c r="AE16" s="23">
        <f>IF(NC[U] = "U",NC[LUCRO '[N']] + SUMPRODUCT(N(MONTH(NC[DATA BASE])=MONTH(NC[[#This Row],[DATA BASE]]) - 1), NC[LUCRO '[N']]),0)</f>
        <v>0</v>
      </c>
      <c r="AF16" s="23">
        <f>IF(NC[U] = "U", SUMPRODUCT(N(NC[DATA BASE]=NC[[#This Row],[DATA BASE]]), N(NC['[D/N']] = "D"),    NC[LUCRO P/ OP]), 0)</f>
        <v>0</v>
      </c>
      <c r="AG16" s="28">
        <f>IF(NC[ TRIB. '[N']] &gt; 0,     ROUND(NC[ TRIB. '[N']]*0.15,    2),    0)</f>
        <v>0</v>
      </c>
      <c r="AH16" s="28">
        <f>IF(NC[LUCRO TRIB. DT] &gt; 0,     ROUND(NC[LUCRO TRIB. DT]*0.2,    2)  -  SUMPRODUCT(N(NC[DATA BASE]=NC[[#This Row],[DATA BASE]]),    NC[IRRF FONTE]),    0)</f>
        <v>0</v>
      </c>
      <c r="AI16" s="27">
        <f>NC[IR '[N']] + NC[IR DEVIDO DT]</f>
        <v>0</v>
      </c>
      <c r="AJ16" s="28">
        <f>IF(AND(NC[U] = "U",NC[IR DEVIDO] &gt; 0), NC[IR DEVIDO] + 8.9, 0)</f>
        <v>0</v>
      </c>
      <c r="AK16" s="27">
        <f>NC[LUCRO '[N']]  + NC[LUCRO TRIB. DT] - NC[RESGATE]</f>
        <v>0</v>
      </c>
    </row>
    <row r="17" spans="1:37" x14ac:dyDescent="0.2">
      <c r="A17" s="21">
        <v>16</v>
      </c>
      <c r="B17" s="21"/>
      <c r="C17" s="21" t="s">
        <v>69</v>
      </c>
      <c r="D17" s="21" t="s">
        <v>38</v>
      </c>
      <c r="E17" s="22">
        <v>40991</v>
      </c>
      <c r="F17" s="21">
        <v>1700</v>
      </c>
      <c r="G17" s="23">
        <v>0.26</v>
      </c>
      <c r="H17" s="21" t="s">
        <v>7</v>
      </c>
      <c r="I17" s="22">
        <f>WORKDAY(NC[[#This Row],[DATA]],1,0)</f>
        <v>40994</v>
      </c>
      <c r="J17" s="30">
        <f>EOMONTH(NC[[#This Row],[DATA DE LIQUIDAÇÃO]],0)</f>
        <v>40999</v>
      </c>
      <c r="K17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L17" s="23">
        <f>NC[QTDE]*NC[PREÇO]</f>
        <v>442</v>
      </c>
      <c r="M17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-442</v>
      </c>
      <c r="N17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0.12</v>
      </c>
      <c r="O17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0.16</v>
      </c>
      <c r="P17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</v>
      </c>
      <c r="Q17" s="23">
        <f>SETUP!$E$3*SUMPRODUCT(N(NC[DATA]=NC[[#This Row],[DATA]]),N(NC[ID]&lt;=NC[[#This Row],[ID]]))</f>
        <v>14.9</v>
      </c>
      <c r="R17" s="23">
        <f>TRUNC(NC[CORRETAGEM]*SETUP!$F$3,2)</f>
        <v>0.28999999999999998</v>
      </c>
      <c r="S17" s="23">
        <f>ROUND(NC[CORRETAGEM]*SETUP!$G$3,2)</f>
        <v>0.57999999999999996</v>
      </c>
      <c r="T17" s="23">
        <f>NC[VALOR LÍQUIDO DAS OPERAÇÕES]-NC[TAXA DE LIQUIDAÇÃO]-NC[EMOLUMENTOS]-NC[TAXA DE REGISTRO]-NC[CORRETAGEM]-NC[ISS]-IF(NC['[D/N']]="D",    0,    NC[OUTRAS BOVESPA])</f>
        <v>-458.35</v>
      </c>
      <c r="U17" s="23">
        <f>IF(AND(NC['[D/N']]="D",    NC[T]="CV"),    ROUND(NC[LÍQUIDO BASE]*0.01, 2),    0)</f>
        <v>0</v>
      </c>
      <c r="V17" s="23">
        <f>NC[LÍQUIDO BASE]-SUMPRODUCT(N(NC[DATA]=NC[[#This Row],[DATA]]),    NC[IRRF FONTE])</f>
        <v>-458.35</v>
      </c>
      <c r="W17" s="28">
        <f>NC[LÍQUIDO]-SUMPRODUCT(N(NC[DATA]=NC[[#This Row],[DATA]]),N(NC[ID]=(NC[[#This Row],[ID]]-1)),NC[LÍQUIDO])</f>
        <v>-458.35</v>
      </c>
      <c r="X17" s="23">
        <f t="shared" si="2"/>
        <v>0.26961764705882352</v>
      </c>
      <c r="Y17" s="23">
        <f>TRUNC(IF(OR(NC[T]="CV",NC[T]="VV"),     L17*SETUP!$H$3,     0),2)</f>
        <v>0</v>
      </c>
      <c r="Z17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1700</v>
      </c>
      <c r="AA17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0.26961764705882352</v>
      </c>
      <c r="AB17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17" s="23">
        <f>IF(AND(NC[MED CP] &gt; 0, NC[MED VD] &gt; 0), (NC[MED VD] - NC[MED CP]) * NC[QTDE], 0) + NC[IRRF FONTE]</f>
        <v>0</v>
      </c>
      <c r="AD17" s="23">
        <f>IF(NC[U] = "U", SUMPRODUCT(N(NC[ID]&lt;=NC[[#This Row],[ID]]),N(NC[DATA BASE]=NC[[#This Row],[DATA BASE]]), N(NC['[D/N']] = "N"),    NC[LUCRO P/ OP]), 0)</f>
        <v>0</v>
      </c>
      <c r="AE17" s="23">
        <f>IF(NC[U] = "U",NC[LUCRO '[N']] + SUMPRODUCT(N(MONTH(NC[DATA BASE])=MONTH(NC[[#This Row],[DATA BASE]]) - 1), NC[LUCRO '[N']]),0)</f>
        <v>0</v>
      </c>
      <c r="AF17" s="23">
        <f>IF(NC[U] = "U", SUMPRODUCT(N(NC[DATA BASE]=NC[[#This Row],[DATA BASE]]), N(NC['[D/N']] = "D"),    NC[LUCRO P/ OP]), 0)</f>
        <v>0</v>
      </c>
      <c r="AG17" s="28">
        <f>IF(NC[ TRIB. '[N']] &gt; 0,     ROUND(NC[ TRIB. '[N']]*0.15,    2),    0)</f>
        <v>0</v>
      </c>
      <c r="AH17" s="28">
        <f>IF(NC[LUCRO TRIB. DT] &gt; 0,     ROUND(NC[LUCRO TRIB. DT]*0.2,    2)  -  SUMPRODUCT(N(NC[DATA BASE]=NC[[#This Row],[DATA BASE]]),    NC[IRRF FONTE]),    0)</f>
        <v>0</v>
      </c>
      <c r="AI17" s="27">
        <f>NC[IR '[N']] + NC[IR DEVIDO DT]</f>
        <v>0</v>
      </c>
      <c r="AJ17" s="28">
        <f>IF(AND(NC[U] = "U",NC[IR DEVIDO] &gt; 0), NC[IR DEVIDO] + 8.9, 0)</f>
        <v>0</v>
      </c>
      <c r="AK17" s="27">
        <f>NC[LUCRO '[N']]  + NC[LUCRO TRIB. DT] - NC[RESGATE]</f>
        <v>0</v>
      </c>
    </row>
    <row r="18" spans="1:37" x14ac:dyDescent="0.2">
      <c r="A18" s="21">
        <v>17</v>
      </c>
      <c r="B18" s="21"/>
      <c r="C18" s="21" t="s">
        <v>68</v>
      </c>
      <c r="D18" s="21" t="s">
        <v>39</v>
      </c>
      <c r="E18" s="22">
        <v>40994</v>
      </c>
      <c r="F18" s="21">
        <v>700</v>
      </c>
      <c r="G18" s="23">
        <v>0.17</v>
      </c>
      <c r="H18" s="21" t="s">
        <v>7</v>
      </c>
      <c r="I18" s="22">
        <f>WORKDAY(NC[[#This Row],[DATA]],1,0)</f>
        <v>40995</v>
      </c>
      <c r="J18" s="30">
        <f>EOMONTH(NC[[#This Row],[DATA DE LIQUIDAÇÃO]],0)</f>
        <v>40999</v>
      </c>
      <c r="K18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18" s="23">
        <f>NC[QTDE]*NC[PREÇO]</f>
        <v>119.00000000000001</v>
      </c>
      <c r="M18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119.00000000000001</v>
      </c>
      <c r="N18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0.03</v>
      </c>
      <c r="O18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0.04</v>
      </c>
      <c r="P18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0.08</v>
      </c>
      <c r="Q18" s="23">
        <f>SETUP!$E$3*SUMPRODUCT(N(NC[DATA]=NC[[#This Row],[DATA]]),N(NC[ID]&lt;=NC[[#This Row],[ID]]))</f>
        <v>14.9</v>
      </c>
      <c r="R18" s="23">
        <f>TRUNC(NC[CORRETAGEM]*SETUP!$F$3,2)</f>
        <v>0.28999999999999998</v>
      </c>
      <c r="S18" s="23">
        <f>ROUND(NC[CORRETAGEM]*SETUP!$G$3,2)</f>
        <v>0.57999999999999996</v>
      </c>
      <c r="T18" s="23">
        <f>NC[VALOR LÍQUIDO DAS OPERAÇÕES]-NC[TAXA DE LIQUIDAÇÃO]-NC[EMOLUMENTOS]-NC[TAXA DE REGISTRO]-NC[CORRETAGEM]-NC[ISS]-IF(NC['[D/N']]="D",    0,    NC[OUTRAS BOVESPA])</f>
        <v>103.08</v>
      </c>
      <c r="U18" s="23">
        <f>IF(AND(NC['[D/N']]="D",    NC[T]="CV"),    ROUND(NC[LÍQUIDO BASE]*0.01, 2),    0)</f>
        <v>0</v>
      </c>
      <c r="V18" s="23">
        <f>NC[LÍQUIDO BASE]-SUMPRODUCT(N(NC[DATA]=NC[[#This Row],[DATA]]),    NC[IRRF FONTE])</f>
        <v>103.08</v>
      </c>
      <c r="W18" s="28">
        <f>NC[LÍQUIDO]-SUMPRODUCT(N(NC[DATA]=NC[[#This Row],[DATA]]),N(NC[ID]=(NC[[#This Row],[ID]]-1)),NC[LÍQUIDO])</f>
        <v>103.08</v>
      </c>
      <c r="X18" s="23">
        <f t="shared" si="2"/>
        <v>0.14725714285714286</v>
      </c>
      <c r="Y18" s="23">
        <f>TRUNC(IF(OR(NC[T]="CV",NC[T]="VV"),     L18*SETUP!$H$3,     0),2)</f>
        <v>0</v>
      </c>
      <c r="Z18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18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0.62331428571428571</v>
      </c>
      <c r="AB18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0.14725714285714286</v>
      </c>
      <c r="AC18" s="23">
        <f>IF(AND(NC[MED CP] &gt; 0, NC[MED VD] &gt; 0), (NC[MED VD] - NC[MED CP]) * NC[QTDE], 0) + NC[IRRF FONTE]</f>
        <v>-333.24</v>
      </c>
      <c r="AD18" s="23">
        <f>IF(NC[U] = "U", SUMPRODUCT(N(NC[ID]&lt;=NC[[#This Row],[ID]]),N(NC[DATA BASE]=NC[[#This Row],[DATA BASE]]), N(NC['[D/N']] = "N"),    NC[LUCRO P/ OP]), 0)</f>
        <v>0</v>
      </c>
      <c r="AE18" s="23">
        <f>IF(NC[U] = "U",NC[LUCRO '[N']] + SUMPRODUCT(N(MONTH(NC[DATA BASE])=MONTH(NC[[#This Row],[DATA BASE]]) - 1), NC[LUCRO '[N']]),0)</f>
        <v>0</v>
      </c>
      <c r="AF18" s="23">
        <f>IF(NC[U] = "U", SUMPRODUCT(N(NC[DATA BASE]=NC[[#This Row],[DATA BASE]]), N(NC['[D/N']] = "D"),    NC[LUCRO P/ OP]), 0)</f>
        <v>0</v>
      </c>
      <c r="AG18" s="28">
        <f>IF(NC[ TRIB. '[N']] &gt; 0,     ROUND(NC[ TRIB. '[N']]*0.15,    2),    0)</f>
        <v>0</v>
      </c>
      <c r="AH18" s="28">
        <f>IF(NC[LUCRO TRIB. DT] &gt; 0,     ROUND(NC[LUCRO TRIB. DT]*0.2,    2)  -  SUMPRODUCT(N(NC[DATA BASE]=NC[[#This Row],[DATA BASE]]),    NC[IRRF FONTE]),    0)</f>
        <v>0</v>
      </c>
      <c r="AI18" s="27">
        <f>NC[IR '[N']] + NC[IR DEVIDO DT]</f>
        <v>0</v>
      </c>
      <c r="AJ18" s="28">
        <f>IF(AND(NC[U] = "U",NC[IR DEVIDO] &gt; 0), NC[IR DEVIDO] + 8.9, 0)</f>
        <v>0</v>
      </c>
      <c r="AK18" s="27">
        <f>NC[LUCRO '[N']]  + NC[LUCRO TRIB. DT] - NC[RESGATE]</f>
        <v>0</v>
      </c>
    </row>
    <row r="19" spans="1:37" x14ac:dyDescent="0.2">
      <c r="A19" s="21">
        <v>18</v>
      </c>
      <c r="B19" s="21"/>
      <c r="C19" s="21" t="s">
        <v>69</v>
      </c>
      <c r="D19" s="21" t="s">
        <v>39</v>
      </c>
      <c r="E19" s="22">
        <v>40997</v>
      </c>
      <c r="F19" s="21">
        <v>1700</v>
      </c>
      <c r="G19" s="23">
        <v>0.08</v>
      </c>
      <c r="H19" s="21" t="s">
        <v>7</v>
      </c>
      <c r="I19" s="22">
        <f>WORKDAY(NC[[#This Row],[DATA]],1,0)</f>
        <v>40998</v>
      </c>
      <c r="J19" s="30">
        <f>EOMONTH(NC[[#This Row],[DATA DE LIQUIDAÇÃO]],0)</f>
        <v>40999</v>
      </c>
      <c r="K19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L19" s="23">
        <f>NC[QTDE]*NC[PREÇO]</f>
        <v>136</v>
      </c>
      <c r="M19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136</v>
      </c>
      <c r="N19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0.03</v>
      </c>
      <c r="O19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0.05</v>
      </c>
      <c r="P19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0.09</v>
      </c>
      <c r="Q19" s="23">
        <f>SETUP!$E$3*SUMPRODUCT(N(NC[DATA]=NC[[#This Row],[DATA]]),N(NC[ID]&lt;=NC[[#This Row],[ID]]))</f>
        <v>14.9</v>
      </c>
      <c r="R19" s="23">
        <f>TRUNC(NC[CORRETAGEM]*SETUP!$F$3,2)</f>
        <v>0.28999999999999998</v>
      </c>
      <c r="S19" s="23">
        <f>ROUND(NC[CORRETAGEM]*SETUP!$G$3,2)</f>
        <v>0.57999999999999996</v>
      </c>
      <c r="T19" s="23">
        <f>NC[VALOR LÍQUIDO DAS OPERAÇÕES]-NC[TAXA DE LIQUIDAÇÃO]-NC[EMOLUMENTOS]-NC[TAXA DE REGISTRO]-NC[CORRETAGEM]-NC[ISS]-IF(NC['[D/N']]="D",    0,    NC[OUTRAS BOVESPA])</f>
        <v>120.05999999999997</v>
      </c>
      <c r="U19" s="23">
        <f>IF(AND(NC['[D/N']]="D",    NC[T]="CV"),    ROUND(NC[LÍQUIDO BASE]*0.01, 2),    0)</f>
        <v>0</v>
      </c>
      <c r="V19" s="23">
        <f>NC[LÍQUIDO BASE]-SUMPRODUCT(N(NC[DATA]=NC[[#This Row],[DATA]]),    NC[IRRF FONTE])</f>
        <v>120.05999999999997</v>
      </c>
      <c r="W19" s="28">
        <f>NC[LÍQUIDO]-SUMPRODUCT(N(NC[DATA]=NC[[#This Row],[DATA]]),N(NC[ID]=(NC[[#This Row],[ID]]-1)),NC[LÍQUIDO])</f>
        <v>120.05999999999997</v>
      </c>
      <c r="X19" s="23">
        <f t="shared" si="2"/>
        <v>7.0623529411764696E-2</v>
      </c>
      <c r="Y19" s="23">
        <f>TRUNC(IF(OR(NC[T]="CV",NC[T]="VV"),     L19*SETUP!$H$3,     0),2)</f>
        <v>0</v>
      </c>
      <c r="Z19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19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0.26961764705882352</v>
      </c>
      <c r="AB19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7.0623529411764696E-2</v>
      </c>
      <c r="AC19" s="23">
        <f>IF(AND(NC[MED CP] &gt; 0, NC[MED VD] &gt; 0), (NC[MED VD] - NC[MED CP]) * NC[QTDE], 0) + NC[IRRF FONTE]</f>
        <v>-338.29</v>
      </c>
      <c r="AD19" s="23">
        <f>IF(NC[U] = "U", SUMPRODUCT(N(NC[ID]&lt;=NC[[#This Row],[ID]]),N(NC[DATA BASE]=NC[[#This Row],[DATA BASE]]), N(NC['[D/N']] = "N"),    NC[LUCRO P/ OP]), 0)</f>
        <v>0</v>
      </c>
      <c r="AE19" s="23">
        <f>IF(NC[U] = "U",NC[LUCRO '[N']] + SUMPRODUCT(N(MONTH(NC[DATA BASE])=MONTH(NC[[#This Row],[DATA BASE]]) - 1), NC[LUCRO '[N']]),0)</f>
        <v>0</v>
      </c>
      <c r="AF19" s="23">
        <f>IF(NC[U] = "U", SUMPRODUCT(N(NC[DATA BASE]=NC[[#This Row],[DATA BASE]]), N(NC['[D/N']] = "D"),    NC[LUCRO P/ OP]), 0)</f>
        <v>0</v>
      </c>
      <c r="AG19" s="28">
        <f>IF(NC[ TRIB. '[N']] &gt; 0,     ROUND(NC[ TRIB. '[N']]*0.15,    2),    0)</f>
        <v>0</v>
      </c>
      <c r="AH19" s="28">
        <f>IF(NC[LUCRO TRIB. DT] &gt; 0,     ROUND(NC[LUCRO TRIB. DT]*0.2,    2)  -  SUMPRODUCT(N(NC[DATA BASE]=NC[[#This Row],[DATA BASE]]),    NC[IRRF FONTE]),    0)</f>
        <v>0</v>
      </c>
      <c r="AI19" s="27">
        <f>NC[IR '[N']] + NC[IR DEVIDO DT]</f>
        <v>0</v>
      </c>
      <c r="AJ19" s="28">
        <f>IF(AND(NC[U] = "U",NC[IR DEVIDO] &gt; 0), NC[IR DEVIDO] + 8.9, 0)</f>
        <v>0</v>
      </c>
      <c r="AK19" s="27">
        <f>NC[LUCRO '[N']]  + NC[LUCRO TRIB. DT] - NC[RESGATE]</f>
        <v>0</v>
      </c>
    </row>
    <row r="20" spans="1:37" x14ac:dyDescent="0.2">
      <c r="A20" s="21">
        <v>19</v>
      </c>
      <c r="B20" s="21" t="s">
        <v>67</v>
      </c>
      <c r="C20" s="21" t="s">
        <v>70</v>
      </c>
      <c r="D20" s="21" t="s">
        <v>38</v>
      </c>
      <c r="E20" s="22">
        <v>40997</v>
      </c>
      <c r="F20" s="21">
        <v>1900</v>
      </c>
      <c r="G20" s="23">
        <v>0.24</v>
      </c>
      <c r="H20" s="21" t="s">
        <v>7</v>
      </c>
      <c r="I20" s="22">
        <f>WORKDAY(NC[[#This Row],[DATA]],1,0)</f>
        <v>40998</v>
      </c>
      <c r="J20" s="30">
        <f>EOMONTH(NC[[#This Row],[DATA DE LIQUIDAÇÃO]],0)</f>
        <v>40999</v>
      </c>
      <c r="K20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20" s="23">
        <f>NC[QTDE]*NC[PREÇO]</f>
        <v>456</v>
      </c>
      <c r="M20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-320</v>
      </c>
      <c r="N20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0.16</v>
      </c>
      <c r="O20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0.21</v>
      </c>
      <c r="P20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0.41</v>
      </c>
      <c r="Q20" s="23">
        <f>SETUP!$E$3*SUMPRODUCT(N(NC[DATA]=NC[[#This Row],[DATA]]),N(NC[ID]&lt;=NC[[#This Row],[ID]]))</f>
        <v>29.8</v>
      </c>
      <c r="R20" s="23">
        <f>TRUNC(NC[CORRETAGEM]*SETUP!$F$3,2)</f>
        <v>0.59</v>
      </c>
      <c r="S20" s="23">
        <f>ROUND(NC[CORRETAGEM]*SETUP!$G$3,2)</f>
        <v>1.1599999999999999</v>
      </c>
      <c r="T20" s="23">
        <f>NC[VALOR LÍQUIDO DAS OPERAÇÕES]-NC[TAXA DE LIQUIDAÇÃO]-NC[EMOLUMENTOS]-NC[TAXA DE REGISTRO]-NC[CORRETAGEM]-NC[ISS]-IF(NC['[D/N']]="D",    0,    NC[OUTRAS BOVESPA])</f>
        <v>-352.33000000000004</v>
      </c>
      <c r="U20" s="23">
        <f>IF(AND(NC['[D/N']]="D",    NC[T]="CV"),    ROUND(NC[LÍQUIDO BASE]*0.01, 2),    0)</f>
        <v>0</v>
      </c>
      <c r="V20" s="23">
        <f>NC[LÍQUIDO BASE]-SUMPRODUCT(N(NC[DATA]=NC[[#This Row],[DATA]]),    NC[IRRF FONTE])</f>
        <v>-352.33000000000004</v>
      </c>
      <c r="W20" s="28">
        <f>NC[LÍQUIDO]-SUMPRODUCT(N(NC[DATA]=NC[[#This Row],[DATA]]),N(NC[ID]=(NC[[#This Row],[ID]]-1)),NC[LÍQUIDO])</f>
        <v>-472.39</v>
      </c>
      <c r="X20" s="23">
        <f t="shared" si="2"/>
        <v>0.24862631578947367</v>
      </c>
      <c r="Y20" s="23">
        <f>TRUNC(IF(OR(NC[T]="CV",NC[T]="VV"),     L20*SETUP!$H$3,     0),2)</f>
        <v>0</v>
      </c>
      <c r="Z20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1900</v>
      </c>
      <c r="AA20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0.24862631578947367</v>
      </c>
      <c r="AB20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20" s="23">
        <f>IF(AND(NC[MED CP] &gt; 0, NC[MED VD] &gt; 0), (NC[MED VD] - NC[MED CP]) * NC[QTDE], 0) + NC[IRRF FONTE]</f>
        <v>0</v>
      </c>
      <c r="AD20" s="23">
        <f>IF(NC[U] = "U", SUMPRODUCT(N(NC[ID]&lt;=NC[[#This Row],[ID]]),N(NC[DATA BASE]=NC[[#This Row],[DATA BASE]]), N(NC['[D/N']] = "N"),    NC[LUCRO P/ OP]), 0)</f>
        <v>-656.81000000000017</v>
      </c>
      <c r="AE20" s="23">
        <f>IF(NC[U] = "U",NC[LUCRO '[N']] + SUMPRODUCT(N(MONTH(NC[DATA BASE])=MONTH(NC[[#This Row],[DATA BASE]]) - 1), NC[LUCRO '[N']]),0)</f>
        <v>-656.81000000000017</v>
      </c>
      <c r="AF20" s="23">
        <f>IF(NC[U] = "U", SUMPRODUCT(N(NC[DATA BASE]=NC[[#This Row],[DATA BASE]]), N(NC['[D/N']] = "D"),    NC[LUCRO P/ OP]), 0)</f>
        <v>478.50999999999988</v>
      </c>
      <c r="AG20" s="28">
        <f>IF(NC[ TRIB. '[N']] &gt; 0,     ROUND(NC[ TRIB. '[N']]*0.15,    2),    0)</f>
        <v>0</v>
      </c>
      <c r="AH20" s="28">
        <f>IF(NC[LUCRO TRIB. DT] &gt; 0,     ROUND(NC[LUCRO TRIB. DT]*0.2,    2)  -  SUMPRODUCT(N(NC[DATA BASE]=NC[[#This Row],[DATA BASE]]),    NC[IRRF FONTE]),    0)</f>
        <v>90.92</v>
      </c>
      <c r="AI20" s="27">
        <f>NC[IR '[N']] + NC[IR DEVIDO DT]</f>
        <v>90.92</v>
      </c>
      <c r="AJ20" s="28">
        <f>IF(AND(NC[U] = "U",NC[IR DEVIDO] &gt; 0), NC[IR DEVIDO] + 8.9, 0)</f>
        <v>99.820000000000007</v>
      </c>
      <c r="AK20" s="27">
        <f>NC[LUCRO '[N']]  + NC[LUCRO TRIB. DT] - NC[RESGATE]</f>
        <v>-278.12000000000029</v>
      </c>
    </row>
    <row r="21" spans="1:37" x14ac:dyDescent="0.2">
      <c r="A21" s="21">
        <v>20</v>
      </c>
      <c r="B21" s="21"/>
      <c r="C21" s="21" t="s">
        <v>45</v>
      </c>
      <c r="D21" s="21" t="s">
        <v>38</v>
      </c>
      <c r="E21" s="22">
        <v>40998</v>
      </c>
      <c r="F21" s="21">
        <v>1200</v>
      </c>
      <c r="G21" s="23">
        <v>0.38</v>
      </c>
      <c r="H21" s="21" t="s">
        <v>7</v>
      </c>
      <c r="I21" s="22">
        <f>WORKDAY(NC[[#This Row],[DATA]],1,0)</f>
        <v>41001</v>
      </c>
      <c r="J21" s="30">
        <f>EOMONTH(NC[[#This Row],[DATA DE LIQUIDAÇÃO]],0)</f>
        <v>41029</v>
      </c>
      <c r="K21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L21" s="23">
        <f>NC[QTDE]*NC[PREÇO]</f>
        <v>456</v>
      </c>
      <c r="M21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-456</v>
      </c>
      <c r="N21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0.12</v>
      </c>
      <c r="O21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0.16</v>
      </c>
      <c r="P21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0.31</v>
      </c>
      <c r="Q21" s="23">
        <f>SETUP!$E$3*SUMPRODUCT(N(NC[DATA]=NC[[#This Row],[DATA]]),N(NC[ID]&lt;=NC[[#This Row],[ID]]))</f>
        <v>14.9</v>
      </c>
      <c r="R21" s="23">
        <f>TRUNC(NC[CORRETAGEM]*SETUP!$F$3,2)</f>
        <v>0.28999999999999998</v>
      </c>
      <c r="S21" s="23">
        <f>ROUND(NC[CORRETAGEM]*SETUP!$G$3,2)</f>
        <v>0.57999999999999996</v>
      </c>
      <c r="T21" s="23">
        <f>NC[VALOR LÍQUIDO DAS OPERAÇÕES]-NC[TAXA DE LIQUIDAÇÃO]-NC[EMOLUMENTOS]-NC[TAXA DE REGISTRO]-NC[CORRETAGEM]-NC[ISS]-IF(NC['[D/N']]="D",    0,    NC[OUTRAS BOVESPA])</f>
        <v>-472.36</v>
      </c>
      <c r="U21" s="23">
        <f>IF(AND(NC['[D/N']]="D",    NC[T]="CV"),    ROUND(NC[LÍQUIDO BASE]*0.01, 2),    0)</f>
        <v>0</v>
      </c>
      <c r="V21" s="23">
        <f>NC[LÍQUIDO BASE]-SUMPRODUCT(N(NC[DATA]=NC[[#This Row],[DATA]]),    NC[IRRF FONTE])</f>
        <v>-472.36</v>
      </c>
      <c r="W21" s="28">
        <f>NC[LÍQUIDO]-SUMPRODUCT(N(NC[DATA]=NC[[#This Row],[DATA]]),N(NC[ID]=(NC[[#This Row],[ID]]-1)),NC[LÍQUIDO])</f>
        <v>-472.36</v>
      </c>
      <c r="X21" s="23">
        <f>ABS(W21)/F21</f>
        <v>0.39363333333333334</v>
      </c>
      <c r="Y21" s="23">
        <f>TRUNC(IF(OR(NC[T]="CV",NC[T]="VV"),     L21*SETUP!$H$3,     0),2)</f>
        <v>0</v>
      </c>
      <c r="Z21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1300</v>
      </c>
      <c r="AA21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0.46309999999999996</v>
      </c>
      <c r="AB21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21" s="23">
        <f>IF(AND(NC[MED CP] &gt; 0, NC[MED VD] &gt; 0), (NC[MED VD] - NC[MED CP]) * NC[QTDE], 0) + NC[IRRF FONTE]</f>
        <v>0</v>
      </c>
      <c r="AD21" s="23">
        <f>IF(NC[U] = "U", SUMPRODUCT(N(NC[ID]&lt;=NC[[#This Row],[ID]]),N(NC[DATA BASE]=NC[[#This Row],[DATA BASE]]), N(NC['[D/N']] = "N"),    NC[LUCRO P/ OP]), 0)</f>
        <v>0</v>
      </c>
      <c r="AE21" s="23">
        <f>IF(NC[U] = "U",NC[LUCRO '[N']] + SUMPRODUCT(N(MONTH(NC[DATA BASE])=MONTH(NC[[#This Row],[DATA BASE]]) - 1), NC[LUCRO '[N']]),0)</f>
        <v>0</v>
      </c>
      <c r="AF21" s="23">
        <f>IF(NC[U] = "U", SUMPRODUCT(N(NC[DATA BASE]=NC[[#This Row],[DATA BASE]]), N(NC['[D/N']] = "D"),    NC[LUCRO P/ OP]), 0)</f>
        <v>0</v>
      </c>
      <c r="AG21" s="28">
        <f>IF(NC[ TRIB. '[N']] &gt; 0,     ROUND(NC[ TRIB. '[N']]*0.15,    2),    0)</f>
        <v>0</v>
      </c>
      <c r="AH21" s="28">
        <f>IF(NC[LUCRO TRIB. DT] &gt; 0,     ROUND(NC[LUCRO TRIB. DT]*0.2,    2)  -  SUMPRODUCT(N(NC[DATA BASE]=NC[[#This Row],[DATA BASE]]),    NC[IRRF FONTE]),    0)</f>
        <v>0</v>
      </c>
      <c r="AI21" s="27">
        <f>NC[IR '[N']] + NC[IR DEVIDO DT]</f>
        <v>0</v>
      </c>
      <c r="AJ21" s="28">
        <f>IF(AND(NC[U] = "U",NC[IR DEVIDO] &gt; 0), NC[IR DEVIDO] + 8.9, 0)</f>
        <v>0</v>
      </c>
      <c r="AK21" s="28">
        <f>NC[LUCRO '[N']]  + NC[LUCRO TRIB. DT] - NC[RESGATE]</f>
        <v>0</v>
      </c>
    </row>
    <row r="22" spans="1:37" x14ac:dyDescent="0.2">
      <c r="A22" s="21">
        <v>21</v>
      </c>
      <c r="B22" s="21"/>
      <c r="C22" s="21" t="s">
        <v>69</v>
      </c>
      <c r="D22" s="21" t="s">
        <v>38</v>
      </c>
      <c r="E22" s="22">
        <v>41001</v>
      </c>
      <c r="F22" s="21">
        <v>3000</v>
      </c>
      <c r="G22" s="23">
        <v>0.16</v>
      </c>
      <c r="H22" s="21" t="s">
        <v>7</v>
      </c>
      <c r="I22" s="22">
        <f>WORKDAY(NC[[#This Row],[DATA]],1,0)</f>
        <v>41002</v>
      </c>
      <c r="J22" s="30">
        <f>EOMONTH(NC[[#This Row],[DATA DE LIQUIDAÇÃO]],0)</f>
        <v>41029</v>
      </c>
      <c r="K22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3</v>
      </c>
      <c r="L22" s="23">
        <f>NC[QTDE]*NC[PREÇO]</f>
        <v>480</v>
      </c>
      <c r="M22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-480</v>
      </c>
      <c r="N22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0.13</v>
      </c>
      <c r="O22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0.17</v>
      </c>
      <c r="P22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0.33</v>
      </c>
      <c r="Q22" s="23">
        <f>SETUP!$E$3*SUMPRODUCT(N(NC[DATA]=NC[[#This Row],[DATA]]),N(NC[ID]&lt;=NC[[#This Row],[ID]]))</f>
        <v>14.9</v>
      </c>
      <c r="R22" s="23">
        <f>TRUNC(NC[CORRETAGEM]*SETUP!$F$3,2)</f>
        <v>0.28999999999999998</v>
      </c>
      <c r="S22" s="23">
        <f>ROUND(NC[CORRETAGEM]*SETUP!$G$3,2)</f>
        <v>0.57999999999999996</v>
      </c>
      <c r="T22" s="23">
        <f>NC[VALOR LÍQUIDO DAS OPERAÇÕES]-NC[TAXA DE LIQUIDAÇÃO]-NC[EMOLUMENTOS]-NC[TAXA DE REGISTRO]-NC[CORRETAGEM]-NC[ISS]-IF(NC['[D/N']]="D",    0,    NC[OUTRAS BOVESPA])</f>
        <v>-496.4</v>
      </c>
      <c r="U22" s="23">
        <f>IF(AND(NC['[D/N']]="D",    NC[T]="CV"),    ROUND(NC[LÍQUIDO BASE]*0.01, 2),    0)</f>
        <v>0</v>
      </c>
      <c r="V22" s="23">
        <f>NC[LÍQUIDO BASE]-SUMPRODUCT(N(NC[DATA]=NC[[#This Row],[DATA]]),    NC[IRRF FONTE])</f>
        <v>-496.4</v>
      </c>
      <c r="W22" s="28">
        <f>NC[LÍQUIDO]-SUMPRODUCT(N(NC[DATA]=NC[[#This Row],[DATA]]),N(NC[ID]=(NC[[#This Row],[ID]]-1)),NC[LÍQUIDO])</f>
        <v>-496.4</v>
      </c>
      <c r="X22" s="23">
        <f>ABS(W22)/F22</f>
        <v>0.16546666666666665</v>
      </c>
      <c r="Y22" s="23">
        <f>TRUNC(IF(OR(NC[T]="CV",NC[T]="VV"),     L22*SETUP!$H$3,     0),2)</f>
        <v>0</v>
      </c>
      <c r="Z22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3000</v>
      </c>
      <c r="AA22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0.16546666666666665</v>
      </c>
      <c r="AB22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22" s="23">
        <f>IF(AND(NC[MED CP] &gt; 0, NC[MED VD] &gt; 0), (NC[MED VD] - NC[MED CP]) * NC[QTDE], 0) + NC[IRRF FONTE]</f>
        <v>0</v>
      </c>
      <c r="AD22" s="23">
        <f>IF(NC[U] = "U", SUMPRODUCT(N(NC[ID]&lt;=NC[[#This Row],[ID]]),N(NC[DATA BASE]=NC[[#This Row],[DATA BASE]]), N(NC['[D/N']] = "N"),    NC[LUCRO P/ OP]), 0)</f>
        <v>0</v>
      </c>
      <c r="AE22" s="23">
        <f>IF(NC[U] = "U",NC[LUCRO '[N']] + SUMPRODUCT(N(MONTH(NC[DATA BASE])=MONTH(NC[[#This Row],[DATA BASE]]) - 1), NC[LUCRO '[N']]),0)</f>
        <v>0</v>
      </c>
      <c r="AF22" s="23">
        <f>IF(NC[U] = "U", SUMPRODUCT(N(NC[DATA BASE]=NC[[#This Row],[DATA BASE]]), N(NC['[D/N']] = "D"),    NC[LUCRO P/ OP]), 0)</f>
        <v>0</v>
      </c>
      <c r="AG22" s="28">
        <f>IF(NC[ TRIB. '[N']] &gt; 0,     ROUND(NC[ TRIB. '[N']]*0.15,    2),    0)</f>
        <v>0</v>
      </c>
      <c r="AH22" s="28">
        <f>IF(NC[LUCRO TRIB. DT] &gt; 0,     ROUND(NC[LUCRO TRIB. DT]*0.2,    2)  -  SUMPRODUCT(N(NC[DATA BASE]=NC[[#This Row],[DATA BASE]]),    NC[IRRF FONTE]),    0)</f>
        <v>0</v>
      </c>
      <c r="AI22" s="27">
        <f>NC[IR '[N']] + NC[IR DEVIDO DT]</f>
        <v>0</v>
      </c>
      <c r="AJ22" s="28">
        <f>IF(AND(NC[U] = "U",NC[IR DEVIDO] &gt; 0), NC[IR DEVIDO] + 8.9, 0)</f>
        <v>0</v>
      </c>
      <c r="AK22" s="28">
        <f>NC[LUCRO '[N']]  + NC[LUCRO TRIB. DT] - NC[RESGATE]</f>
        <v>0</v>
      </c>
    </row>
    <row r="23" spans="1:37" x14ac:dyDescent="0.2">
      <c r="A23" s="21">
        <v>22</v>
      </c>
      <c r="B23" s="21"/>
      <c r="C23" s="21" t="s">
        <v>70</v>
      </c>
      <c r="D23" s="21" t="s">
        <v>39</v>
      </c>
      <c r="E23" s="22">
        <v>41002</v>
      </c>
      <c r="F23" s="21">
        <v>1900</v>
      </c>
      <c r="G23" s="23">
        <v>0.09</v>
      </c>
      <c r="H23" s="21" t="s">
        <v>7</v>
      </c>
      <c r="I23" s="22">
        <f>WORKDAY(NC[[#This Row],[DATA]],1,0)</f>
        <v>41003</v>
      </c>
      <c r="J23" s="30">
        <f>EOMONTH(NC[[#This Row],[DATA DE LIQUIDAÇÃO]],0)</f>
        <v>41029</v>
      </c>
      <c r="K23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23" s="23">
        <f>NC[QTDE]*NC[PREÇO]</f>
        <v>171</v>
      </c>
      <c r="M23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171</v>
      </c>
      <c r="N23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0.04</v>
      </c>
      <c r="O23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0.06</v>
      </c>
      <c r="P23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0.11</v>
      </c>
      <c r="Q23" s="23">
        <f>SETUP!$E$3*SUMPRODUCT(N(NC[DATA]=NC[[#This Row],[DATA]]),N(NC[ID]&lt;=NC[[#This Row],[ID]]))</f>
        <v>14.9</v>
      </c>
      <c r="R23" s="23">
        <f>TRUNC(NC[CORRETAGEM]*SETUP!$F$3,2)</f>
        <v>0.28999999999999998</v>
      </c>
      <c r="S23" s="23">
        <f>ROUND(NC[CORRETAGEM]*SETUP!$G$3,2)</f>
        <v>0.57999999999999996</v>
      </c>
      <c r="T23" s="23">
        <f>NC[VALOR LÍQUIDO DAS OPERAÇÕES]-NC[TAXA DE LIQUIDAÇÃO]-NC[EMOLUMENTOS]-NC[TAXA DE REGISTRO]-NC[CORRETAGEM]-NC[ISS]-IF(NC['[D/N']]="D",    0,    NC[OUTRAS BOVESPA])</f>
        <v>155.01999999999998</v>
      </c>
      <c r="U23" s="23">
        <f>IF(AND(NC['[D/N']]="D",    NC[T]="CV"),    ROUND(NC[LÍQUIDO BASE]*0.01, 2),    0)</f>
        <v>0</v>
      </c>
      <c r="V23" s="23">
        <f>NC[LÍQUIDO BASE]-SUMPRODUCT(N(NC[DATA]=NC[[#This Row],[DATA]]),    NC[IRRF FONTE])</f>
        <v>155.01999999999998</v>
      </c>
      <c r="W23" s="28">
        <f>NC[LÍQUIDO]-SUMPRODUCT(N(NC[DATA]=NC[[#This Row],[DATA]]),N(NC[ID]=(NC[[#This Row],[ID]]-1)),NC[LÍQUIDO])</f>
        <v>155.01999999999998</v>
      </c>
      <c r="X23" s="23">
        <f>ABS(W23)/F23</f>
        <v>8.1589473684210517E-2</v>
      </c>
      <c r="Y23" s="23">
        <f>TRUNC(IF(OR(NC[T]="CV",NC[T]="VV"),     L23*SETUP!$H$3,     0),2)</f>
        <v>0</v>
      </c>
      <c r="Z23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23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0.24862631578947367</v>
      </c>
      <c r="AB23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8.1589473684210517E-2</v>
      </c>
      <c r="AC23" s="23">
        <f>IF(AND(NC[MED CP] &gt; 0, NC[MED VD] &gt; 0), (NC[MED VD] - NC[MED CP]) * NC[QTDE], 0) + NC[IRRF FONTE]</f>
        <v>-317.37</v>
      </c>
      <c r="AD23" s="23">
        <f>IF(NC[U] = "U", SUMPRODUCT(N(NC[ID]&lt;=NC[[#This Row],[ID]]),N(NC[DATA BASE]=NC[[#This Row],[DATA BASE]]), N(NC['[D/N']] = "N"),    NC[LUCRO P/ OP]), 0)</f>
        <v>0</v>
      </c>
      <c r="AE23" s="23">
        <f>IF(NC[U] = "U",NC[LUCRO '[N']] + SUMPRODUCT(N(MONTH(NC[DATA BASE])=MONTH(NC[[#This Row],[DATA BASE]]) - 1), NC[LUCRO '[N']]),0)</f>
        <v>0</v>
      </c>
      <c r="AF23" s="23">
        <f>IF(NC[U] = "U", SUMPRODUCT(N(NC[DATA BASE]=NC[[#This Row],[DATA BASE]]), N(NC['[D/N']] = "D"),    NC[LUCRO P/ OP]), 0)</f>
        <v>0</v>
      </c>
      <c r="AG23" s="28">
        <f>IF(NC[ TRIB. '[N']] &gt; 0,     ROUND(NC[ TRIB. '[N']]*0.15,    2),    0)</f>
        <v>0</v>
      </c>
      <c r="AH23" s="28">
        <f>IF(NC[LUCRO TRIB. DT] &gt; 0,     ROUND(NC[LUCRO TRIB. DT]*0.2,    2)  -  SUMPRODUCT(N(NC[DATA BASE]=NC[[#This Row],[DATA BASE]]),    NC[IRRF FONTE]),    0)</f>
        <v>0</v>
      </c>
      <c r="AI23" s="27">
        <f>NC[IR '[N']] + NC[IR DEVIDO DT]</f>
        <v>0</v>
      </c>
      <c r="AJ23" s="28">
        <f>IF(AND(NC[U] = "U",NC[IR DEVIDO] &gt; 0), NC[IR DEVIDO] + 8.9, 0)</f>
        <v>0</v>
      </c>
      <c r="AK23" s="28">
        <f>NC[LUCRO '[N']]  + NC[LUCRO TRIB. DT] - NC[RESGATE]</f>
        <v>0</v>
      </c>
    </row>
    <row r="24" spans="1:37" x14ac:dyDescent="0.2">
      <c r="A24" s="21">
        <v>23</v>
      </c>
      <c r="B24" s="21"/>
      <c r="C24" s="21" t="s">
        <v>45</v>
      </c>
      <c r="D24" s="21" t="s">
        <v>39</v>
      </c>
      <c r="E24" s="22">
        <v>41003</v>
      </c>
      <c r="F24" s="21">
        <v>1300</v>
      </c>
      <c r="G24" s="23">
        <v>0.05</v>
      </c>
      <c r="H24" s="21" t="s">
        <v>7</v>
      </c>
      <c r="I24" s="22">
        <f>WORKDAY(NC[[#This Row],[DATA]],1,0)</f>
        <v>41004</v>
      </c>
      <c r="J24" s="30">
        <f>EOMONTH(NC[[#This Row],[DATA DE LIQUIDAÇÃO]],0)</f>
        <v>41029</v>
      </c>
      <c r="K24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L24" s="23">
        <f>NC[QTDE]*NC[PREÇO]</f>
        <v>65</v>
      </c>
      <c r="M24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65</v>
      </c>
      <c r="N24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0.01</v>
      </c>
      <c r="O24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0.02</v>
      </c>
      <c r="P24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0.04</v>
      </c>
      <c r="Q24" s="23">
        <f>SETUP!$E$3*SUMPRODUCT(N(NC[DATA]=NC[[#This Row],[DATA]]),N(NC[ID]&lt;=NC[[#This Row],[ID]]))</f>
        <v>14.9</v>
      </c>
      <c r="R24" s="23">
        <f>TRUNC(NC[CORRETAGEM]*SETUP!$F$3,2)</f>
        <v>0.28999999999999998</v>
      </c>
      <c r="S24" s="23">
        <f>ROUND(NC[CORRETAGEM]*SETUP!$G$3,2)</f>
        <v>0.57999999999999996</v>
      </c>
      <c r="T24" s="23">
        <f>NC[VALOR LÍQUIDO DAS OPERAÇÕES]-NC[TAXA DE LIQUIDAÇÃO]-NC[EMOLUMENTOS]-NC[TAXA DE REGISTRO]-NC[CORRETAGEM]-NC[ISS]-IF(NC['[D/N']]="D",    0,    NC[OUTRAS BOVESPA])</f>
        <v>49.16</v>
      </c>
      <c r="U24" s="23">
        <f>IF(AND(NC['[D/N']]="D",    NC[T]="CV"),    ROUND(NC[LÍQUIDO BASE]*0.01, 2),    0)</f>
        <v>0</v>
      </c>
      <c r="V24" s="23">
        <f>NC[LÍQUIDO BASE]-SUMPRODUCT(N(NC[DATA]=NC[[#This Row],[DATA]]),    NC[IRRF FONTE])</f>
        <v>49.16</v>
      </c>
      <c r="W24" s="28">
        <f>NC[LÍQUIDO]-SUMPRODUCT(N(NC[DATA]=NC[[#This Row],[DATA]]),N(NC[ID]=(NC[[#This Row],[ID]]-1)),NC[LÍQUIDO])</f>
        <v>49.16</v>
      </c>
      <c r="X24" s="23">
        <f>ABS(W24)/F24</f>
        <v>3.7815384615384612E-2</v>
      </c>
      <c r="Y24" s="23">
        <f>TRUNC(IF(OR(NC[T]="CV",NC[T]="VV"),     L24*SETUP!$H$3,     0),2)</f>
        <v>0</v>
      </c>
      <c r="Z24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24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0.46309999999999996</v>
      </c>
      <c r="AB24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3.7815384615384612E-2</v>
      </c>
      <c r="AC24" s="23">
        <f>IF(AND(NC[MED CP] &gt; 0, NC[MED VD] &gt; 0), (NC[MED VD] - NC[MED CP]) * NC[QTDE], 0) + NC[IRRF FONTE]</f>
        <v>-552.87</v>
      </c>
      <c r="AD24" s="23">
        <f>IF(NC[U] = "U", SUMPRODUCT(N(NC[ID]&lt;=NC[[#This Row],[ID]]),N(NC[DATA BASE]=NC[[#This Row],[DATA BASE]]), N(NC['[D/N']] = "N"),    NC[LUCRO P/ OP]), 0)</f>
        <v>0</v>
      </c>
      <c r="AE24" s="23">
        <f>IF(NC[U] = "U",NC[LUCRO '[N']] + SUMPRODUCT(N(MONTH(NC[DATA BASE])=MONTH(NC[[#This Row],[DATA BASE]]) - 1), NC[LUCRO '[N']]),0)</f>
        <v>0</v>
      </c>
      <c r="AF24" s="23">
        <f>IF(NC[U] = "U", SUMPRODUCT(N(NC[DATA BASE]=NC[[#This Row],[DATA BASE]]), N(NC['[D/N']] = "D"),    NC[LUCRO P/ OP]), 0)</f>
        <v>0</v>
      </c>
      <c r="AG24" s="28">
        <f>IF(NC[ TRIB. '[N']] &gt; 0,     ROUND(NC[ TRIB. '[N']]*0.15,    2),    0)</f>
        <v>0</v>
      </c>
      <c r="AH24" s="28">
        <f>IF(NC[LUCRO TRIB. DT] &gt; 0,     ROUND(NC[LUCRO TRIB. DT]*0.2,    2)  -  SUMPRODUCT(N(NC[DATA BASE]=NC[[#This Row],[DATA BASE]]),    NC[IRRF FONTE]),    0)</f>
        <v>0</v>
      </c>
      <c r="AI24" s="27">
        <f>NC[IR '[N']] + NC[IR DEVIDO DT]</f>
        <v>0</v>
      </c>
      <c r="AJ24" s="28">
        <f>IF(AND(NC[U] = "U",NC[IR DEVIDO] &gt; 0), NC[IR DEVIDO] + 8.9, 0)</f>
        <v>0</v>
      </c>
      <c r="AK24" s="28">
        <f>NC[LUCRO '[N']]  + NC[LUCRO TRIB. DT] - NC[RESGATE]</f>
        <v>0</v>
      </c>
    </row>
    <row r="25" spans="1:37" x14ac:dyDescent="0.2">
      <c r="A25" s="21">
        <v>24</v>
      </c>
      <c r="B25" s="21"/>
      <c r="C25" s="21" t="s">
        <v>74</v>
      </c>
      <c r="D25" s="21" t="s">
        <v>38</v>
      </c>
      <c r="E25" s="22">
        <v>41004</v>
      </c>
      <c r="F25" s="21">
        <v>800</v>
      </c>
      <c r="G25" s="23">
        <v>0.5</v>
      </c>
      <c r="H25" s="21" t="s">
        <v>7</v>
      </c>
      <c r="I25" s="22">
        <f>WORKDAY(NC[[#This Row],[DATA]],1,0)</f>
        <v>41005</v>
      </c>
      <c r="J25" s="30">
        <f>EOMONTH(NC[[#This Row],[DATA DE LIQUIDAÇÃO]],0)</f>
        <v>41029</v>
      </c>
      <c r="K25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25" s="23">
        <f>NC[QTDE]*NC[PREÇO]</f>
        <v>400</v>
      </c>
      <c r="M25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-400</v>
      </c>
      <c r="N25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0.11</v>
      </c>
      <c r="O25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0.14000000000000001</v>
      </c>
      <c r="P25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0.27</v>
      </c>
      <c r="Q25" s="23">
        <f>SETUP!$E$3*SUMPRODUCT(N(NC[DATA]=NC[[#This Row],[DATA]]),N(NC[ID]&lt;=NC[[#This Row],[ID]]))</f>
        <v>14.9</v>
      </c>
      <c r="R25" s="23">
        <f>TRUNC(NC[CORRETAGEM]*SETUP!$F$3,2)</f>
        <v>0.28999999999999998</v>
      </c>
      <c r="S25" s="23">
        <f>ROUND(NC[CORRETAGEM]*SETUP!$G$3,2)</f>
        <v>0.57999999999999996</v>
      </c>
      <c r="T25" s="23">
        <f>NC[VALOR LÍQUIDO DAS OPERAÇÕES]-NC[TAXA DE LIQUIDAÇÃO]-NC[EMOLUMENTOS]-NC[TAXA DE REGISTRO]-NC[CORRETAGEM]-NC[ISS]-IF(NC['[D/N']]="D",    0,    NC[OUTRAS BOVESPA])</f>
        <v>-416.28999999999996</v>
      </c>
      <c r="U25" s="23">
        <f>IF(AND(NC['[D/N']]="D",    NC[T]="CV"),    ROUND(NC[LÍQUIDO BASE]*0.01, 2),    0)</f>
        <v>0</v>
      </c>
      <c r="V25" s="23">
        <f>NC[LÍQUIDO BASE]-SUMPRODUCT(N(NC[DATA]=NC[[#This Row],[DATA]]),    NC[IRRF FONTE])</f>
        <v>-416.28999999999996</v>
      </c>
      <c r="W25" s="28">
        <f>NC[LÍQUIDO]-SUMPRODUCT(N(NC[DATA]=NC[[#This Row],[DATA]]),N(NC[ID]=(NC[[#This Row],[ID]]-1)),NC[LÍQUIDO])</f>
        <v>-416.28999999999996</v>
      </c>
      <c r="X25" s="23">
        <f>ABS(W25)/F25</f>
        <v>0.52036249999999995</v>
      </c>
      <c r="Y25" s="23">
        <f>TRUNC(IF(OR(NC[T]="CV",NC[T]="VV"),     L25*SETUP!$H$3,     0),2)</f>
        <v>0</v>
      </c>
      <c r="Z25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800</v>
      </c>
      <c r="AA25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0.52036249999999995</v>
      </c>
      <c r="AB25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25" s="23">
        <f>IF(AND(NC[MED CP] &gt; 0, NC[MED VD] &gt; 0), (NC[MED VD] - NC[MED CP]) * NC[QTDE], 0) + NC[IRRF FONTE]</f>
        <v>0</v>
      </c>
      <c r="AD25" s="23">
        <f>IF(NC[U] = "U", SUMPRODUCT(N(NC[ID]&lt;=NC[[#This Row],[ID]]),N(NC[DATA BASE]=NC[[#This Row],[DATA BASE]]), N(NC['[D/N']] = "N"),    NC[LUCRO P/ OP]), 0)</f>
        <v>0</v>
      </c>
      <c r="AE25" s="23">
        <f>IF(NC[U] = "U",NC[LUCRO '[N']] + SUMPRODUCT(N(MONTH(NC[DATA BASE])=MONTH(NC[[#This Row],[DATA BASE]]) - 1), NC[LUCRO '[N']]),0)</f>
        <v>0</v>
      </c>
      <c r="AF25" s="23">
        <f>IF(NC[U] = "U", SUMPRODUCT(N(NC[DATA BASE]=NC[[#This Row],[DATA BASE]]), N(NC['[D/N']] = "D"),    NC[LUCRO P/ OP]), 0)</f>
        <v>0</v>
      </c>
      <c r="AG25" s="28">
        <f>IF(NC[ TRIB. '[N']] &gt; 0,     ROUND(NC[ TRIB. '[N']]*0.15,    2),    0)</f>
        <v>0</v>
      </c>
      <c r="AH25" s="28">
        <f>IF(NC[LUCRO TRIB. DT] &gt; 0,     ROUND(NC[LUCRO TRIB. DT]*0.2,    2)  -  SUMPRODUCT(N(NC[DATA BASE]=NC[[#This Row],[DATA BASE]]),    NC[IRRF FONTE]),    0)</f>
        <v>0</v>
      </c>
      <c r="AI25" s="27">
        <f>NC[IR '[N']] + NC[IR DEVIDO DT]</f>
        <v>0</v>
      </c>
      <c r="AJ25" s="28">
        <f>IF(AND(NC[U] = "U",NC[IR DEVIDO] &gt; 0), NC[IR DEVIDO] + 8.9, 0)</f>
        <v>0</v>
      </c>
      <c r="AK25" s="28">
        <f>NC[LUCRO '[N']]  + NC[LUCRO TRIB. DT] - NC[RESGATE]</f>
        <v>0</v>
      </c>
    </row>
    <row r="26" spans="1:37" x14ac:dyDescent="0.2">
      <c r="A26" s="21">
        <v>25</v>
      </c>
      <c r="B26" s="21"/>
      <c r="C26" s="21" t="s">
        <v>69</v>
      </c>
      <c r="D26" s="21" t="s">
        <v>39</v>
      </c>
      <c r="E26" s="22">
        <v>41010</v>
      </c>
      <c r="F26" s="21">
        <v>3000</v>
      </c>
      <c r="G26" s="23">
        <v>0.01</v>
      </c>
      <c r="H26" s="21" t="s">
        <v>7</v>
      </c>
      <c r="I26" s="22">
        <f>WORKDAY(NC[[#This Row],[DATA]],1,0)</f>
        <v>41011</v>
      </c>
      <c r="J26" s="30">
        <f>EOMONTH(NC[[#This Row],[DATA DE LIQUIDAÇÃO]],0)</f>
        <v>41029</v>
      </c>
      <c r="K26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3</v>
      </c>
      <c r="L26" s="23">
        <f>NC[QTDE]*NC[PREÇO]</f>
        <v>30</v>
      </c>
      <c r="M26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30</v>
      </c>
      <c r="N26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</v>
      </c>
      <c r="O26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0.01</v>
      </c>
      <c r="P26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0.02</v>
      </c>
      <c r="Q26" s="23">
        <f>SETUP!$E$3*SUMPRODUCT(N(NC[DATA]=NC[[#This Row],[DATA]]),N(NC[ID]&lt;=NC[[#This Row],[ID]]))</f>
        <v>14.9</v>
      </c>
      <c r="R26" s="23">
        <f>TRUNC(NC[CORRETAGEM]*SETUP!$F$3,2)</f>
        <v>0.28999999999999998</v>
      </c>
      <c r="S26" s="23">
        <f>ROUND(NC[CORRETAGEM]*SETUP!$G$3,2)</f>
        <v>0.57999999999999996</v>
      </c>
      <c r="T26" s="23">
        <f>NC[VALOR LÍQUIDO DAS OPERAÇÕES]-NC[TAXA DE LIQUIDAÇÃO]-NC[EMOLUMENTOS]-NC[TAXA DE REGISTRO]-NC[CORRETAGEM]-NC[ISS]-IF(NC['[D/N']]="D",    0,    NC[OUTRAS BOVESPA])</f>
        <v>14.2</v>
      </c>
      <c r="U26" s="23">
        <f>IF(AND(NC['[D/N']]="D",    NC[T]="CV"),    ROUND(NC[LÍQUIDO BASE]*0.01, 2),    0)</f>
        <v>0</v>
      </c>
      <c r="V26" s="23">
        <f>NC[LÍQUIDO BASE]-SUMPRODUCT(N(NC[DATA]=NC[[#This Row],[DATA]]),    NC[IRRF FONTE])</f>
        <v>14.2</v>
      </c>
      <c r="W26" s="28">
        <f>NC[LÍQUIDO]-SUMPRODUCT(N(NC[DATA]=NC[[#This Row],[DATA]]),N(NC[ID]=(NC[[#This Row],[ID]]-1)),NC[LÍQUIDO])</f>
        <v>14.2</v>
      </c>
      <c r="X26" s="23">
        <f>ABS(W26)/F26</f>
        <v>4.7333333333333333E-3</v>
      </c>
      <c r="Y26" s="23">
        <f>TRUNC(IF(OR(NC[T]="CV",NC[T]="VV"),     L26*SETUP!$H$3,     0),2)</f>
        <v>0</v>
      </c>
      <c r="Z26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26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0.16546666666666665</v>
      </c>
      <c r="AB26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4.7333333333333333E-3</v>
      </c>
      <c r="AC26" s="23">
        <f>IF(AND(NC[MED CP] &gt; 0, NC[MED VD] &gt; 0), (NC[MED VD] - NC[MED CP]) * NC[QTDE], 0) + NC[IRRF FONTE]</f>
        <v>-482.19999999999993</v>
      </c>
      <c r="AD26" s="23">
        <f>IF(NC[U] = "U", SUMPRODUCT(N(NC[ID]&lt;=NC[[#This Row],[ID]]),N(NC[DATA BASE]=NC[[#This Row],[DATA BASE]]), N(NC['[D/N']] = "N"),    NC[LUCRO P/ OP]), 0)</f>
        <v>0</v>
      </c>
      <c r="AE26" s="23">
        <f>IF(NC[U] = "U",NC[LUCRO '[N']] + SUMPRODUCT(N(MONTH(NC[DATA BASE])=MONTH(NC[[#This Row],[DATA BASE]]) - 1), NC[LUCRO '[N']]),0)</f>
        <v>0</v>
      </c>
      <c r="AF26" s="23">
        <f>IF(NC[U] = "U", SUMPRODUCT(N(NC[DATA BASE]=NC[[#This Row],[DATA BASE]]), N(NC['[D/N']] = "D"),    NC[LUCRO P/ OP]), 0)</f>
        <v>0</v>
      </c>
      <c r="AG26" s="28">
        <f>IF(NC[ TRIB. '[N']] &gt; 0,     ROUND(NC[ TRIB. '[N']]*0.15,    2),    0)</f>
        <v>0</v>
      </c>
      <c r="AH26" s="28">
        <f>IF(NC[LUCRO TRIB. DT] &gt; 0,     ROUND(NC[LUCRO TRIB. DT]*0.2,    2)  -  SUMPRODUCT(N(NC[DATA BASE]=NC[[#This Row],[DATA BASE]]),    NC[IRRF FONTE]),    0)</f>
        <v>0</v>
      </c>
      <c r="AI26" s="27">
        <f>NC[IR '[N']] + NC[IR DEVIDO DT]</f>
        <v>0</v>
      </c>
      <c r="AJ26" s="28">
        <f>IF(AND(NC[U] = "U",NC[IR DEVIDO] &gt; 0), NC[IR DEVIDO] + 8.9, 0)</f>
        <v>0</v>
      </c>
      <c r="AK26" s="28">
        <f>NC[LUCRO '[N']]  + NC[LUCRO TRIB. DT] - NC[RESGATE]</f>
        <v>0</v>
      </c>
    </row>
    <row r="27" spans="1:37" x14ac:dyDescent="0.2">
      <c r="A27" s="21">
        <v>26</v>
      </c>
      <c r="B27" s="21" t="s">
        <v>67</v>
      </c>
      <c r="C27" s="21" t="s">
        <v>74</v>
      </c>
      <c r="D27" s="21" t="s">
        <v>39</v>
      </c>
      <c r="E27" s="22">
        <v>41010</v>
      </c>
      <c r="F27" s="21">
        <v>800</v>
      </c>
      <c r="G27" s="23">
        <v>0.19</v>
      </c>
      <c r="H27" s="21" t="s">
        <v>7</v>
      </c>
      <c r="I27" s="22">
        <f>WORKDAY(NC[[#This Row],[DATA]],1,0)</f>
        <v>41011</v>
      </c>
      <c r="J27" s="30">
        <f>EOMONTH(NC[[#This Row],[DATA DE LIQUIDAÇÃO]],0)</f>
        <v>41029</v>
      </c>
      <c r="K27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27" s="23">
        <f>NC[QTDE]*NC[PREÇO]</f>
        <v>152</v>
      </c>
      <c r="M27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182</v>
      </c>
      <c r="N27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0.05</v>
      </c>
      <c r="O27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0.06</v>
      </c>
      <c r="P27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0.12</v>
      </c>
      <c r="Q27" s="23">
        <f>SETUP!$E$3*SUMPRODUCT(N(NC[DATA]=NC[[#This Row],[DATA]]),N(NC[ID]&lt;=NC[[#This Row],[ID]]))</f>
        <v>29.8</v>
      </c>
      <c r="R27" s="23">
        <f>TRUNC(NC[CORRETAGEM]*SETUP!$F$3,2)</f>
        <v>0.59</v>
      </c>
      <c r="S27" s="23">
        <f>ROUND(NC[CORRETAGEM]*SETUP!$G$3,2)</f>
        <v>1.1599999999999999</v>
      </c>
      <c r="T27" s="23">
        <f>NC[VALOR LÍQUIDO DAS OPERAÇÕES]-NC[TAXA DE LIQUIDAÇÃO]-NC[EMOLUMENTOS]-NC[TAXA DE REGISTRO]-NC[CORRETAGEM]-NC[ISS]-IF(NC['[D/N']]="D",    0,    NC[OUTRAS BOVESPA])</f>
        <v>150.21999999999997</v>
      </c>
      <c r="U27" s="23">
        <f>IF(AND(NC['[D/N']]="D",    NC[T]="CV"),    ROUND(NC[LÍQUIDO BASE]*0.01, 2),    0)</f>
        <v>0</v>
      </c>
      <c r="V27" s="23">
        <f>NC[LÍQUIDO BASE]-SUMPRODUCT(N(NC[DATA]=NC[[#This Row],[DATA]]),    NC[IRRF FONTE])</f>
        <v>150.21999999999997</v>
      </c>
      <c r="W27" s="28">
        <f>NC[LÍQUIDO]-SUMPRODUCT(N(NC[DATA]=NC[[#This Row],[DATA]]),N(NC[ID]=(NC[[#This Row],[ID]]-1)),NC[LÍQUIDO])</f>
        <v>136.01999999999998</v>
      </c>
      <c r="X27" s="23">
        <f>ABS(W27)/F27</f>
        <v>0.17002499999999998</v>
      </c>
      <c r="Y27" s="23">
        <f>TRUNC(IF(OR(NC[T]="CV",NC[T]="VV"),     L27*SETUP!$H$3,     0),2)</f>
        <v>0</v>
      </c>
      <c r="Z27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27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0.52036249999999995</v>
      </c>
      <c r="AB27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0.17002499999999998</v>
      </c>
      <c r="AC27" s="23">
        <f>IF(AND(NC[MED CP] &gt; 0, NC[MED VD] &gt; 0), (NC[MED VD] - NC[MED CP]) * NC[QTDE], 0) + NC[IRRF FONTE]</f>
        <v>-280.27</v>
      </c>
      <c r="AD27" s="23">
        <f>IF(NC[U] = "U", SUMPRODUCT(N(NC[ID]&lt;=NC[[#This Row],[ID]]),N(NC[DATA BASE]=NC[[#This Row],[DATA BASE]]), N(NC['[D/N']] = "N"),    NC[LUCRO P/ OP]), 0)</f>
        <v>-1632.71</v>
      </c>
      <c r="AE27" s="23">
        <f>IF(NC[U] = "U",NC[LUCRO '[N']] + SUMPRODUCT(N(MONTH(NC[DATA BASE])=MONTH(NC[[#This Row],[DATA BASE]]) - 1), NC[LUCRO '[N']]),0)</f>
        <v>-2289.5200000000004</v>
      </c>
      <c r="AF27" s="23">
        <f>IF(NC[U] = "U", SUMPRODUCT(N(NC[DATA BASE]=NC[[#This Row],[DATA BASE]]), N(NC['[D/N']] = "D"),    NC[LUCRO P/ OP]), 0)</f>
        <v>0</v>
      </c>
      <c r="AG27" s="28">
        <f>IF(NC[ TRIB. '[N']] &gt; 0,     ROUND(NC[ TRIB. '[N']]*0.15,    2),    0)</f>
        <v>0</v>
      </c>
      <c r="AH27" s="28">
        <f>IF(NC[LUCRO TRIB. DT] &gt; 0,     ROUND(NC[LUCRO TRIB. DT]*0.2,    2)  -  SUMPRODUCT(N(NC[DATA BASE]=NC[[#This Row],[DATA BASE]]),    NC[IRRF FONTE]),    0)</f>
        <v>0</v>
      </c>
      <c r="AI27" s="27">
        <f>NC[IR '[N']] + NC[IR DEVIDO DT]</f>
        <v>0</v>
      </c>
      <c r="AJ27" s="28">
        <f>IF(AND(NC[U] = "U",NC[IR DEVIDO] &gt; 0), NC[IR DEVIDO] + 8.9, 0)</f>
        <v>0</v>
      </c>
      <c r="AK27" s="28">
        <f>NC[LUCRO '[N']]  + NC[LUCRO TRIB. DT] - NC[RESGATE]</f>
        <v>-1632.71</v>
      </c>
    </row>
    <row r="28" spans="1:37" x14ac:dyDescent="0.2">
      <c r="A28" s="31">
        <f>SUBTOTAL(104,NC[ID])</f>
        <v>26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23"/>
      <c r="U28" s="31"/>
      <c r="V28" s="23"/>
      <c r="W28" s="23"/>
      <c r="X28" s="31"/>
      <c r="Y28" s="23">
        <f>SUBTOTAL(109,NC[IRRF])</f>
        <v>0.08</v>
      </c>
      <c r="Z28" s="23"/>
      <c r="AA28" s="31"/>
      <c r="AB28" s="31"/>
      <c r="AC28" s="23">
        <f>SUBTOTAL(109,NC[LUCRO P/ OP])</f>
        <v>-1811.0100000000002</v>
      </c>
      <c r="AD28" s="23"/>
      <c r="AE28" s="23"/>
      <c r="AF28" s="32"/>
      <c r="AG28" s="23"/>
      <c r="AH28" s="23"/>
      <c r="AI28" s="33"/>
      <c r="AJ28" s="33"/>
      <c r="AK28" s="35">
        <f>SUBTOTAL(109,NC[LUCRO LÍQUIDO])</f>
        <v>-1910.8300000000004</v>
      </c>
    </row>
    <row r="29" spans="1:37" x14ac:dyDescent="0.2">
      <c r="AE29" s="34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I7"/>
  <sheetViews>
    <sheetView workbookViewId="0">
      <selection activeCell="B7" sqref="B7"/>
    </sheetView>
  </sheetViews>
  <sheetFormatPr defaultColWidth="11.5703125" defaultRowHeight="11.25" x14ac:dyDescent="0.2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9" x14ac:dyDescent="0.2">
      <c r="A1" s="38" t="s">
        <v>9</v>
      </c>
      <c r="B1" s="38"/>
      <c r="C1" s="38" t="s">
        <v>10</v>
      </c>
      <c r="D1" s="38"/>
      <c r="E1" s="37" t="s">
        <v>11</v>
      </c>
      <c r="F1" s="37" t="s">
        <v>4</v>
      </c>
      <c r="G1" s="37" t="s">
        <v>12</v>
      </c>
      <c r="H1" s="37" t="s">
        <v>13</v>
      </c>
      <c r="I1" s="37" t="s">
        <v>37</v>
      </c>
    </row>
    <row r="2" spans="1:9" x14ac:dyDescent="0.2">
      <c r="A2" s="3" t="s">
        <v>14</v>
      </c>
      <c r="B2" s="3" t="s">
        <v>15</v>
      </c>
      <c r="C2" s="3" t="s">
        <v>14</v>
      </c>
      <c r="D2" s="3" t="s">
        <v>15</v>
      </c>
      <c r="E2" s="37"/>
      <c r="F2" s="37"/>
      <c r="G2" s="37"/>
      <c r="H2" s="37"/>
      <c r="I2" s="37"/>
    </row>
    <row r="3" spans="1:9" x14ac:dyDescent="0.2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25">
        <v>6765.77</v>
      </c>
    </row>
    <row r="4" spans="1:9" x14ac:dyDescent="0.2">
      <c r="A4" s="36" t="s">
        <v>40</v>
      </c>
      <c r="B4" s="36"/>
      <c r="C4" s="36"/>
      <c r="D4" s="36"/>
      <c r="E4" s="36"/>
      <c r="F4" s="36"/>
    </row>
    <row r="5" spans="1:9" x14ac:dyDescent="0.2">
      <c r="A5" s="36" t="s">
        <v>9</v>
      </c>
      <c r="B5" s="36"/>
      <c r="C5" s="36"/>
      <c r="D5" s="36" t="s">
        <v>10</v>
      </c>
      <c r="E5" s="36"/>
      <c r="F5" s="36"/>
    </row>
    <row r="6" spans="1:9" x14ac:dyDescent="0.2">
      <c r="A6" s="26" t="s">
        <v>14</v>
      </c>
      <c r="B6" s="26" t="s">
        <v>15</v>
      </c>
      <c r="C6" s="26" t="s">
        <v>41</v>
      </c>
      <c r="D6" s="26" t="s">
        <v>14</v>
      </c>
      <c r="E6" s="26" t="s">
        <v>15</v>
      </c>
      <c r="F6" s="26" t="s">
        <v>41</v>
      </c>
    </row>
    <row r="7" spans="1:9" x14ac:dyDescent="0.2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</row>
  </sheetData>
  <sheetProtection selectLockedCells="1" selectUnlockedCells="1"/>
  <mergeCells count="10"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"/>
  <sheetViews>
    <sheetView workbookViewId="0"/>
  </sheetViews>
  <sheetFormatPr defaultColWidth="11.5703125" defaultRowHeight="12.75" x14ac:dyDescent="0.2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Plan3</vt:lpstr>
      <vt:lpstr>Planilha1</vt:lpstr>
      <vt:lpstr>SETUP</vt:lpstr>
      <vt:lpstr>Planilha3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2012-03-04T21:31:14Z</dcterms:created>
  <dcterms:modified xsi:type="dcterms:W3CDTF">2012-04-12T02:00:13Z</dcterms:modified>
</cp:coreProperties>
</file>