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3555" tabRatio="648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3" l="1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3" i="1" l="1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3" i="1" l="1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2" l="1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95"/>
  <c r="Y2"/>
  <c r="AK2" s="1"/>
  <c r="Z93" l="1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3" l="1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5" s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<sst xmlns="http://schemas.openxmlformats.org/spreadsheetml/2006/main" count="675" uniqueCount="183">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</sst>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3" headerRowDxfId="348" dataDxfId="347" totalsRowDxfId="346">
  <autoFilter ref="A1:AK93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5"/>
  <sheetViews>
    <sheetView tabSelected="1"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F93" sqref="F9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1200</v>
      </c>
      <c r="G92" s="136">
        <v>0.42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504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-504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-520.43000000000006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-520.43000000000006</v>
      </c>
      <c r="Z92" s="136">
        <f>[LÍQUIDO]-SUMPRODUCT(N([DATA]=NC[[#This Row],[DATA]]),N([ID]=(NC[[#This Row],[ID]]-1)),[LÍQUIDO])</f>
        <v>-520.43000000000006</v>
      </c>
      <c r="AA92" s="136">
        <f>IF([T] = "VC", ABS([VALOR OP]) / [QTDE], [VALOR OP]/[QTDE])</f>
        <v>-0.4336916666666667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1200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0.4336916666666667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-0.4336916666666667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3000</v>
      </c>
      <c r="G93" s="136">
        <v>0.24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720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720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0.19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0.26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703.28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703.28</v>
      </c>
      <c r="Z93" s="136">
        <f>[LÍQUIDO]-SUMPRODUCT(N([DATA]=NC[[#This Row],[DATA]]),N([ID]=(NC[[#This Row],[ID]]-1)),[LÍQUIDO])</f>
        <v>703.28</v>
      </c>
      <c r="AA93" s="136">
        <f>IF([T] = "VC", ABS([VALOR OP]) / [QTDE], [VALOR OP]/[QTDE])</f>
        <v>0.23442666666666664</v>
      </c>
      <c r="AB93" s="136">
        <f>TRUNC(IF(OR([T]="CV",[T]="VV"),     N93*SETUP!$H$3,     0),2)</f>
        <v>0.03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-1800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0.4336916666666667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0.23442666666666664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-597.79500000000019</v>
      </c>
      <c r="AG93" s="136">
        <f>IF([LUCRO TMP] &lt;&gt; 0, [LUCRO TMP] - SUMPRODUCT(N([ATIVO]=NC[[#This Row],[ATIVO]]),N(['[D/N']]="N"),N([ID]&lt;NC[[#This Row],[ID]]),N([PAR]=NC[[#This Row],[PAR]]), [LUCRO TMP]), 0)</f>
        <v>-597.79500000000019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0.23442666666666664</v>
      </c>
    </row>
    <row r="95" spans="1:37">
      <c r="Y95" s="27">
        <f>Y93/ABS(Y92)</f>
        <v>1.3513440808562149</v>
      </c>
      <c r="AG95" s="27">
        <f>AG93/ABS(Z92)</f>
        <v>-1.1486559191437851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" sqref="D2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v>550</v>
      </c>
      <c r="C2" s="25">
        <v>13</v>
      </c>
      <c r="D2" s="25">
        <v>0.42</v>
      </c>
      <c r="E2" s="39">
        <v>13.2</v>
      </c>
      <c r="F2" s="28">
        <f>ROUNDDOWN([APLICAÇÃO]/[PREÇO OPÇÃO], 0)</f>
        <v>1309</v>
      </c>
      <c r="G2" s="28">
        <f>[QTDE TMP] - MOD([QTDE TMP], 100)</f>
        <v>1300</v>
      </c>
      <c r="H2" s="25">
        <f>[EXERCÍCIO] + ([PREÇO OPÇÃO] * 2)</f>
        <v>13.84</v>
      </c>
      <c r="I2" s="27">
        <f>[TARGET 100%] / [PREÇO AÇÃO] - 1</f>
        <v>4.8484848484848575E-2</v>
      </c>
      <c r="J2" s="25">
        <f>[PREÇO OPÇÃO] * [QTDE]</f>
        <v>546</v>
      </c>
      <c r="K2" s="25">
        <f>IF([PREÇO AÇÃO] &gt; [EXERCÍCIO], [PREÇO OPÇÃO] -([PREÇO AÇÃO] - [EXERCÍCIO]), [PREÇO OPÇÃO])</f>
        <v>0.22000000000000069</v>
      </c>
    </row>
    <row r="3" spans="1:15">
      <c r="A3" s="7" t="s">
        <v>179</v>
      </c>
      <c r="B3" s="25">
        <v>900</v>
      </c>
      <c r="C3" s="25">
        <v>27.18</v>
      </c>
      <c r="D3" s="25">
        <v>0.72</v>
      </c>
      <c r="E3" s="39">
        <v>27.45</v>
      </c>
      <c r="F3" s="28">
        <f>ROUNDDOWN([APLICAÇÃO]/[PREÇO OPÇÃO], 0)</f>
        <v>1250</v>
      </c>
      <c r="G3" s="28">
        <f>[QTDE TMP] - MOD([QTDE TMP], 100)</f>
        <v>1200</v>
      </c>
      <c r="H3" s="25">
        <f>[EXERCÍCIO] + ([PREÇO OPÇÃO] * 2)</f>
        <v>28.62</v>
      </c>
      <c r="I3" s="27">
        <f>[TARGET 100%] / [PREÇO AÇÃO] - 1</f>
        <v>4.2622950819672267E-2</v>
      </c>
      <c r="J3" s="25">
        <f>[PREÇO OPÇÃO] * [QTDE]</f>
        <v>864</v>
      </c>
      <c r="K3" s="25">
        <f>IF([PREÇO AÇÃO] &gt; [EXERCÍCIO], [PREÇO OPÇÃO] -([PREÇO AÇÃO] - [EXERCÍCIO]), [PREÇO OPÇÃO])</f>
        <v>0.4500000000000004</v>
      </c>
    </row>
    <row r="4" spans="1:15">
      <c r="A4" s="7" t="s">
        <v>179</v>
      </c>
      <c r="B4" s="146">
        <v>900</v>
      </c>
      <c r="C4" s="25">
        <v>25.18</v>
      </c>
      <c r="D4" s="25">
        <v>0.94</v>
      </c>
      <c r="E4" s="39">
        <v>26.88</v>
      </c>
      <c r="F4" s="147">
        <f>ROUNDDOWN([APLICAÇÃO]/[PREÇO OPÇÃO], 0)</f>
        <v>957</v>
      </c>
      <c r="G4" s="147">
        <f>[QTDE TMP] - MOD([QTDE TMP], 100)</f>
        <v>900</v>
      </c>
      <c r="H4" s="146">
        <f>[EXERCÍCIO] + ([PREÇO OPÇÃO] * 2)</f>
        <v>27.06</v>
      </c>
      <c r="I4" s="148">
        <f>[TARGET 100%] / [PREÇO AÇÃO] - 1</f>
        <v>6.6964285714286031E-3</v>
      </c>
      <c r="J4" s="149">
        <f>[PREÇO OPÇÃO] * [QTDE]</f>
        <v>846</v>
      </c>
      <c r="K4" s="149">
        <f>IF([PREÇO AÇÃO] &gt; [EXERCÍCIO], [PREÇO OPÇÃO] -([PREÇO AÇÃO] - [EXERCÍCIO]), [PREÇO OPÇÃO])</f>
        <v>-0.75999999999999934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v>900</v>
      </c>
      <c r="C5" s="146">
        <v>27.18</v>
      </c>
      <c r="D5" s="146">
        <v>0.22</v>
      </c>
      <c r="E5" s="39">
        <v>26.88</v>
      </c>
      <c r="F5" s="147">
        <f>ROUNDDOWN([APLICAÇÃO]/[PREÇO OPÇÃO], 0)</f>
        <v>4090</v>
      </c>
      <c r="G5" s="147">
        <f>[QTDE TMP] - MOD([QTDE TMP], 100)</f>
        <v>4000</v>
      </c>
      <c r="H5" s="146">
        <f>[EXERCÍCIO] + ([PREÇO OPÇÃO] * 2)</f>
        <v>27.62</v>
      </c>
      <c r="I5" s="148">
        <f>[TARGET 100%] / [PREÇO AÇÃO] - 1</f>
        <v>2.7529761904762085E-2</v>
      </c>
      <c r="J5" s="149">
        <f>[PREÇO OPÇÃO] * [QTDE]</f>
        <v>880</v>
      </c>
      <c r="K5" s="149">
        <f>IF([PREÇO AÇÃO] &gt; [EXERCÍCIO], [PREÇO OPÇÃO] -([PREÇO AÇÃO] - [EXERCÍCIO]), [PREÇO OPÇÃO])</f>
        <v>0.22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</v>
      </c>
      <c r="C2" s="51">
        <v>13.56</v>
      </c>
      <c r="D2" s="51">
        <v>12</v>
      </c>
      <c r="E2" s="51">
        <v>13</v>
      </c>
      <c r="F2" s="51">
        <v>1.63</v>
      </c>
      <c r="G2" s="62">
        <v>400</v>
      </c>
      <c r="H2" s="52">
        <f>([RISCO])/[QTDE]</f>
        <v>7.4999999999999997E-2</v>
      </c>
      <c r="I2" s="52">
        <f>[PR Venda] * [QTDE]+[QTDE]*[PR Compra]</f>
        <v>934</v>
      </c>
      <c r="J2" s="63">
        <f>[PR Venda]-[PR Compra]</f>
        <v>0.92500000000000004</v>
      </c>
      <c r="K2" s="52">
        <f>(-[PERDA P/ OPÇÃO] + ([EX. COMPRA] - [EX. VENDA] + 0.01) - 0.01 -[PR Venda])*-1</f>
        <v>0.70499999999999985</v>
      </c>
      <c r="L2" s="52">
        <f>([QTDE]*[LUCRO UNI])-64</f>
        <v>306</v>
      </c>
      <c r="M2" s="52">
        <f>-[PERDA P/ OPÇÃO]*[QTDE]-64</f>
        <v>-94</v>
      </c>
      <c r="N2" s="53">
        <f>[EX. VENDA]/[PREÇO AÇÃO]-1</f>
        <v>-0.11504424778761069</v>
      </c>
      <c r="O2" s="54">
        <f>[LUCRO]/ABS([PERDA])</f>
        <v>3.2553191489361701</v>
      </c>
    </row>
    <row r="3" spans="1:15">
      <c r="A3" s="145" t="s">
        <v>83</v>
      </c>
      <c r="B3" s="146">
        <v>185</v>
      </c>
      <c r="C3" s="146">
        <v>28.15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-3.4458259325044316E-2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2014-03-13T22:25:31Z</dcterms:modified>
</cp:coreProperties>
</file>