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I40" i="1"/>
  <c r="J40"/>
  <c r="L40"/>
  <c r="Q40"/>
  <c r="R40"/>
  <c r="S40"/>
  <c r="W40"/>
  <c r="X40"/>
  <c r="AB40"/>
  <c r="I41"/>
  <c r="J41"/>
  <c r="L41"/>
  <c r="Q41"/>
  <c r="R41"/>
  <c r="S41"/>
  <c r="W41"/>
  <c r="X41"/>
  <c r="AB41"/>
  <c r="I39"/>
  <c r="J39"/>
  <c r="L39"/>
  <c r="Q39"/>
  <c r="R39"/>
  <c r="S39"/>
  <c r="W39"/>
  <c r="X39"/>
  <c r="Y39"/>
  <c r="AB39"/>
  <c r="I38" l="1"/>
  <c r="J38"/>
  <c r="L38"/>
  <c r="Q38"/>
  <c r="R38"/>
  <c r="S38"/>
  <c r="W38"/>
  <c r="X38"/>
  <c r="AB38"/>
  <c r="I37"/>
  <c r="J37"/>
  <c r="L37"/>
  <c r="Q37"/>
  <c r="R37"/>
  <c r="S37"/>
  <c r="W37"/>
  <c r="X37"/>
  <c r="Z37"/>
  <c r="AB37"/>
  <c r="I36" l="1"/>
  <c r="J36" s="1"/>
  <c r="L36"/>
  <c r="W36" s="1"/>
  <c r="Q36"/>
  <c r="R36" s="1"/>
  <c r="S36"/>
  <c r="X36"/>
  <c r="AB36"/>
  <c r="I35"/>
  <c r="J35" s="1"/>
  <c r="L35"/>
  <c r="Q35"/>
  <c r="R35" s="1"/>
  <c r="W35"/>
  <c r="X35"/>
  <c r="AB35"/>
  <c r="S35" l="1"/>
  <c r="I34" l="1"/>
  <c r="J34" s="1"/>
  <c r="L34"/>
  <c r="W34" s="1"/>
  <c r="Q34"/>
  <c r="S34" s="1"/>
  <c r="X34"/>
  <c r="Y34"/>
  <c r="AB34"/>
  <c r="I33"/>
  <c r="J33" s="1"/>
  <c r="L33"/>
  <c r="Q33"/>
  <c r="S33" s="1"/>
  <c r="W33"/>
  <c r="X33"/>
  <c r="AB33"/>
  <c r="R33" l="1"/>
  <c r="R34"/>
  <c r="I2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J2" l="1"/>
  <c r="Z2"/>
  <c r="Z3"/>
  <c r="Z5"/>
  <c r="Z6"/>
  <c r="Z7"/>
  <c r="Z9"/>
  <c r="Z12"/>
  <c r="Z15"/>
  <c r="Z18"/>
  <c r="Z21"/>
  <c r="Z22"/>
  <c r="Z24"/>
  <c r="Z29"/>
  <c r="Z30"/>
  <c r="Y5"/>
  <c r="Y6"/>
  <c r="Y8"/>
  <c r="Y13"/>
  <c r="Y32"/>
  <c r="X2"/>
  <c r="W2"/>
  <c r="W3"/>
  <c r="W5"/>
  <c r="W7"/>
  <c r="W9"/>
  <c r="W12"/>
  <c r="W15"/>
  <c r="W17"/>
  <c r="W18"/>
  <c r="W19"/>
  <c r="W21"/>
  <c r="W22"/>
  <c r="W24"/>
  <c r="W29"/>
  <c r="W30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AA5"/>
  <c r="K40" l="1"/>
  <c r="K41"/>
  <c r="K39"/>
  <c r="K38"/>
  <c r="K37"/>
  <c r="K36"/>
  <c r="K35"/>
  <c r="K34"/>
  <c r="K33"/>
  <c r="K2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L32"/>
  <c r="W32" s="1"/>
  <c r="Q32"/>
  <c r="R32" s="1"/>
  <c r="S32" l="1"/>
  <c r="L31"/>
  <c r="W31" s="1"/>
  <c r="Q31"/>
  <c r="R31" l="1"/>
  <c r="S31"/>
  <c r="Q2" l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L2"/>
  <c r="L3"/>
  <c r="L4"/>
  <c r="W4" s="1"/>
  <c r="L5"/>
  <c r="L6"/>
  <c r="W6" s="1"/>
  <c r="L7"/>
  <c r="L8"/>
  <c r="W8" s="1"/>
  <c r="L9"/>
  <c r="L10"/>
  <c r="W10" s="1"/>
  <c r="L11"/>
  <c r="W11" s="1"/>
  <c r="L12"/>
  <c r="L13"/>
  <c r="W13" s="1"/>
  <c r="L14"/>
  <c r="W14" s="1"/>
  <c r="L15"/>
  <c r="L16"/>
  <c r="W16" s="1"/>
  <c r="L17"/>
  <c r="L18"/>
  <c r="L19"/>
  <c r="L20"/>
  <c r="W20" s="1"/>
  <c r="L21"/>
  <c r="L22"/>
  <c r="L23"/>
  <c r="W23" s="1"/>
  <c r="L24"/>
  <c r="L25"/>
  <c r="W25" s="1"/>
  <c r="L26"/>
  <c r="W26" s="1"/>
  <c r="L27"/>
  <c r="W27" s="1"/>
  <c r="L28"/>
  <c r="W28" s="1"/>
  <c r="L29"/>
  <c r="L30"/>
  <c r="M40" l="1"/>
  <c r="N40"/>
  <c r="O40"/>
  <c r="P40"/>
  <c r="AG40"/>
  <c r="M41"/>
  <c r="N41"/>
  <c r="O41"/>
  <c r="P41"/>
  <c r="AG41"/>
  <c r="M39"/>
  <c r="N39"/>
  <c r="O39"/>
  <c r="P39"/>
  <c r="AG39"/>
  <c r="M38"/>
  <c r="N38"/>
  <c r="O38"/>
  <c r="P38"/>
  <c r="AG38"/>
  <c r="M37"/>
  <c r="N37"/>
  <c r="O37"/>
  <c r="P37"/>
  <c r="AG37"/>
  <c r="N36"/>
  <c r="O36"/>
  <c r="P36"/>
  <c r="M36"/>
  <c r="AG36"/>
  <c r="N35"/>
  <c r="O35"/>
  <c r="P35"/>
  <c r="M35"/>
  <c r="AG35"/>
  <c r="M34"/>
  <c r="N34"/>
  <c r="O34"/>
  <c r="P34"/>
  <c r="AG34"/>
  <c r="M33"/>
  <c r="N33"/>
  <c r="O33"/>
  <c r="P33"/>
  <c r="AG33"/>
  <c r="AG21"/>
  <c r="AG5"/>
  <c r="AG24"/>
  <c r="AG8"/>
  <c r="AG27"/>
  <c r="AG11"/>
  <c r="AG30"/>
  <c r="AG14"/>
  <c r="AG29"/>
  <c r="AG32"/>
  <c r="AG3"/>
  <c r="AG6"/>
  <c r="AG9"/>
  <c r="AG12"/>
  <c r="AG15"/>
  <c r="AG18"/>
  <c r="AG17"/>
  <c r="AG20"/>
  <c r="AG4"/>
  <c r="AG23"/>
  <c r="AG7"/>
  <c r="AG26"/>
  <c r="AG10"/>
  <c r="AG13"/>
  <c r="AG16"/>
  <c r="AG19"/>
  <c r="AG22"/>
  <c r="AG25"/>
  <c r="AG28"/>
  <c r="AG31"/>
  <c r="AG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2"/>
  <c r="R30"/>
  <c r="S30"/>
  <c r="R29"/>
  <c r="S29"/>
  <c r="R28"/>
  <c r="S28"/>
  <c r="R27"/>
  <c r="S27"/>
  <c r="R26"/>
  <c r="S26"/>
  <c r="R25"/>
  <c r="S25"/>
  <c r="R24"/>
  <c r="S24"/>
  <c r="R23"/>
  <c r="S23"/>
  <c r="R22"/>
  <c r="S22"/>
  <c r="R21"/>
  <c r="S21"/>
  <c r="R20"/>
  <c r="S20"/>
  <c r="R19"/>
  <c r="S19"/>
  <c r="R18"/>
  <c r="S18"/>
  <c r="R17"/>
  <c r="S17"/>
  <c r="R16"/>
  <c r="S16"/>
  <c r="R15"/>
  <c r="S15"/>
  <c r="R14"/>
  <c r="S14"/>
  <c r="R13"/>
  <c r="S13"/>
  <c r="R12"/>
  <c r="S12"/>
  <c r="R11"/>
  <c r="S11"/>
  <c r="R10"/>
  <c r="S10"/>
  <c r="R9"/>
  <c r="S9"/>
  <c r="R8"/>
  <c r="S8"/>
  <c r="R7"/>
  <c r="S7"/>
  <c r="R6"/>
  <c r="S6"/>
  <c r="R5"/>
  <c r="S5"/>
  <c r="R4"/>
  <c r="S4"/>
  <c r="R3"/>
  <c r="S3"/>
  <c r="R2"/>
  <c r="S2"/>
  <c r="T40" l="1"/>
  <c r="T41"/>
  <c r="T39"/>
  <c r="T38"/>
  <c r="T37"/>
  <c r="T36"/>
  <c r="T35"/>
  <c r="T34"/>
  <c r="T33"/>
  <c r="T32"/>
  <c r="T31"/>
  <c r="T2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W42"/>
  <c r="U40" l="1"/>
  <c r="U41"/>
  <c r="U39"/>
  <c r="U38"/>
  <c r="U37"/>
  <c r="U36"/>
  <c r="U35"/>
  <c r="V35" s="1"/>
  <c r="Y35" s="1"/>
  <c r="U34"/>
  <c r="U33"/>
  <c r="U20"/>
  <c r="V20" s="1"/>
  <c r="Z20" s="1"/>
  <c r="U13"/>
  <c r="V13" s="1"/>
  <c r="U25"/>
  <c r="V25" s="1"/>
  <c r="Z25" s="1"/>
  <c r="U23"/>
  <c r="V23" s="1"/>
  <c r="Z23" s="1"/>
  <c r="U22"/>
  <c r="V22" s="1"/>
  <c r="U26"/>
  <c r="V26" s="1"/>
  <c r="Z26" s="1"/>
  <c r="U32"/>
  <c r="V32" s="1"/>
  <c r="U3"/>
  <c r="V3" s="1"/>
  <c r="U11"/>
  <c r="V11" s="1"/>
  <c r="Z11" s="1"/>
  <c r="U19"/>
  <c r="V19" s="1"/>
  <c r="Y19" s="1"/>
  <c r="U12"/>
  <c r="V12" s="1"/>
  <c r="U7"/>
  <c r="V7" s="1"/>
  <c r="U15"/>
  <c r="V15" s="1"/>
  <c r="U27"/>
  <c r="V27" s="1"/>
  <c r="Z27" s="1"/>
  <c r="U31"/>
  <c r="V31" s="1"/>
  <c r="Z31" s="1"/>
  <c r="U4"/>
  <c r="V4" s="1"/>
  <c r="Z4" s="1"/>
  <c r="U16"/>
  <c r="V16" s="1"/>
  <c r="Z16" s="1"/>
  <c r="U28"/>
  <c r="V28" s="1"/>
  <c r="Z28" s="1"/>
  <c r="U8"/>
  <c r="V8" s="1"/>
  <c r="U30"/>
  <c r="V30" s="1"/>
  <c r="U24"/>
  <c r="V24" s="1"/>
  <c r="U14"/>
  <c r="V14" s="1"/>
  <c r="Z14" s="1"/>
  <c r="U17"/>
  <c r="V17" s="1"/>
  <c r="Y17" s="1"/>
  <c r="U21"/>
  <c r="V21" s="1"/>
  <c r="U9"/>
  <c r="V9" s="1"/>
  <c r="U29"/>
  <c r="V29" s="1"/>
  <c r="U6"/>
  <c r="V6" s="1"/>
  <c r="U2"/>
  <c r="AA6"/>
  <c r="U18"/>
  <c r="V18" s="1"/>
  <c r="U5"/>
  <c r="U10"/>
  <c r="V10" s="1"/>
  <c r="Z10" s="1"/>
  <c r="Z39" l="1"/>
  <c r="AA39" s="1"/>
  <c r="V40"/>
  <c r="Z40" s="1"/>
  <c r="V41"/>
  <c r="Z41" s="1"/>
  <c r="V39"/>
  <c r="AC39"/>
  <c r="Y38"/>
  <c r="V38"/>
  <c r="Z38" s="1"/>
  <c r="Y37"/>
  <c r="AA37" s="1"/>
  <c r="V37"/>
  <c r="AC37"/>
  <c r="Y36"/>
  <c r="V36"/>
  <c r="Z36" s="1"/>
  <c r="Z35"/>
  <c r="AA35" s="1"/>
  <c r="AC35" s="1"/>
  <c r="Z34"/>
  <c r="AA34" s="1"/>
  <c r="AC34" s="1"/>
  <c r="V34"/>
  <c r="V33"/>
  <c r="Z33" s="1"/>
  <c r="V2"/>
  <c r="Y16"/>
  <c r="AA16" s="1"/>
  <c r="AC16" s="1"/>
  <c r="Y30"/>
  <c r="AA30" s="1"/>
  <c r="AC30" s="1"/>
  <c r="Y11"/>
  <c r="AA11" s="1"/>
  <c r="AC11" s="1"/>
  <c r="AC5"/>
  <c r="Y26"/>
  <c r="AA26" s="1"/>
  <c r="AC26" s="1"/>
  <c r="Y4"/>
  <c r="AA4" s="1"/>
  <c r="AC4" s="1"/>
  <c r="V5"/>
  <c r="AC6"/>
  <c r="Y22"/>
  <c r="AA22" s="1"/>
  <c r="AC22" s="1"/>
  <c r="Z19"/>
  <c r="AA19" s="1"/>
  <c r="AC19" s="1"/>
  <c r="Z8"/>
  <c r="AA8" s="1"/>
  <c r="AC8" s="1"/>
  <c r="Y25"/>
  <c r="AA25" s="1"/>
  <c r="AC25" s="1"/>
  <c r="Y15"/>
  <c r="AA15" s="1"/>
  <c r="AC15" s="1"/>
  <c r="Y3"/>
  <c r="AA3" s="1"/>
  <c r="AC3" s="1"/>
  <c r="Y28"/>
  <c r="AA28" s="1"/>
  <c r="AC28" s="1"/>
  <c r="Y24"/>
  <c r="AA24" s="1"/>
  <c r="AC24" s="1"/>
  <c r="Y20"/>
  <c r="AA20" s="1"/>
  <c r="AC20" s="1"/>
  <c r="Y14"/>
  <c r="AA14" s="1"/>
  <c r="AC14" s="1"/>
  <c r="Y9"/>
  <c r="AA9" s="1"/>
  <c r="AC9" s="1"/>
  <c r="Y2"/>
  <c r="AA2" s="1"/>
  <c r="Z13"/>
  <c r="AA13" s="1"/>
  <c r="AC13" s="1"/>
  <c r="Y29"/>
  <c r="AA29" s="1"/>
  <c r="AC29" s="1"/>
  <c r="Y21"/>
  <c r="AA21" s="1"/>
  <c r="AC21" s="1"/>
  <c r="Y10"/>
  <c r="AA10" s="1"/>
  <c r="AC10" s="1"/>
  <c r="Z17"/>
  <c r="AA17" s="1"/>
  <c r="AC17" s="1"/>
  <c r="Y31"/>
  <c r="AA31" s="1"/>
  <c r="AC31" s="1"/>
  <c r="Y27"/>
  <c r="AA27" s="1"/>
  <c r="AC27" s="1"/>
  <c r="Y23"/>
  <c r="AA23" s="1"/>
  <c r="AC23" s="1"/>
  <c r="Y18"/>
  <c r="AA18" s="1"/>
  <c r="AC18" s="1"/>
  <c r="Y12"/>
  <c r="AA12" s="1"/>
  <c r="AC12" s="1"/>
  <c r="Y7"/>
  <c r="AA7" s="1"/>
  <c r="AC7" s="1"/>
  <c r="Z32"/>
  <c r="AA32" s="1"/>
  <c r="AC32" s="1"/>
  <c r="Y41" l="1"/>
  <c r="AA41" s="1"/>
  <c r="AC41" s="1"/>
  <c r="Y40"/>
  <c r="AA40" s="1"/>
  <c r="AC40" s="1"/>
  <c r="AA38"/>
  <c r="AC38" s="1"/>
  <c r="AA36"/>
  <c r="AC36" s="1"/>
  <c r="Y33"/>
  <c r="AA33" s="1"/>
  <c r="AC2"/>
  <c r="AE35" l="1"/>
  <c r="AE40"/>
  <c r="AD40"/>
  <c r="AF40" s="1"/>
  <c r="AE41"/>
  <c r="AD41"/>
  <c r="AF41" s="1"/>
  <c r="AE39"/>
  <c r="AD39"/>
  <c r="AF39" s="1"/>
  <c r="AE38"/>
  <c r="AD38"/>
  <c r="AF38" s="1"/>
  <c r="AE37"/>
  <c r="AD37"/>
  <c r="AF37" s="1"/>
  <c r="AE36"/>
  <c r="AD36"/>
  <c r="AD35"/>
  <c r="AF35" s="1"/>
  <c r="AC33"/>
  <c r="AD33"/>
  <c r="AD30"/>
  <c r="AD32"/>
  <c r="AE34"/>
  <c r="AE27"/>
  <c r="AE33"/>
  <c r="AD15"/>
  <c r="AD34"/>
  <c r="AD27"/>
  <c r="AD3"/>
  <c r="AD24"/>
  <c r="AD12"/>
  <c r="AE21"/>
  <c r="AD21"/>
  <c r="AE8"/>
  <c r="AD9"/>
  <c r="AE14"/>
  <c r="AE15"/>
  <c r="AD18"/>
  <c r="AE2"/>
  <c r="AD6"/>
  <c r="AD20"/>
  <c r="AE9"/>
  <c r="AE6"/>
  <c r="AD13"/>
  <c r="AD28"/>
  <c r="AD22"/>
  <c r="AD19"/>
  <c r="AE30"/>
  <c r="AE24"/>
  <c r="AE18"/>
  <c r="AF18" s="1"/>
  <c r="AE12"/>
  <c r="AE25"/>
  <c r="AE22"/>
  <c r="AE19"/>
  <c r="AE16"/>
  <c r="AE17"/>
  <c r="AE11"/>
  <c r="AE5"/>
  <c r="AE13"/>
  <c r="AE10"/>
  <c r="AE7"/>
  <c r="AE4"/>
  <c r="AD26"/>
  <c r="AD14"/>
  <c r="AE3"/>
  <c r="AD31"/>
  <c r="AD7"/>
  <c r="AE28"/>
  <c r="AD25"/>
  <c r="AD29"/>
  <c r="AD23"/>
  <c r="AD17"/>
  <c r="AF17" s="1"/>
  <c r="AD11"/>
  <c r="AD8"/>
  <c r="AF8" s="1"/>
  <c r="AD5"/>
  <c r="AD2"/>
  <c r="AE32"/>
  <c r="AD16"/>
  <c r="AD10"/>
  <c r="AD4"/>
  <c r="AE31"/>
  <c r="AE29"/>
  <c r="AF29" s="1"/>
  <c r="AE26"/>
  <c r="AF26" s="1"/>
  <c r="AE23"/>
  <c r="AE20"/>
  <c r="AF20" s="1"/>
  <c r="AB42"/>
  <c r="AA42" s="1"/>
  <c r="AG42" s="1"/>
  <c r="AF27"/>
  <c r="AF19" l="1"/>
  <c r="AF36"/>
  <c r="AF4"/>
  <c r="AF34"/>
  <c r="AF30"/>
  <c r="AF13"/>
  <c r="AF24"/>
  <c r="AF3"/>
  <c r="AF33"/>
  <c r="AF12"/>
  <c r="AF15"/>
  <c r="AF9"/>
  <c r="AF16"/>
  <c r="AF32"/>
  <c r="AF25"/>
  <c r="AF21"/>
  <c r="AF22"/>
  <c r="AF28"/>
  <c r="AF2"/>
  <c r="AF10"/>
  <c r="AF5"/>
  <c r="AF23"/>
  <c r="AF7"/>
  <c r="AF11"/>
  <c r="AF6"/>
  <c r="AF14"/>
  <c r="AF31"/>
  <c r="AF42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T42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<sst xmlns="http://schemas.openxmlformats.org/spreadsheetml/2006/main" count="230" uniqueCount="67">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</sst>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164" fontId="3" fillId="0" borderId="0" xfId="1" applyNumberFormat="1" applyFont="1" applyAlignment="1"/>
    <xf numFmtId="0" fontId="9" fillId="0" borderId="0" xfId="0" applyNumberFormat="1" applyFont="1" applyAlignment="1"/>
    <xf numFmtId="168" fontId="9" fillId="0" borderId="0" xfId="0" applyNumberFormat="1" applyFont="1" applyAlignment="1"/>
    <xf numFmtId="164" fontId="9" fillId="0" borderId="0" xfId="0" applyNumberFormat="1" applyFont="1" applyAlignment="1"/>
    <xf numFmtId="169" fontId="9" fillId="0" borderId="0" xfId="0" applyNumberFormat="1" applyFont="1" applyAlignment="1"/>
    <xf numFmtId="164" fontId="9" fillId="0" borderId="0" xfId="1" applyNumberFormat="1" applyFont="1" applyAlignment="1"/>
    <xf numFmtId="10" fontId="9" fillId="0" borderId="0" xfId="2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/>
    <xf numFmtId="10" fontId="3" fillId="0" borderId="0" xfId="0" applyNumberFormat="1" applyFont="1" applyAlignment="1"/>
    <xf numFmtId="10" fontId="10" fillId="0" borderId="0" xfId="0" applyNumberFormat="1" applyFont="1" applyAlignment="1"/>
  </cellXfs>
  <cellStyles count="3">
    <cellStyle name="Moeda" xfId="1" builtinId="4"/>
    <cellStyle name="Normal" xfId="0" builtinId="0"/>
    <cellStyle name="Porcentagem" xfId="2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47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42" totalsRowCount="1" headerRowDxfId="68" dataDxfId="67" totalsRowDxfId="66">
  <autoFilter ref="A1:AG41"/>
  <sortState ref="A2:AC30">
    <sortCondition ref="A1:A30"/>
  </sortState>
  <tableColumns count="33">
    <tableColumn id="19" name="ID" totalsRowLabel="Total" dataDxfId="65" totalsRowDxfId="32"/>
    <tableColumn id="2" name="ATIVO" dataDxfId="64" totalsRowDxfId="31"/>
    <tableColumn id="3" name="OPER/TIPO" dataDxfId="63" totalsRowDxfId="30"/>
    <tableColumn id="4" name="DATA" dataDxfId="62" totalsRowDxfId="29"/>
    <tableColumn id="5" name="QTDE" dataDxfId="61" totalsRowDxfId="28"/>
    <tableColumn id="6" name="PREÇO" dataDxfId="60" totalsRowDxfId="27"/>
    <tableColumn id="27" name="[A/O]" dataDxfId="59" totalsRowDxfId="26"/>
    <tableColumn id="7" name="[D/N]" dataDxfId="58" totalsRowDxfId="25"/>
    <tableColumn id="34" name="D LIQUID" dataDxfId="57" totalsRowDxfId="24">
      <calculatedColumnFormula>WORKDAY(NC[[#This Row],[DATA]],IF(['[A/O']]="A",3,1))</calculatedColumnFormula>
    </tableColumn>
    <tableColumn id="31" name="D BASE" dataDxfId="56" totalsRowDxfId="23">
      <calculatedColumnFormula>EOMONTH(NC[[#This Row],[D LIQUID]],0)</calculatedColumnFormula>
    </tableColumn>
    <tableColumn id="21" name="PAR" dataDxfId="55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54" totalsRowDxfId="21">
      <calculatedColumnFormula>[QTDE]*[PREÇO]</calculatedColumnFormula>
    </tableColumn>
    <tableColumn id="9" name="VL LIQUID" dataDxfId="53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52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51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50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49" totalsRowDxfId="16">
      <calculatedColumnFormula>SETUP!$E$3*SUMPRODUCT(N([DATA]=NC[[#This Row],[DATA]]),N([ID]&lt;=NC[[#This Row],[ID]]))</calculatedColumnFormula>
    </tableColumn>
    <tableColumn id="13" name="ISS" dataDxfId="48" totalsRowDxfId="15">
      <calculatedColumnFormula>TRUNC([CORR. BASE]*SETUP!$F$3,2)</calculatedColumnFormula>
    </tableColumn>
    <tableColumn id="15" name="OUTRAS" dataDxfId="47" totalsRowDxfId="14">
      <calculatedColumnFormula>TRUNC([CORR. BASE]*SETUP!$G$3,2)</calculatedColumnFormula>
    </tableColumn>
    <tableColumn id="16" name="LÍQUIDO" totalsRowLabel=" R$ 6.765,77 " dataDxfId="46" totalsRowDxfId="13">
      <calculatedColumnFormula>[VL LIQUID]-[TX LIQUID]-[EMOL]-[REGISTRO]-[CORR. BASE]-[ISS]-[OUTRAS]</calculatedColumnFormula>
    </tableColumn>
    <tableColumn id="17" name="VALOR P/ OP" dataDxfId="45" totalsRowDxfId="12">
      <calculatedColumnFormula>[LÍQUIDO]-SUMPRODUCT(N([DATA]=NC[[#This Row],[DATA]]),N([ID]=(NC[[#This Row],[ID]]-1)),[LÍQUIDO])</calculatedColumnFormula>
    </tableColumn>
    <tableColumn id="18" name="MEDIO" dataDxfId="44" totalsRowDxfId="11">
      <calculatedColumnFormula>ABS(U2)/E2</calculatedColumnFormula>
    </tableColumn>
    <tableColumn id="20" name="IRRF" totalsRowFunction="sum" dataDxfId="43" totalsRowDxfId="10">
      <calculatedColumnFormula>TRUNC(IF(OR([OPER/TIPO]="CV",[OPER/TIPO]="VV"),     L2*SETUP!$H$3,     0),2)</calculatedColumnFormula>
    </tableColumn>
    <tableColumn id="24" name="SALDO" dataDxfId="42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41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40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39" totalsRowDxfId="6">
      <calculatedColumnFormula>IF(['[D/N']]="D",IF([OPER/TIPO]="CC",0,SUMPRODUCT(N([DATA]=NC[[#This Row],[DATA]]),N([OPER/TIPO]="CV"),[LÍQUIDO])),IF(AND([MED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38" totalsRowDxfId="5" dataCellStyle="Moeda">
      <calculatedColumnFormula>IF(['[A/O']]="O",[LUCRO OP]*0.15,0)</calculatedColumnFormula>
    </tableColumn>
    <tableColumn id="30" name="% LUCRO" dataDxfId="37" totalsRowDxfId="4" dataCellStyle="Porcentagem">
      <calculatedColumnFormula>[LUCRO OP]/ABS([VALOR P/ OP])</calculatedColumnFormula>
    </tableColumn>
    <tableColumn id="26" name="LUCRO N [A]" dataDxfId="36" totalsRowDxfId="3">
      <calculatedColumnFormula>SUMPRODUCT(N(YEAR([D LIQUID])=YEAR(NC[[#This Row],[D LIQUID]])),N(MONTH([DATA])=MONTH(NC[[#This Row],[D LIQUID]])),N(['[D/N']]="N"),[LUCRO OP])</calculatedColumnFormula>
    </tableColumn>
    <tableColumn id="14" name="LUCRO D" dataDxfId="35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34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33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3:B16"/>
  <sheetViews>
    <sheetView workbookViewId="0">
      <selection activeCell="A14" sqref="A14"/>
    </sheetView>
  </sheetViews>
  <sheetFormatPr defaultRowHeight="12.75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>
      <c r="A3" s="8" t="s">
        <v>33</v>
      </c>
      <c r="B3" s="11"/>
    </row>
    <row r="4" spans="1:2">
      <c r="A4" s="8" t="s">
        <v>0</v>
      </c>
      <c r="B4" s="11" t="s">
        <v>32</v>
      </c>
    </row>
    <row r="5" spans="1:2">
      <c r="A5" s="7" t="s">
        <v>28</v>
      </c>
      <c r="B5" s="12">
        <v>-862.45000000000027</v>
      </c>
    </row>
    <row r="6" spans="1:2">
      <c r="A6" s="9" t="s">
        <v>25</v>
      </c>
      <c r="B6" s="13">
        <v>-130.13999999999999</v>
      </c>
    </row>
    <row r="7" spans="1:2">
      <c r="A7" s="9" t="s">
        <v>22</v>
      </c>
      <c r="B7" s="13">
        <v>205.45000000000027</v>
      </c>
    </row>
    <row r="8" spans="1:2">
      <c r="A8" s="9" t="s">
        <v>29</v>
      </c>
      <c r="B8" s="13">
        <v>-1201.19</v>
      </c>
    </row>
    <row r="9" spans="1:2">
      <c r="A9" s="9" t="s">
        <v>13</v>
      </c>
      <c r="B9" s="13">
        <v>-121.93</v>
      </c>
    </row>
    <row r="10" spans="1:2">
      <c r="A10" s="9" t="s">
        <v>24</v>
      </c>
      <c r="B10" s="13">
        <v>-21.560000000000855</v>
      </c>
    </row>
    <row r="11" spans="1:2">
      <c r="A11" s="9" t="s">
        <v>26</v>
      </c>
      <c r="B11" s="13">
        <v>-81.129999999999654</v>
      </c>
    </row>
    <row r="12" spans="1:2">
      <c r="A12" s="9" t="s">
        <v>11</v>
      </c>
      <c r="B12" s="13">
        <v>-255.90999999999991</v>
      </c>
    </row>
    <row r="13" spans="1:2">
      <c r="A13" s="9" t="s">
        <v>23</v>
      </c>
      <c r="B13" s="13">
        <v>-88.079999999999814</v>
      </c>
    </row>
    <row r="14" spans="1:2">
      <c r="A14" s="9" t="s">
        <v>27</v>
      </c>
      <c r="B14" s="13">
        <v>-150.42000000000007</v>
      </c>
    </row>
    <row r="15" spans="1:2">
      <c r="A15" s="9" t="s">
        <v>30</v>
      </c>
      <c r="B15" s="13"/>
    </row>
    <row r="16" spans="1: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G43"/>
  <sheetViews>
    <sheetView tabSelected="1" workbookViewId="0">
      <pane xSplit="8" ySplit="1" topLeftCell="I11" activePane="bottomRight" state="frozen"/>
      <selection pane="topRight" activeCell="I1" sqref="I1"/>
      <selection pane="bottomLeft" activeCell="A2" sqref="A2"/>
      <selection pane="bottomRight" activeCell="E40" sqref="E40"/>
    </sheetView>
  </sheetViews>
  <sheetFormatPr defaultColWidth="11.5703125" defaultRowHeight="11.25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.7109375" style="15" customWidth="1"/>
    <col min="8" max="8" width="7" style="15" bestFit="1" customWidth="1"/>
    <col min="9" max="9" width="9.140625" style="15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9.85546875" style="15" bestFit="1" customWidth="1"/>
    <col min="21" max="21" width="11.85546875" style="15" bestFit="1" customWidth="1"/>
    <col min="22" max="22" width="7.85546875" style="15" bestFit="1" customWidth="1"/>
    <col min="23" max="23" width="6.85546875" style="15" bestFit="1" customWidth="1"/>
    <col min="24" max="24" width="7.5703125" style="15" bestFit="1" customWidth="1"/>
    <col min="25" max="25" width="8.28515625" style="15" bestFit="1" customWidth="1"/>
    <col min="26" max="26" width="8.5703125" style="15" bestFit="1" customWidth="1"/>
    <col min="27" max="27" width="9.85546875" style="15" bestFit="1" customWidth="1"/>
    <col min="28" max="28" width="11.140625" style="15" hidden="1" customWidth="1"/>
    <col min="29" max="29" width="9" style="15" bestFit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3" s="18" customFormat="1">
      <c r="A1" s="18" t="s">
        <v>36</v>
      </c>
      <c r="B1" s="18" t="s">
        <v>0</v>
      </c>
      <c r="C1" s="18" t="s">
        <v>53</v>
      </c>
      <c r="D1" s="18" t="s">
        <v>34</v>
      </c>
      <c r="E1" s="18" t="s">
        <v>1</v>
      </c>
      <c r="F1" s="18" t="s">
        <v>2</v>
      </c>
      <c r="G1" s="18" t="s">
        <v>60</v>
      </c>
      <c r="H1" s="18" t="s">
        <v>3</v>
      </c>
      <c r="I1" s="18" t="s">
        <v>64</v>
      </c>
      <c r="J1" s="18" t="s">
        <v>49</v>
      </c>
      <c r="K1" s="18" t="s">
        <v>43</v>
      </c>
      <c r="L1" s="18" t="s">
        <v>4</v>
      </c>
      <c r="M1" s="18" t="s">
        <v>35</v>
      </c>
      <c r="N1" s="19" t="s">
        <v>5</v>
      </c>
      <c r="O1" s="18" t="s">
        <v>6</v>
      </c>
      <c r="P1" s="18" t="s">
        <v>59</v>
      </c>
      <c r="Q1" s="20" t="s">
        <v>7</v>
      </c>
      <c r="R1" s="18" t="s">
        <v>8</v>
      </c>
      <c r="S1" s="20" t="s">
        <v>9</v>
      </c>
      <c r="T1" s="18" t="s">
        <v>10</v>
      </c>
      <c r="U1" s="18" t="s">
        <v>37</v>
      </c>
      <c r="V1" s="18" t="s">
        <v>38</v>
      </c>
      <c r="W1" s="18" t="s">
        <v>40</v>
      </c>
      <c r="X1" s="18" t="s">
        <v>45</v>
      </c>
      <c r="Y1" s="18" t="s">
        <v>41</v>
      </c>
      <c r="Z1" s="18" t="s">
        <v>42</v>
      </c>
      <c r="AA1" s="18" t="s">
        <v>48</v>
      </c>
      <c r="AB1" s="18" t="s">
        <v>63</v>
      </c>
      <c r="AC1" s="18" t="s">
        <v>62</v>
      </c>
      <c r="AD1" s="18" t="s">
        <v>65</v>
      </c>
      <c r="AE1" s="18" t="s">
        <v>47</v>
      </c>
      <c r="AF1" s="18" t="s">
        <v>44</v>
      </c>
      <c r="AG1" s="18" t="s">
        <v>46</v>
      </c>
    </row>
    <row r="2" spans="1:33" s="21" customFormat="1">
      <c r="A2" s="21">
        <v>1</v>
      </c>
      <c r="B2" s="21" t="s">
        <v>22</v>
      </c>
      <c r="C2" s="21" t="s">
        <v>54</v>
      </c>
      <c r="D2" s="22">
        <v>40877</v>
      </c>
      <c r="E2" s="21">
        <v>100</v>
      </c>
      <c r="F2" s="23">
        <v>13.62</v>
      </c>
      <c r="G2" s="23" t="s">
        <v>61</v>
      </c>
      <c r="H2" s="21" t="s">
        <v>12</v>
      </c>
      <c r="I2" s="22">
        <f>WORKDAY(NC[[#This Row],[DATA]],IF(['[A/O']]="A",3,1))</f>
        <v>40882</v>
      </c>
      <c r="J2" s="21">
        <f>EOMONTH(NC[[#This Row],[D LIQUID]],0)</f>
        <v>40908</v>
      </c>
      <c r="K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" s="23">
        <f>[QTDE]*[PREÇO]</f>
        <v>1362</v>
      </c>
      <c r="M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N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O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" s="23">
        <f>SETUP!$E$3*SUMPRODUCT(N([DATA]=NC[[#This Row],[DATA]]),N([ID]&lt;=NC[[#This Row],[ID]]))</f>
        <v>14.9</v>
      </c>
      <c r="R2" s="23">
        <f>TRUNC([CORR. BASE]*SETUP!$F$3,2)</f>
        <v>0.28999999999999998</v>
      </c>
      <c r="S2" s="23">
        <f>TRUNC([CORR. BASE]*SETUP!$G$3,2)</f>
        <v>0.57999999999999996</v>
      </c>
      <c r="T2" s="23">
        <f>[VL LIQUID]-[TX LIQUID]-[EMOL]-[REGISTRO]-[CORR. BASE]-[ISS]-[OUTRAS]</f>
        <v>-1378.2299999999998</v>
      </c>
      <c r="U2" s="23">
        <f>[LÍQUIDO]-SUMPRODUCT(N([DATA]=NC[[#This Row],[DATA]]),N([ID]=(NC[[#This Row],[ID]]-1)),[LÍQUIDO])</f>
        <v>-1378.2299999999998</v>
      </c>
      <c r="V2" s="23">
        <f t="shared" ref="V2:V31" si="0">ABS(U2)/E2</f>
        <v>13.782299999999998</v>
      </c>
      <c r="W2" s="23">
        <f>TRUNC(IF(OR([OPER/TIPO]="CV",[OPER/TIPO]="VV"),     L2*SETUP!$H$3,     0),2)</f>
        <v>0</v>
      </c>
      <c r="X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Z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" s="23">
        <f>IF(['[D/N']]="D",IF([OPER/TIPO]="CC",0,SUMPRODUCT(N([DATA]=NC[[#This Row],[DATA]]),N([OPER/TIPO]="CV"),[LÍQUIDO])),IF(AND([MED CP]&gt;0,[MED VD]&gt;0),([MED VD]-[MED CP])*[QTDE],0))</f>
        <v>0</v>
      </c>
      <c r="AB2" s="29">
        <f>IF(['[A/O']]="O",[LUCRO OP]*0.15,0)</f>
        <v>0</v>
      </c>
      <c r="AC2" s="28">
        <f>[LUCRO OP]/ABS([VALOR P/ OP])</f>
        <v>0</v>
      </c>
      <c r="AD2" s="23">
        <f>SUMPRODUCT(N(YEAR([D LIQUID])=YEAR(NC[[#This Row],[D LIQUID]])),N(MONTH([DATA])=MONTH(NC[[#This Row],[D LIQUID]])),N(['[D/N']]="N"),[LUCRO OP])</f>
        <v>306.37500000000023</v>
      </c>
      <c r="AE2" s="23">
        <f>SUMPRODUCT(N(YEAR([D LIQUID])=YEAR(NC[[#This Row],[D LIQUID]])),N(MONTH([D LIQUID])=MONTH(NC[[#This Row],[D LIQUID]])),N(['[D/N']]="D"),[LUCRO OP])</f>
        <v>-36.1</v>
      </c>
      <c r="AF2" s="23">
        <f>[LUCRO N '[A']]+[LUCRO D]</f>
        <v>270.2750000000002</v>
      </c>
      <c r="AG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3" s="21" customFormat="1">
      <c r="A3" s="21">
        <v>2</v>
      </c>
      <c r="B3" s="21" t="s">
        <v>23</v>
      </c>
      <c r="C3" s="21" t="s">
        <v>54</v>
      </c>
      <c r="D3" s="22">
        <v>40883</v>
      </c>
      <c r="E3" s="21">
        <v>100</v>
      </c>
      <c r="F3" s="23">
        <v>8.4499999999999993</v>
      </c>
      <c r="G3" s="23" t="s">
        <v>61</v>
      </c>
      <c r="H3" s="21" t="s">
        <v>12</v>
      </c>
      <c r="I3" s="22">
        <f>WORKDAY(NC[[#This Row],[DATA]],IF(['[A/O']]="A",3,1))</f>
        <v>40886</v>
      </c>
      <c r="J3" s="21">
        <f>EOMONTH(NC[[#This Row],[D LIQUID]],0)</f>
        <v>40908</v>
      </c>
      <c r="K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" s="23">
        <f>[QTDE]*[PREÇO]</f>
        <v>844.99999999999989</v>
      </c>
      <c r="M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N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O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" s="23">
        <f>SETUP!$E$3*SUMPRODUCT(N([DATA]=NC[[#This Row],[DATA]]),N([ID]&lt;=NC[[#This Row],[ID]]))</f>
        <v>14.9</v>
      </c>
      <c r="R3" s="23">
        <f>TRUNC([CORR. BASE]*SETUP!$F$3,2)</f>
        <v>0.28999999999999998</v>
      </c>
      <c r="S3" s="23">
        <f>TRUNC([CORR. BASE]*SETUP!$G$3,2)</f>
        <v>0.57999999999999996</v>
      </c>
      <c r="T3" s="23">
        <f>[VL LIQUID]-[TX LIQUID]-[EMOL]-[REGISTRO]-[CORR. BASE]-[ISS]-[OUTRAS]</f>
        <v>-861.04999999999984</v>
      </c>
      <c r="U3" s="23">
        <f>[LÍQUIDO]-SUMPRODUCT(N([DATA]=NC[[#This Row],[DATA]]),N([ID]=(NC[[#This Row],[ID]]-1)),[LÍQUIDO])</f>
        <v>-861.04999999999984</v>
      </c>
      <c r="V3" s="23">
        <f t="shared" si="0"/>
        <v>8.6104999999999983</v>
      </c>
      <c r="W3" s="23">
        <f>TRUNC(IF(OR([OPER/TIPO]="CV",[OPER/TIPO]="VV"),     L3*SETUP!$H$3,     0),2)</f>
        <v>0</v>
      </c>
      <c r="X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Z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" s="23">
        <f>IF(['[D/N']]="D",IF([OPER/TIPO]="CC",0,SUMPRODUCT(N([DATA]=NC[[#This Row],[DATA]]),N([OPER/TIPO]="CV"),[LÍQUIDO])),IF(AND([MED CP]&gt;0,[MED VD]&gt;0),([MED VD]-[MED CP])*[QTDE],0))</f>
        <v>0</v>
      </c>
      <c r="AB3" s="29">
        <f>IF(['[A/O']]="O",[LUCRO OP]*0.15,0)</f>
        <v>0</v>
      </c>
      <c r="AC3" s="28">
        <f>[LUCRO OP]/ABS([VALOR P/ OP])</f>
        <v>0</v>
      </c>
      <c r="AD3" s="23">
        <f>SUMPRODUCT(N(YEAR([D LIQUID])=YEAR(NC[[#This Row],[D LIQUID]])),N(MONTH([DATA])=MONTH(NC[[#This Row],[D LIQUID]])),N(['[D/N']]="N"),[LUCRO OP])</f>
        <v>306.37500000000023</v>
      </c>
      <c r="AE3" s="23">
        <f>SUMPRODUCT(N(YEAR([D LIQUID])=YEAR(NC[[#This Row],[D LIQUID]])),N(MONTH([D LIQUID])=MONTH(NC[[#This Row],[D LIQUID]])),N(['[D/N']]="D"),[LUCRO OP])</f>
        <v>-36.1</v>
      </c>
      <c r="AF3" s="23">
        <f>[LUCRO N '[A']]+[LUCRO D]</f>
        <v>270.2750000000002</v>
      </c>
      <c r="AG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3" s="21" customFormat="1">
      <c r="A4" s="21">
        <v>3</v>
      </c>
      <c r="B4" s="21" t="s">
        <v>22</v>
      </c>
      <c r="C4" s="21" t="s">
        <v>55</v>
      </c>
      <c r="D4" s="22">
        <v>40884</v>
      </c>
      <c r="E4" s="21">
        <v>100</v>
      </c>
      <c r="F4" s="23">
        <v>16</v>
      </c>
      <c r="G4" s="23" t="s">
        <v>61</v>
      </c>
      <c r="H4" s="21" t="s">
        <v>12</v>
      </c>
      <c r="I4" s="22">
        <f>WORKDAY(NC[[#This Row],[DATA]],IF(['[A/O']]="A",3,1))</f>
        <v>40889</v>
      </c>
      <c r="J4" s="21">
        <f>EOMONTH(NC[[#This Row],[D LIQUID]],0)</f>
        <v>40908</v>
      </c>
      <c r="K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" s="23">
        <f>[QTDE]*[PREÇO]</f>
        <v>1600</v>
      </c>
      <c r="M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N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O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P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" s="23">
        <f>SETUP!$E$3*SUMPRODUCT(N([DATA]=NC[[#This Row],[DATA]]),N([ID]&lt;=NC[[#This Row],[ID]]))</f>
        <v>14.9</v>
      </c>
      <c r="R4" s="23">
        <f>TRUNC([CORR. BASE]*SETUP!$F$3,2)</f>
        <v>0.28999999999999998</v>
      </c>
      <c r="S4" s="23">
        <f>TRUNC([CORR. BASE]*SETUP!$G$3,2)</f>
        <v>0.57999999999999996</v>
      </c>
      <c r="T4" s="23">
        <f>[VL LIQUID]-[TX LIQUID]-[EMOL]-[REGISTRO]-[CORR. BASE]-[ISS]-[OUTRAS]</f>
        <v>1583.68</v>
      </c>
      <c r="U4" s="23">
        <f>[LÍQUIDO]-SUMPRODUCT(N([DATA]=NC[[#This Row],[DATA]]),N([ID]=(NC[[#This Row],[ID]]-1)),[LÍQUIDO])</f>
        <v>1583.68</v>
      </c>
      <c r="V4" s="23">
        <f t="shared" si="0"/>
        <v>15.8368</v>
      </c>
      <c r="W4" s="23">
        <f>TRUNC(IF(OR([OPER/TIPO]="CV",[OPER/TIPO]="VV"),     L4*SETUP!$H$3,     0),2)</f>
        <v>0.08</v>
      </c>
      <c r="X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Z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A4" s="23">
        <f>IF(['[D/N']]="D",IF([OPER/TIPO]="CC",0,SUMPRODUCT(N([DATA]=NC[[#This Row],[DATA]]),N([OPER/TIPO]="CV"),[LÍQUIDO])),IF(AND([MED CP]&gt;0,[MED VD]&gt;0),([MED VD]-[MED CP])*[QTDE],0))</f>
        <v>205.45000000000027</v>
      </c>
      <c r="AB4" s="29">
        <f>IF(['[A/O']]="O",[LUCRO OP]*0.15,0)</f>
        <v>0</v>
      </c>
      <c r="AC4" s="28">
        <f>[LUCRO OP]/ABS([VALOR P/ OP])</f>
        <v>0.12972949080622365</v>
      </c>
      <c r="AD4" s="23">
        <f>SUMPRODUCT(N(YEAR([D LIQUID])=YEAR(NC[[#This Row],[D LIQUID]])),N(MONTH([DATA])=MONTH(NC[[#This Row],[D LIQUID]])),N(['[D/N']]="N"),[LUCRO OP])</f>
        <v>306.37500000000023</v>
      </c>
      <c r="AE4" s="23">
        <f>SUMPRODUCT(N(YEAR([D LIQUID])=YEAR(NC[[#This Row],[D LIQUID]])),N(MONTH([D LIQUID])=MONTH(NC[[#This Row],[D LIQUID]])),N(['[D/N']]="D"),[LUCRO OP])</f>
        <v>-36.1</v>
      </c>
      <c r="AF4" s="23">
        <f>[LUCRO N '[A']]+[LUCRO D]</f>
        <v>270.2750000000002</v>
      </c>
      <c r="AG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3" s="21" customFormat="1">
      <c r="A5" s="21">
        <v>4</v>
      </c>
      <c r="B5" s="21" t="s">
        <v>24</v>
      </c>
      <c r="C5" s="21" t="s">
        <v>54</v>
      </c>
      <c r="D5" s="22">
        <v>40890</v>
      </c>
      <c r="E5" s="21">
        <v>200</v>
      </c>
      <c r="F5" s="23">
        <v>5.66</v>
      </c>
      <c r="G5" s="23" t="s">
        <v>61</v>
      </c>
      <c r="H5" s="21" t="s">
        <v>21</v>
      </c>
      <c r="I5" s="22">
        <f>WORKDAY(NC[[#This Row],[DATA]],IF(['[A/O']]="A",3,1))</f>
        <v>40893</v>
      </c>
      <c r="J5" s="21">
        <f>EOMONTH(NC[[#This Row],[D LIQUID]],0)</f>
        <v>40908</v>
      </c>
      <c r="K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5" s="23">
        <f>[QTDE]*[PREÇO]</f>
        <v>1132</v>
      </c>
      <c r="M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N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O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5" s="23">
        <f>SETUP!$E$3*SUMPRODUCT(N([DATA]=NC[[#This Row],[DATA]]),N([ID]&lt;=NC[[#This Row],[ID]]))</f>
        <v>14.9</v>
      </c>
      <c r="R5" s="23">
        <f>TRUNC([CORR. BASE]*SETUP!$F$3,2)</f>
        <v>0.28999999999999998</v>
      </c>
      <c r="S5" s="23">
        <f>TRUNC([CORR. BASE]*SETUP!$G$3,2)</f>
        <v>0.57999999999999996</v>
      </c>
      <c r="T5" s="23">
        <f>[VL LIQUID]-[TX LIQUID]-[EMOL]-[REGISTRO]-[CORR. BASE]-[ISS]-[OUTRAS]</f>
        <v>-1148.04</v>
      </c>
      <c r="U5" s="23">
        <f>[LÍQUIDO]-SUMPRODUCT(N([DATA]=NC[[#This Row],[DATA]]),N([ID]=(NC[[#This Row],[ID]]-1)),[LÍQUIDO])</f>
        <v>-1148.04</v>
      </c>
      <c r="V5" s="23">
        <f t="shared" si="0"/>
        <v>5.7401999999999997</v>
      </c>
      <c r="W5" s="23">
        <f>TRUNC(IF(OR([OPER/TIPO]="CV",[OPER/TIPO]="VV"),     L5*SETUP!$H$3,     0),2)</f>
        <v>0</v>
      </c>
      <c r="X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5" s="23">
        <f>IF(['[D/N']]="D",IF([OPER/TIPO]="CC",0,SUMPRODUCT(N([DATA]=NC[[#This Row],[DATA]]),N([OPER/TIPO]="CV"),[LÍQUIDO])),IF(AND([MED CP]&gt;0,[MED VD]&gt;0),([MED VD]-[MED CP])*[QTDE],0))</f>
        <v>0</v>
      </c>
      <c r="AB5" s="29">
        <f>IF(['[A/O']]="O",[LUCRO OP]*0.15,0)</f>
        <v>0</v>
      </c>
      <c r="AC5" s="28">
        <f>[LUCRO OP]/ABS([VALOR P/ OP])</f>
        <v>0</v>
      </c>
      <c r="AD5" s="23">
        <f>SUMPRODUCT(N(YEAR([D LIQUID])=YEAR(NC[[#This Row],[D LIQUID]])),N(MONTH([DATA])=MONTH(NC[[#This Row],[D LIQUID]])),N(['[D/N']]="N"),[LUCRO OP])</f>
        <v>306.37500000000023</v>
      </c>
      <c r="AE5" s="23">
        <f>SUMPRODUCT(N(YEAR([D LIQUID])=YEAR(NC[[#This Row],[D LIQUID]])),N(MONTH([D LIQUID])=MONTH(NC[[#This Row],[D LIQUID]])),N(['[D/N']]="D"),[LUCRO OP])</f>
        <v>-36.1</v>
      </c>
      <c r="AF5" s="23">
        <f>[LUCRO N '[A']]+[LUCRO D]</f>
        <v>270.2750000000002</v>
      </c>
      <c r="AG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3" s="21" customFormat="1">
      <c r="A6" s="21">
        <v>5</v>
      </c>
      <c r="B6" s="21" t="s">
        <v>24</v>
      </c>
      <c r="C6" s="21" t="s">
        <v>55</v>
      </c>
      <c r="D6" s="22">
        <v>40890</v>
      </c>
      <c r="E6" s="21">
        <v>200</v>
      </c>
      <c r="F6" s="23">
        <v>5.64</v>
      </c>
      <c r="G6" s="23" t="s">
        <v>61</v>
      </c>
      <c r="H6" s="21" t="s">
        <v>21</v>
      </c>
      <c r="I6" s="22">
        <f>WORKDAY(NC[[#This Row],[DATA]],IF(['[A/O']]="A",3,1))</f>
        <v>40893</v>
      </c>
      <c r="J6" s="21">
        <f>EOMONTH(NC[[#This Row],[D LIQUID]],0)</f>
        <v>40908</v>
      </c>
      <c r="K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6" s="23">
        <f>[QTDE]*[PREÇO]</f>
        <v>1128</v>
      </c>
      <c r="M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N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O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P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6" s="23">
        <f>SETUP!$E$3*SUMPRODUCT(N([DATA]=NC[[#This Row],[DATA]]),N([ID]&lt;=NC[[#This Row],[ID]]))</f>
        <v>29.8</v>
      </c>
      <c r="R6" s="23">
        <f>TRUNC([CORR. BASE]*SETUP!$F$3,2)</f>
        <v>0.59</v>
      </c>
      <c r="S6" s="23">
        <f>TRUNC([CORR. BASE]*SETUP!$G$3,2)</f>
        <v>1.1599999999999999</v>
      </c>
      <c r="T6" s="23">
        <f>[VL LIQUID]-[TX LIQUID]-[EMOL]-[REGISTRO]-[CORR. BASE]-[ISS]-[OUTRAS]</f>
        <v>-36.1</v>
      </c>
      <c r="U6" s="23">
        <f>[LÍQUIDO]-SUMPRODUCT(N([DATA]=NC[[#This Row],[DATA]]),N([ID]=(NC[[#This Row],[ID]]-1)),[LÍQUIDO])</f>
        <v>1111.94</v>
      </c>
      <c r="V6" s="23">
        <f t="shared" si="0"/>
        <v>5.5597000000000003</v>
      </c>
      <c r="W6" s="23">
        <f>TRUNC(IF(OR([OPER/TIPO]="CV",[OPER/TIPO]="VV"),     L6*SETUP!$H$3,     0),2)</f>
        <v>0.05</v>
      </c>
      <c r="X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6" s="23">
        <f>IF(['[D/N']]="D",IF([OPER/TIPO]="CC",0,SUMPRODUCT(N([DATA]=NC[[#This Row],[DATA]]),N([OPER/TIPO]="CV"),[LÍQUIDO])),IF(AND([MED CP]&gt;0,[MED VD]&gt;0),([MED VD]-[MED CP])*[QTDE],0))</f>
        <v>-36.1</v>
      </c>
      <c r="AB6" s="29">
        <f>IF(['[A/O']]="O",[LUCRO OP]*0.15,0)</f>
        <v>0</v>
      </c>
      <c r="AC6" s="28">
        <f>[LUCRO OP]/ABS([VALOR P/ OP])</f>
        <v>-3.2465780527726314E-2</v>
      </c>
      <c r="AD6" s="23">
        <f>SUMPRODUCT(N(YEAR([D LIQUID])=YEAR(NC[[#This Row],[D LIQUID]])),N(MONTH([DATA])=MONTH(NC[[#This Row],[D LIQUID]])),N(['[D/N']]="N"),[LUCRO OP])</f>
        <v>306.37500000000023</v>
      </c>
      <c r="AE6" s="23">
        <f>SUMPRODUCT(N(YEAR([D LIQUID])=YEAR(NC[[#This Row],[D LIQUID]])),N(MONTH([D LIQUID])=MONTH(NC[[#This Row],[D LIQUID]])),N(['[D/N']]="D"),[LUCRO OP])</f>
        <v>-36.1</v>
      </c>
      <c r="AF6" s="23">
        <f>[LUCRO N '[A']]+[LUCRO D]</f>
        <v>270.2750000000002</v>
      </c>
      <c r="AG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3" s="21" customFormat="1">
      <c r="A7" s="21">
        <v>6</v>
      </c>
      <c r="B7" s="21" t="s">
        <v>24</v>
      </c>
      <c r="C7" s="21" t="s">
        <v>54</v>
      </c>
      <c r="D7" s="22">
        <v>40890</v>
      </c>
      <c r="E7" s="21">
        <v>200</v>
      </c>
      <c r="F7" s="23">
        <v>5.65</v>
      </c>
      <c r="G7" s="23" t="s">
        <v>61</v>
      </c>
      <c r="H7" s="21" t="s">
        <v>12</v>
      </c>
      <c r="I7" s="22">
        <f>WORKDAY(NC[[#This Row],[DATA]],IF(['[A/O']]="A",3,1))</f>
        <v>40893</v>
      </c>
      <c r="J7" s="21">
        <f>EOMONTH(NC[[#This Row],[D LIQUID]],0)</f>
        <v>40908</v>
      </c>
      <c r="K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7" s="23">
        <f>[QTDE]*[PREÇO]</f>
        <v>1130</v>
      </c>
      <c r="M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N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O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P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7" s="23">
        <f>SETUP!$E$3*SUMPRODUCT(N([DATA]=NC[[#This Row],[DATA]]),N([ID]&lt;=NC[[#This Row],[ID]]))</f>
        <v>44.7</v>
      </c>
      <c r="R7" s="23">
        <f>TRUNC([CORR. BASE]*SETUP!$F$3,2)</f>
        <v>0.89</v>
      </c>
      <c r="S7" s="23">
        <f>TRUNC([CORR. BASE]*SETUP!$G$3,2)</f>
        <v>1.74</v>
      </c>
      <c r="T7" s="23">
        <f>[VL LIQUID]-[TX LIQUID]-[EMOL]-[REGISTRO]-[CORR. BASE]-[ISS]-[OUTRAS]</f>
        <v>-1182.2700000000002</v>
      </c>
      <c r="U7" s="23">
        <f>[LÍQUIDO]-SUMPRODUCT(N([DATA]=NC[[#This Row],[DATA]]),N([ID]=(NC[[#This Row],[ID]]-1)),[LÍQUIDO])</f>
        <v>-1146.1700000000003</v>
      </c>
      <c r="V7" s="23">
        <f t="shared" si="0"/>
        <v>5.7308500000000011</v>
      </c>
      <c r="W7" s="23">
        <f>TRUNC(IF(OR([OPER/TIPO]="CV",[OPER/TIPO]="VV"),     L7*SETUP!$H$3,     0),2)</f>
        <v>0</v>
      </c>
      <c r="X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7" s="23">
        <f>IF(['[D/N']]="D",IF([OPER/TIPO]="CC",0,SUMPRODUCT(N([DATA]=NC[[#This Row],[DATA]]),N([OPER/TIPO]="CV"),[LÍQUIDO])),IF(AND([MED CP]&gt;0,[MED VD]&gt;0),([MED VD]-[MED CP])*[QTDE],0))</f>
        <v>0</v>
      </c>
      <c r="AB7" s="29">
        <f>IF(['[A/O']]="O",[LUCRO OP]*0.15,0)</f>
        <v>0</v>
      </c>
      <c r="AC7" s="28">
        <f>[LUCRO OP]/ABS([VALOR P/ OP])</f>
        <v>0</v>
      </c>
      <c r="AD7" s="23">
        <f>SUMPRODUCT(N(YEAR([D LIQUID])=YEAR(NC[[#This Row],[D LIQUID]])),N(MONTH([DATA])=MONTH(NC[[#This Row],[D LIQUID]])),N(['[D/N']]="N"),[LUCRO OP])</f>
        <v>306.37500000000023</v>
      </c>
      <c r="AE7" s="23">
        <f>SUMPRODUCT(N(YEAR([D LIQUID])=YEAR(NC[[#This Row],[D LIQUID]])),N(MONTH([D LIQUID])=MONTH(NC[[#This Row],[D LIQUID]])),N(['[D/N']]="D"),[LUCRO OP])</f>
        <v>-36.1</v>
      </c>
      <c r="AF7" s="23">
        <f>[LUCRO N '[A']]+[LUCRO D]</f>
        <v>270.2750000000002</v>
      </c>
      <c r="AG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3" s="21" customFormat="1">
      <c r="A8" s="21">
        <v>7</v>
      </c>
      <c r="B8" s="21" t="s">
        <v>25</v>
      </c>
      <c r="C8" s="21" t="s">
        <v>56</v>
      </c>
      <c r="D8" s="22">
        <v>40897</v>
      </c>
      <c r="E8" s="21">
        <v>200</v>
      </c>
      <c r="F8" s="23">
        <v>4.2699999999999996</v>
      </c>
      <c r="G8" s="23" t="s">
        <v>61</v>
      </c>
      <c r="H8" s="21" t="s">
        <v>12</v>
      </c>
      <c r="I8" s="22">
        <f>WORKDAY(NC[[#This Row],[DATA]],IF(['[A/O']]="A",3,1))</f>
        <v>40900</v>
      </c>
      <c r="J8" s="21">
        <f>EOMONTH(NC[[#This Row],[D LIQUID]],0)</f>
        <v>40908</v>
      </c>
      <c r="K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8" s="23">
        <f>[QTDE]*[PREÇO]</f>
        <v>853.99999999999989</v>
      </c>
      <c r="M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N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O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8" s="23">
        <f>SETUP!$E$3*SUMPRODUCT(N([DATA]=NC[[#This Row],[DATA]]),N([ID]&lt;=NC[[#This Row],[ID]]))</f>
        <v>14.9</v>
      </c>
      <c r="R8" s="23">
        <f>TRUNC([CORR. BASE]*SETUP!$F$3,2)</f>
        <v>0.28999999999999998</v>
      </c>
      <c r="S8" s="23">
        <f>TRUNC([CORR. BASE]*SETUP!$G$3,2)</f>
        <v>0.57999999999999996</v>
      </c>
      <c r="T8" s="23">
        <f>[VL LIQUID]-[TX LIQUID]-[EMOL]-[REGISTRO]-[CORR. BASE]-[ISS]-[OUTRAS]</f>
        <v>837.94999999999993</v>
      </c>
      <c r="U8" s="23">
        <f>[LÍQUIDO]-SUMPRODUCT(N([DATA]=NC[[#This Row],[DATA]]),N([ID]=(NC[[#This Row],[ID]]-1)),[LÍQUIDO])</f>
        <v>837.94999999999993</v>
      </c>
      <c r="V8" s="23">
        <f t="shared" si="0"/>
        <v>4.1897500000000001</v>
      </c>
      <c r="W8" s="23">
        <f>TRUNC(IF(OR([OPER/TIPO]="CV",[OPER/TIPO]="VV"),     L8*SETUP!$H$3,     0),2)</f>
        <v>0.04</v>
      </c>
      <c r="X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A8" s="23">
        <f>IF(['[D/N']]="D",IF([OPER/TIPO]="CC",0,SUMPRODUCT(N([DATA]=NC[[#This Row],[DATA]]),N([OPER/TIPO]="CV"),[LÍQUIDO])),IF(AND([MED CP]&gt;0,[MED VD]&gt;0),([MED VD]-[MED CP])*[QTDE],0))</f>
        <v>0</v>
      </c>
      <c r="AB8" s="29">
        <f>IF(['[A/O']]="O",[LUCRO OP]*0.15,0)</f>
        <v>0</v>
      </c>
      <c r="AC8" s="28">
        <f>[LUCRO OP]/ABS([VALOR P/ OP])</f>
        <v>0</v>
      </c>
      <c r="AD8" s="23">
        <f>SUMPRODUCT(N(YEAR([D LIQUID])=YEAR(NC[[#This Row],[D LIQUID]])),N(MONTH([DATA])=MONTH(NC[[#This Row],[D LIQUID]])),N(['[D/N']]="N"),[LUCRO OP])</f>
        <v>306.37500000000023</v>
      </c>
      <c r="AE8" s="23">
        <f>SUMPRODUCT(N(YEAR([D LIQUID])=YEAR(NC[[#This Row],[D LIQUID]])),N(MONTH([D LIQUID])=MONTH(NC[[#This Row],[D LIQUID]])),N(['[D/N']]="D"),[LUCRO OP])</f>
        <v>-36.1</v>
      </c>
      <c r="AF8" s="23">
        <f>[LUCRO N '[A']]+[LUCRO D]</f>
        <v>270.2750000000002</v>
      </c>
      <c r="AG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3" s="21" customFormat="1">
      <c r="A9" s="21">
        <v>8</v>
      </c>
      <c r="B9" s="21" t="s">
        <v>26</v>
      </c>
      <c r="C9" s="21" t="s">
        <v>54</v>
      </c>
      <c r="D9" s="22">
        <v>40900</v>
      </c>
      <c r="E9" s="21">
        <v>300</v>
      </c>
      <c r="F9" s="23">
        <v>7.86</v>
      </c>
      <c r="G9" s="23" t="s">
        <v>61</v>
      </c>
      <c r="H9" s="21" t="s">
        <v>12</v>
      </c>
      <c r="I9" s="22">
        <f>WORKDAY(NC[[#This Row],[DATA]],IF(['[A/O']]="A",3,1))</f>
        <v>40905</v>
      </c>
      <c r="J9" s="21">
        <f>EOMONTH(NC[[#This Row],[D LIQUID]],0)</f>
        <v>40908</v>
      </c>
      <c r="K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9" s="23">
        <f>[QTDE]*[PREÇO]</f>
        <v>2358</v>
      </c>
      <c r="M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N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O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P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9" s="23">
        <f>SETUP!$E$3*SUMPRODUCT(N([DATA]=NC[[#This Row],[DATA]]),N([ID]&lt;=NC[[#This Row],[ID]]))</f>
        <v>14.9</v>
      </c>
      <c r="R9" s="23">
        <f>TRUNC([CORR. BASE]*SETUP!$F$3,2)</f>
        <v>0.28999999999999998</v>
      </c>
      <c r="S9" s="23">
        <f>TRUNC([CORR. BASE]*SETUP!$G$3,2)</f>
        <v>0.57999999999999996</v>
      </c>
      <c r="T9" s="23">
        <f>[VL LIQUID]-[TX LIQUID]-[EMOL]-[REGISTRO]-[CORR. BASE]-[ISS]-[OUTRAS]</f>
        <v>-2374.5699999999997</v>
      </c>
      <c r="U9" s="23">
        <f>[LÍQUIDO]-SUMPRODUCT(N([DATA]=NC[[#This Row],[DATA]]),N([ID]=(NC[[#This Row],[ID]]-1)),[LÍQUIDO])</f>
        <v>-2374.5699999999997</v>
      </c>
      <c r="V9" s="23">
        <f t="shared" si="0"/>
        <v>7.9152333333333322</v>
      </c>
      <c r="W9" s="23">
        <f>TRUNC(IF(OR([OPER/TIPO]="CV",[OPER/TIPO]="VV"),     L9*SETUP!$H$3,     0),2)</f>
        <v>0</v>
      </c>
      <c r="X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Y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Z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9" s="23">
        <f>IF(['[D/N']]="D",IF([OPER/TIPO]="CC",0,SUMPRODUCT(N([DATA]=NC[[#This Row],[DATA]]),N([OPER/TIPO]="CV"),[LÍQUIDO])),IF(AND([MED CP]&gt;0,[MED VD]&gt;0),([MED VD]-[MED CP])*[QTDE],0))</f>
        <v>0</v>
      </c>
      <c r="AB9" s="29">
        <f>IF(['[A/O']]="O",[LUCRO OP]*0.15,0)</f>
        <v>0</v>
      </c>
      <c r="AC9" s="28">
        <f>[LUCRO OP]/ABS([VALOR P/ OP])</f>
        <v>0</v>
      </c>
      <c r="AD9" s="23">
        <f>SUMPRODUCT(N(YEAR([D LIQUID])=YEAR(NC[[#This Row],[D LIQUID]])),N(MONTH([DATA])=MONTH(NC[[#This Row],[D LIQUID]])),N(['[D/N']]="N"),[LUCRO OP])</f>
        <v>306.37500000000023</v>
      </c>
      <c r="AE9" s="23">
        <f>SUMPRODUCT(N(YEAR([D LIQUID])=YEAR(NC[[#This Row],[D LIQUID]])),N(MONTH([D LIQUID])=MONTH(NC[[#This Row],[D LIQUID]])),N(['[D/N']]="D"),[LUCRO OP])</f>
        <v>-36.1</v>
      </c>
      <c r="AF9" s="23">
        <f>[LUCRO N '[A']]+[LUCRO D]</f>
        <v>270.2750000000002</v>
      </c>
      <c r="AG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3" s="21" customFormat="1">
      <c r="A10" s="21">
        <v>9</v>
      </c>
      <c r="B10" s="21" t="s">
        <v>24</v>
      </c>
      <c r="C10" s="21" t="s">
        <v>55</v>
      </c>
      <c r="D10" s="22">
        <v>40903</v>
      </c>
      <c r="E10" s="21">
        <v>100</v>
      </c>
      <c r="F10" s="23">
        <v>6.9</v>
      </c>
      <c r="G10" s="23" t="s">
        <v>61</v>
      </c>
      <c r="H10" s="21" t="s">
        <v>12</v>
      </c>
      <c r="I10" s="22">
        <f>WORKDAY(NC[[#This Row],[DATA]],IF(['[A/O']]="A",3,1))</f>
        <v>40906</v>
      </c>
      <c r="J10" s="21">
        <f>EOMONTH(NC[[#This Row],[D LIQUID]],0)</f>
        <v>40908</v>
      </c>
      <c r="K1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0" s="23">
        <f>[QTDE]*[PREÇO]</f>
        <v>690</v>
      </c>
      <c r="M1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N1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O1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1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0" s="23">
        <f>SETUP!$E$3*SUMPRODUCT(N([DATA]=NC[[#This Row],[DATA]]),N([ID]&lt;=NC[[#This Row],[ID]]))</f>
        <v>14.9</v>
      </c>
      <c r="R10" s="23">
        <f>TRUNC([CORR. BASE]*SETUP!$F$3,2)</f>
        <v>0.28999999999999998</v>
      </c>
      <c r="S10" s="23">
        <f>TRUNC([CORR. BASE]*SETUP!$G$3,2)</f>
        <v>0.57999999999999996</v>
      </c>
      <c r="T10" s="23">
        <f>[VL LIQUID]-[TX LIQUID]-[EMOL]-[REGISTRO]-[CORR. BASE]-[ISS]-[OUTRAS]</f>
        <v>674.0100000000001</v>
      </c>
      <c r="U10" s="23">
        <f>[LÍQUIDO]-SUMPRODUCT(N([DATA]=NC[[#This Row],[DATA]]),N([ID]=(NC[[#This Row],[ID]]-1)),[LÍQUIDO])</f>
        <v>674.0100000000001</v>
      </c>
      <c r="V10" s="23">
        <f t="shared" si="0"/>
        <v>6.7401000000000009</v>
      </c>
      <c r="W10" s="23">
        <f>TRUNC(IF(OR([OPER/TIPO]="CV",[OPER/TIPO]="VV"),     L10*SETUP!$H$3,     0),2)</f>
        <v>0.03</v>
      </c>
      <c r="X1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1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1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A10" s="23">
        <f>IF(['[D/N']]="D",IF([OPER/TIPO]="CC",0,SUMPRODUCT(N([DATA]=NC[[#This Row],[DATA]]),N([OPER/TIPO]="CV"),[LÍQUIDO])),IF(AND([MED CP]&gt;0,[MED VD]&gt;0),([MED VD]-[MED CP])*[QTDE],0))</f>
        <v>100.92499999999998</v>
      </c>
      <c r="AB10" s="29">
        <f>IF(['[A/O']]="O",[LUCRO OP]*0.15,0)</f>
        <v>0</v>
      </c>
      <c r="AC10" s="28">
        <f>[LUCRO OP]/ABS([VALOR P/ OP])</f>
        <v>0.14973813444904374</v>
      </c>
      <c r="AD10" s="23">
        <f>SUMPRODUCT(N(YEAR([D LIQUID])=YEAR(NC[[#This Row],[D LIQUID]])),N(MONTH([DATA])=MONTH(NC[[#This Row],[D LIQUID]])),N(['[D/N']]="N"),[LUCRO OP])</f>
        <v>306.37500000000023</v>
      </c>
      <c r="AE10" s="23">
        <f>SUMPRODUCT(N(YEAR([D LIQUID])=YEAR(NC[[#This Row],[D LIQUID]])),N(MONTH([D LIQUID])=MONTH(NC[[#This Row],[D LIQUID]])),N(['[D/N']]="D"),[LUCRO OP])</f>
        <v>-36.1</v>
      </c>
      <c r="AF10" s="23">
        <f>[LUCRO N '[A']]+[LUCRO D]</f>
        <v>270.2750000000002</v>
      </c>
      <c r="AG1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3" s="21" customFormat="1">
      <c r="A11" s="21">
        <v>10</v>
      </c>
      <c r="B11" s="21" t="s">
        <v>24</v>
      </c>
      <c r="C11" s="21" t="s">
        <v>55</v>
      </c>
      <c r="D11" s="22">
        <v>40910</v>
      </c>
      <c r="E11" s="21">
        <v>100</v>
      </c>
      <c r="F11" s="23">
        <v>5.83</v>
      </c>
      <c r="G11" s="23" t="s">
        <v>61</v>
      </c>
      <c r="H11" s="21" t="s">
        <v>12</v>
      </c>
      <c r="I11" s="22">
        <f>WORKDAY(NC[[#This Row],[DATA]],IF(['[A/O']]="A",3,1))</f>
        <v>40913</v>
      </c>
      <c r="J11" s="21">
        <f>EOMONTH(NC[[#This Row],[D LIQUID]],0)</f>
        <v>40939</v>
      </c>
      <c r="K1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1" s="23">
        <f>[QTDE]*[PREÇO]</f>
        <v>583</v>
      </c>
      <c r="M1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N1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O1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1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1" s="23">
        <f>SETUP!$E$3*SUMPRODUCT(N([DATA]=NC[[#This Row],[DATA]]),N([ID]&lt;=NC[[#This Row],[ID]]))</f>
        <v>14.9</v>
      </c>
      <c r="R11" s="23">
        <f>TRUNC([CORR. BASE]*SETUP!$F$3,2)</f>
        <v>0.28999999999999998</v>
      </c>
      <c r="S11" s="23">
        <f>TRUNC([CORR. BASE]*SETUP!$G$3,2)</f>
        <v>0.57999999999999996</v>
      </c>
      <c r="T11" s="23">
        <f>[VL LIQUID]-[TX LIQUID]-[EMOL]-[REGISTRO]-[CORR. BASE]-[ISS]-[OUTRAS]</f>
        <v>567.03000000000009</v>
      </c>
      <c r="U11" s="23">
        <f>[LÍQUIDO]-SUMPRODUCT(N([DATA]=NC[[#This Row],[DATA]]),N([ID]=(NC[[#This Row],[ID]]-1)),[LÍQUIDO])</f>
        <v>567.03000000000009</v>
      </c>
      <c r="V11" s="23">
        <f t="shared" si="0"/>
        <v>5.670300000000001</v>
      </c>
      <c r="W11" s="23">
        <f>TRUNC(IF(OR([OPER/TIPO]="CV",[OPER/TIPO]="VV"),     L11*SETUP!$H$3,     0),2)</f>
        <v>0.02</v>
      </c>
      <c r="X1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1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A11" s="23">
        <f>IF(['[D/N']]="D",IF([OPER/TIPO]="CC",0,SUMPRODUCT(N([DATA]=NC[[#This Row],[DATA]]),N([OPER/TIPO]="CV"),[LÍQUIDO])),IF(AND([MED CP]&gt;0,[MED VD]&gt;0),([MED VD]-[MED CP])*[QTDE],0))</f>
        <v>-6.0550000000000104</v>
      </c>
      <c r="AB11" s="29">
        <f>IF(['[A/O']]="O",[LUCRO OP]*0.15,0)</f>
        <v>0</v>
      </c>
      <c r="AC11" s="28">
        <f>[LUCRO OP]/ABS([VALOR P/ OP])</f>
        <v>-1.0678447348464825E-2</v>
      </c>
      <c r="AD11" s="23">
        <f>SUMPRODUCT(N(YEAR([D LIQUID])=YEAR(NC[[#This Row],[D LIQUID]])),N(MONTH([DATA])=MONTH(NC[[#This Row],[D LIQUID]])),N(['[D/N']]="N"),[LUCRO OP])</f>
        <v>-455.02500000000055</v>
      </c>
      <c r="AE11" s="23">
        <f>SUMPRODUCT(N(YEAR([D LIQUID])=YEAR(NC[[#This Row],[D LIQUID]])),N(MONTH([D LIQUID])=MONTH(NC[[#This Row],[D LIQUID]])),N(['[D/N']]="D"),[LUCRO OP])</f>
        <v>0</v>
      </c>
      <c r="AF11" s="23">
        <f>[LUCRO N '[A']]+[LUCRO D]</f>
        <v>-455.02500000000055</v>
      </c>
      <c r="AG1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3" s="21" customFormat="1">
      <c r="A12" s="21">
        <v>11</v>
      </c>
      <c r="B12" s="21" t="s">
        <v>24</v>
      </c>
      <c r="C12" s="21" t="s">
        <v>54</v>
      </c>
      <c r="D12" s="22">
        <v>40911</v>
      </c>
      <c r="E12" s="21">
        <v>200</v>
      </c>
      <c r="F12" s="23">
        <v>5.8</v>
      </c>
      <c r="G12" s="23" t="s">
        <v>61</v>
      </c>
      <c r="H12" s="21" t="s">
        <v>12</v>
      </c>
      <c r="I12" s="22">
        <f>WORKDAY(NC[[#This Row],[DATA]],IF(['[A/O']]="A",3,1))</f>
        <v>40914</v>
      </c>
      <c r="J12" s="21">
        <f>EOMONTH(NC[[#This Row],[D LIQUID]],0)</f>
        <v>40939</v>
      </c>
      <c r="K1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12" s="23">
        <f>[QTDE]*[PREÇO]</f>
        <v>1160</v>
      </c>
      <c r="M1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N1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O1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1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2" s="23">
        <f>SETUP!$E$3*SUMPRODUCT(N([DATA]=NC[[#This Row],[DATA]]),N([ID]&lt;=NC[[#This Row],[ID]]))</f>
        <v>14.9</v>
      </c>
      <c r="R12" s="23">
        <f>TRUNC([CORR. BASE]*SETUP!$F$3,2)</f>
        <v>0.28999999999999998</v>
      </c>
      <c r="S12" s="23">
        <f>TRUNC([CORR. BASE]*SETUP!$G$3,2)</f>
        <v>0.57999999999999996</v>
      </c>
      <c r="T12" s="23">
        <f>[VL LIQUID]-[TX LIQUID]-[EMOL]-[REGISTRO]-[CORR. BASE]-[ISS]-[OUTRAS]</f>
        <v>-1176.1599999999999</v>
      </c>
      <c r="U12" s="23">
        <f>[LÍQUIDO]-SUMPRODUCT(N([DATA]=NC[[#This Row],[DATA]]),N([ID]=(NC[[#This Row],[ID]]-1)),[LÍQUIDO])</f>
        <v>-1176.1599999999999</v>
      </c>
      <c r="V12" s="23">
        <f t="shared" si="0"/>
        <v>5.8807999999999989</v>
      </c>
      <c r="W12" s="23">
        <f>TRUNC(IF(OR([OPER/TIPO]="CV",[OPER/TIPO]="VV"),     L12*SETUP!$H$3,     0),2)</f>
        <v>0</v>
      </c>
      <c r="X1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1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Z1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2" s="23">
        <f>IF(['[D/N']]="D",IF([OPER/TIPO]="CC",0,SUMPRODUCT(N([DATA]=NC[[#This Row],[DATA]]),N([OPER/TIPO]="CV"),[LÍQUIDO])),IF(AND([MED CP]&gt;0,[MED VD]&gt;0),([MED VD]-[MED CP])*[QTDE],0))</f>
        <v>0</v>
      </c>
      <c r="AB12" s="29">
        <f>IF(['[A/O']]="O",[LUCRO OP]*0.15,0)</f>
        <v>0</v>
      </c>
      <c r="AC12" s="28">
        <f>[LUCRO OP]/ABS([VALOR P/ OP])</f>
        <v>0</v>
      </c>
      <c r="AD12" s="23">
        <f>SUMPRODUCT(N(YEAR([D LIQUID])=YEAR(NC[[#This Row],[D LIQUID]])),N(MONTH([DATA])=MONTH(NC[[#This Row],[D LIQUID]])),N(['[D/N']]="N"),[LUCRO OP])</f>
        <v>-455.02500000000055</v>
      </c>
      <c r="AE12" s="23">
        <f>SUMPRODUCT(N(YEAR([D LIQUID])=YEAR(NC[[#This Row],[D LIQUID]])),N(MONTH([D LIQUID])=MONTH(NC[[#This Row],[D LIQUID]])),N(['[D/N']]="D"),[LUCRO OP])</f>
        <v>0</v>
      </c>
      <c r="AF12" s="23">
        <f>[LUCRO N '[A']]+[LUCRO D]</f>
        <v>-455.02500000000055</v>
      </c>
      <c r="AG1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3" s="21" customFormat="1">
      <c r="A13" s="21">
        <v>12</v>
      </c>
      <c r="B13" s="21" t="s">
        <v>27</v>
      </c>
      <c r="C13" s="21" t="s">
        <v>56</v>
      </c>
      <c r="D13" s="22">
        <v>40920</v>
      </c>
      <c r="E13" s="21">
        <v>300</v>
      </c>
      <c r="F13" s="23">
        <v>9.0399999999999991</v>
      </c>
      <c r="G13" s="23" t="s">
        <v>61</v>
      </c>
      <c r="H13" s="21" t="s">
        <v>12</v>
      </c>
      <c r="I13" s="22">
        <f>WORKDAY(NC[[#This Row],[DATA]],IF(['[A/O']]="A",3,1))</f>
        <v>40925</v>
      </c>
      <c r="J13" s="21">
        <f>EOMONTH(NC[[#This Row],[D LIQUID]],0)</f>
        <v>40939</v>
      </c>
      <c r="K1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3" s="23">
        <f>[QTDE]*[PREÇO]</f>
        <v>2711.9999999999995</v>
      </c>
      <c r="M1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N1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O1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P1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3" s="23">
        <f>SETUP!$E$3*SUMPRODUCT(N([DATA]=NC[[#This Row],[DATA]]),N([ID]&lt;=NC[[#This Row],[ID]]))</f>
        <v>14.9</v>
      </c>
      <c r="R13" s="23">
        <f>TRUNC([CORR. BASE]*SETUP!$F$3,2)</f>
        <v>0.28999999999999998</v>
      </c>
      <c r="S13" s="23">
        <f>TRUNC([CORR. BASE]*SETUP!$G$3,2)</f>
        <v>0.57999999999999996</v>
      </c>
      <c r="T13" s="23">
        <f>[VL LIQUID]-[TX LIQUID]-[EMOL]-[REGISTRO]-[CORR. BASE]-[ISS]-[OUTRAS]</f>
        <v>2695.31</v>
      </c>
      <c r="U13" s="23">
        <f>[LÍQUIDO]-SUMPRODUCT(N([DATA]=NC[[#This Row],[DATA]]),N([ID]=(NC[[#This Row],[ID]]-1)),[LÍQUIDO])</f>
        <v>2695.31</v>
      </c>
      <c r="V13" s="23">
        <f t="shared" si="0"/>
        <v>8.9843666666666664</v>
      </c>
      <c r="W13" s="23">
        <f>TRUNC(IF(OR([OPER/TIPO]="CV",[OPER/TIPO]="VV"),     L13*SETUP!$H$3,     0),2)</f>
        <v>0.13</v>
      </c>
      <c r="X1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Y1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1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A13" s="23">
        <f>IF(['[D/N']]="D",IF([OPER/TIPO]="CC",0,SUMPRODUCT(N([DATA]=NC[[#This Row],[DATA]]),N([OPER/TIPO]="CV"),[LÍQUIDO])),IF(AND([MED CP]&gt;0,[MED VD]&gt;0),([MED VD]-[MED CP])*[QTDE],0))</f>
        <v>0</v>
      </c>
      <c r="AB13" s="29">
        <f>IF(['[A/O']]="O",[LUCRO OP]*0.15,0)</f>
        <v>0</v>
      </c>
      <c r="AC13" s="28">
        <f>[LUCRO OP]/ABS([VALOR P/ OP])</f>
        <v>0</v>
      </c>
      <c r="AD13" s="23">
        <f>SUMPRODUCT(N(YEAR([D LIQUID])=YEAR(NC[[#This Row],[D LIQUID]])),N(MONTH([DATA])=MONTH(NC[[#This Row],[D LIQUID]])),N(['[D/N']]="N"),[LUCRO OP])</f>
        <v>-455.02500000000055</v>
      </c>
      <c r="AE13" s="23">
        <f>SUMPRODUCT(N(YEAR([D LIQUID])=YEAR(NC[[#This Row],[D LIQUID]])),N(MONTH([D LIQUID])=MONTH(NC[[#This Row],[D LIQUID]])),N(['[D/N']]="D"),[LUCRO OP])</f>
        <v>0</v>
      </c>
      <c r="AF13" s="23">
        <f>[LUCRO N '[A']]+[LUCRO D]</f>
        <v>-455.02500000000055</v>
      </c>
      <c r="AG1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3" s="21" customFormat="1">
      <c r="A14" s="21">
        <v>13</v>
      </c>
      <c r="B14" s="21" t="s">
        <v>24</v>
      </c>
      <c r="C14" s="21" t="s">
        <v>55</v>
      </c>
      <c r="D14" s="22">
        <v>40920</v>
      </c>
      <c r="E14" s="21">
        <v>200</v>
      </c>
      <c r="F14" s="23">
        <v>5.56</v>
      </c>
      <c r="G14" s="23" t="s">
        <v>61</v>
      </c>
      <c r="H14" s="21" t="s">
        <v>12</v>
      </c>
      <c r="I14" s="22">
        <f>WORKDAY(NC[[#This Row],[DATA]],IF(['[A/O']]="A",3,1))</f>
        <v>40925</v>
      </c>
      <c r="J14" s="21">
        <f>EOMONTH(NC[[#This Row],[D LIQUID]],0)</f>
        <v>40939</v>
      </c>
      <c r="K1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14" s="23">
        <f>[QTDE]*[PREÇO]</f>
        <v>1112</v>
      </c>
      <c r="M1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N1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O1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P1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4" s="23">
        <f>SETUP!$E$3*SUMPRODUCT(N([DATA]=NC[[#This Row],[DATA]]),N([ID]&lt;=NC[[#This Row],[ID]]))</f>
        <v>29.8</v>
      </c>
      <c r="R14" s="23">
        <f>TRUNC([CORR. BASE]*SETUP!$F$3,2)</f>
        <v>0.59</v>
      </c>
      <c r="S14" s="23">
        <f>TRUNC([CORR. BASE]*SETUP!$G$3,2)</f>
        <v>1.1599999999999999</v>
      </c>
      <c r="T14" s="23">
        <f>[VL LIQUID]-[TX LIQUID]-[EMOL]-[REGISTRO]-[CORR. BASE]-[ISS]-[OUTRAS]</f>
        <v>3791.139999999999</v>
      </c>
      <c r="U14" s="23">
        <f>[LÍQUIDO]-SUMPRODUCT(N([DATA]=NC[[#This Row],[DATA]]),N([ID]=(NC[[#This Row],[ID]]-1)),[LÍQUIDO])</f>
        <v>1095.829999999999</v>
      </c>
      <c r="V14" s="23">
        <f t="shared" si="0"/>
        <v>5.4791499999999953</v>
      </c>
      <c r="W14" s="23">
        <f>TRUNC(IF(OR([OPER/TIPO]="CV",[OPER/TIPO]="VV"),     L14*SETUP!$H$3,     0),2)</f>
        <v>0.05</v>
      </c>
      <c r="X1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Z1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A14" s="23">
        <f>IF(['[D/N']]="D",IF([OPER/TIPO]="CC",0,SUMPRODUCT(N([DATA]=NC[[#This Row],[DATA]]),N([OPER/TIPO]="CV"),[LÍQUIDO])),IF(AND([MED CP]&gt;0,[MED VD]&gt;0),([MED VD]-[MED CP])*[QTDE],0))</f>
        <v>-80.330000000000723</v>
      </c>
      <c r="AB14" s="29">
        <f>IF(['[A/O']]="O",[LUCRO OP]*0.15,0)</f>
        <v>0</v>
      </c>
      <c r="AC14" s="28">
        <f>[LUCRO OP]/ABS([VALOR P/ OP])</f>
        <v>-7.3305165947273571E-2</v>
      </c>
      <c r="AD14" s="23">
        <f>SUMPRODUCT(N(YEAR([D LIQUID])=YEAR(NC[[#This Row],[D LIQUID]])),N(MONTH([DATA])=MONTH(NC[[#This Row],[D LIQUID]])),N(['[D/N']]="N"),[LUCRO OP])</f>
        <v>-455.02500000000055</v>
      </c>
      <c r="AE14" s="23">
        <f>SUMPRODUCT(N(YEAR([D LIQUID])=YEAR(NC[[#This Row],[D LIQUID]])),N(MONTH([D LIQUID])=MONTH(NC[[#This Row],[D LIQUID]])),N(['[D/N']]="D"),[LUCRO OP])</f>
        <v>0</v>
      </c>
      <c r="AF14" s="23">
        <f>[LUCRO N '[A']]+[LUCRO D]</f>
        <v>-455.02500000000055</v>
      </c>
      <c r="AG1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3" s="21" customFormat="1">
      <c r="A15" s="21">
        <v>14</v>
      </c>
      <c r="B15" s="21" t="s">
        <v>11</v>
      </c>
      <c r="C15" s="21" t="s">
        <v>54</v>
      </c>
      <c r="D15" s="22">
        <v>40927</v>
      </c>
      <c r="E15" s="21">
        <v>2000</v>
      </c>
      <c r="F15" s="23">
        <v>0.5</v>
      </c>
      <c r="G15" s="23" t="s">
        <v>61</v>
      </c>
      <c r="H15" s="21" t="s">
        <v>12</v>
      </c>
      <c r="I15" s="22">
        <f>WORKDAY(NC[[#This Row],[DATA]],IF(['[A/O']]="A",3,1))</f>
        <v>40932</v>
      </c>
      <c r="J15" s="21">
        <f>EOMONTH(NC[[#This Row],[D LIQUID]],0)</f>
        <v>40939</v>
      </c>
      <c r="K1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5" s="23">
        <f>[QTDE]*[PREÇO]</f>
        <v>1000</v>
      </c>
      <c r="M1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N1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O1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1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5" s="23">
        <f>SETUP!$E$3*SUMPRODUCT(N([DATA]=NC[[#This Row],[DATA]]),N([ID]&lt;=NC[[#This Row],[ID]]))</f>
        <v>14.9</v>
      </c>
      <c r="R15" s="23">
        <f>TRUNC([CORR. BASE]*SETUP!$F$3,2)</f>
        <v>0.28999999999999998</v>
      </c>
      <c r="S15" s="23">
        <f>TRUNC([CORR. BASE]*SETUP!$G$3,2)</f>
        <v>0.57999999999999996</v>
      </c>
      <c r="T15" s="23">
        <f>[VL LIQUID]-[TX LIQUID]-[EMOL]-[REGISTRO]-[CORR. BASE]-[ISS]-[OUTRAS]</f>
        <v>-1016.11</v>
      </c>
      <c r="U15" s="23">
        <f>[LÍQUIDO]-SUMPRODUCT(N([DATA]=NC[[#This Row],[DATA]]),N([ID]=(NC[[#This Row],[ID]]-1)),[LÍQUIDO])</f>
        <v>-1016.11</v>
      </c>
      <c r="V15" s="23">
        <f t="shared" si="0"/>
        <v>0.50805500000000003</v>
      </c>
      <c r="W15" s="23">
        <f>TRUNC(IF(OR([OPER/TIPO]="CV",[OPER/TIPO]="VV"),     L15*SETUP!$H$3,     0),2)</f>
        <v>0</v>
      </c>
      <c r="X1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Y1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1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5" s="23">
        <f>IF(['[D/N']]="D",IF([OPER/TIPO]="CC",0,SUMPRODUCT(N([DATA]=NC[[#This Row],[DATA]]),N([OPER/TIPO]="CV"),[LÍQUIDO])),IF(AND([MED CP]&gt;0,[MED VD]&gt;0),([MED VD]-[MED CP])*[QTDE],0))</f>
        <v>0</v>
      </c>
      <c r="AB15" s="29">
        <f>IF(['[A/O']]="O",[LUCRO OP]*0.15,0)</f>
        <v>0</v>
      </c>
      <c r="AC15" s="28">
        <f>[LUCRO OP]/ABS([VALOR P/ OP])</f>
        <v>0</v>
      </c>
      <c r="AD15" s="23">
        <f>SUMPRODUCT(N(YEAR([D LIQUID])=YEAR(NC[[#This Row],[D LIQUID]])),N(MONTH([DATA])=MONTH(NC[[#This Row],[D LIQUID]])),N(['[D/N']]="N"),[LUCRO OP])</f>
        <v>-455.02500000000055</v>
      </c>
      <c r="AE15" s="23">
        <f>SUMPRODUCT(N(YEAR([D LIQUID])=YEAR(NC[[#This Row],[D LIQUID]])),N(MONTH([D LIQUID])=MONTH(NC[[#This Row],[D LIQUID]])),N(['[D/N']]="D"),[LUCRO OP])</f>
        <v>0</v>
      </c>
      <c r="AF15" s="23">
        <f>[LUCRO N '[A']]+[LUCRO D]</f>
        <v>-455.02500000000055</v>
      </c>
      <c r="AG1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3" s="21" customFormat="1">
      <c r="A16" s="21">
        <v>15</v>
      </c>
      <c r="B16" s="21" t="s">
        <v>23</v>
      </c>
      <c r="C16" s="21" t="s">
        <v>55</v>
      </c>
      <c r="D16" s="22">
        <v>40932</v>
      </c>
      <c r="E16" s="21">
        <v>100</v>
      </c>
      <c r="F16" s="23">
        <v>7.89</v>
      </c>
      <c r="G16" s="23" t="s">
        <v>61</v>
      </c>
      <c r="H16" s="21" t="s">
        <v>12</v>
      </c>
      <c r="I16" s="22">
        <f>WORKDAY(NC[[#This Row],[DATA]],IF(['[A/O']]="A",3,1))</f>
        <v>40935</v>
      </c>
      <c r="J16" s="21">
        <f>EOMONTH(NC[[#This Row],[D LIQUID]],0)</f>
        <v>40939</v>
      </c>
      <c r="K1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6" s="23">
        <f>[QTDE]*[PREÇO]</f>
        <v>789</v>
      </c>
      <c r="M1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N1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O1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1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6" s="23">
        <f>SETUP!$E$3*SUMPRODUCT(N([DATA]=NC[[#This Row],[DATA]]),N([ID]&lt;=NC[[#This Row],[ID]]))</f>
        <v>14.9</v>
      </c>
      <c r="R16" s="23">
        <f>TRUNC([CORR. BASE]*SETUP!$F$3,2)</f>
        <v>0.28999999999999998</v>
      </c>
      <c r="S16" s="23">
        <f>TRUNC([CORR. BASE]*SETUP!$G$3,2)</f>
        <v>0.57999999999999996</v>
      </c>
      <c r="T16" s="23">
        <f>[VL LIQUID]-[TX LIQUID]-[EMOL]-[REGISTRO]-[CORR. BASE]-[ISS]-[OUTRAS]</f>
        <v>772.97</v>
      </c>
      <c r="U16" s="23">
        <f>[LÍQUIDO]-SUMPRODUCT(N([DATA]=NC[[#This Row],[DATA]]),N([ID]=(NC[[#This Row],[ID]]-1)),[LÍQUIDO])</f>
        <v>772.97</v>
      </c>
      <c r="V16" s="23">
        <f t="shared" si="0"/>
        <v>7.7297000000000002</v>
      </c>
      <c r="W16" s="23">
        <f>TRUNC(IF(OR([OPER/TIPO]="CV",[OPER/TIPO]="VV"),     L16*SETUP!$H$3,     0),2)</f>
        <v>0.03</v>
      </c>
      <c r="X1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Z1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A16" s="23">
        <f>IF(['[D/N']]="D",IF([OPER/TIPO]="CC",0,SUMPRODUCT(N([DATA]=NC[[#This Row],[DATA]]),N([OPER/TIPO]="CV"),[LÍQUIDO])),IF(AND([MED CP]&gt;0,[MED VD]&gt;0),([MED VD]-[MED CP])*[QTDE],0))</f>
        <v>-88.079999999999799</v>
      </c>
      <c r="AB16" s="29">
        <f>IF(['[A/O']]="O",[LUCRO OP]*0.15,0)</f>
        <v>0</v>
      </c>
      <c r="AC16" s="28">
        <f>[LUCRO OP]/ABS([VALOR P/ OP])</f>
        <v>-0.11395008861922169</v>
      </c>
      <c r="AD16" s="23">
        <f>SUMPRODUCT(N(YEAR([D LIQUID])=YEAR(NC[[#This Row],[D LIQUID]])),N(MONTH([DATA])=MONTH(NC[[#This Row],[D LIQUID]])),N(['[D/N']]="N"),[LUCRO OP])</f>
        <v>-455.02500000000055</v>
      </c>
      <c r="AE16" s="23">
        <f>SUMPRODUCT(N(YEAR([D LIQUID])=YEAR(NC[[#This Row],[D LIQUID]])),N(MONTH([D LIQUID])=MONTH(NC[[#This Row],[D LIQUID]])),N(['[D/N']]="D"),[LUCRO OP])</f>
        <v>0</v>
      </c>
      <c r="AF16" s="23">
        <f>[LUCRO N '[A']]+[LUCRO D]</f>
        <v>-455.02500000000055</v>
      </c>
      <c r="AG1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3" s="21" customFormat="1">
      <c r="A17" s="21">
        <v>16</v>
      </c>
      <c r="B17" s="21" t="s">
        <v>27</v>
      </c>
      <c r="C17" s="21" t="s">
        <v>57</v>
      </c>
      <c r="D17" s="22">
        <v>40934</v>
      </c>
      <c r="E17" s="21">
        <v>300</v>
      </c>
      <c r="F17" s="23">
        <v>9.43</v>
      </c>
      <c r="G17" s="23" t="s">
        <v>61</v>
      </c>
      <c r="H17" s="21" t="s">
        <v>12</v>
      </c>
      <c r="I17" s="22">
        <f>WORKDAY(NC[[#This Row],[DATA]],IF(['[A/O']]="A",3,1))</f>
        <v>40939</v>
      </c>
      <c r="J17" s="21">
        <f>EOMONTH(NC[[#This Row],[D LIQUID]],0)</f>
        <v>40939</v>
      </c>
      <c r="K1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7" s="23">
        <f>[QTDE]*[PREÇO]</f>
        <v>2829</v>
      </c>
      <c r="M1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N1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O1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P1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7" s="23">
        <f>SETUP!$E$3*SUMPRODUCT(N([DATA]=NC[[#This Row],[DATA]]),N([ID]&lt;=NC[[#This Row],[ID]]))</f>
        <v>14.9</v>
      </c>
      <c r="R17" s="23">
        <f>TRUNC([CORR. BASE]*SETUP!$F$3,2)</f>
        <v>0.28999999999999998</v>
      </c>
      <c r="S17" s="23">
        <f>TRUNC([CORR. BASE]*SETUP!$G$3,2)</f>
        <v>0.57999999999999996</v>
      </c>
      <c r="T17" s="23">
        <f>[VL LIQUID]-[TX LIQUID]-[EMOL]-[REGISTRO]-[CORR. BASE]-[ISS]-[OUTRAS]</f>
        <v>-2845.73</v>
      </c>
      <c r="U17" s="23">
        <f>[LÍQUIDO]-SUMPRODUCT(N([DATA]=NC[[#This Row],[DATA]]),N([ID]=(NC[[#This Row],[ID]]-1)),[LÍQUIDO])</f>
        <v>-2845.73</v>
      </c>
      <c r="V17" s="23">
        <f t="shared" si="0"/>
        <v>9.4857666666666667</v>
      </c>
      <c r="W17" s="23">
        <f>TRUNC(IF(OR([OPER/TIPO]="CV",[OPER/TIPO]="VV"),     L17*SETUP!$H$3,     0),2)</f>
        <v>0</v>
      </c>
      <c r="X1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Z1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A17" s="23">
        <f>IF(['[D/N']]="D",IF([OPER/TIPO]="CC",0,SUMPRODUCT(N([DATA]=NC[[#This Row],[DATA]]),N([OPER/TIPO]="CV"),[LÍQUIDO])),IF(AND([MED CP]&gt;0,[MED VD]&gt;0),([MED VD]-[MED CP])*[QTDE],0))</f>
        <v>-150.42000000000007</v>
      </c>
      <c r="AB17" s="29">
        <f>IF(['[A/O']]="O",[LUCRO OP]*0.15,0)</f>
        <v>0</v>
      </c>
      <c r="AC17" s="28">
        <f>[LUCRO OP]/ABS([VALOR P/ OP])</f>
        <v>-5.2858141847610306E-2</v>
      </c>
      <c r="AD17" s="23">
        <f>SUMPRODUCT(N(YEAR([D LIQUID])=YEAR(NC[[#This Row],[D LIQUID]])),N(MONTH([DATA])=MONTH(NC[[#This Row],[D LIQUID]])),N(['[D/N']]="N"),[LUCRO OP])</f>
        <v>-455.02500000000055</v>
      </c>
      <c r="AE17" s="23">
        <f>SUMPRODUCT(N(YEAR([D LIQUID])=YEAR(NC[[#This Row],[D LIQUID]])),N(MONTH([D LIQUID])=MONTH(NC[[#This Row],[D LIQUID]])),N(['[D/N']]="D"),[LUCRO OP])</f>
        <v>0</v>
      </c>
      <c r="AF17" s="23">
        <f>[LUCRO N '[A']]+[LUCRO D]</f>
        <v>-455.02500000000055</v>
      </c>
      <c r="AG1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3" s="21" customFormat="1">
      <c r="A18" s="21">
        <v>17</v>
      </c>
      <c r="B18" s="21" t="s">
        <v>28</v>
      </c>
      <c r="C18" s="21" t="s">
        <v>54</v>
      </c>
      <c r="D18" s="22">
        <v>40934</v>
      </c>
      <c r="E18" s="21">
        <v>2300</v>
      </c>
      <c r="F18" s="23">
        <v>0.43</v>
      </c>
      <c r="G18" s="23" t="s">
        <v>61</v>
      </c>
      <c r="H18" s="21" t="s">
        <v>12</v>
      </c>
      <c r="I18" s="22">
        <f>WORKDAY(NC[[#This Row],[DATA]],IF(['[A/O']]="A",3,1))</f>
        <v>40939</v>
      </c>
      <c r="J18" s="21">
        <f>EOMONTH(NC[[#This Row],[D LIQUID]],0)</f>
        <v>40939</v>
      </c>
      <c r="K1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8" s="23">
        <f>[QTDE]*[PREÇO]</f>
        <v>989</v>
      </c>
      <c r="M1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N1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O1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P1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8" s="23">
        <f>SETUP!$E$3*SUMPRODUCT(N([DATA]=NC[[#This Row],[DATA]]),N([ID]&lt;=NC[[#This Row],[ID]]))</f>
        <v>29.8</v>
      </c>
      <c r="R18" s="23">
        <f>TRUNC([CORR. BASE]*SETUP!$F$3,2)</f>
        <v>0.59</v>
      </c>
      <c r="S18" s="23">
        <f>TRUNC([CORR. BASE]*SETUP!$G$3,2)</f>
        <v>1.1599999999999999</v>
      </c>
      <c r="T18" s="23">
        <f>[VL LIQUID]-[TX LIQUID]-[EMOL]-[REGISTRO]-[CORR. BASE]-[ISS]-[OUTRAS]</f>
        <v>-3850.8500000000004</v>
      </c>
      <c r="U18" s="23">
        <f>[LÍQUIDO]-SUMPRODUCT(N([DATA]=NC[[#This Row],[DATA]]),N([ID]=(NC[[#This Row],[ID]]-1)),[LÍQUIDO])</f>
        <v>-1005.1200000000003</v>
      </c>
      <c r="V18" s="23">
        <f t="shared" si="0"/>
        <v>0.43700869565217404</v>
      </c>
      <c r="W18" s="23">
        <f>TRUNC(IF(OR([OPER/TIPO]="CV",[OPER/TIPO]="VV"),     L18*SETUP!$H$3,     0),2)</f>
        <v>0</v>
      </c>
      <c r="X1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Y1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Z1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8" s="23">
        <f>IF(['[D/N']]="D",IF([OPER/TIPO]="CC",0,SUMPRODUCT(N([DATA]=NC[[#This Row],[DATA]]),N([OPER/TIPO]="CV"),[LÍQUIDO])),IF(AND([MED CP]&gt;0,[MED VD]&gt;0),([MED VD]-[MED CP])*[QTDE],0))</f>
        <v>0</v>
      </c>
      <c r="AB18" s="29">
        <f>IF(['[A/O']]="O",[LUCRO OP]*0.15,0)</f>
        <v>0</v>
      </c>
      <c r="AC18" s="28">
        <f>[LUCRO OP]/ABS([VALOR P/ OP])</f>
        <v>0</v>
      </c>
      <c r="AD18" s="23">
        <f>SUMPRODUCT(N(YEAR([D LIQUID])=YEAR(NC[[#This Row],[D LIQUID]])),N(MONTH([DATA])=MONTH(NC[[#This Row],[D LIQUID]])),N(['[D/N']]="N"),[LUCRO OP])</f>
        <v>-455.02500000000055</v>
      </c>
      <c r="AE18" s="23">
        <f>SUMPRODUCT(N(YEAR([D LIQUID])=YEAR(NC[[#This Row],[D LIQUID]])),N(MONTH([D LIQUID])=MONTH(NC[[#This Row],[D LIQUID]])),N(['[D/N']]="D"),[LUCRO OP])</f>
        <v>0</v>
      </c>
      <c r="AF18" s="23">
        <f>[LUCRO N '[A']]+[LUCRO D]</f>
        <v>-455.02500000000055</v>
      </c>
      <c r="AG1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3" s="21" customFormat="1">
      <c r="A19" s="21">
        <v>18</v>
      </c>
      <c r="B19" s="21" t="s">
        <v>25</v>
      </c>
      <c r="C19" s="21" t="s">
        <v>57</v>
      </c>
      <c r="D19" s="22">
        <v>40939</v>
      </c>
      <c r="E19" s="21">
        <v>200</v>
      </c>
      <c r="F19" s="23">
        <v>4.76</v>
      </c>
      <c r="G19" s="23" t="s">
        <v>61</v>
      </c>
      <c r="H19" s="21" t="s">
        <v>12</v>
      </c>
      <c r="I19" s="22">
        <f>WORKDAY(NC[[#This Row],[DATA]],IF(['[A/O']]="A",3,1))</f>
        <v>40942</v>
      </c>
      <c r="J19" s="21">
        <f>EOMONTH(NC[[#This Row],[D LIQUID]],0)</f>
        <v>40968</v>
      </c>
      <c r="K1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9" s="23">
        <f>[QTDE]*[PREÇO]</f>
        <v>952</v>
      </c>
      <c r="M1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N1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O1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P1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9" s="23">
        <f>SETUP!$E$3*SUMPRODUCT(N([DATA]=NC[[#This Row],[DATA]]),N([ID]&lt;=NC[[#This Row],[ID]]))</f>
        <v>14.9</v>
      </c>
      <c r="R19" s="23">
        <f>TRUNC([CORR. BASE]*SETUP!$F$3,2)</f>
        <v>0.28999999999999998</v>
      </c>
      <c r="S19" s="23">
        <f>TRUNC([CORR. BASE]*SETUP!$G$3,2)</f>
        <v>0.57999999999999996</v>
      </c>
      <c r="T19" s="23">
        <f>[VL LIQUID]-[TX LIQUID]-[EMOL]-[REGISTRO]-[CORR. BASE]-[ISS]-[OUTRAS]</f>
        <v>-968.08999999999992</v>
      </c>
      <c r="U19" s="23">
        <f>[LÍQUIDO]-SUMPRODUCT(N([DATA]=NC[[#This Row],[DATA]]),N([ID]=(NC[[#This Row],[ID]]-1)),[LÍQUIDO])</f>
        <v>-968.08999999999992</v>
      </c>
      <c r="V19" s="23">
        <f t="shared" si="0"/>
        <v>4.8404499999999997</v>
      </c>
      <c r="W19" s="23">
        <f>TRUNC(IF(OR([OPER/TIPO]="CV",[OPER/TIPO]="VV"),     L19*SETUP!$H$3,     0),2)</f>
        <v>0</v>
      </c>
      <c r="X1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Z1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A19" s="23">
        <f>IF(['[D/N']]="D",IF([OPER/TIPO]="CC",0,SUMPRODUCT(N([DATA]=NC[[#This Row],[DATA]]),N([OPER/TIPO]="CV"),[LÍQUIDO])),IF(AND([MED CP]&gt;0,[MED VD]&gt;0),([MED VD]-[MED CP])*[QTDE],0))</f>
        <v>-130.13999999999993</v>
      </c>
      <c r="AB19" s="29">
        <f>IF(['[A/O']]="O",[LUCRO OP]*0.15,0)</f>
        <v>0</v>
      </c>
      <c r="AC19" s="28">
        <f>[LUCRO OP]/ABS([VALOR P/ OP])</f>
        <v>-0.13442965013583441</v>
      </c>
      <c r="AD19" s="23">
        <f>SUMPRODUCT(N(YEAR([D LIQUID])=YEAR(NC[[#This Row],[D LIQUID]])),N(MONTH([DATA])=MONTH(NC[[#This Row],[D LIQUID]])),N(['[D/N']]="N"),[LUCRO OP])</f>
        <v>-1321.4199999999998</v>
      </c>
      <c r="AE19" s="23">
        <f>SUMPRODUCT(N(YEAR([D LIQUID])=YEAR(NC[[#This Row],[D LIQUID]])),N(MONTH([D LIQUID])=MONTH(NC[[#This Row],[D LIQUID]])),N(['[D/N']]="D"),[LUCRO OP])</f>
        <v>0</v>
      </c>
      <c r="AF19" s="23">
        <f>[LUCRO N '[A']]+[LUCRO D]</f>
        <v>-1321.4199999999998</v>
      </c>
      <c r="AG1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3" s="21" customFormat="1">
      <c r="A20" s="21">
        <v>19</v>
      </c>
      <c r="B20" s="21" t="s">
        <v>26</v>
      </c>
      <c r="C20" s="21" t="s">
        <v>55</v>
      </c>
      <c r="D20" s="22">
        <v>40945</v>
      </c>
      <c r="E20" s="21">
        <v>300</v>
      </c>
      <c r="F20" s="23">
        <v>7.7</v>
      </c>
      <c r="G20" s="23" t="s">
        <v>61</v>
      </c>
      <c r="H20" s="21" t="s">
        <v>12</v>
      </c>
      <c r="I20" s="22">
        <f>WORKDAY(NC[[#This Row],[DATA]],IF(['[A/O']]="A",3,1))</f>
        <v>40948</v>
      </c>
      <c r="J20" s="21">
        <f>EOMONTH(NC[[#This Row],[D LIQUID]],0)</f>
        <v>40968</v>
      </c>
      <c r="K2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0" s="23">
        <f>[QTDE]*[PREÇO]</f>
        <v>2310</v>
      </c>
      <c r="M2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N2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O2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P2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0" s="23">
        <f>SETUP!$E$3*SUMPRODUCT(N([DATA]=NC[[#This Row],[DATA]]),N([ID]&lt;=NC[[#This Row],[ID]]))</f>
        <v>14.9</v>
      </c>
      <c r="R20" s="23">
        <f>TRUNC([CORR. BASE]*SETUP!$F$3,2)</f>
        <v>0.28999999999999998</v>
      </c>
      <c r="S20" s="23">
        <f>TRUNC([CORR. BASE]*SETUP!$G$3,2)</f>
        <v>0.57999999999999996</v>
      </c>
      <c r="T20" s="23">
        <f>[VL LIQUID]-[TX LIQUID]-[EMOL]-[REGISTRO]-[CORR. BASE]-[ISS]-[OUTRAS]</f>
        <v>2293.44</v>
      </c>
      <c r="U20" s="23">
        <f>[LÍQUIDO]-SUMPRODUCT(N([DATA]=NC[[#This Row],[DATA]]),N([ID]=(NC[[#This Row],[ID]]-1)),[LÍQUIDO])</f>
        <v>2293.44</v>
      </c>
      <c r="V20" s="23">
        <f t="shared" si="0"/>
        <v>7.6448</v>
      </c>
      <c r="W20" s="23">
        <f>TRUNC(IF(OR([OPER/TIPO]="CV",[OPER/TIPO]="VV"),     L20*SETUP!$H$3,     0),2)</f>
        <v>0.11</v>
      </c>
      <c r="X2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Z2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A20" s="23">
        <f>IF(['[D/N']]="D",IF([OPER/TIPO]="CC",0,SUMPRODUCT(N([DATA]=NC[[#This Row],[DATA]]),N([OPER/TIPO]="CV"),[LÍQUIDO])),IF(AND([MED CP]&gt;0,[MED VD]&gt;0),([MED VD]-[MED CP])*[QTDE],0))</f>
        <v>-81.129999999999654</v>
      </c>
      <c r="AB20" s="29">
        <f>IF(['[A/O']]="O",[LUCRO OP]*0.15,0)</f>
        <v>0</v>
      </c>
      <c r="AC20" s="28">
        <f>[LUCRO OP]/ABS([VALOR P/ OP])</f>
        <v>-3.5374808148458059E-2</v>
      </c>
      <c r="AD20" s="23">
        <f>SUMPRODUCT(N(YEAR([D LIQUID])=YEAR(NC[[#This Row],[D LIQUID]])),N(MONTH([DATA])=MONTH(NC[[#This Row],[D LIQUID]])),N(['[D/N']]="N"),[LUCRO OP])</f>
        <v>-1321.4199999999998</v>
      </c>
      <c r="AE20" s="23">
        <f>SUMPRODUCT(N(YEAR([D LIQUID])=YEAR(NC[[#This Row],[D LIQUID]])),N(MONTH([D LIQUID])=MONTH(NC[[#This Row],[D LIQUID]])),N(['[D/N']]="D"),[LUCRO OP])</f>
        <v>0</v>
      </c>
      <c r="AF20" s="23">
        <f>[LUCRO N '[A']]+[LUCRO D]</f>
        <v>-1321.4199999999998</v>
      </c>
      <c r="AG2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3" s="21" customFormat="1">
      <c r="A21" s="21">
        <v>20</v>
      </c>
      <c r="B21" s="21" t="s">
        <v>28</v>
      </c>
      <c r="C21" s="21" t="s">
        <v>54</v>
      </c>
      <c r="D21" s="22">
        <v>40945</v>
      </c>
      <c r="E21" s="21">
        <v>3700</v>
      </c>
      <c r="F21" s="23">
        <v>0.37</v>
      </c>
      <c r="G21" s="23" t="s">
        <v>61</v>
      </c>
      <c r="H21" s="21" t="s">
        <v>12</v>
      </c>
      <c r="I21" s="22">
        <f>WORKDAY(NC[[#This Row],[DATA]],IF(['[A/O']]="A",3,1))</f>
        <v>40948</v>
      </c>
      <c r="J21" s="21">
        <f>EOMONTH(NC[[#This Row],[D LIQUID]],0)</f>
        <v>40968</v>
      </c>
      <c r="K2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1" s="23">
        <f>[QTDE]*[PREÇO]</f>
        <v>1369</v>
      </c>
      <c r="M2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N2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O2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P2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1" s="23">
        <f>SETUP!$E$3*SUMPRODUCT(N([DATA]=NC[[#This Row],[DATA]]),N([ID]&lt;=NC[[#This Row],[ID]]))</f>
        <v>29.8</v>
      </c>
      <c r="R21" s="23">
        <f>TRUNC([CORR. BASE]*SETUP!$F$3,2)</f>
        <v>0.59</v>
      </c>
      <c r="S21" s="23">
        <f>TRUNC([CORR. BASE]*SETUP!$G$3,2)</f>
        <v>1.1599999999999999</v>
      </c>
      <c r="T21" s="23">
        <f>[VL LIQUID]-[TX LIQUID]-[EMOL]-[REGISTRO]-[CORR. BASE]-[ISS]-[OUTRAS]</f>
        <v>908.19</v>
      </c>
      <c r="U21" s="23">
        <f>[LÍQUIDO]-SUMPRODUCT(N([DATA]=NC[[#This Row],[DATA]]),N([ID]=(NC[[#This Row],[ID]]-1)),[LÍQUIDO])</f>
        <v>-1385.25</v>
      </c>
      <c r="V21" s="23">
        <f t="shared" si="0"/>
        <v>0.37439189189189187</v>
      </c>
      <c r="W21" s="23">
        <f>TRUNC(IF(OR([OPER/TIPO]="CV",[OPER/TIPO]="VV"),     L21*SETUP!$H$3,     0),2)</f>
        <v>0</v>
      </c>
      <c r="X2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Y2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1" s="23">
        <f>IF(['[D/N']]="D",IF([OPER/TIPO]="CC",0,SUMPRODUCT(N([DATA]=NC[[#This Row],[DATA]]),N([OPER/TIPO]="CV"),[LÍQUIDO])),IF(AND([MED CP]&gt;0,[MED VD]&gt;0),([MED VD]-[MED CP])*[QTDE],0))</f>
        <v>0</v>
      </c>
      <c r="AB21" s="29">
        <f>IF(['[A/O']]="O",[LUCRO OP]*0.15,0)</f>
        <v>0</v>
      </c>
      <c r="AC21" s="28">
        <f>[LUCRO OP]/ABS([VALOR P/ OP])</f>
        <v>0</v>
      </c>
      <c r="AD21" s="23">
        <f>SUMPRODUCT(N(YEAR([D LIQUID])=YEAR(NC[[#This Row],[D LIQUID]])),N(MONTH([DATA])=MONTH(NC[[#This Row],[D LIQUID]])),N(['[D/N']]="N"),[LUCRO OP])</f>
        <v>-1321.4199999999998</v>
      </c>
      <c r="AE21" s="23">
        <f>SUMPRODUCT(N(YEAR([D LIQUID])=YEAR(NC[[#This Row],[D LIQUID]])),N(MONTH([D LIQUID])=MONTH(NC[[#This Row],[D LIQUID]])),N(['[D/N']]="D"),[LUCRO OP])</f>
        <v>0</v>
      </c>
      <c r="AF21" s="23">
        <f>[LUCRO N '[A']]+[LUCRO D]</f>
        <v>-1321.4199999999998</v>
      </c>
      <c r="AG2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3" s="21" customFormat="1">
      <c r="A22" s="21">
        <v>21</v>
      </c>
      <c r="B22" s="21" t="s">
        <v>29</v>
      </c>
      <c r="C22" s="21" t="s">
        <v>54</v>
      </c>
      <c r="D22" s="22">
        <v>40945</v>
      </c>
      <c r="E22" s="21">
        <v>500</v>
      </c>
      <c r="F22" s="23">
        <v>2.37</v>
      </c>
      <c r="G22" s="23" t="s">
        <v>61</v>
      </c>
      <c r="H22" s="21" t="s">
        <v>12</v>
      </c>
      <c r="I22" s="22">
        <f>WORKDAY(NC[[#This Row],[DATA]],IF(['[A/O']]="A",3,1))</f>
        <v>40948</v>
      </c>
      <c r="J22" s="21">
        <f>EOMONTH(NC[[#This Row],[D LIQUID]],0)</f>
        <v>40968</v>
      </c>
      <c r="K2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2" s="23">
        <f>[QTDE]*[PREÇO]</f>
        <v>1185</v>
      </c>
      <c r="M2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N2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O2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P2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2" s="23">
        <f>SETUP!$E$3*SUMPRODUCT(N([DATA]=NC[[#This Row],[DATA]]),N([ID]&lt;=NC[[#This Row],[ID]]))</f>
        <v>44.7</v>
      </c>
      <c r="R22" s="23">
        <f>TRUNC([CORR. BASE]*SETUP!$F$3,2)</f>
        <v>0.89</v>
      </c>
      <c r="S22" s="23">
        <f>TRUNC([CORR. BASE]*SETUP!$G$3,2)</f>
        <v>1.74</v>
      </c>
      <c r="T22" s="23">
        <f>[VL LIQUID]-[TX LIQUID]-[EMOL]-[REGISTRO]-[CORR. BASE]-[ISS]-[OUTRAS]</f>
        <v>-293</v>
      </c>
      <c r="U22" s="23">
        <f>[LÍQUIDO]-SUMPRODUCT(N([DATA]=NC[[#This Row],[DATA]]),N([ID]=(NC[[#This Row],[ID]]-1)),[LÍQUIDO])</f>
        <v>-1201.19</v>
      </c>
      <c r="V22" s="23">
        <f t="shared" si="0"/>
        <v>2.40238</v>
      </c>
      <c r="W22" s="23">
        <f>TRUNC(IF(OR([OPER/TIPO]="CV",[OPER/TIPO]="VV"),     L22*SETUP!$H$3,     0),2)</f>
        <v>0</v>
      </c>
      <c r="X2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Y2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Z2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2" s="23">
        <f>IF(['[D/N']]="D",IF([OPER/TIPO]="CC",0,SUMPRODUCT(N([DATA]=NC[[#This Row],[DATA]]),N([OPER/TIPO]="CV"),[LÍQUIDO])),IF(AND([MED CP]&gt;0,[MED VD]&gt;0),([MED VD]-[MED CP])*[QTDE],0))</f>
        <v>0</v>
      </c>
      <c r="AB22" s="29">
        <f>IF(['[A/O']]="O",[LUCRO OP]*0.15,0)</f>
        <v>0</v>
      </c>
      <c r="AC22" s="28">
        <f>[LUCRO OP]/ABS([VALOR P/ OP])</f>
        <v>0</v>
      </c>
      <c r="AD22" s="23">
        <f>SUMPRODUCT(N(YEAR([D LIQUID])=YEAR(NC[[#This Row],[D LIQUID]])),N(MONTH([DATA])=MONTH(NC[[#This Row],[D LIQUID]])),N(['[D/N']]="N"),[LUCRO OP])</f>
        <v>-1321.4199999999998</v>
      </c>
      <c r="AE22" s="23">
        <f>SUMPRODUCT(N(YEAR([D LIQUID])=YEAR(NC[[#This Row],[D LIQUID]])),N(MONTH([D LIQUID])=MONTH(NC[[#This Row],[D LIQUID]])),N(['[D/N']]="D"),[LUCRO OP])</f>
        <v>0</v>
      </c>
      <c r="AF22" s="23">
        <f>[LUCRO N '[A']]+[LUCRO D]</f>
        <v>-1321.4199999999998</v>
      </c>
      <c r="AG2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3" s="21" customFormat="1">
      <c r="A23" s="21">
        <v>22</v>
      </c>
      <c r="B23" s="21" t="s">
        <v>11</v>
      </c>
      <c r="C23" s="21" t="s">
        <v>55</v>
      </c>
      <c r="D23" s="22">
        <v>40948</v>
      </c>
      <c r="E23" s="21">
        <v>1600</v>
      </c>
      <c r="F23" s="23">
        <v>0.4</v>
      </c>
      <c r="G23" s="23" t="s">
        <v>61</v>
      </c>
      <c r="H23" s="21" t="s">
        <v>12</v>
      </c>
      <c r="I23" s="22">
        <f>WORKDAY(NC[[#This Row],[DATA]],IF(['[A/O']]="A",3,1))</f>
        <v>40953</v>
      </c>
      <c r="J23" s="21">
        <f>EOMONTH(NC[[#This Row],[D LIQUID]],0)</f>
        <v>40968</v>
      </c>
      <c r="K2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3" s="23">
        <f>[QTDE]*[PREÇO]</f>
        <v>640</v>
      </c>
      <c r="M2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N2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O2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2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3" s="23">
        <f>SETUP!$E$3*SUMPRODUCT(N([DATA]=NC[[#This Row],[DATA]]),N([ID]&lt;=NC[[#This Row],[ID]]))</f>
        <v>14.9</v>
      </c>
      <c r="R23" s="23">
        <f>TRUNC([CORR. BASE]*SETUP!$F$3,2)</f>
        <v>0.28999999999999998</v>
      </c>
      <c r="S23" s="23">
        <f>TRUNC([CORR. BASE]*SETUP!$G$3,2)</f>
        <v>0.57999999999999996</v>
      </c>
      <c r="T23" s="23">
        <f>[VL LIQUID]-[TX LIQUID]-[EMOL]-[REGISTRO]-[CORR. BASE]-[ISS]-[OUTRAS]</f>
        <v>624.0200000000001</v>
      </c>
      <c r="U23" s="23">
        <f>[LÍQUIDO]-SUMPRODUCT(N([DATA]=NC[[#This Row],[DATA]]),N([ID]=(NC[[#This Row],[ID]]-1)),[LÍQUIDO])</f>
        <v>624.0200000000001</v>
      </c>
      <c r="V23" s="23">
        <f t="shared" si="0"/>
        <v>0.39001250000000004</v>
      </c>
      <c r="W23" s="23">
        <f>TRUNC(IF(OR([OPER/TIPO]="CV",[OPER/TIPO]="VV"),     L23*SETUP!$H$3,     0),2)</f>
        <v>0.03</v>
      </c>
      <c r="X2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Y2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2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A23" s="23">
        <f>IF(['[D/N']]="D",IF([OPER/TIPO]="CC",0,SUMPRODUCT(N([DATA]=NC[[#This Row],[DATA]]),N([OPER/TIPO]="CV"),[LÍQUIDO])),IF(AND([MED CP]&gt;0,[MED VD]&gt;0),([MED VD]-[MED CP])*[QTDE],0))</f>
        <v>-188.86799999999999</v>
      </c>
      <c r="AB23" s="29">
        <f>IF(['[A/O']]="O",[LUCRO OP]*0.15,0)</f>
        <v>0</v>
      </c>
      <c r="AC23" s="28">
        <f>[LUCRO OP]/ABS([VALOR P/ OP])</f>
        <v>-0.30266337617384054</v>
      </c>
      <c r="AD23" s="23">
        <f>SUMPRODUCT(N(YEAR([D LIQUID])=YEAR(NC[[#This Row],[D LIQUID]])),N(MONTH([DATA])=MONTH(NC[[#This Row],[D LIQUID]])),N(['[D/N']]="N"),[LUCRO OP])</f>
        <v>-1321.4199999999998</v>
      </c>
      <c r="AE23" s="23">
        <f>SUMPRODUCT(N(YEAR([D LIQUID])=YEAR(NC[[#This Row],[D LIQUID]])),N(MONTH([D LIQUID])=MONTH(NC[[#This Row],[D LIQUID]])),N(['[D/N']]="D"),[LUCRO OP])</f>
        <v>0</v>
      </c>
      <c r="AF23" s="23">
        <f>[LUCRO N '[A']]+[LUCRO D]</f>
        <v>-1321.4199999999998</v>
      </c>
      <c r="AG2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3" s="21" customFormat="1">
      <c r="A24" s="21">
        <v>23</v>
      </c>
      <c r="B24" s="21" t="s">
        <v>13</v>
      </c>
      <c r="C24" s="21" t="s">
        <v>54</v>
      </c>
      <c r="D24" s="22">
        <v>40948</v>
      </c>
      <c r="E24" s="21">
        <v>3000</v>
      </c>
      <c r="F24" s="23">
        <v>0.2</v>
      </c>
      <c r="G24" s="23" t="s">
        <v>61</v>
      </c>
      <c r="H24" s="21" t="s">
        <v>12</v>
      </c>
      <c r="I24" s="22">
        <f>WORKDAY(NC[[#This Row],[DATA]],IF(['[A/O']]="A",3,1))</f>
        <v>40953</v>
      </c>
      <c r="J24" s="21">
        <f>EOMONTH(NC[[#This Row],[D LIQUID]],0)</f>
        <v>40968</v>
      </c>
      <c r="K2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4" s="23">
        <f>[QTDE]*[PREÇO]</f>
        <v>600</v>
      </c>
      <c r="M2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N2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O2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2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4" s="23">
        <f>SETUP!$E$3*SUMPRODUCT(N([DATA]=NC[[#This Row],[DATA]]),N([ID]&lt;=NC[[#This Row],[ID]]))</f>
        <v>29.8</v>
      </c>
      <c r="R24" s="23">
        <f>TRUNC([CORR. BASE]*SETUP!$F$3,2)</f>
        <v>0.59</v>
      </c>
      <c r="S24" s="23">
        <f>TRUNC([CORR. BASE]*SETUP!$G$3,2)</f>
        <v>1.1599999999999999</v>
      </c>
      <c r="T24" s="23">
        <f>[VL LIQUID]-[TX LIQUID]-[EMOL]-[REGISTRO]-[CORR. BASE]-[ISS]-[OUTRAS]</f>
        <v>8.0299999999999976</v>
      </c>
      <c r="U24" s="23">
        <f>[LÍQUIDO]-SUMPRODUCT(N([DATA]=NC[[#This Row],[DATA]]),N([ID]=(NC[[#This Row],[ID]]-1)),[LÍQUIDO])</f>
        <v>-615.99000000000012</v>
      </c>
      <c r="V24" s="23">
        <f t="shared" si="0"/>
        <v>0.20533000000000004</v>
      </c>
      <c r="W24" s="23">
        <f>TRUNC(IF(OR([OPER/TIPO]="CV",[OPER/TIPO]="VV"),     L24*SETUP!$H$3,     0),2)</f>
        <v>0</v>
      </c>
      <c r="X2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Y2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Z2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4" s="23">
        <f>IF(['[D/N']]="D",IF([OPER/TIPO]="CC",0,SUMPRODUCT(N([DATA]=NC[[#This Row],[DATA]]),N([OPER/TIPO]="CV"),[LÍQUIDO])),IF(AND([MED CP]&gt;0,[MED VD]&gt;0),([MED VD]-[MED CP])*[QTDE],0))</f>
        <v>0</v>
      </c>
      <c r="AB24" s="29">
        <f>IF(['[A/O']]="O",[LUCRO OP]*0.15,0)</f>
        <v>0</v>
      </c>
      <c r="AC24" s="28">
        <f>[LUCRO OP]/ABS([VALOR P/ OP])</f>
        <v>0</v>
      </c>
      <c r="AD24" s="23">
        <f>SUMPRODUCT(N(YEAR([D LIQUID])=YEAR(NC[[#This Row],[D LIQUID]])),N(MONTH([DATA])=MONTH(NC[[#This Row],[D LIQUID]])),N(['[D/N']]="N"),[LUCRO OP])</f>
        <v>-1321.4199999999998</v>
      </c>
      <c r="AE24" s="23">
        <f>SUMPRODUCT(N(YEAR([D LIQUID])=YEAR(NC[[#This Row],[D LIQUID]])),N(MONTH([D LIQUID])=MONTH(NC[[#This Row],[D LIQUID]])),N(['[D/N']]="D"),[LUCRO OP])</f>
        <v>0</v>
      </c>
      <c r="AF24" s="23">
        <f>[LUCRO N '[A']]+[LUCRO D]</f>
        <v>-1321.4199999999998</v>
      </c>
      <c r="AG2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3" s="21" customFormat="1">
      <c r="A25" s="21">
        <v>24</v>
      </c>
      <c r="B25" s="21" t="s">
        <v>11</v>
      </c>
      <c r="C25" s="21" t="s">
        <v>55</v>
      </c>
      <c r="D25" s="22">
        <v>40962</v>
      </c>
      <c r="E25" s="21">
        <v>400</v>
      </c>
      <c r="F25" s="23">
        <v>0.38</v>
      </c>
      <c r="G25" s="23" t="s">
        <v>61</v>
      </c>
      <c r="H25" s="21" t="s">
        <v>12</v>
      </c>
      <c r="I25" s="22">
        <f>WORKDAY(NC[[#This Row],[DATA]],IF(['[A/O']]="A",3,1))</f>
        <v>40967</v>
      </c>
      <c r="J25" s="21">
        <f>EOMONTH(NC[[#This Row],[D LIQUID]],0)</f>
        <v>40968</v>
      </c>
      <c r="K2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5" s="23">
        <f>[QTDE]*[PREÇO]</f>
        <v>152</v>
      </c>
      <c r="M2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N2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O2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P2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5" s="23">
        <f>SETUP!$E$3*SUMPRODUCT(N([DATA]=NC[[#This Row],[DATA]]),N([ID]&lt;=NC[[#This Row],[ID]]))</f>
        <v>14.9</v>
      </c>
      <c r="R25" s="23">
        <f>TRUNC([CORR. BASE]*SETUP!$F$3,2)</f>
        <v>0.28999999999999998</v>
      </c>
      <c r="S25" s="23">
        <f>TRUNC([CORR. BASE]*SETUP!$G$3,2)</f>
        <v>0.57999999999999996</v>
      </c>
      <c r="T25" s="23">
        <f>[VL LIQUID]-[TX LIQUID]-[EMOL]-[REGISTRO]-[CORR. BASE]-[ISS]-[OUTRAS]</f>
        <v>136.18</v>
      </c>
      <c r="U25" s="23">
        <f>[LÍQUIDO]-SUMPRODUCT(N([DATA]=NC[[#This Row],[DATA]]),N([ID]=(NC[[#This Row],[ID]]-1)),[LÍQUIDO])</f>
        <v>136.18</v>
      </c>
      <c r="V25" s="23">
        <f t="shared" si="0"/>
        <v>0.34045000000000003</v>
      </c>
      <c r="W25" s="23">
        <f>TRUNC(IF(OR([OPER/TIPO]="CV",[OPER/TIPO]="VV"),     L25*SETUP!$H$3,     0),2)</f>
        <v>0</v>
      </c>
      <c r="X2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2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A25" s="23">
        <f>IF(['[D/N']]="D",IF([OPER/TIPO]="CC",0,SUMPRODUCT(N([DATA]=NC[[#This Row],[DATA]]),N([OPER/TIPO]="CV"),[LÍQUIDO])),IF(AND([MED CP]&gt;0,[MED VD]&gt;0),([MED VD]-[MED CP])*[QTDE],0))</f>
        <v>-67.042000000000002</v>
      </c>
      <c r="AB25" s="29">
        <f>IF(['[A/O']]="O",[LUCRO OP]*0.15,0)</f>
        <v>0</v>
      </c>
      <c r="AC25" s="28">
        <f>[LUCRO OP]/ABS([VALOR P/ OP])</f>
        <v>-0.49230430312821266</v>
      </c>
      <c r="AD25" s="23">
        <f>SUMPRODUCT(N(YEAR([D LIQUID])=YEAR(NC[[#This Row],[D LIQUID]])),N(MONTH([DATA])=MONTH(NC[[#This Row],[D LIQUID]])),N(['[D/N']]="N"),[LUCRO OP])</f>
        <v>-1321.4199999999998</v>
      </c>
      <c r="AE25" s="23">
        <f>SUMPRODUCT(N(YEAR([D LIQUID])=YEAR(NC[[#This Row],[D LIQUID]])),N(MONTH([D LIQUID])=MONTH(NC[[#This Row],[D LIQUID]])),N(['[D/N']]="D"),[LUCRO OP])</f>
        <v>0</v>
      </c>
      <c r="AF25" s="23">
        <f>[LUCRO N '[A']]+[LUCRO D]</f>
        <v>-1321.4199999999998</v>
      </c>
      <c r="AG2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3" s="21" customFormat="1">
      <c r="A26" s="21">
        <v>25</v>
      </c>
      <c r="B26" s="21" t="s">
        <v>13</v>
      </c>
      <c r="C26" s="21" t="s">
        <v>55</v>
      </c>
      <c r="D26" s="22">
        <v>40967</v>
      </c>
      <c r="E26" s="21">
        <v>3000</v>
      </c>
      <c r="F26" s="23">
        <v>0.17</v>
      </c>
      <c r="G26" s="23" t="s">
        <v>61</v>
      </c>
      <c r="H26" s="21" t="s">
        <v>12</v>
      </c>
      <c r="I26" s="22">
        <f>WORKDAY(NC[[#This Row],[DATA]],IF(['[A/O']]="A",3,1))</f>
        <v>40970</v>
      </c>
      <c r="J26" s="21">
        <f>EOMONTH(NC[[#This Row],[D LIQUID]],0)</f>
        <v>40999</v>
      </c>
      <c r="K2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6" s="23">
        <f>[QTDE]*[PREÇO]</f>
        <v>510.00000000000006</v>
      </c>
      <c r="M2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N2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O2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P2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6" s="23">
        <f>SETUP!$E$3*SUMPRODUCT(N([DATA]=NC[[#This Row],[DATA]]),N([ID]&lt;=NC[[#This Row],[ID]]))</f>
        <v>14.9</v>
      </c>
      <c r="R26" s="23">
        <f>TRUNC([CORR. BASE]*SETUP!$F$3,2)</f>
        <v>0.28999999999999998</v>
      </c>
      <c r="S26" s="23">
        <f>TRUNC([CORR. BASE]*SETUP!$G$3,2)</f>
        <v>0.57999999999999996</v>
      </c>
      <c r="T26" s="23">
        <f>[VL LIQUID]-[TX LIQUID]-[EMOL]-[REGISTRO]-[CORR. BASE]-[ISS]-[OUTRAS]</f>
        <v>494.06000000000012</v>
      </c>
      <c r="U26" s="23">
        <f>[LÍQUIDO]-SUMPRODUCT(N([DATA]=NC[[#This Row],[DATA]]),N([ID]=(NC[[#This Row],[ID]]-1)),[LÍQUIDO])</f>
        <v>494.06000000000012</v>
      </c>
      <c r="V26" s="23">
        <f t="shared" si="0"/>
        <v>0.1646866666666667</v>
      </c>
      <c r="W26" s="23">
        <f>TRUNC(IF(OR([OPER/TIPO]="CV",[OPER/TIPO]="VV"),     L26*SETUP!$H$3,     0),2)</f>
        <v>0.02</v>
      </c>
      <c r="X2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Z2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A26" s="23">
        <f>IF(['[D/N']]="D",IF([OPER/TIPO]="CC",0,SUMPRODUCT(N([DATA]=NC[[#This Row],[DATA]]),N([OPER/TIPO]="CV"),[LÍQUIDO])),IF(AND([MED CP]&gt;0,[MED VD]&gt;0),([MED VD]-[MED CP])*[QTDE],0))</f>
        <v>-121.93</v>
      </c>
      <c r="AB26" s="29">
        <f>IF(['[A/O']]="O",[LUCRO OP]*0.15,0)</f>
        <v>0</v>
      </c>
      <c r="AC26" s="28">
        <f>[LUCRO OP]/ABS([VALOR P/ OP])</f>
        <v>-0.24679188762498477</v>
      </c>
      <c r="AD26" s="23">
        <f>SUMPRODUCT(N(YEAR([D LIQUID])=YEAR(NC[[#This Row],[D LIQUID]])),N(MONTH([DATA])=MONTH(NC[[#This Row],[D LIQUID]])),N(['[D/N']]="N"),[LUCRO OP])</f>
        <v>-363.31999999999937</v>
      </c>
      <c r="AE26" s="23">
        <f>SUMPRODUCT(N(YEAR([D LIQUID])=YEAR(NC[[#This Row],[D LIQUID]])),N(MONTH([D LIQUID])=MONTH(NC[[#This Row],[D LIQUID]])),N(['[D/N']]="D"),[LUCRO OP])</f>
        <v>0</v>
      </c>
      <c r="AF26" s="23">
        <f>[LUCRO N '[A']]+[LUCRO D]</f>
        <v>-363.31999999999937</v>
      </c>
      <c r="AG2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7" spans="1:33" s="21" customFormat="1">
      <c r="A27" s="21">
        <v>26</v>
      </c>
      <c r="B27" s="21" t="s">
        <v>28</v>
      </c>
      <c r="C27" s="21" t="s">
        <v>55</v>
      </c>
      <c r="D27" s="22">
        <v>40967</v>
      </c>
      <c r="E27" s="21">
        <v>3000</v>
      </c>
      <c r="F27" s="23">
        <v>0.27</v>
      </c>
      <c r="G27" s="23" t="s">
        <v>61</v>
      </c>
      <c r="H27" s="21" t="s">
        <v>12</v>
      </c>
      <c r="I27" s="22">
        <f>WORKDAY(NC[[#This Row],[DATA]],IF(['[A/O']]="A",3,1))</f>
        <v>40970</v>
      </c>
      <c r="J27" s="21">
        <f>EOMONTH(NC[[#This Row],[D LIQUID]],0)</f>
        <v>40999</v>
      </c>
      <c r="K2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7" s="23">
        <f>[QTDE]*[PREÇO]</f>
        <v>810</v>
      </c>
      <c r="M2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N2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O2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2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7" s="23">
        <f>SETUP!$E$3*SUMPRODUCT(N([DATA]=NC[[#This Row],[DATA]]),N([ID]&lt;=NC[[#This Row],[ID]]))</f>
        <v>29.8</v>
      </c>
      <c r="R27" s="23">
        <f>TRUNC([CORR. BASE]*SETUP!$F$3,2)</f>
        <v>0.59</v>
      </c>
      <c r="S27" s="23">
        <f>TRUNC([CORR. BASE]*SETUP!$G$3,2)</f>
        <v>1.1599999999999999</v>
      </c>
      <c r="T27" s="23">
        <f>[VL LIQUID]-[TX LIQUID]-[EMOL]-[REGISTRO]-[CORR. BASE]-[ISS]-[OUTRAS]</f>
        <v>1288.0000000000002</v>
      </c>
      <c r="U27" s="23">
        <f>[LÍQUIDO]-SUMPRODUCT(N([DATA]=NC[[#This Row],[DATA]]),N([ID]=(NC[[#This Row],[ID]]-1)),[LÍQUIDO])</f>
        <v>793.94</v>
      </c>
      <c r="V27" s="23">
        <f t="shared" si="0"/>
        <v>0.2646466666666667</v>
      </c>
      <c r="W27" s="23">
        <f>TRUNC(IF(OR([OPER/TIPO]="CV",[OPER/TIPO]="VV"),     L27*SETUP!$H$3,     0),2)</f>
        <v>0.04</v>
      </c>
      <c r="X2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Y2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A27" s="23">
        <f>IF(['[D/N']]="D",IF([OPER/TIPO]="CC",0,SUMPRODUCT(N([DATA]=NC[[#This Row],[DATA]]),N([OPER/TIPO]="CV"),[LÍQUIDO])),IF(AND([MED CP]&gt;0,[MED VD]&gt;0),([MED VD]-[MED CP])*[QTDE],0))</f>
        <v>-401.24500000000006</v>
      </c>
      <c r="AB27" s="29">
        <f>IF(['[A/O']]="O",[LUCRO OP]*0.15,0)</f>
        <v>0</v>
      </c>
      <c r="AC27" s="28">
        <f>[LUCRO OP]/ABS([VALOR P/ OP])</f>
        <v>-0.50538453787439863</v>
      </c>
      <c r="AD27" s="23">
        <f>SUMPRODUCT(N(YEAR([D LIQUID])=YEAR(NC[[#This Row],[D LIQUID]])),N(MONTH([DATA])=MONTH(NC[[#This Row],[D LIQUID]])),N(['[D/N']]="N"),[LUCRO OP])</f>
        <v>-363.31999999999937</v>
      </c>
      <c r="AE27" s="23">
        <f>SUMPRODUCT(N(YEAR([D LIQUID])=YEAR(NC[[#This Row],[D LIQUID]])),N(MONTH([D LIQUID])=MONTH(NC[[#This Row],[D LIQUID]])),N(['[D/N']]="D"),[LUCRO OP])</f>
        <v>0</v>
      </c>
      <c r="AF27" s="23">
        <f>[LUCRO N '[A']]+[LUCRO D]</f>
        <v>-363.31999999999937</v>
      </c>
      <c r="AG2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8" spans="1:33">
      <c r="A28" s="21">
        <v>27</v>
      </c>
      <c r="B28" s="21" t="s">
        <v>28</v>
      </c>
      <c r="C28" s="21" t="s">
        <v>55</v>
      </c>
      <c r="D28" s="22">
        <v>40968</v>
      </c>
      <c r="E28" s="21">
        <v>3000</v>
      </c>
      <c r="F28" s="23">
        <v>0.25</v>
      </c>
      <c r="G28" s="23" t="s">
        <v>61</v>
      </c>
      <c r="H28" s="21" t="s">
        <v>12</v>
      </c>
      <c r="I28" s="22">
        <f>WORKDAY(NC[[#This Row],[DATA]],IF(['[A/O']]="A",3,1))</f>
        <v>40973</v>
      </c>
      <c r="J28" s="21">
        <f>EOMONTH(NC[[#This Row],[D LIQUID]],0)</f>
        <v>40999</v>
      </c>
      <c r="K2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8" s="23">
        <f>[QTDE]*[PREÇO]</f>
        <v>750</v>
      </c>
      <c r="M2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N2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O2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2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8" s="23">
        <f>SETUP!$E$3*SUMPRODUCT(N([DATA]=NC[[#This Row],[DATA]]),N([ID]&lt;=NC[[#This Row],[ID]]))</f>
        <v>14.9</v>
      </c>
      <c r="R28" s="23">
        <f>TRUNC([CORR. BASE]*SETUP!$F$3,2)</f>
        <v>0.28999999999999998</v>
      </c>
      <c r="S28" s="23">
        <f>TRUNC([CORR. BASE]*SETUP!$G$3,2)</f>
        <v>0.57999999999999996</v>
      </c>
      <c r="T28" s="23">
        <f>[VL LIQUID]-[TX LIQUID]-[EMOL]-[REGISTRO]-[CORR. BASE]-[ISS]-[OUTRAS]</f>
        <v>733.98</v>
      </c>
      <c r="U28" s="23">
        <f>[LÍQUIDO]-SUMPRODUCT(N([DATA]=NC[[#This Row],[DATA]]),N([ID]=(NC[[#This Row],[ID]]-1)),[LÍQUIDO])</f>
        <v>733.98</v>
      </c>
      <c r="V28" s="23">
        <f t="shared" si="0"/>
        <v>0.24466000000000002</v>
      </c>
      <c r="W28" s="23">
        <f>TRUNC(IF(OR([OPER/TIPO]="CV",[OPER/TIPO]="VV"),     L28*SETUP!$H$3,     0),2)</f>
        <v>0.03</v>
      </c>
      <c r="X2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A28" s="23">
        <f>IF(['[D/N']]="D",IF([OPER/TIPO]="CC",0,SUMPRODUCT(N([DATA]=NC[[#This Row],[DATA]]),N([OPER/TIPO]="CV"),[LÍQUIDO])),IF(AND([MED CP]&gt;0,[MED VD]&gt;0),([MED VD]-[MED CP])*[QTDE],0))</f>
        <v>-461.2050000000001</v>
      </c>
      <c r="AB28" s="29">
        <f>IF(['[A/O']]="O",[LUCRO OP]*0.15,0)</f>
        <v>0</v>
      </c>
      <c r="AC28" s="28">
        <f>[LUCRO OP]/ABS([VALOR P/ OP])</f>
        <v>-0.62836180822365739</v>
      </c>
      <c r="AD28" s="23">
        <f>SUMPRODUCT(N(YEAR([D LIQUID])=YEAR(NC[[#This Row],[D LIQUID]])),N(MONTH([DATA])=MONTH(NC[[#This Row],[D LIQUID]])),N(['[D/N']]="N"),[LUCRO OP])</f>
        <v>-363.31999999999937</v>
      </c>
      <c r="AE28" s="23">
        <f>SUMPRODUCT(N(YEAR([D LIQUID])=YEAR(NC[[#This Row],[D LIQUID]])),N(MONTH([D LIQUID])=MONTH(NC[[#This Row],[D LIQUID]])),N(['[D/N']]="D"),[LUCRO OP])</f>
        <v>0</v>
      </c>
      <c r="AF28" s="23">
        <f>[LUCRO N '[A']]+[LUCRO D]</f>
        <v>-363.31999999999937</v>
      </c>
      <c r="AG2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9" spans="1:33">
      <c r="A29" s="21">
        <v>28</v>
      </c>
      <c r="B29" s="21" t="s">
        <v>39</v>
      </c>
      <c r="C29" s="21" t="s">
        <v>54</v>
      </c>
      <c r="D29" s="22">
        <v>40970</v>
      </c>
      <c r="E29" s="21">
        <v>500</v>
      </c>
      <c r="F29" s="23">
        <v>2.12</v>
      </c>
      <c r="G29" s="23" t="s">
        <v>61</v>
      </c>
      <c r="H29" s="21" t="s">
        <v>12</v>
      </c>
      <c r="I29" s="22">
        <f>WORKDAY(NC[[#This Row],[DATA]],IF(['[A/O']]="A",3,1))</f>
        <v>40975</v>
      </c>
      <c r="J29" s="21">
        <f>EOMONTH(NC[[#This Row],[D LIQUID]],0)</f>
        <v>40999</v>
      </c>
      <c r="K2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9" s="23">
        <f>[QTDE]*[PREÇO]</f>
        <v>1060</v>
      </c>
      <c r="M2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N2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O2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2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9" s="23">
        <f>SETUP!$E$3*SUMPRODUCT(N([DATA]=NC[[#This Row],[DATA]]),N([ID]&lt;=NC[[#This Row],[ID]]))</f>
        <v>14.9</v>
      </c>
      <c r="R29" s="23">
        <f>TRUNC([CORR. BASE]*SETUP!$F$3,2)</f>
        <v>0.28999999999999998</v>
      </c>
      <c r="S29" s="23">
        <f>TRUNC([CORR. BASE]*SETUP!$G$3,2)</f>
        <v>0.57999999999999996</v>
      </c>
      <c r="T29" s="23">
        <f>[VL LIQUID]-[TX LIQUID]-[EMOL]-[REGISTRO]-[CORR. BASE]-[ISS]-[OUTRAS]</f>
        <v>-1076.1299999999999</v>
      </c>
      <c r="U29" s="23">
        <f>[LÍQUIDO]-SUMPRODUCT(N([DATA]=NC[[#This Row],[DATA]]),N([ID]=(NC[[#This Row],[ID]]-1)),[LÍQUIDO])</f>
        <v>-1076.1299999999999</v>
      </c>
      <c r="V29" s="23">
        <f t="shared" si="0"/>
        <v>2.1522599999999996</v>
      </c>
      <c r="W29" s="23">
        <f>TRUNC(IF(OR([OPER/TIPO]="CV",[OPER/TIPO]="VV"),     L29*SETUP!$H$3,     0),2)</f>
        <v>0</v>
      </c>
      <c r="X2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Y2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Z2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9" s="23">
        <f>IF(['[D/N']]="D",IF([OPER/TIPO]="CC",0,SUMPRODUCT(N([DATA]=NC[[#This Row],[DATA]]),N([OPER/TIPO]="CV"),[LÍQUIDO])),IF(AND([MED CP]&gt;0,[MED VD]&gt;0),([MED VD]-[MED CP])*[QTDE],0))</f>
        <v>0</v>
      </c>
      <c r="AB29" s="29">
        <f>IF(['[A/O']]="O",[LUCRO OP]*0.15,0)</f>
        <v>0</v>
      </c>
      <c r="AC29" s="28">
        <f>[LUCRO OP]/ABS([VALOR P/ OP])</f>
        <v>0</v>
      </c>
      <c r="AD29" s="23">
        <f>SUMPRODUCT(N(YEAR([D LIQUID])=YEAR(NC[[#This Row],[D LIQUID]])),N(MONTH([DATA])=MONTH(NC[[#This Row],[D LIQUID]])),N(['[D/N']]="N"),[LUCRO OP])</f>
        <v>-363.31999999999937</v>
      </c>
      <c r="AE29" s="23">
        <f>SUMPRODUCT(N(YEAR([D LIQUID])=YEAR(NC[[#This Row],[D LIQUID]])),N(MONTH([D LIQUID])=MONTH(NC[[#This Row],[D LIQUID]])),N(['[D/N']]="D"),[LUCRO OP])</f>
        <v>0</v>
      </c>
      <c r="AF29" s="23">
        <f>[LUCRO N '[A']]+[LUCRO D]</f>
        <v>-363.31999999999937</v>
      </c>
      <c r="AG2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0" spans="1:33">
      <c r="A30" s="21">
        <v>29</v>
      </c>
      <c r="B30" s="21" t="s">
        <v>25</v>
      </c>
      <c r="C30" s="21" t="s">
        <v>54</v>
      </c>
      <c r="D30" s="22">
        <v>40970</v>
      </c>
      <c r="E30" s="21">
        <v>200</v>
      </c>
      <c r="F30" s="23">
        <v>4.95</v>
      </c>
      <c r="G30" s="23" t="s">
        <v>61</v>
      </c>
      <c r="H30" s="21" t="s">
        <v>12</v>
      </c>
      <c r="I30" s="22">
        <f>WORKDAY(NC[[#This Row],[DATA]],IF(['[A/O']]="A",3,1))</f>
        <v>40975</v>
      </c>
      <c r="J30" s="21">
        <f>EOMONTH(NC[[#This Row],[D LIQUID]],0)</f>
        <v>40999</v>
      </c>
      <c r="K3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0" s="23">
        <f>[QTDE]*[PREÇO]</f>
        <v>990</v>
      </c>
      <c r="M3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N3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O3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P3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0" s="23">
        <f>SETUP!$E$3*SUMPRODUCT(N([DATA]=NC[[#This Row],[DATA]]),N([ID]&lt;=NC[[#This Row],[ID]]))</f>
        <v>29.8</v>
      </c>
      <c r="R30" s="23">
        <f>TRUNC([CORR. BASE]*SETUP!$F$3,2)</f>
        <v>0.59</v>
      </c>
      <c r="S30" s="23">
        <f>TRUNC([CORR. BASE]*SETUP!$G$3,2)</f>
        <v>1.1599999999999999</v>
      </c>
      <c r="T30" s="23">
        <f>[VL LIQUID]-[TX LIQUID]-[EMOL]-[REGISTRO]-[CORR. BASE]-[ISS]-[OUTRAS]</f>
        <v>-2082.25</v>
      </c>
      <c r="U30" s="23">
        <f>[LÍQUIDO]-SUMPRODUCT(N([DATA]=NC[[#This Row],[DATA]]),N([ID]=(NC[[#This Row],[ID]]-1)),[LÍQUIDO])</f>
        <v>-1006.1200000000001</v>
      </c>
      <c r="V30" s="23">
        <f t="shared" si="0"/>
        <v>5.0306000000000006</v>
      </c>
      <c r="W30" s="23">
        <f>TRUNC(IF(OR([OPER/TIPO]="CV",[OPER/TIPO]="VV"),     L30*SETUP!$H$3,     0),2)</f>
        <v>0</v>
      </c>
      <c r="X3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3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Z3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0" s="23">
        <f>IF(['[D/N']]="D",IF([OPER/TIPO]="CC",0,SUMPRODUCT(N([DATA]=NC[[#This Row],[DATA]]),N([OPER/TIPO]="CV"),[LÍQUIDO])),IF(AND([MED CP]&gt;0,[MED VD]&gt;0),([MED VD]-[MED CP])*[QTDE],0))</f>
        <v>0</v>
      </c>
      <c r="AB30" s="29">
        <f>IF(['[A/O']]="O",[LUCRO OP]*0.15,0)</f>
        <v>0</v>
      </c>
      <c r="AC30" s="28">
        <f>[LUCRO OP]/ABS([VALOR P/ OP])</f>
        <v>0</v>
      </c>
      <c r="AD30" s="23">
        <f>SUMPRODUCT(N(YEAR([D LIQUID])=YEAR(NC[[#This Row],[D LIQUID]])),N(MONTH([DATA])=MONTH(NC[[#This Row],[D LIQUID]])),N(['[D/N']]="N"),[LUCRO OP])</f>
        <v>-363.31999999999937</v>
      </c>
      <c r="AE30" s="23">
        <f>SUMPRODUCT(N(YEAR([D LIQUID])=YEAR(NC[[#This Row],[D LIQUID]])),N(MONTH([D LIQUID])=MONTH(NC[[#This Row],[D LIQUID]])),N(['[D/N']]="D"),[LUCRO OP])</f>
        <v>0</v>
      </c>
      <c r="AF30" s="23">
        <f>[LUCRO N '[A']]+[LUCRO D]</f>
        <v>-363.31999999999937</v>
      </c>
      <c r="AG3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1" spans="1:33">
      <c r="A31" s="21">
        <v>30</v>
      </c>
      <c r="B31" s="21" t="s">
        <v>39</v>
      </c>
      <c r="C31" s="21" t="s">
        <v>55</v>
      </c>
      <c r="D31" s="22">
        <v>40974</v>
      </c>
      <c r="E31" s="21">
        <v>500</v>
      </c>
      <c r="F31" s="23">
        <v>2.04</v>
      </c>
      <c r="G31" s="23" t="s">
        <v>61</v>
      </c>
      <c r="H31" s="21" t="s">
        <v>12</v>
      </c>
      <c r="I31" s="22">
        <f>WORKDAY(NC[[#This Row],[DATA]],IF(['[A/O']]="A",3,1))</f>
        <v>40977</v>
      </c>
      <c r="J31" s="21">
        <f>EOMONTH(NC[[#This Row],[D LIQUID]],0)</f>
        <v>40999</v>
      </c>
      <c r="K3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1" s="23">
        <f>[QTDE]*[PREÇO]</f>
        <v>1020</v>
      </c>
      <c r="M3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N3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O3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3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1" s="23">
        <f>SETUP!$E$3*SUMPRODUCT(N([DATA]=NC[[#This Row],[DATA]]),N([ID]&lt;=NC[[#This Row],[ID]]))</f>
        <v>14.9</v>
      </c>
      <c r="R31" s="23">
        <f>TRUNC([CORR. BASE]*SETUP!$F$3,2)</f>
        <v>0.28999999999999998</v>
      </c>
      <c r="S31" s="23">
        <f>TRUNC([CORR. BASE]*SETUP!$G$3,2)</f>
        <v>0.57999999999999996</v>
      </c>
      <c r="T31" s="23">
        <f>[VL LIQUID]-[TX LIQUID]-[EMOL]-[REGISTRO]-[CORR. BASE]-[ISS]-[OUTRAS]</f>
        <v>1003.88</v>
      </c>
      <c r="U31" s="23">
        <f>[LÍQUIDO]-SUMPRODUCT(N([DATA]=NC[[#This Row],[DATA]]),N([ID]=(NC[[#This Row],[ID]]-1)),[LÍQUIDO])</f>
        <v>1003.88</v>
      </c>
      <c r="V31" s="23">
        <f t="shared" si="0"/>
        <v>2.0077600000000002</v>
      </c>
      <c r="W31" s="23">
        <f>TRUNC(IF(OR([OPER/TIPO]="CV",[OPER/TIPO]="VV"),     L31*SETUP!$H$3,     0),2)</f>
        <v>0.05</v>
      </c>
      <c r="X3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Z3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A31" s="23">
        <f>IF(['[D/N']]="D",IF([OPER/TIPO]="CC",0,SUMPRODUCT(N([DATA]=NC[[#This Row],[DATA]]),N([OPER/TIPO]="CV"),[LÍQUIDO])),IF(AND([MED CP]&gt;0,[MED VD]&gt;0),([MED VD]-[MED CP])*[QTDE],0))</f>
        <v>-72.249999999999702</v>
      </c>
      <c r="AB31" s="29">
        <f>IF(['[A/O']]="O",[LUCRO OP]*0.15,0)</f>
        <v>0</v>
      </c>
      <c r="AC31" s="28">
        <f>[LUCRO OP]/ABS([VALOR P/ OP])</f>
        <v>-7.1970753476510843E-2</v>
      </c>
      <c r="AD31" s="23">
        <f>SUMPRODUCT(N(YEAR([D LIQUID])=YEAR(NC[[#This Row],[D LIQUID]])),N(MONTH([DATA])=MONTH(NC[[#This Row],[D LIQUID]])),N(['[D/N']]="N"),[LUCRO OP])</f>
        <v>-363.31999999999937</v>
      </c>
      <c r="AE31" s="23">
        <f>SUMPRODUCT(N(YEAR([D LIQUID])=YEAR(NC[[#This Row],[D LIQUID]])),N(MONTH([D LIQUID])=MONTH(NC[[#This Row],[D LIQUID]])),N(['[D/N']]="D"),[LUCRO OP])</f>
        <v>0</v>
      </c>
      <c r="AF31" s="23">
        <f>[LUCRO N '[A']]+[LUCRO D]</f>
        <v>-363.31999999999937</v>
      </c>
      <c r="AG3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2" spans="1:33">
      <c r="A32" s="21">
        <v>31</v>
      </c>
      <c r="B32" s="21" t="s">
        <v>52</v>
      </c>
      <c r="C32" s="21" t="s">
        <v>56</v>
      </c>
      <c r="D32" s="22">
        <v>40976</v>
      </c>
      <c r="E32" s="21">
        <v>200</v>
      </c>
      <c r="F32" s="23">
        <v>6.37</v>
      </c>
      <c r="G32" s="23" t="s">
        <v>61</v>
      </c>
      <c r="H32" s="21" t="s">
        <v>12</v>
      </c>
      <c r="I32" s="22">
        <f>WORKDAY(NC[[#This Row],[DATA]],IF(['[A/O']]="A",3,1))</f>
        <v>40981</v>
      </c>
      <c r="J32" s="21">
        <f>EOMONTH(NC[[#This Row],[D LIQUID]],0)</f>
        <v>40999</v>
      </c>
      <c r="K3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2" s="23">
        <f>[QTDE]*[PREÇO]</f>
        <v>1274</v>
      </c>
      <c r="M3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N3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O3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2" s="23">
        <f>SETUP!$E$3*SUMPRODUCT(N([DATA]=NC[[#This Row],[DATA]]),N([ID]&lt;=NC[[#This Row],[ID]]))</f>
        <v>14.9</v>
      </c>
      <c r="R32" s="23">
        <f>TRUNC([CORR. BASE]*SETUP!$F$3,2)</f>
        <v>0.28999999999999998</v>
      </c>
      <c r="S32" s="23">
        <f>TRUNC([CORR. BASE]*SETUP!$G$3,2)</f>
        <v>0.57999999999999996</v>
      </c>
      <c r="T32" s="23">
        <f>[VL LIQUID]-[TX LIQUID]-[EMOL]-[REGISTRO]-[CORR. BASE]-[ISS]-[OUTRAS]</f>
        <v>1257.8000000000002</v>
      </c>
      <c r="U32" s="23">
        <f>[LÍQUIDO]-SUMPRODUCT(N([DATA]=NC[[#This Row],[DATA]]),N([ID]=(NC[[#This Row],[ID]]-1)),[LÍQUIDO])</f>
        <v>1257.8000000000002</v>
      </c>
      <c r="V32" s="23">
        <f t="shared" ref="V32" si="1">ABS(U32)/E32</f>
        <v>6.2890000000000006</v>
      </c>
      <c r="W32" s="23">
        <f>TRUNC(IF(OR([OPER/TIPO]="CV",[OPER/TIPO]="VV"),     L32*SETUP!$H$3,     0),2)</f>
        <v>0.06</v>
      </c>
      <c r="X3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3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2" s="23">
        <f>IF(['[D/N']]="D",IF([OPER/TIPO]="CC",0,SUMPRODUCT(N([DATA]=NC[[#This Row],[DATA]]),N([OPER/TIPO]="CV"),[LÍQUIDO])),IF(AND([MED CP]&gt;0,[MED VD]&gt;0),([MED VD]-[MED CP])*[QTDE],0))</f>
        <v>0</v>
      </c>
      <c r="AB32" s="29">
        <f>IF(['[A/O']]="O",[LUCRO OP]*0.15,0)</f>
        <v>0</v>
      </c>
      <c r="AC32" s="28">
        <f>[LUCRO OP]/ABS([VALOR P/ OP])</f>
        <v>0</v>
      </c>
      <c r="AD32" s="23">
        <f>SUMPRODUCT(N(YEAR([D LIQUID])=YEAR(NC[[#This Row],[D LIQUID]])),N(MONTH([DATA])=MONTH(NC[[#This Row],[D LIQUID]])),N(['[D/N']]="N"),[LUCRO OP])</f>
        <v>-363.31999999999937</v>
      </c>
      <c r="AE32" s="23">
        <f>SUMPRODUCT(N(YEAR([D LIQUID])=YEAR(NC[[#This Row],[D LIQUID]])),N(MONTH([D LIQUID])=MONTH(NC[[#This Row],[D LIQUID]])),N(['[D/N']]="D"),[LUCRO OP])</f>
        <v>0</v>
      </c>
      <c r="AF32" s="23">
        <f>[LUCRO N '[A']]+[LUCRO D]</f>
        <v>-363.31999999999937</v>
      </c>
      <c r="AG3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3" spans="1:33">
      <c r="A33" s="30">
        <v>32</v>
      </c>
      <c r="B33" s="30" t="s">
        <v>52</v>
      </c>
      <c r="C33" s="30" t="s">
        <v>57</v>
      </c>
      <c r="D33" s="31">
        <v>40982</v>
      </c>
      <c r="E33" s="30">
        <v>200</v>
      </c>
      <c r="F33" s="32">
        <v>6.55</v>
      </c>
      <c r="G33" s="32" t="s">
        <v>61</v>
      </c>
      <c r="H33" s="30" t="s">
        <v>12</v>
      </c>
      <c r="I33" s="31">
        <f>WORKDAY(NC[[#This Row],[DATA]],IF(['[A/O']]="A",3,1))</f>
        <v>40987</v>
      </c>
      <c r="J33" s="30">
        <f>EOMONTH(NC[[#This Row],[D LIQUID]],0)</f>
        <v>40999</v>
      </c>
      <c r="K33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3" s="32">
        <f>[QTDE]*[PREÇO]</f>
        <v>1310</v>
      </c>
      <c r="M33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N33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O33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33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3" s="32">
        <f>SETUP!$E$3*SUMPRODUCT(N([DATA]=NC[[#This Row],[DATA]]),N([ID]&lt;=NC[[#This Row],[ID]]))</f>
        <v>14.9</v>
      </c>
      <c r="R33" s="32">
        <f>TRUNC([CORR. BASE]*SETUP!$F$3,2)</f>
        <v>0.28999999999999998</v>
      </c>
      <c r="S33" s="32">
        <f>TRUNC([CORR. BASE]*SETUP!$G$3,2)</f>
        <v>0.57999999999999996</v>
      </c>
      <c r="T33" s="32">
        <f>[VL LIQUID]-[TX LIQUID]-[EMOL]-[REGISTRO]-[CORR. BASE]-[ISS]-[OUTRAS]</f>
        <v>-1326.2199999999998</v>
      </c>
      <c r="U33" s="32">
        <f>[LÍQUIDO]-SUMPRODUCT(N([DATA]=NC[[#This Row],[DATA]]),N([ID]=(NC[[#This Row],[ID]]-1)),[LÍQUIDO])</f>
        <v>-1326.2199999999998</v>
      </c>
      <c r="V33" s="32">
        <f t="shared" ref="V33:V38" si="2">ABS(U33)/E33</f>
        <v>6.6310999999999991</v>
      </c>
      <c r="W33" s="32">
        <f>TRUNC(IF(OR([OPER/TIPO]="CV",[OPER/TIPO]="VV"),     L33*SETUP!$H$3,     0),2)</f>
        <v>0</v>
      </c>
      <c r="X33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3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Z33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3" s="32">
        <f>IF(['[D/N']]="D",IF([OPER/TIPO]="CC",0,SUMPRODUCT(N([DATA]=NC[[#This Row],[DATA]]),N([OPER/TIPO]="CV"),[LÍQUIDO])),IF(AND([MED CP]&gt;0,[MED VD]&gt;0),([MED VD]-[MED CP])*[QTDE],0))</f>
        <v>-68.419999999999703</v>
      </c>
      <c r="AB33" s="34">
        <f>IF(['[A/O']]="O",[LUCRO OP]*0.15,0)</f>
        <v>0</v>
      </c>
      <c r="AC33" s="35">
        <f>[LUCRO OP]/ABS([VALOR P/ OP])</f>
        <v>-5.1590233897844784E-2</v>
      </c>
      <c r="AD33" s="32">
        <f>SUMPRODUCT(N(YEAR([D LIQUID])=YEAR(NC[[#This Row],[D LIQUID]])),N(MONTH([DATA])=MONTH(NC[[#This Row],[D LIQUID]])),N(['[D/N']]="N"),[LUCRO OP])</f>
        <v>-363.31999999999937</v>
      </c>
      <c r="AE33" s="32">
        <f>SUMPRODUCT(N(YEAR([D LIQUID])=YEAR(NC[[#This Row],[D LIQUID]])),N(MONTH([D LIQUID])=MONTH(NC[[#This Row],[D LIQUID]])),N(['[D/N']]="D"),[LUCRO OP])</f>
        <v>0</v>
      </c>
      <c r="AF33" s="32">
        <f>[LUCRO N '[A']]+[LUCRO D]</f>
        <v>-363.31999999999937</v>
      </c>
      <c r="AG33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4" spans="1:33">
      <c r="A34" s="30">
        <v>33</v>
      </c>
      <c r="B34" s="30" t="s">
        <v>52</v>
      </c>
      <c r="C34" s="30" t="s">
        <v>56</v>
      </c>
      <c r="D34" s="31">
        <v>40983</v>
      </c>
      <c r="E34" s="30">
        <v>200</v>
      </c>
      <c r="F34" s="32">
        <v>6.37</v>
      </c>
      <c r="G34" s="32" t="s">
        <v>61</v>
      </c>
      <c r="H34" s="30" t="s">
        <v>12</v>
      </c>
      <c r="I34" s="31">
        <f>WORKDAY(NC[[#This Row],[DATA]],IF(['[A/O']]="A",3,1))</f>
        <v>40988</v>
      </c>
      <c r="J34" s="30">
        <f>EOMONTH(NC[[#This Row],[D LIQUID]],0)</f>
        <v>40999</v>
      </c>
      <c r="K34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34" s="32">
        <f>[QTDE]*[PREÇO]</f>
        <v>1274</v>
      </c>
      <c r="M34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N34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O34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4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4" s="32">
        <f>SETUP!$E$3*SUMPRODUCT(N([DATA]=NC[[#This Row],[DATA]]),N([ID]&lt;=NC[[#This Row],[ID]]))</f>
        <v>14.9</v>
      </c>
      <c r="R34" s="32">
        <f>TRUNC([CORR. BASE]*SETUP!$F$3,2)</f>
        <v>0.28999999999999998</v>
      </c>
      <c r="S34" s="32">
        <f>TRUNC([CORR. BASE]*SETUP!$G$3,2)</f>
        <v>0.57999999999999996</v>
      </c>
      <c r="T34" s="32">
        <f>[VL LIQUID]-[TX LIQUID]-[EMOL]-[REGISTRO]-[CORR. BASE]-[ISS]-[OUTRAS]</f>
        <v>1257.8000000000002</v>
      </c>
      <c r="U34" s="32">
        <f>[LÍQUIDO]-SUMPRODUCT(N([DATA]=NC[[#This Row],[DATA]]),N([ID]=(NC[[#This Row],[ID]]-1)),[LÍQUIDO])</f>
        <v>1257.8000000000002</v>
      </c>
      <c r="V34" s="32">
        <f t="shared" si="2"/>
        <v>6.2890000000000006</v>
      </c>
      <c r="W34" s="32">
        <f>TRUNC(IF(OR([OPER/TIPO]="CV",[OPER/TIPO]="VV"),     L34*SETUP!$H$3,     0),2)</f>
        <v>0.06</v>
      </c>
      <c r="X34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34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4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4" s="32">
        <f>IF(['[D/N']]="D",IF([OPER/TIPO]="CC",0,SUMPRODUCT(N([DATA]=NC[[#This Row],[DATA]]),N([OPER/TIPO]="CV"),[LÍQUIDO])),IF(AND([MED CP]&gt;0,[MED VD]&gt;0),([MED VD]-[MED CP])*[QTDE],0))</f>
        <v>0</v>
      </c>
      <c r="AB34" s="34">
        <f>IF(['[A/O']]="O",[LUCRO OP]*0.15,0)</f>
        <v>0</v>
      </c>
      <c r="AC34" s="35">
        <f>[LUCRO OP]/ABS([VALOR P/ OP])</f>
        <v>0</v>
      </c>
      <c r="AD34" s="32">
        <f>SUMPRODUCT(N(YEAR([D LIQUID])=YEAR(NC[[#This Row],[D LIQUID]])),N(MONTH([DATA])=MONTH(NC[[#This Row],[D LIQUID]])),N(['[D/N']]="N"),[LUCRO OP])</f>
        <v>-363.31999999999937</v>
      </c>
      <c r="AE34" s="32">
        <f>SUMPRODUCT(N(YEAR([D LIQUID])=YEAR(NC[[#This Row],[D LIQUID]])),N(MONTH([D LIQUID])=MONTH(NC[[#This Row],[D LIQUID]])),N(['[D/N']]="D"),[LUCRO OP])</f>
        <v>0</v>
      </c>
      <c r="AF34" s="32">
        <f>[LUCRO N '[A']]+[LUCRO D]</f>
        <v>-363.31999999999937</v>
      </c>
      <c r="AG34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5" spans="1:33">
      <c r="A35" s="21">
        <v>34</v>
      </c>
      <c r="B35" s="21" t="s">
        <v>52</v>
      </c>
      <c r="C35" s="21" t="s">
        <v>57</v>
      </c>
      <c r="D35" s="22">
        <v>40989</v>
      </c>
      <c r="E35" s="21">
        <v>200</v>
      </c>
      <c r="F35" s="23">
        <v>6.95</v>
      </c>
      <c r="G35" s="23" t="s">
        <v>61</v>
      </c>
      <c r="H35" s="21" t="s">
        <v>12</v>
      </c>
      <c r="I35" s="22">
        <f>WORKDAY(NC[[#This Row],[DATA]],IF(['[A/O']]="A",3,1))</f>
        <v>40994</v>
      </c>
      <c r="J35" s="21">
        <f>EOMONTH(NC[[#This Row],[D LIQUID]],0)</f>
        <v>40999</v>
      </c>
      <c r="K3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35" s="23">
        <f>[QTDE]*[PREÇO]</f>
        <v>1390</v>
      </c>
      <c r="M3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-1390</v>
      </c>
      <c r="N3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0.38</v>
      </c>
      <c r="O3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3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5" s="23">
        <f>SETUP!$E$3*SUMPRODUCT(N([DATA]=NC[[#This Row],[DATA]]),N([ID]&lt;=NC[[#This Row],[ID]]))</f>
        <v>14.9</v>
      </c>
      <c r="R35" s="23">
        <f>TRUNC([CORR. BASE]*SETUP!$F$3,2)</f>
        <v>0.28999999999999998</v>
      </c>
      <c r="S35" s="23">
        <f>TRUNC([CORR. BASE]*SETUP!$G$3,2)</f>
        <v>0.57999999999999996</v>
      </c>
      <c r="T35" s="23">
        <f>[VL LIQUID]-[TX LIQUID]-[EMOL]-[REGISTRO]-[CORR. BASE]-[ISS]-[OUTRAS]</f>
        <v>-1406.24</v>
      </c>
      <c r="U35" s="23">
        <f>[LÍQUIDO]-SUMPRODUCT(N([DATA]=NC[[#This Row],[DATA]]),N([ID]=(NC[[#This Row],[ID]]-1)),[LÍQUIDO])</f>
        <v>-1406.24</v>
      </c>
      <c r="V35" s="23">
        <f t="shared" si="2"/>
        <v>7.0312000000000001</v>
      </c>
      <c r="W35" s="23">
        <f>TRUNC(IF(OR([OPER/TIPO]="CV",[OPER/TIPO]="VV"),     L35*SETUP!$H$3,     0),2)</f>
        <v>0</v>
      </c>
      <c r="X3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7.0312000000000001</v>
      </c>
      <c r="Z3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5" s="23">
        <f>IF(['[D/N']]="D",IF([OPER/TIPO]="CC",0,SUMPRODUCT(N([DATA]=NC[[#This Row],[DATA]]),N([OPER/TIPO]="CV"),[LÍQUIDO])),IF(AND([MED CP]&gt;0,[MED VD]&gt;0),([MED VD]-[MED CP])*[QTDE],0))</f>
        <v>-148.43999999999991</v>
      </c>
      <c r="AB35" s="36">
        <f>IF(['[A/O']]="O",[LUCRO OP]*0.15,0)</f>
        <v>0</v>
      </c>
      <c r="AC35" s="28">
        <f>[LUCRO OP]/ABS([VALOR P/ OP])</f>
        <v>-0.10555808396859705</v>
      </c>
      <c r="AD35" s="23">
        <f>SUMPRODUCT(N(YEAR([D LIQUID])=YEAR(NC[[#This Row],[D LIQUID]])),N(MONTH([DATA])=MONTH(NC[[#This Row],[D LIQUID]])),N(['[D/N']]="N"),[LUCRO OP])</f>
        <v>-363.31999999999937</v>
      </c>
      <c r="AE35" s="23">
        <f>SUMPRODUCT(N(YEAR([D LIQUID])=YEAR(NC[[#This Row],[D LIQUID]])),N(MONTH([D LIQUID])=MONTH(NC[[#This Row],[D LIQUID]])),N(['[D/N']]="D"),[LUCRO OP])</f>
        <v>0</v>
      </c>
      <c r="AF35" s="23">
        <f>[LUCRO N '[A']]+[LUCRO D]</f>
        <v>-363.31999999999937</v>
      </c>
      <c r="AG3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6" spans="1:33">
      <c r="A36" s="21">
        <v>35</v>
      </c>
      <c r="B36" s="21" t="s">
        <v>25</v>
      </c>
      <c r="C36" s="21" t="s">
        <v>55</v>
      </c>
      <c r="D36" s="22">
        <v>40990</v>
      </c>
      <c r="E36" s="21">
        <v>200</v>
      </c>
      <c r="F36" s="23">
        <v>4.74</v>
      </c>
      <c r="G36" s="23" t="s">
        <v>61</v>
      </c>
      <c r="H36" s="21" t="s">
        <v>12</v>
      </c>
      <c r="I36" s="22">
        <f>WORKDAY(NC[[#This Row],[DATA]],IF(['[A/O']]="A",3,1))</f>
        <v>40995</v>
      </c>
      <c r="J36" s="21">
        <f>EOMONTH(NC[[#This Row],[D LIQUID]],0)</f>
        <v>40999</v>
      </c>
      <c r="K3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6" s="23">
        <f>[QTDE]*[PREÇO]</f>
        <v>948</v>
      </c>
      <c r="M3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948</v>
      </c>
      <c r="N3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O3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P3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6" s="23">
        <f>SETUP!$E$3*SUMPRODUCT(N([DATA]=NC[[#This Row],[DATA]]),N([ID]&lt;=NC[[#This Row],[ID]]))</f>
        <v>14.9</v>
      </c>
      <c r="R36" s="23">
        <f>TRUNC([CORR. BASE]*SETUP!$F$3,2)</f>
        <v>0.28999999999999998</v>
      </c>
      <c r="S36" s="23">
        <f>TRUNC([CORR. BASE]*SETUP!$G$3,2)</f>
        <v>0.57999999999999996</v>
      </c>
      <c r="T36" s="23">
        <f>[VL LIQUID]-[TX LIQUID]-[EMOL]-[REGISTRO]-[CORR. BASE]-[ISS]-[OUTRAS]</f>
        <v>931.91000000000008</v>
      </c>
      <c r="U36" s="23">
        <f>[LÍQUIDO]-SUMPRODUCT(N([DATA]=NC[[#This Row],[DATA]]),N([ID]=(NC[[#This Row],[ID]]-1)),[LÍQUIDO])</f>
        <v>931.91000000000008</v>
      </c>
      <c r="V36" s="23">
        <f t="shared" si="2"/>
        <v>4.6595500000000003</v>
      </c>
      <c r="W36" s="23">
        <f>TRUNC(IF(OR([OPER/TIPO]="CV",[OPER/TIPO]="VV"),     L36*SETUP!$H$3,     0),2)</f>
        <v>0.04</v>
      </c>
      <c r="X3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Z3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4.6595500000000003</v>
      </c>
      <c r="AA36" s="23">
        <f>IF(['[D/N']]="D",IF([OPER/TIPO]="CC",0,SUMPRODUCT(N([DATA]=NC[[#This Row],[DATA]]),N([OPER/TIPO]="CV"),[LÍQUIDO])),IF(AND([MED CP]&gt;0,[MED VD]&gt;0),([MED VD]-[MED CP])*[QTDE],0))</f>
        <v>-74.210000000000065</v>
      </c>
      <c r="AB36" s="36">
        <f>IF(['[A/O']]="O",[LUCRO OP]*0.15,0)</f>
        <v>0</v>
      </c>
      <c r="AC36" s="28">
        <f>[LUCRO OP]/ABS([VALOR P/ OP])</f>
        <v>-7.9632153319526625E-2</v>
      </c>
      <c r="AD36" s="23">
        <f>SUMPRODUCT(N(YEAR([D LIQUID])=YEAR(NC[[#This Row],[D LIQUID]])),N(MONTH([DATA])=MONTH(NC[[#This Row],[D LIQUID]])),N(['[D/N']]="N"),[LUCRO OP])</f>
        <v>-363.31999999999937</v>
      </c>
      <c r="AE36" s="23">
        <f>SUMPRODUCT(N(YEAR([D LIQUID])=YEAR(NC[[#This Row],[D LIQUID]])),N(MONTH([D LIQUID])=MONTH(NC[[#This Row],[D LIQUID]])),N(['[D/N']]="D"),[LUCRO OP])</f>
        <v>0</v>
      </c>
      <c r="AF36" s="23">
        <f>[LUCRO N '[A']]+[LUCRO D]</f>
        <v>-363.31999999999937</v>
      </c>
      <c r="AG3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7" spans="1:33">
      <c r="A37" s="21">
        <v>36</v>
      </c>
      <c r="B37" s="37" t="s">
        <v>66</v>
      </c>
      <c r="C37" s="37" t="s">
        <v>54</v>
      </c>
      <c r="D37" s="38">
        <v>41053</v>
      </c>
      <c r="E37" s="37">
        <v>400</v>
      </c>
      <c r="F37" s="39">
        <v>3.15</v>
      </c>
      <c r="G37" s="39" t="s">
        <v>61</v>
      </c>
      <c r="H37" s="37" t="s">
        <v>21</v>
      </c>
      <c r="I37" s="38">
        <f>WORKDAY(NC[[#This Row],[DATA]],IF(['[A/O']]="A",3,1))</f>
        <v>41058</v>
      </c>
      <c r="J37" s="37">
        <f>EOMONTH(NC[[#This Row],[D LIQUID]],0)</f>
        <v>41060</v>
      </c>
      <c r="K37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L37" s="39">
        <f>[QTDE]*[PREÇO]</f>
        <v>1260</v>
      </c>
      <c r="M37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-1260</v>
      </c>
      <c r="N37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0.22</v>
      </c>
      <c r="O37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7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7" s="39">
        <f>SETUP!$E$3*SUMPRODUCT(N([DATA]=NC[[#This Row],[DATA]]),N([ID]&lt;=NC[[#This Row],[ID]]))</f>
        <v>14.9</v>
      </c>
      <c r="R37" s="39">
        <f>TRUNC([CORR. BASE]*SETUP!$F$3,2)</f>
        <v>0.28999999999999998</v>
      </c>
      <c r="S37" s="39">
        <f>TRUNC([CORR. BASE]*SETUP!$G$3,2)</f>
        <v>0.57999999999999996</v>
      </c>
      <c r="T37" s="39">
        <f>[VL LIQUID]-[TX LIQUID]-[EMOL]-[REGISTRO]-[CORR. BASE]-[ISS]-[OUTRAS]</f>
        <v>-1276.07</v>
      </c>
      <c r="U37" s="39">
        <f>[LÍQUIDO]-SUMPRODUCT(N([DATA]=NC[[#This Row],[DATA]]),N([ID]=(NC[[#This Row],[ID]]-1)),[LÍQUIDO])</f>
        <v>-1276.07</v>
      </c>
      <c r="V37" s="39">
        <f t="shared" si="2"/>
        <v>3.190175</v>
      </c>
      <c r="W37" s="39">
        <f>TRUNC(IF(OR([OPER/TIPO]="CV",[OPER/TIPO]="VV"),     L37*SETUP!$H$3,     0),2)</f>
        <v>0</v>
      </c>
      <c r="X37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7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7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7" s="39">
        <f>IF(['[D/N']]="D",IF([OPER/TIPO]="CC",0,SUMPRODUCT(N([DATA]=NC[[#This Row],[DATA]]),N([OPER/TIPO]="CV"),[LÍQUIDO])),IF(AND([MED CP]&gt;0,[MED VD]&gt;0),([MED VD]-[MED CP])*[QTDE],0))</f>
        <v>0</v>
      </c>
      <c r="AB37" s="41">
        <f>IF(['[A/O']]="O",[LUCRO OP]*0.15,0)</f>
        <v>0</v>
      </c>
      <c r="AC37" s="42">
        <f>[LUCRO OP]/ABS([VALOR P/ OP])</f>
        <v>0</v>
      </c>
      <c r="AD37" s="39">
        <f>SUMPRODUCT(N(YEAR([D LIQUID])=YEAR(NC[[#This Row],[D LIQUID]])),N(MONTH([DATA])=MONTH(NC[[#This Row],[D LIQUID]])),N(['[D/N']]="N"),[LUCRO OP])</f>
        <v>1025.2899999999991</v>
      </c>
      <c r="AE37" s="39">
        <f>SUMPRODUCT(N(YEAR([D LIQUID])=YEAR(NC[[#This Row],[D LIQUID]])),N(MONTH([D LIQUID])=MONTH(NC[[#This Row],[D LIQUID]])),N(['[D/N']]="D"),[LUCRO OP])</f>
        <v>71.8</v>
      </c>
      <c r="AF37" s="39">
        <f>[LUCRO N '[A']]+[LUCRO D]</f>
        <v>1097.089999999999</v>
      </c>
      <c r="AG37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8" spans="1:33">
      <c r="A38" s="21">
        <v>37</v>
      </c>
      <c r="B38" s="37" t="s">
        <v>66</v>
      </c>
      <c r="C38" s="37" t="s">
        <v>55</v>
      </c>
      <c r="D38" s="38">
        <v>41053</v>
      </c>
      <c r="E38" s="37">
        <v>400</v>
      </c>
      <c r="F38" s="39">
        <v>3.41</v>
      </c>
      <c r="G38" s="39" t="s">
        <v>61</v>
      </c>
      <c r="H38" s="37" t="s">
        <v>21</v>
      </c>
      <c r="I38" s="38">
        <f>WORKDAY(NC[[#This Row],[DATA]],IF(['[A/O']]="A",3,1))</f>
        <v>41058</v>
      </c>
      <c r="J38" s="37">
        <f>EOMONTH(NC[[#This Row],[D LIQUID]],0)</f>
        <v>41060</v>
      </c>
      <c r="K38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L38" s="39">
        <f>[QTDE]*[PREÇO]</f>
        <v>1364</v>
      </c>
      <c r="M38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104</v>
      </c>
      <c r="N38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O38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P38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8" s="39">
        <f>SETUP!$E$3*SUMPRODUCT(N([DATA]=NC[[#This Row],[DATA]]),N([ID]&lt;=NC[[#This Row],[ID]]))</f>
        <v>29.8</v>
      </c>
      <c r="R38" s="39">
        <f>TRUNC([CORR. BASE]*SETUP!$F$3,2)</f>
        <v>0.59</v>
      </c>
      <c r="S38" s="39">
        <f>TRUNC([CORR. BASE]*SETUP!$G$3,2)</f>
        <v>1.1599999999999999</v>
      </c>
      <c r="T38" s="39">
        <f>[VL LIQUID]-[TX LIQUID]-[EMOL]-[REGISTRO]-[CORR. BASE]-[ISS]-[OUTRAS]</f>
        <v>71.8</v>
      </c>
      <c r="U38" s="39">
        <f>[LÍQUIDO]-SUMPRODUCT(N([DATA]=NC[[#This Row],[DATA]]),N([ID]=(NC[[#This Row],[ID]]-1)),[LÍQUIDO])</f>
        <v>1347.87</v>
      </c>
      <c r="V38" s="39">
        <f t="shared" si="2"/>
        <v>3.3696749999999995</v>
      </c>
      <c r="W38" s="39">
        <f>TRUNC(IF(OR([OPER/TIPO]="CV",[OPER/TIPO]="VV"),     L38*SETUP!$H$3,     0),2)</f>
        <v>0.06</v>
      </c>
      <c r="X38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8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8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8" s="39">
        <f>IF(['[D/N']]="D",IF([OPER/TIPO]="CC",0,SUMPRODUCT(N([DATA]=NC[[#This Row],[DATA]]),N([OPER/TIPO]="CV"),[LÍQUIDO])),IF(AND([MED CP]&gt;0,[MED VD]&gt;0),([MED VD]-[MED CP])*[QTDE],0))</f>
        <v>71.8</v>
      </c>
      <c r="AB38" s="41">
        <f>IF(['[A/O']]="O",[LUCRO OP]*0.15,0)</f>
        <v>0</v>
      </c>
      <c r="AC38" s="42">
        <f>[LUCRO OP]/ABS([VALOR P/ OP])</f>
        <v>5.3269232195983292E-2</v>
      </c>
      <c r="AD38" s="39">
        <f>SUMPRODUCT(N(YEAR([D LIQUID])=YEAR(NC[[#This Row],[D LIQUID]])),N(MONTH([DATA])=MONTH(NC[[#This Row],[D LIQUID]])),N(['[D/N']]="N"),[LUCRO OP])</f>
        <v>1025.2899999999991</v>
      </c>
      <c r="AE38" s="39">
        <f>SUMPRODUCT(N(YEAR([D LIQUID])=YEAR(NC[[#This Row],[D LIQUID]])),N(MONTH([D LIQUID])=MONTH(NC[[#This Row],[D LIQUID]])),N(['[D/N']]="D"),[LUCRO OP])</f>
        <v>71.8</v>
      </c>
      <c r="AF38" s="39">
        <f>[LUCRO N '[A']]+[LUCRO D]</f>
        <v>1097.089999999999</v>
      </c>
      <c r="AG38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9" spans="1:33">
      <c r="A39" s="21">
        <v>38</v>
      </c>
      <c r="B39" s="37" t="s">
        <v>66</v>
      </c>
      <c r="C39" s="21" t="s">
        <v>56</v>
      </c>
      <c r="D39" s="38">
        <v>41057</v>
      </c>
      <c r="E39" s="37">
        <v>1000</v>
      </c>
      <c r="F39" s="39">
        <v>4.0599999999999996</v>
      </c>
      <c r="G39" s="39" t="s">
        <v>61</v>
      </c>
      <c r="H39" s="21" t="s">
        <v>12</v>
      </c>
      <c r="I39" s="22">
        <f>WORKDAY(NC[[#This Row],[DATA]],IF(['[A/O']]="A",3,1))</f>
        <v>41060</v>
      </c>
      <c r="J39" s="21">
        <f>EOMONTH(NC[[#This Row],[D LIQUID]],0)</f>
        <v>41060</v>
      </c>
      <c r="K3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9" s="23">
        <f>[QTDE]*[PREÇO]</f>
        <v>4059.9999999999995</v>
      </c>
      <c r="M3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4059.9999999999995</v>
      </c>
      <c r="N3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1.1100000000000001</v>
      </c>
      <c r="O3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P3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9" s="23">
        <f>SETUP!$E$3*SUMPRODUCT(N([DATA]=NC[[#This Row],[DATA]]),N([ID]&lt;=NC[[#This Row],[ID]]))</f>
        <v>14.9</v>
      </c>
      <c r="R39" s="23">
        <f>TRUNC([CORR. BASE]*SETUP!$F$3,2)</f>
        <v>0.28999999999999998</v>
      </c>
      <c r="S39" s="23">
        <f>TRUNC([CORR. BASE]*SETUP!$G$3,2)</f>
        <v>0.57999999999999996</v>
      </c>
      <c r="T39" s="23">
        <f>[VL LIQUID]-[TX LIQUID]-[EMOL]-[REGISTRO]-[CORR. BASE]-[ISS]-[OUTRAS]</f>
        <v>4042.8399999999992</v>
      </c>
      <c r="U39" s="23">
        <f>[LÍQUIDO]-SUMPRODUCT(N([DATA]=NC[[#This Row],[DATA]]),N([ID]=(NC[[#This Row],[ID]]-1)),[LÍQUIDO])</f>
        <v>4042.8399999999992</v>
      </c>
      <c r="V39" s="23">
        <f>ABS(U39)/E39</f>
        <v>4.0428399999999991</v>
      </c>
      <c r="W39" s="23">
        <f>TRUNC(IF(OR([OPER/TIPO]="CV",[OPER/TIPO]="VV"),     L39*SETUP!$H$3,     0),2)</f>
        <v>0.2</v>
      </c>
      <c r="X3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-1000</v>
      </c>
      <c r="Y3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A39" s="23">
        <f>IF(['[D/N']]="D",IF([OPER/TIPO]="CC",0,SUMPRODUCT(N([DATA]=NC[[#This Row],[DATA]]),N([OPER/TIPO]="CV"),[LÍQUIDO])),IF(AND([MED CP]&gt;0,[MED VD]&gt;0),([MED VD]-[MED CP])*[QTDE],0))</f>
        <v>0</v>
      </c>
      <c r="AB39" s="36">
        <f>IF(['[A/O']]="O",[LUCRO OP]*0.15,0)</f>
        <v>0</v>
      </c>
      <c r="AC39" s="28">
        <f>[LUCRO OP]/ABS([VALOR P/ OP])</f>
        <v>0</v>
      </c>
      <c r="AD39" s="23">
        <f>SUMPRODUCT(N(YEAR([D LIQUID])=YEAR(NC[[#This Row],[D LIQUID]])),N(MONTH([DATA])=MONTH(NC[[#This Row],[D LIQUID]])),N(['[D/N']]="N"),[LUCRO OP])</f>
        <v>1025.2899999999991</v>
      </c>
      <c r="AE39" s="23">
        <f>SUMPRODUCT(N(YEAR([D LIQUID])=YEAR(NC[[#This Row],[D LIQUID]])),N(MONTH([D LIQUID])=MONTH(NC[[#This Row],[D LIQUID]])),N(['[D/N']]="D"),[LUCRO OP])</f>
        <v>71.8</v>
      </c>
      <c r="AF39" s="23">
        <f>[LUCRO N '[A']]+[LUCRO D]</f>
        <v>1097.089999999999</v>
      </c>
      <c r="AG3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40" spans="1:33">
      <c r="A40" s="21">
        <v>39</v>
      </c>
      <c r="B40" s="37" t="s">
        <v>66</v>
      </c>
      <c r="C40" s="21" t="s">
        <v>57</v>
      </c>
      <c r="D40" s="38">
        <v>41058</v>
      </c>
      <c r="E40" s="37">
        <v>500</v>
      </c>
      <c r="F40" s="39">
        <v>4.13</v>
      </c>
      <c r="G40" s="39" t="s">
        <v>61</v>
      </c>
      <c r="H40" s="21" t="s">
        <v>12</v>
      </c>
      <c r="I40" s="22">
        <f>WORKDAY(NC[[#This Row],[DATA]],IF(['[A/O']]="A",3,1))</f>
        <v>41061</v>
      </c>
      <c r="J40" s="21">
        <f>EOMONTH(NC[[#This Row],[D LIQUID]],0)</f>
        <v>41090</v>
      </c>
      <c r="K4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0" s="23">
        <f>[QTDE]*[PREÇO]</f>
        <v>2065</v>
      </c>
      <c r="M4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-2065</v>
      </c>
      <c r="N4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O4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P4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0" s="23">
        <f>SETUP!$E$3*SUMPRODUCT(N([DATA]=NC[[#This Row],[DATA]]),N([ID]&lt;=NC[[#This Row],[ID]]))</f>
        <v>14.9</v>
      </c>
      <c r="R40" s="23">
        <f>TRUNC([CORR. BASE]*SETUP!$F$3,2)</f>
        <v>0.28999999999999998</v>
      </c>
      <c r="S40" s="23">
        <f>TRUNC([CORR. BASE]*SETUP!$G$3,2)</f>
        <v>0.57999999999999996</v>
      </c>
      <c r="T40" s="23">
        <f>[VL LIQUID]-[TX LIQUID]-[EMOL]-[REGISTRO]-[CORR. BASE]-[ISS]-[OUTRAS]</f>
        <v>-2081.4699999999998</v>
      </c>
      <c r="U40" s="23">
        <f>[LÍQUIDO]-SUMPRODUCT(N([DATA]=NC[[#This Row],[DATA]]),N([ID]=(NC[[#This Row],[ID]]-1)),[LÍQUIDO])</f>
        <v>-2081.4699999999998</v>
      </c>
      <c r="V40" s="23">
        <f>ABS(U40)/E40</f>
        <v>4.1629399999999999</v>
      </c>
      <c r="W40" s="23">
        <f>TRUNC(IF(OR([OPER/TIPO]="CV",[OPER/TIPO]="VV"),     L40*SETUP!$H$3,     0),2)</f>
        <v>0</v>
      </c>
      <c r="X4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-500</v>
      </c>
      <c r="Y4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4.1629399999999999</v>
      </c>
      <c r="Z4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A40" s="23">
        <f>IF(['[D/N']]="D",IF([OPER/TIPO]="CC",0,SUMPRODUCT(N([DATA]=NC[[#This Row],[DATA]]),N([OPER/TIPO]="CV"),[LÍQUIDO])),IF(AND([MED CP]&gt;0,[MED VD]&gt;0),([MED VD]-[MED CP])*[QTDE],0))</f>
        <v>-60.050000000000381</v>
      </c>
      <c r="AB40" s="36">
        <f>IF(['[A/O']]="O",[LUCRO OP]*0.15,0)</f>
        <v>0</v>
      </c>
      <c r="AC40" s="28">
        <f>[LUCRO OP]/ABS([VALOR P/ OP])</f>
        <v>-2.8849803264039544E-2</v>
      </c>
      <c r="AD40" s="23">
        <f>SUMPRODUCT(N(YEAR([D LIQUID])=YEAR(NC[[#This Row],[D LIQUID]])),N(MONTH([DATA])=MONTH(NC[[#This Row],[D LIQUID]])),N(['[D/N']]="N"),[LUCRO OP])</f>
        <v>0</v>
      </c>
      <c r="AE40" s="23">
        <f>SUMPRODUCT(N(YEAR([D LIQUID])=YEAR(NC[[#This Row],[D LIQUID]])),N(MONTH([D LIQUID])=MONTH(NC[[#This Row],[D LIQUID]])),N(['[D/N']]="D"),[LUCRO OP])</f>
        <v>0</v>
      </c>
      <c r="AF40" s="23">
        <f>[LUCRO N '[A']]+[LUCRO D]</f>
        <v>0</v>
      </c>
      <c r="AG4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0</v>
      </c>
    </row>
    <row r="41" spans="1:33">
      <c r="A41" s="21">
        <v>40</v>
      </c>
      <c r="B41" s="37" t="s">
        <v>66</v>
      </c>
      <c r="C41" s="21" t="s">
        <v>57</v>
      </c>
      <c r="D41" s="38">
        <v>41059</v>
      </c>
      <c r="E41" s="37">
        <v>500</v>
      </c>
      <c r="F41" s="39">
        <v>1.84</v>
      </c>
      <c r="G41" s="39" t="s">
        <v>61</v>
      </c>
      <c r="H41" s="21" t="s">
        <v>12</v>
      </c>
      <c r="I41" s="22">
        <f>WORKDAY(NC[[#This Row],[DATA]],IF(['[A/O']]="A",3,1))</f>
        <v>41064</v>
      </c>
      <c r="J41" s="21">
        <f>EOMONTH(NC[[#This Row],[D LIQUID]],0)</f>
        <v>41090</v>
      </c>
      <c r="K4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1" s="23">
        <f>[QTDE]*[PREÇO]</f>
        <v>920</v>
      </c>
      <c r="M4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-920</v>
      </c>
      <c r="N4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0.25</v>
      </c>
      <c r="O4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P4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1" s="23">
        <f>SETUP!$E$3*SUMPRODUCT(N([DATA]=NC[[#This Row],[DATA]]),N([ID]&lt;=NC[[#This Row],[ID]]))</f>
        <v>14.9</v>
      </c>
      <c r="R41" s="23">
        <f>TRUNC([CORR. BASE]*SETUP!$F$3,2)</f>
        <v>0.28999999999999998</v>
      </c>
      <c r="S41" s="23">
        <f>TRUNC([CORR. BASE]*SETUP!$G$3,2)</f>
        <v>0.57999999999999996</v>
      </c>
      <c r="T41" s="23">
        <f>[VL LIQUID]-[TX LIQUID]-[EMOL]-[REGISTRO]-[CORR. BASE]-[ISS]-[OUTRAS]</f>
        <v>-936.07999999999993</v>
      </c>
      <c r="U41" s="23">
        <f>[LÍQUIDO]-SUMPRODUCT(N([DATA]=NC[[#This Row],[DATA]]),N([ID]=(NC[[#This Row],[ID]]-1)),[LÍQUIDO])</f>
        <v>-936.07999999999993</v>
      </c>
      <c r="V41" s="23">
        <f>ABS(U41)/E41</f>
        <v>1.8721599999999998</v>
      </c>
      <c r="W41" s="23">
        <f>TRUNC(IF(OR([OPER/TIPO]="CV",[OPER/TIPO]="VV"),     L41*SETUP!$H$3,     0),2)</f>
        <v>0</v>
      </c>
      <c r="X4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1.8721599999999998</v>
      </c>
      <c r="Z4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A41" s="23">
        <f>IF(['[D/N']]="D",IF([OPER/TIPO]="CC",0,SUMPRODUCT(N([DATA]=NC[[#This Row],[DATA]]),N([OPER/TIPO]="CV"),[LÍQUIDO])),IF(AND([MED CP]&gt;0,[MED VD]&gt;0),([MED VD]-[MED CP])*[QTDE],0))</f>
        <v>1085.3399999999995</v>
      </c>
      <c r="AB41" s="36">
        <f>IF(['[A/O']]="O",[LUCRO OP]*0.15,0)</f>
        <v>0</v>
      </c>
      <c r="AC41" s="28">
        <f>[LUCRO OP]/ABS([VALOR P/ OP])</f>
        <v>1.159452183574053</v>
      </c>
      <c r="AD41" s="23">
        <f>SUMPRODUCT(N(YEAR([D LIQUID])=YEAR(NC[[#This Row],[D LIQUID]])),N(MONTH([DATA])=MONTH(NC[[#This Row],[D LIQUID]])),N(['[D/N']]="N"),[LUCRO OP])</f>
        <v>0</v>
      </c>
      <c r="AE41" s="23">
        <f>SUMPRODUCT(N(YEAR([D LIQUID])=YEAR(NC[[#This Row],[D LIQUID]])),N(MONTH([D LIQUID])=MONTH(NC[[#This Row],[D LIQUID]])),N(['[D/N']]="D"),[LUCRO OP])</f>
        <v>0</v>
      </c>
      <c r="AF41" s="23">
        <f>[LUCRO N '[A']]+[LUCRO D]</f>
        <v>0</v>
      </c>
      <c r="AG4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0</v>
      </c>
    </row>
    <row r="42" spans="1:33">
      <c r="A42" s="46" t="s">
        <v>32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23" t="s">
        <v>51</v>
      </c>
      <c r="U42" s="46"/>
      <c r="V42" s="46"/>
      <c r="W42" s="23">
        <f>SUBTOTAL(109,[IRRF])</f>
        <v>1.1300000000000001</v>
      </c>
      <c r="X42" s="23"/>
      <c r="Y42" s="46"/>
      <c r="Z42" s="46"/>
      <c r="AA42" s="23">
        <f>SUBTOTAL(109,[LUCRO OP])-NC[[#Totals],[IRRF OPÇÃO]]</f>
        <v>-772.40000000000055</v>
      </c>
      <c r="AB42" s="23">
        <f>SUBTOTAL(109,[IRRF OPÇÃO])</f>
        <v>0</v>
      </c>
      <c r="AC42" s="23"/>
      <c r="AD42" s="47"/>
      <c r="AE42" s="47"/>
      <c r="AF42" s="47">
        <f>NC[[#Totals],[LUCRO OP]]/NC[[#Totals],[LÍQUIDO]]</f>
        <v>-0.11416291124291847</v>
      </c>
      <c r="AG42" s="48">
        <f>IF(NC[[#Totals],[LUCRO OP]]&lt;0,ABS(NC[[#Totals],[LUCRO OP]]/(NC[[#Totals],[LUCRO OP]]+NC[[#Totals],[LÍQUIDO]])),-NC[[#Totals],[LUCRO OP]]/(NC[[#Totals],[LUCRO OP]]+NC[[#Totals],[LÍQUIDO]]))</f>
        <v>0.12887574102716845</v>
      </c>
    </row>
    <row r="43" spans="1:33">
      <c r="D43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sqref="A1:H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45" t="s">
        <v>14</v>
      </c>
      <c r="B1" s="45"/>
      <c r="C1" s="45" t="s">
        <v>15</v>
      </c>
      <c r="D1" s="45"/>
      <c r="E1" s="44" t="s">
        <v>16</v>
      </c>
      <c r="F1" s="44" t="s">
        <v>8</v>
      </c>
      <c r="G1" s="44" t="s">
        <v>17</v>
      </c>
      <c r="H1" s="44" t="s">
        <v>18</v>
      </c>
      <c r="I1" s="44" t="s">
        <v>50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44"/>
      <c r="F2" s="44"/>
      <c r="G2" s="44"/>
      <c r="H2" s="44"/>
      <c r="I2" s="44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>
      <c r="A4" s="43" t="s">
        <v>58</v>
      </c>
      <c r="B4" s="43"/>
      <c r="C4" s="43"/>
      <c r="D4" s="43"/>
      <c r="E4" s="43"/>
      <c r="F4" s="43"/>
    </row>
    <row r="5" spans="1:9">
      <c r="A5" s="43" t="s">
        <v>14</v>
      </c>
      <c r="B5" s="43"/>
      <c r="C5" s="43"/>
      <c r="D5" s="43" t="s">
        <v>15</v>
      </c>
      <c r="E5" s="43"/>
      <c r="F5" s="43"/>
    </row>
    <row r="6" spans="1:9">
      <c r="A6" s="26" t="s">
        <v>19</v>
      </c>
      <c r="B6" s="26" t="s">
        <v>20</v>
      </c>
      <c r="C6" s="26" t="s">
        <v>59</v>
      </c>
      <c r="D6" s="26" t="s">
        <v>19</v>
      </c>
      <c r="E6" s="26" t="s">
        <v>20</v>
      </c>
      <c r="F6" s="26" t="s">
        <v>59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2012-05-28T16:19:59Z</dcterms:modified>
</cp:coreProperties>
</file>